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40" activeTab="0"/>
  </bookViews>
  <sheets>
    <sheet name="Biểu tổng hợp" sheetId="1" r:id="rId1"/>
    <sheet name="Sheet1" sheetId="2" r:id="rId2"/>
    <sheet name="Sheet2" sheetId="3" r:id="rId3"/>
  </sheets>
  <definedNames>
    <definedName name="_xlnm.Print_Titles" localSheetId="0">'Biểu tổng hợp'!$3:$4</definedName>
  </definedNames>
  <calcPr fullCalcOnLoad="1"/>
</workbook>
</file>

<file path=xl/sharedStrings.xml><?xml version="1.0" encoding="utf-8"?>
<sst xmlns="http://schemas.openxmlformats.org/spreadsheetml/2006/main" count="398" uniqueCount="149">
  <si>
    <t>TT</t>
  </si>
  <si>
    <t>Nội dung</t>
  </si>
  <si>
    <t>I</t>
  </si>
  <si>
    <t>II</t>
  </si>
  <si>
    <t>III</t>
  </si>
  <si>
    <t>IV</t>
  </si>
  <si>
    <t>V</t>
  </si>
  <si>
    <t>VI</t>
  </si>
  <si>
    <t>Cho trả ngày công trong thời gian huấn luyện</t>
  </si>
  <si>
    <t>Chiến sĩ DQTV năm thứ nhất</t>
  </si>
  <si>
    <t>Dân quân tại chỗ (80% quân số)</t>
  </si>
  <si>
    <t>Dân quân phòng không, pháo binh</t>
  </si>
  <si>
    <t>Dân quân binh chủng bảo đảm</t>
  </si>
  <si>
    <t>Dân quân cơ động (100% quân số)</t>
  </si>
  <si>
    <t>Hỗ trợ tiền ăn trong thời gian huấn luyện</t>
  </si>
  <si>
    <t>VII</t>
  </si>
  <si>
    <t>Chi cho hoạt động, diễn tập của lực lượng DQTV</t>
  </si>
  <si>
    <t xml:space="preserve"> Tuần tra biên giới và nội địa</t>
  </si>
  <si>
    <t>Dân quân thường trực</t>
  </si>
  <si>
    <t>Tiền ăn của Dân quân thường trực</t>
  </si>
  <si>
    <t>1</t>
  </si>
  <si>
    <t>2</t>
  </si>
  <si>
    <t>3</t>
  </si>
  <si>
    <t xml:space="preserve">Thôn đội trưởng </t>
  </si>
  <si>
    <t>Hỗ trợ đóng bảo hiểm cho xã đội phó và chi trả chính sách xã hội đối với cán bộ:</t>
  </si>
  <si>
    <t>Thôn đội trưởng</t>
  </si>
  <si>
    <t>Chế độ phụ cấp thâm niên hàng tháng</t>
  </si>
  <si>
    <t>Trực thường  xuyên ở UBND xã, phường 6đ/c x 365 ngày = 2.190 ngày công</t>
  </si>
  <si>
    <t xml:space="preserve">  Hỗ trợ tiền ăn cho Dân quân </t>
  </si>
  <si>
    <t xml:space="preserve"> Trợ cấp ngày công cho dân quân</t>
  </si>
  <si>
    <t>VIII</t>
  </si>
  <si>
    <t>IX</t>
  </si>
  <si>
    <t>ĐVT: 1.000 đồng</t>
  </si>
  <si>
    <t xml:space="preserve">Phụ cấp đặc thù quốc phòng </t>
  </si>
  <si>
    <t>Tiểu đội trưởng và tương đương</t>
  </si>
  <si>
    <t xml:space="preserve">Trung đội trưởng và tương đương </t>
  </si>
  <si>
    <t>Trung đội trưởng DQ cơ động</t>
  </si>
  <si>
    <t xml:space="preserve">Phó Đại đội trưởng và Chính trị viên phó </t>
  </si>
  <si>
    <t>Chỉ huy trưởng và Chính trị viên</t>
  </si>
  <si>
    <t>Chỉ huy phó và Chính trị viên phó</t>
  </si>
  <si>
    <t xml:space="preserve">Trực các ngày  lễ, tết của Dân quân cơ động </t>
  </si>
  <si>
    <t xml:space="preserve">Đại đội trưởng và chính trị viên trưởng </t>
  </si>
  <si>
    <t>A</t>
  </si>
  <si>
    <t>B</t>
  </si>
  <si>
    <t xml:space="preserve">Chỉ huy phó cấp xã </t>
  </si>
  <si>
    <t xml:space="preserve">Thời gian công tác 5 năm (phụ cấp tháng:1,0 + phụ cấp trách nhiệm: 0,22 = 1,22 x  5% x) </t>
  </si>
  <si>
    <t>Thành tiền</t>
  </si>
  <si>
    <t xml:space="preserve">Thôn đội trưởng kiêm nhiệm Trung đội trưởng dân quân cơ động (phụ cấp hàng tháng + phụ cấp trách nhiệm Trung đội trưởng DQCĐ: 0,5 + 0,2 x  830.000đ  x 50%) </t>
  </si>
  <si>
    <t xml:space="preserve">Trung đội trưởng dân quân cơ động (phụ cấp trách nhiệm: 0,20 x  1.210.000đ  x 50%) </t>
  </si>
  <si>
    <t xml:space="preserve"> NHU CẦU KINH PHÍ NĂM 2017</t>
  </si>
  <si>
    <t xml:space="preserve">Chỉ huy phó Ban chỉ huy quân sự xã (phụ cấp hàng tháng:1,0 + phụ cấp trách nhiệm: 0,22 = 1,22 x  1. 210.000đ  x 50%) </t>
  </si>
  <si>
    <t>-</t>
  </si>
  <si>
    <t>Chỉ huy phó</t>
  </si>
  <si>
    <t>Chính trị viên phó</t>
  </si>
  <si>
    <t xml:space="preserve">Chỉ huy trưởng </t>
  </si>
  <si>
    <t xml:space="preserve">TỔNG HỢP NHU CẦU KINH PHÍ ĐẢM BẢO CHẾ DỘ, CHÍNH SÁCH
 CHO LỰC LƯỢNG DÂN QUÂN TỰ VỆ </t>
  </si>
  <si>
    <t xml:space="preserve"> -</t>
  </si>
  <si>
    <t>Hỗ trợ ngày công (không tính Chỉ huy phó cấp xã)</t>
  </si>
  <si>
    <t>Hỗ trợ tiền ăn (cả Chỉ huy phó cấp xã)</t>
  </si>
  <si>
    <t xml:space="preserve">Chính trị viên </t>
  </si>
  <si>
    <t xml:space="preserve">Cán bộ càn lại và chiến sĩ Dân quân </t>
  </si>
  <si>
    <t>Bảo đảm vật chất cho tập huấn cán bộ và huấn luyện chiến sỹ DQTV, văn hóa tinh thần và chính sách thương binh xã hội</t>
  </si>
  <si>
    <t xml:space="preserve">Bảo đảm vật chất đờì sống tinh thần cho các tiểu đội dân quân thường trực </t>
  </si>
  <si>
    <t>Bảm đảm vật chất cho tập huấn cán bộ, huấn luyện DQTV hàng năm ở các cấp.</t>
  </si>
  <si>
    <t>Phụ cấp trách nhiệm cán bộ quản lý các đơn vị DQTV</t>
  </si>
  <si>
    <t>Phụ cấp hàng tháng của Chỉ huy phó và Thôn đội trưởng</t>
  </si>
  <si>
    <t xml:space="preserve">Tập huấn cán bộ DQTV: Gồm cán Chỉ huy phó, trung đội trưởng, tiểu đội trưởng, thôn đội trưởng </t>
  </si>
  <si>
    <t>Chi huấn luyện thường xuyên hàng năm</t>
  </si>
  <si>
    <t xml:space="preserve">Tham gia diễn tập ở các cấp, tham gia khặc phục hậu quả thiên tài, tìm kiếm cứu nạn, cứu hộ </t>
  </si>
  <si>
    <t>Trợ cấp ngày công tham gia diễn tập các cấp, phòng chống lụt bão, cháy rừng 3% quân số DQTV</t>
  </si>
  <si>
    <t>Hỗ trợ tiền ăn cho huy động diễn tập ở các cấp, phòng chống lụt bão, cháy rừng 3% quân số DQTV</t>
  </si>
  <si>
    <t>Bảm đảm chính sách thương binh xã hội và ốm đau  của DQTV</t>
  </si>
  <si>
    <t xml:space="preserve">Cán bộ đại đội + trung đội trưởng DQ cơ động, Thôn đội, cán bộ binh chủng cấp trung đội trở lên </t>
  </si>
  <si>
    <t>Báo quân đội nhân dân gồm: Ban CHQS cấp xã 102, cơ quan, tổ chức 50, Dân quân thường trực 16 = 168 đầu mối</t>
  </si>
  <si>
    <t xml:space="preserve">Số lượng </t>
  </si>
  <si>
    <t>Hệ số</t>
  </si>
  <si>
    <t>Thời gian</t>
  </si>
  <si>
    <t>Mức chi</t>
  </si>
  <si>
    <t>Theo lương 1.15.0000 đồng</t>
  </si>
  <si>
    <t>Theo lương 1.210.000 đồng</t>
  </si>
  <si>
    <t>Thời gian công tác 7 năm (7%)</t>
  </si>
  <si>
    <t>Thời gian công tác 10 năm (10%)</t>
  </si>
  <si>
    <t>Theo lương 1.210.0000 đồng</t>
  </si>
  <si>
    <t>Chi thường xuyên</t>
  </si>
  <si>
    <t>Chi tiền lương, phụ cấp, tiền công cho LL DQTV</t>
  </si>
  <si>
    <t>*</t>
  </si>
  <si>
    <t>TỔNG CỘNG (A+B)</t>
  </si>
  <si>
    <t>Chi hoạt động của lực lượng Dân quân thường trực tại các xã biên giới</t>
  </si>
  <si>
    <t>Dự toán chi cho quốc phòng từ nguồn NSĐP</t>
  </si>
  <si>
    <t>Dự toán chi từ nguồn Trung ương bổ sung mục tiêu</t>
  </si>
  <si>
    <t>Mua quân trang</t>
  </si>
  <si>
    <t>Tiền ăn ( cả lễ, tết )</t>
  </si>
  <si>
    <t>Tiền ăn thêm các ngày lễ, tết</t>
  </si>
  <si>
    <t>Tiền công</t>
  </si>
  <si>
    <t>Phụ cấp tiểu đội trưởng</t>
  </si>
  <si>
    <t>Chi phí khác hoạt động thường xuyên (điện, nước, VPP, thông tin liên lạc…)</t>
  </si>
  <si>
    <t>Số lượng</t>
  </si>
  <si>
    <t>Hỗ trợ đóng BHXH cho Chỉ huy phó BCH Quân sự cấp xã (1,22 x 18%)</t>
  </si>
  <si>
    <t>Bổ sung tiền lương từ 1.150.000đ lên 1.210.000đ</t>
  </si>
  <si>
    <t>Chênh lệch giữa nhu cầu năm 2017 so với dự toán năm 2016 theo lương 1.210.000đ</t>
  </si>
  <si>
    <t>DỰ TOÁN NĂM 2016</t>
  </si>
  <si>
    <t>Trang bị quân trang cho lực lượng DQTV</t>
  </si>
  <si>
    <t xml:space="preserve">TỔNG HỢP NHU CẦU KINH PHÍ ĐẢM BẢO CHẾ DỘ, CHÍNH SÁCH CHO LỰC LƯỢNG DÂN QUÂN TỰ VỆ 
 </t>
  </si>
  <si>
    <t>Dự toán chi cho quốc phòng từ nguồn NSĐP năm 2016</t>
  </si>
  <si>
    <t>DỰ TOÁN NĂM 2016 (Tính theo lương 1.150.000 đồng)</t>
  </si>
  <si>
    <t>NHU CẦU THỰC HIỆN NĂM 2016 (Tính theo lương 1.210.000đồng)</t>
  </si>
  <si>
    <t xml:space="preserve"> NHU CẦU KINH PHÍ TÍNH CHO 01 NĂM THEO QUÂN SỐ ĐƠN VỊ LẬP (Tính theo lương 1.210.000 đồng)</t>
  </si>
  <si>
    <t>X</t>
  </si>
  <si>
    <t>XI</t>
  </si>
  <si>
    <t xml:space="preserve">Tiêu đội trưởng DQ thường trực </t>
  </si>
  <si>
    <t>Trung đội trưởng DQ cơ động và tương đương</t>
  </si>
  <si>
    <t>Thời gian công tác 15 năm (15%)</t>
  </si>
  <si>
    <t>Phụ cấp thâm niên hàng tháng Phó chỉ huy trưởng</t>
  </si>
  <si>
    <t xml:space="preserve">Trung đội trưởng dân quân cơ động (phụ cấp trách nhiệm: 0,20 x  1.490.000đ  x 50%) </t>
  </si>
  <si>
    <t>Chiến sĩ DQTV năm thứ nhất (25% quân số)</t>
  </si>
  <si>
    <t>TỔNG CỘNG</t>
  </si>
  <si>
    <t>XII</t>
  </si>
  <si>
    <t xml:space="preserve">TỔNG HỢP NHU CẦU KINH PHÍ ĐẢM BẢO CHẾ DỘ, CHÍNH SÁCH CHO LỰC LƯỢNG DÂN QUÂN TỰ VỆ NĂM 2021- 2025
 </t>
  </si>
  <si>
    <t xml:space="preserve">Tổng kinh phí
 bảo đảm cho 5 năm </t>
  </si>
  <si>
    <t>Bảo đảm vật chất đờì sống tinh thần cho các tiểu đội DQTT</t>
  </si>
  <si>
    <t>Bảm đảm vật chất cho tập huấn cán bộ,
 huấn luyện DQTV hàng năm ở các cấp.</t>
  </si>
  <si>
    <t xml:space="preserve">Tham gia diễn tập ở các cấp, tham gia 
khắc phục hậu quả thiên tai, tìm kiếm cứu nạn, cứu hộ </t>
  </si>
  <si>
    <t>Hỗ trợ tiền ăn cho huy động diễn tập ở các cấp, 
phòng chống lụt bão, cháy rừng 3% quân số DQTV</t>
  </si>
  <si>
    <t>Trợ cấp ngày công tham gia diễn tập các cấp,
 phòng chống lụt bão, cháy rừng 3% quân số DQTV</t>
  </si>
  <si>
    <t>Tiền ăn thêm DQTT trong các ngày lễ, tết trong năm</t>
  </si>
  <si>
    <t>Tập huấn cán bộ DQTV: Gồm cán Phó Chỉ huy, 
trung đội trưởng, tiểu đội trưởng, TĐT</t>
  </si>
  <si>
    <t>Bảm đảm chính sáchTBXH và ốm đau  của DQTV</t>
  </si>
  <si>
    <r>
      <t xml:space="preserve"> NHU CẦU KINH PHÍ NĂM 2021 
</t>
    </r>
    <r>
      <rPr>
        <b/>
        <i/>
        <sz val="11"/>
        <rFont val="Times New Roman"/>
        <family val="1"/>
      </rPr>
      <t>(Tính theo lương tối thiểu: 1.490.000 đồng)</t>
    </r>
  </si>
  <si>
    <r>
      <t xml:space="preserve">  NĂM 2022  
</t>
    </r>
    <r>
      <rPr>
        <b/>
        <i/>
        <sz val="11"/>
        <rFont val="Times New Roman"/>
        <family val="1"/>
      </rPr>
      <t>(</t>
    </r>
    <r>
      <rPr>
        <i/>
        <sz val="11"/>
        <rFont val="Times New Roman"/>
        <family val="1"/>
      </rPr>
      <t>Tính theo lương tối thiểu: 1.490.000 đồng)</t>
    </r>
  </si>
  <si>
    <r>
      <t xml:space="preserve"> NĂM 2023  
</t>
    </r>
    <r>
      <rPr>
        <i/>
        <sz val="11"/>
        <rFont val="Times New Roman"/>
        <family val="1"/>
      </rPr>
      <t>(Tính theo lương tối thiểu: 1.490.000 đồng)</t>
    </r>
  </si>
  <si>
    <r>
      <t xml:space="preserve">  NĂM 2024
</t>
    </r>
    <r>
      <rPr>
        <b/>
        <i/>
        <sz val="11"/>
        <rFont val="Times New Roman"/>
        <family val="1"/>
      </rPr>
      <t>(</t>
    </r>
    <r>
      <rPr>
        <i/>
        <sz val="11"/>
        <rFont val="Times New Roman"/>
        <family val="1"/>
      </rPr>
      <t>Tính theo lương tối thiểu: 1.490.000 đồng)</t>
    </r>
  </si>
  <si>
    <r>
      <t xml:space="preserve"> NĂM 2025
</t>
    </r>
    <r>
      <rPr>
        <b/>
        <i/>
        <sz val="11"/>
        <rFont val="Times New Roman"/>
        <family val="1"/>
      </rPr>
      <t>(</t>
    </r>
    <r>
      <rPr>
        <i/>
        <sz val="11"/>
        <rFont val="Times New Roman"/>
        <family val="1"/>
      </rPr>
      <t>Tính theo lương tối thiểu: 1.490.000 đồng)</t>
    </r>
  </si>
  <si>
    <r>
      <t xml:space="preserve">Thôn đội trưởng kiêm nhiệm tổ trưởng DQ tại chỗ 
</t>
    </r>
    <r>
      <rPr>
        <i/>
        <sz val="11"/>
        <rFont val="Times New Roman"/>
        <family val="1"/>
      </rPr>
      <t xml:space="preserve">(178.800đ + 29.800đ = 208.600đ ) </t>
    </r>
  </si>
  <si>
    <r>
      <t xml:space="preserve">Thời gian công tác 5 năm 
</t>
    </r>
    <r>
      <rPr>
        <i/>
        <sz val="11"/>
        <rFont val="Times New Roman"/>
        <family val="1"/>
      </rPr>
      <t xml:space="preserve">(phụ cấp tháng: 1,04 + phụ cấp trách nhiệm: 0,22 = 1,26 x 5%) </t>
    </r>
  </si>
  <si>
    <r>
      <t xml:space="preserve">Hỗ trợ ngày công </t>
    </r>
    <r>
      <rPr>
        <i/>
        <sz val="11"/>
        <rFont val="Times New Roman"/>
        <family val="1"/>
      </rPr>
      <t>(không tính Chỉ huy phó cấp xã)</t>
    </r>
  </si>
  <si>
    <r>
      <t>Chi trả cho DQTT hoàn thành nghĩa vụ</t>
    </r>
    <r>
      <rPr>
        <b/>
        <i/>
        <sz val="11"/>
        <rFont val="Times New Roman"/>
        <family val="1"/>
      </rPr>
      <t xml:space="preserve"> (2 năm) </t>
    </r>
  </si>
  <si>
    <r>
      <t xml:space="preserve">Trang bị quân trang cho lực lượng DQ 
</t>
    </r>
    <r>
      <rPr>
        <b/>
        <i/>
        <sz val="11"/>
        <rFont val="Times New Roman"/>
        <family val="1"/>
      </rPr>
      <t>(tính bằng năm 2019)</t>
    </r>
  </si>
  <si>
    <r>
      <t xml:space="preserve">Xây dựng Chốt DQTT các xã biên giới 
</t>
    </r>
    <r>
      <rPr>
        <b/>
        <i/>
        <sz val="11"/>
        <rFont val="Times New Roman"/>
        <family val="1"/>
      </rPr>
      <t>(tính bằng Chốt xã Bờ Y/Ngọc Hồi, năm 2019)</t>
    </r>
  </si>
  <si>
    <t>Báo QĐND gồm: Ban CHQS cấp xã 102, CQ, TC 59, 
DQTT  22 = 183 đầu mối.</t>
  </si>
  <si>
    <t>Năm 2022: Giảm 04 tiểu đội DQTT.
Năm 2024, 2025: Tăng 01 chốt DQTT</t>
  </si>
  <si>
    <t>Phó Chỉ huy trưởng và Chính trị viên phó</t>
  </si>
  <si>
    <t xml:space="preserve">Phó chỉ huy trưởng Ban CHQS  xã 
(phụ cấp hàng tháng: 1,04 + phụ cấp trách nhiệm:
 0,22 = 1,26 x  1.490.000đ x 50%) </t>
  </si>
  <si>
    <t xml:space="preserve">Phó Chỉ huy trưởng  cấp xã </t>
  </si>
  <si>
    <t>Hỗ trợ đóng BHXH cho Phó Chỉ huy trưởng
và chi trả chính sách xã hội đối với cán bộ:</t>
  </si>
  <si>
    <t>Hỗ trợ đóng BHXH choPhó Chỉ huy trưởng  Ban CHQS
 cấp xã (1,26 x 18%)</t>
  </si>
  <si>
    <r>
      <t xml:space="preserve">Hỗ trợ tiền ăn </t>
    </r>
    <r>
      <rPr>
        <i/>
        <sz val="11"/>
        <rFont val="Times New Roman"/>
        <family val="1"/>
      </rPr>
      <t>(cả Phó Chỉ huy trưởng  cấp xã)</t>
    </r>
  </si>
  <si>
    <t xml:space="preserve">Tiểu đội trưởng DQTT (phụ cấp trách nhiệm: 178.800  x 50%) </t>
  </si>
  <si>
    <t xml:space="preserve">Tiểu đội trưởng dân quân cơ động (phụ cấp trách nhiệm:  149.000đ  x 50%) </t>
  </si>
  <si>
    <t>Phụ cấp hàng tháng của hó Chỉ huy trưởng và TĐT</t>
  </si>
</sst>
</file>

<file path=xl/styles.xml><?xml version="1.0" encoding="utf-8"?>
<styleSheet xmlns="http://schemas.openxmlformats.org/spreadsheetml/2006/main">
  <numFmts count="5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.0"/>
    <numFmt numFmtId="181" formatCode="#,##0;[Red]#,##0"/>
    <numFmt numFmtId="182" formatCode="_(* #,##0.0_);_(* \(#,##0.0\);_(* &quot;-&quot;??_);_(@_)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[$-409]dddd\,\ mmmm\ dd\,\ yyyy"/>
    <numFmt numFmtId="193" formatCode="#,##0.000_);\(#,##0.000\)"/>
    <numFmt numFmtId="194" formatCode="#,##0.0000_);\(#,##0.0000\)"/>
    <numFmt numFmtId="195" formatCode="#,##0.00000_);\(#,##0.00000\)"/>
    <numFmt numFmtId="196" formatCode="#,##0.000000_);\(#,##0.000000\)"/>
    <numFmt numFmtId="197" formatCode="#,##0.00;[Red]#,##0.00"/>
    <numFmt numFmtId="198" formatCode="0.00;[Red]0.00"/>
    <numFmt numFmtId="199" formatCode="0.0;[Red]0.0"/>
    <numFmt numFmtId="200" formatCode="0;[Red]0"/>
    <numFmt numFmtId="201" formatCode="_(* #,##0.0_);_(* \(#,##0.0\);_(* &quot;-&quot;?_);_(@_)"/>
    <numFmt numFmtId="202" formatCode="_-* #,##0.0\ _₫_-;\-* #,##0.0\ _₫_-;_-* &quot;-&quot;?\ _₫_-;_-@_-"/>
    <numFmt numFmtId="203" formatCode="#,##0.000;[Red]#,##0.000"/>
    <numFmt numFmtId="204" formatCode="#,##0.0;[Red]#,##0.0"/>
    <numFmt numFmtId="205" formatCode="#,##0.0000;[Red]#,##0.0000"/>
    <numFmt numFmtId="206" formatCode="_(* #,##0.000_);_(* \(#,##0.000\);_(* &quot;-&quot;???_);_(@_)"/>
    <numFmt numFmtId="207" formatCode="[$-409]h:mm:ss\ AM/PM"/>
    <numFmt numFmtId="208" formatCode="0.000"/>
    <numFmt numFmtId="209" formatCode="#,##0.0_);\(#,##0.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/>
    </xf>
    <xf numFmtId="171" fontId="4" fillId="33" borderId="0" xfId="41" applyFont="1" applyFill="1" applyAlignment="1">
      <alignment horizontal="center" wrapText="1"/>
    </xf>
    <xf numFmtId="171" fontId="5" fillId="33" borderId="0" xfId="41" applyFont="1" applyFill="1" applyAlignment="1">
      <alignment/>
    </xf>
    <xf numFmtId="183" fontId="4" fillId="33" borderId="0" xfId="41" applyNumberFormat="1" applyFont="1" applyFill="1" applyAlignment="1">
      <alignment/>
    </xf>
    <xf numFmtId="171" fontId="4" fillId="33" borderId="0" xfId="41" applyFont="1" applyFill="1" applyAlignment="1">
      <alignment/>
    </xf>
    <xf numFmtId="171" fontId="5" fillId="33" borderId="0" xfId="41" applyFont="1" applyFill="1" applyAlignment="1">
      <alignment/>
    </xf>
    <xf numFmtId="171" fontId="4" fillId="33" borderId="0" xfId="41" applyFont="1" applyFill="1" applyAlignment="1">
      <alignment horizontal="justify" vertical="center"/>
    </xf>
    <xf numFmtId="183" fontId="4" fillId="33" borderId="11" xfId="41" applyNumberFormat="1" applyFont="1" applyFill="1" applyBorder="1" applyAlignment="1">
      <alignment horizontal="center" vertical="center" wrapText="1"/>
    </xf>
    <xf numFmtId="171" fontId="4" fillId="33" borderId="11" xfId="41" applyFont="1" applyFill="1" applyBorder="1" applyAlignment="1">
      <alignment horizontal="center" vertical="center" wrapText="1"/>
    </xf>
    <xf numFmtId="182" fontId="4" fillId="33" borderId="11" xfId="41" applyNumberFormat="1" applyFont="1" applyFill="1" applyBorder="1" applyAlignment="1">
      <alignment horizontal="center" vertical="center" wrapText="1"/>
    </xf>
    <xf numFmtId="171" fontId="4" fillId="33" borderId="12" xfId="41" applyFont="1" applyFill="1" applyBorder="1" applyAlignment="1">
      <alignment vertical="center"/>
    </xf>
    <xf numFmtId="171" fontId="5" fillId="33" borderId="0" xfId="41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183" fontId="4" fillId="33" borderId="13" xfId="41" applyNumberFormat="1" applyFont="1" applyFill="1" applyBorder="1" applyAlignment="1">
      <alignment horizontal="center" vertical="center" wrapText="1"/>
    </xf>
    <xf numFmtId="171" fontId="4" fillId="33" borderId="13" xfId="41" applyFont="1" applyFill="1" applyBorder="1" applyAlignment="1">
      <alignment horizontal="center" vertical="center" wrapText="1"/>
    </xf>
    <xf numFmtId="182" fontId="4" fillId="33" borderId="13" xfId="41" applyNumberFormat="1" applyFont="1" applyFill="1" applyBorder="1" applyAlignment="1">
      <alignment horizontal="center" vertical="center" wrapText="1"/>
    </xf>
    <xf numFmtId="183" fontId="4" fillId="33" borderId="10" xfId="41" applyNumberFormat="1" applyFont="1" applyFill="1" applyBorder="1" applyAlignment="1">
      <alignment horizontal="center" vertical="center" wrapText="1"/>
    </xf>
    <xf numFmtId="183" fontId="4" fillId="33" borderId="14" xfId="41" applyNumberFormat="1" applyFont="1" applyFill="1" applyBorder="1" applyAlignment="1">
      <alignment vertical="center"/>
    </xf>
    <xf numFmtId="171" fontId="4" fillId="33" borderId="0" xfId="41" applyFont="1" applyFill="1" applyAlignment="1">
      <alignment vertical="center"/>
    </xf>
    <xf numFmtId="171" fontId="4" fillId="33" borderId="10" xfId="41" applyFont="1" applyFill="1" applyBorder="1" applyAlignment="1">
      <alignment horizontal="left" vertical="center" wrapText="1"/>
    </xf>
    <xf numFmtId="171" fontId="4" fillId="33" borderId="10" xfId="41" applyFont="1" applyFill="1" applyBorder="1" applyAlignment="1">
      <alignment horizontal="center" vertical="center" wrapText="1"/>
    </xf>
    <xf numFmtId="182" fontId="4" fillId="33" borderId="10" xfId="41" applyNumberFormat="1" applyFont="1" applyFill="1" applyBorder="1" applyAlignment="1">
      <alignment horizontal="center" vertical="center" wrapText="1"/>
    </xf>
    <xf numFmtId="183" fontId="4" fillId="33" borderId="10" xfId="41" applyNumberFormat="1" applyFont="1" applyFill="1" applyBorder="1" applyAlignment="1">
      <alignment vertical="center"/>
    </xf>
    <xf numFmtId="183" fontId="4" fillId="33" borderId="10" xfId="41" applyNumberFormat="1" applyFont="1" applyFill="1" applyBorder="1" applyAlignment="1">
      <alignment horizontal="center" vertical="center"/>
    </xf>
    <xf numFmtId="171" fontId="4" fillId="33" borderId="10" xfId="41" applyFont="1" applyFill="1" applyBorder="1" applyAlignment="1">
      <alignment vertical="center" wrapText="1"/>
    </xf>
    <xf numFmtId="183" fontId="4" fillId="33" borderId="10" xfId="41" applyNumberFormat="1" applyFont="1" applyFill="1" applyBorder="1" applyAlignment="1">
      <alignment vertical="center" wrapText="1"/>
    </xf>
    <xf numFmtId="182" fontId="4" fillId="33" borderId="10" xfId="41" applyNumberFormat="1" applyFont="1" applyFill="1" applyBorder="1" applyAlignment="1">
      <alignment vertical="center" wrapText="1"/>
    </xf>
    <xf numFmtId="183" fontId="5" fillId="33" borderId="10" xfId="41" applyNumberFormat="1" applyFont="1" applyFill="1" applyBorder="1" applyAlignment="1">
      <alignment horizontal="center" vertical="center"/>
    </xf>
    <xf numFmtId="171" fontId="5" fillId="33" borderId="10" xfId="41" applyFont="1" applyFill="1" applyBorder="1" applyAlignment="1">
      <alignment vertical="center"/>
    </xf>
    <xf numFmtId="183" fontId="5" fillId="33" borderId="10" xfId="41" applyNumberFormat="1" applyFont="1" applyFill="1" applyBorder="1" applyAlignment="1">
      <alignment vertical="center"/>
    </xf>
    <xf numFmtId="183" fontId="5" fillId="33" borderId="10" xfId="41" applyNumberFormat="1" applyFont="1" applyFill="1" applyBorder="1" applyAlignment="1">
      <alignment horizontal="center" vertical="center" wrapText="1"/>
    </xf>
    <xf numFmtId="171" fontId="5" fillId="0" borderId="10" xfId="41" applyFont="1" applyFill="1" applyBorder="1" applyAlignment="1">
      <alignment vertical="center"/>
    </xf>
    <xf numFmtId="171" fontId="5" fillId="33" borderId="10" xfId="41" applyFont="1" applyFill="1" applyBorder="1" applyAlignment="1">
      <alignment vertical="center" wrapText="1"/>
    </xf>
    <xf numFmtId="183" fontId="5" fillId="33" borderId="10" xfId="41" applyNumberFormat="1" applyFont="1" applyFill="1" applyBorder="1" applyAlignment="1">
      <alignment vertical="center" wrapText="1"/>
    </xf>
    <xf numFmtId="183" fontId="5" fillId="33" borderId="10" xfId="41" applyNumberFormat="1" applyFont="1" applyFill="1" applyBorder="1" applyAlignment="1">
      <alignment horizontal="right" vertical="center"/>
    </xf>
    <xf numFmtId="182" fontId="5" fillId="33" borderId="10" xfId="41" applyNumberFormat="1" applyFont="1" applyFill="1" applyBorder="1" applyAlignment="1">
      <alignment vertical="center" wrapText="1"/>
    </xf>
    <xf numFmtId="183" fontId="4" fillId="33" borderId="10" xfId="41" applyNumberFormat="1" applyFont="1" applyFill="1" applyBorder="1" applyAlignment="1">
      <alignment horizontal="left" vertical="center" wrapText="1"/>
    </xf>
    <xf numFmtId="182" fontId="4" fillId="33" borderId="10" xfId="41" applyNumberFormat="1" applyFont="1" applyFill="1" applyBorder="1" applyAlignment="1">
      <alignment horizontal="left" vertical="center" wrapText="1"/>
    </xf>
    <xf numFmtId="183" fontId="4" fillId="33" borderId="10" xfId="41" applyNumberFormat="1" applyFont="1" applyFill="1" applyBorder="1" applyAlignment="1">
      <alignment horizontal="left" vertical="center"/>
    </xf>
    <xf numFmtId="171" fontId="4" fillId="33" borderId="10" xfId="41" applyFont="1" applyFill="1" applyBorder="1" applyAlignment="1">
      <alignment horizontal="left" vertical="center"/>
    </xf>
    <xf numFmtId="171" fontId="4" fillId="33" borderId="10" xfId="41" applyFont="1" applyFill="1" applyBorder="1" applyAlignment="1">
      <alignment horizontal="center" vertical="center"/>
    </xf>
    <xf numFmtId="182" fontId="4" fillId="33" borderId="10" xfId="41" applyNumberFormat="1" applyFont="1" applyFill="1" applyBorder="1" applyAlignment="1">
      <alignment horizontal="center" vertical="center"/>
    </xf>
    <xf numFmtId="171" fontId="4" fillId="33" borderId="0" xfId="41" applyFont="1" applyFill="1" applyAlignment="1">
      <alignment horizontal="left" vertical="center"/>
    </xf>
    <xf numFmtId="171" fontId="4" fillId="33" borderId="10" xfId="41" applyFont="1" applyFill="1" applyBorder="1" applyAlignment="1">
      <alignment vertical="center"/>
    </xf>
    <xf numFmtId="182" fontId="4" fillId="33" borderId="10" xfId="41" applyNumberFormat="1" applyFont="1" applyFill="1" applyBorder="1" applyAlignment="1">
      <alignment vertical="center"/>
    </xf>
    <xf numFmtId="171" fontId="5" fillId="33" borderId="0" xfId="41" applyFont="1" applyFill="1" applyAlignment="1">
      <alignment horizontal="left" vertical="center"/>
    </xf>
    <xf numFmtId="182" fontId="5" fillId="33" borderId="10" xfId="41" applyNumberFormat="1" applyFont="1" applyFill="1" applyBorder="1" applyAlignment="1">
      <alignment horizontal="center" vertical="center"/>
    </xf>
    <xf numFmtId="171" fontId="5" fillId="33" borderId="0" xfId="41" applyFont="1" applyFill="1" applyBorder="1" applyAlignment="1">
      <alignment vertical="center"/>
    </xf>
    <xf numFmtId="183" fontId="5" fillId="0" borderId="10" xfId="41" applyNumberFormat="1" applyFont="1" applyFill="1" applyBorder="1" applyAlignment="1">
      <alignment vertical="center"/>
    </xf>
    <xf numFmtId="182" fontId="5" fillId="33" borderId="10" xfId="41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justify" vertical="center" wrapText="1"/>
    </xf>
    <xf numFmtId="181" fontId="5" fillId="0" borderId="15" xfId="0" applyNumberFormat="1" applyFont="1" applyBorder="1" applyAlignment="1">
      <alignment vertical="center"/>
    </xf>
    <xf numFmtId="204" fontId="5" fillId="0" borderId="15" xfId="0" applyNumberFormat="1" applyFont="1" applyBorder="1" applyAlignment="1">
      <alignment vertical="center"/>
    </xf>
    <xf numFmtId="183" fontId="5" fillId="33" borderId="15" xfId="41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justify" vertical="center" wrapText="1"/>
    </xf>
    <xf numFmtId="3" fontId="5" fillId="0" borderId="15" xfId="0" applyNumberFormat="1" applyFont="1" applyBorder="1" applyAlignment="1">
      <alignment vertical="center"/>
    </xf>
    <xf numFmtId="3" fontId="5" fillId="33" borderId="10" xfId="41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justify" vertical="center" wrapText="1"/>
    </xf>
    <xf numFmtId="181" fontId="5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33" borderId="16" xfId="41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justify" vertical="center" wrapText="1"/>
    </xf>
    <xf numFmtId="181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33" borderId="16" xfId="41" applyNumberFormat="1" applyFont="1" applyFill="1" applyBorder="1" applyAlignment="1">
      <alignment vertical="center"/>
    </xf>
    <xf numFmtId="197" fontId="5" fillId="0" borderId="16" xfId="0" applyNumberFormat="1" applyFont="1" applyBorder="1" applyAlignment="1">
      <alignment vertical="center"/>
    </xf>
    <xf numFmtId="204" fontId="5" fillId="0" borderId="16" xfId="0" applyNumberFormat="1" applyFont="1" applyBorder="1" applyAlignment="1">
      <alignment vertical="center"/>
    </xf>
    <xf numFmtId="203" fontId="5" fillId="0" borderId="15" xfId="0" applyNumberFormat="1" applyFont="1" applyBorder="1" applyAlignment="1">
      <alignment vertical="center"/>
    </xf>
    <xf numFmtId="188" fontId="5" fillId="33" borderId="10" xfId="41" applyNumberFormat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181" fontId="5" fillId="0" borderId="18" xfId="0" applyNumberFormat="1" applyFont="1" applyBorder="1" applyAlignment="1">
      <alignment vertical="center"/>
    </xf>
    <xf numFmtId="203" fontId="5" fillId="0" borderId="18" xfId="0" applyNumberFormat="1" applyFont="1" applyBorder="1" applyAlignment="1">
      <alignment vertical="center"/>
    </xf>
    <xf numFmtId="171" fontId="5" fillId="33" borderId="18" xfId="41" applyFont="1" applyFill="1" applyBorder="1" applyAlignment="1">
      <alignment vertical="center"/>
    </xf>
    <xf numFmtId="183" fontId="5" fillId="33" borderId="18" xfId="41" applyNumberFormat="1" applyFont="1" applyFill="1" applyBorder="1" applyAlignment="1">
      <alignment vertical="center"/>
    </xf>
    <xf numFmtId="183" fontId="5" fillId="33" borderId="18" xfId="41" applyNumberFormat="1" applyFont="1" applyFill="1" applyBorder="1" applyAlignment="1">
      <alignment horizontal="center" vertical="center" wrapText="1"/>
    </xf>
    <xf numFmtId="183" fontId="5" fillId="33" borderId="0" xfId="41" applyNumberFormat="1" applyFont="1" applyFill="1" applyAlignment="1">
      <alignment vertical="center"/>
    </xf>
    <xf numFmtId="182" fontId="5" fillId="33" borderId="0" xfId="41" applyNumberFormat="1" applyFont="1" applyFill="1" applyAlignment="1">
      <alignment vertical="center"/>
    </xf>
    <xf numFmtId="183" fontId="4" fillId="33" borderId="0" xfId="41" applyNumberFormat="1" applyFont="1" applyFill="1" applyAlignment="1">
      <alignment vertical="center"/>
    </xf>
    <xf numFmtId="183" fontId="5" fillId="33" borderId="0" xfId="41" applyNumberFormat="1" applyFont="1" applyFill="1" applyAlignment="1">
      <alignment/>
    </xf>
    <xf numFmtId="182" fontId="5" fillId="33" borderId="0" xfId="41" applyNumberFormat="1" applyFont="1" applyFill="1" applyAlignment="1">
      <alignment/>
    </xf>
    <xf numFmtId="171" fontId="5" fillId="33" borderId="10" xfId="41" applyFont="1" applyFill="1" applyBorder="1" applyAlignment="1">
      <alignment horizontal="left" vertical="center" wrapText="1"/>
    </xf>
    <xf numFmtId="183" fontId="5" fillId="33" borderId="10" xfId="41" applyNumberFormat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183" fontId="4" fillId="33" borderId="14" xfId="41" applyNumberFormat="1" applyFont="1" applyFill="1" applyBorder="1" applyAlignment="1">
      <alignment horizontal="center" vertical="center" wrapText="1"/>
    </xf>
    <xf numFmtId="171" fontId="5" fillId="0" borderId="0" xfId="41" applyFont="1" applyFill="1" applyAlignment="1">
      <alignment/>
    </xf>
    <xf numFmtId="183" fontId="4" fillId="0" borderId="0" xfId="41" applyNumberFormat="1" applyFont="1" applyFill="1" applyAlignment="1">
      <alignment/>
    </xf>
    <xf numFmtId="171" fontId="5" fillId="0" borderId="0" xfId="41" applyFont="1" applyFill="1" applyAlignment="1">
      <alignment/>
    </xf>
    <xf numFmtId="171" fontId="6" fillId="0" borderId="0" xfId="41" applyFont="1" applyFill="1" applyAlignment="1">
      <alignment/>
    </xf>
    <xf numFmtId="171" fontId="4" fillId="0" borderId="0" xfId="41" applyFont="1" applyFill="1" applyAlignment="1">
      <alignment horizontal="justify" vertical="center"/>
    </xf>
    <xf numFmtId="183" fontId="4" fillId="0" borderId="11" xfId="41" applyNumberFormat="1" applyFont="1" applyFill="1" applyBorder="1" applyAlignment="1">
      <alignment horizontal="center" vertical="center" wrapText="1"/>
    </xf>
    <xf numFmtId="171" fontId="4" fillId="0" borderId="11" xfId="41" applyFont="1" applyFill="1" applyBorder="1" applyAlignment="1">
      <alignment horizontal="center" vertical="center" wrapText="1"/>
    </xf>
    <xf numFmtId="182" fontId="4" fillId="0" borderId="11" xfId="41" applyNumberFormat="1" applyFont="1" applyFill="1" applyBorder="1" applyAlignment="1">
      <alignment horizontal="center" vertical="center" wrapText="1"/>
    </xf>
    <xf numFmtId="183" fontId="4" fillId="0" borderId="14" xfId="41" applyNumberFormat="1" applyFont="1" applyFill="1" applyBorder="1" applyAlignment="1">
      <alignment horizontal="center" vertical="center" wrapText="1"/>
    </xf>
    <xf numFmtId="171" fontId="4" fillId="0" borderId="12" xfId="41" applyFont="1" applyFill="1" applyBorder="1" applyAlignment="1">
      <alignment vertical="center"/>
    </xf>
    <xf numFmtId="171" fontId="5" fillId="0" borderId="0" xfId="4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183" fontId="4" fillId="0" borderId="13" xfId="41" applyNumberFormat="1" applyFont="1" applyFill="1" applyBorder="1" applyAlignment="1">
      <alignment horizontal="center" vertical="center" wrapText="1"/>
    </xf>
    <xf numFmtId="171" fontId="4" fillId="0" borderId="13" xfId="41" applyFont="1" applyFill="1" applyBorder="1" applyAlignment="1">
      <alignment horizontal="center" vertical="center" wrapText="1"/>
    </xf>
    <xf numFmtId="182" fontId="4" fillId="0" borderId="13" xfId="41" applyNumberFormat="1" applyFont="1" applyFill="1" applyBorder="1" applyAlignment="1">
      <alignment horizontal="center" vertical="center" wrapText="1"/>
    </xf>
    <xf numFmtId="183" fontId="4" fillId="0" borderId="10" xfId="41" applyNumberFormat="1" applyFont="1" applyFill="1" applyBorder="1" applyAlignment="1">
      <alignment horizontal="center" vertical="center" wrapText="1"/>
    </xf>
    <xf numFmtId="183" fontId="4" fillId="0" borderId="14" xfId="41" applyNumberFormat="1" applyFont="1" applyFill="1" applyBorder="1" applyAlignment="1">
      <alignment vertical="center"/>
    </xf>
    <xf numFmtId="171" fontId="4" fillId="0" borderId="0" xfId="41" applyFont="1" applyFill="1" applyAlignment="1">
      <alignment vertical="center"/>
    </xf>
    <xf numFmtId="171" fontId="4" fillId="0" borderId="10" xfId="41" applyFont="1" applyFill="1" applyBorder="1" applyAlignment="1">
      <alignment horizontal="left" vertical="center" wrapText="1"/>
    </xf>
    <xf numFmtId="171" fontId="4" fillId="0" borderId="10" xfId="41" applyFont="1" applyFill="1" applyBorder="1" applyAlignment="1">
      <alignment horizontal="center" vertical="center" wrapText="1"/>
    </xf>
    <xf numFmtId="182" fontId="4" fillId="0" borderId="10" xfId="41" applyNumberFormat="1" applyFont="1" applyFill="1" applyBorder="1" applyAlignment="1">
      <alignment horizontal="center" vertical="center" wrapText="1"/>
    </xf>
    <xf numFmtId="183" fontId="4" fillId="0" borderId="10" xfId="41" applyNumberFormat="1" applyFont="1" applyFill="1" applyBorder="1" applyAlignment="1">
      <alignment vertical="center"/>
    </xf>
    <xf numFmtId="183" fontId="4" fillId="0" borderId="10" xfId="41" applyNumberFormat="1" applyFont="1" applyFill="1" applyBorder="1" applyAlignment="1">
      <alignment horizontal="center" vertical="center"/>
    </xf>
    <xf numFmtId="171" fontId="4" fillId="0" borderId="10" xfId="41" applyFont="1" applyFill="1" applyBorder="1" applyAlignment="1">
      <alignment vertical="center" wrapText="1"/>
    </xf>
    <xf numFmtId="183" fontId="4" fillId="0" borderId="10" xfId="41" applyNumberFormat="1" applyFont="1" applyFill="1" applyBorder="1" applyAlignment="1">
      <alignment vertical="center" wrapText="1"/>
    </xf>
    <xf numFmtId="182" fontId="4" fillId="0" borderId="10" xfId="41" applyNumberFormat="1" applyFont="1" applyFill="1" applyBorder="1" applyAlignment="1">
      <alignment vertical="center" wrapText="1"/>
    </xf>
    <xf numFmtId="183" fontId="5" fillId="0" borderId="10" xfId="41" applyNumberFormat="1" applyFont="1" applyFill="1" applyBorder="1" applyAlignment="1">
      <alignment horizontal="center" vertical="center"/>
    </xf>
    <xf numFmtId="183" fontId="5" fillId="0" borderId="10" xfId="41" applyNumberFormat="1" applyFont="1" applyFill="1" applyBorder="1" applyAlignment="1">
      <alignment horizontal="center" vertical="center" wrapText="1"/>
    </xf>
    <xf numFmtId="171" fontId="5" fillId="0" borderId="10" xfId="41" applyFont="1" applyFill="1" applyBorder="1" applyAlignment="1">
      <alignment vertical="center" wrapText="1"/>
    </xf>
    <xf numFmtId="183" fontId="5" fillId="0" borderId="10" xfId="41" applyNumberFormat="1" applyFont="1" applyFill="1" applyBorder="1" applyAlignment="1">
      <alignment vertical="center" wrapText="1"/>
    </xf>
    <xf numFmtId="183" fontId="5" fillId="0" borderId="10" xfId="41" applyNumberFormat="1" applyFont="1" applyFill="1" applyBorder="1" applyAlignment="1">
      <alignment horizontal="right" vertical="center"/>
    </xf>
    <xf numFmtId="182" fontId="5" fillId="0" borderId="10" xfId="41" applyNumberFormat="1" applyFont="1" applyFill="1" applyBorder="1" applyAlignment="1">
      <alignment vertical="center" wrapText="1"/>
    </xf>
    <xf numFmtId="171" fontId="5" fillId="0" borderId="10" xfId="41" applyFont="1" applyFill="1" applyBorder="1" applyAlignment="1">
      <alignment horizontal="left" vertical="center" wrapText="1"/>
    </xf>
    <xf numFmtId="183" fontId="5" fillId="0" borderId="10" xfId="41" applyNumberFormat="1" applyFont="1" applyFill="1" applyBorder="1" applyAlignment="1">
      <alignment horizontal="left" vertical="center" wrapText="1"/>
    </xf>
    <xf numFmtId="183" fontId="4" fillId="0" borderId="10" xfId="41" applyNumberFormat="1" applyFont="1" applyFill="1" applyBorder="1" applyAlignment="1">
      <alignment horizontal="left" vertical="center" wrapText="1"/>
    </xf>
    <xf numFmtId="182" fontId="4" fillId="0" borderId="10" xfId="41" applyNumberFormat="1" applyFont="1" applyFill="1" applyBorder="1" applyAlignment="1">
      <alignment horizontal="left" vertical="center" wrapText="1"/>
    </xf>
    <xf numFmtId="183" fontId="4" fillId="0" borderId="10" xfId="41" applyNumberFormat="1" applyFont="1" applyFill="1" applyBorder="1" applyAlignment="1">
      <alignment horizontal="left" vertical="center"/>
    </xf>
    <xf numFmtId="171" fontId="4" fillId="0" borderId="10" xfId="41" applyFont="1" applyFill="1" applyBorder="1" applyAlignment="1">
      <alignment horizontal="left" vertical="center"/>
    </xf>
    <xf numFmtId="171" fontId="4" fillId="0" borderId="10" xfId="41" applyFont="1" applyFill="1" applyBorder="1" applyAlignment="1">
      <alignment horizontal="center" vertical="center"/>
    </xf>
    <xf numFmtId="182" fontId="4" fillId="0" borderId="10" xfId="41" applyNumberFormat="1" applyFont="1" applyFill="1" applyBorder="1" applyAlignment="1">
      <alignment horizontal="center" vertical="center"/>
    </xf>
    <xf numFmtId="171" fontId="4" fillId="0" borderId="10" xfId="41" applyFont="1" applyFill="1" applyBorder="1" applyAlignment="1">
      <alignment vertical="center"/>
    </xf>
    <xf numFmtId="182" fontId="4" fillId="0" borderId="10" xfId="41" applyNumberFormat="1" applyFont="1" applyFill="1" applyBorder="1" applyAlignment="1">
      <alignment vertical="center"/>
    </xf>
    <xf numFmtId="182" fontId="5" fillId="0" borderId="10" xfId="41" applyNumberFormat="1" applyFont="1" applyFill="1" applyBorder="1" applyAlignment="1">
      <alignment horizontal="center" vertical="center"/>
    </xf>
    <xf numFmtId="171" fontId="5" fillId="0" borderId="0" xfId="41" applyFont="1" applyFill="1" applyBorder="1" applyAlignment="1">
      <alignment vertical="center"/>
    </xf>
    <xf numFmtId="182" fontId="5" fillId="0" borderId="10" xfId="41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justify" vertical="center" wrapText="1"/>
    </xf>
    <xf numFmtId="181" fontId="4" fillId="0" borderId="16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6" xfId="41" applyNumberFormat="1" applyFont="1" applyFill="1" applyBorder="1" applyAlignment="1">
      <alignment vertical="center"/>
    </xf>
    <xf numFmtId="183" fontId="4" fillId="0" borderId="18" xfId="41" applyNumberFormat="1" applyFont="1" applyFill="1" applyBorder="1" applyAlignment="1">
      <alignment horizontal="center" vertical="center" wrapText="1"/>
    </xf>
    <xf numFmtId="171" fontId="4" fillId="0" borderId="18" xfId="41" applyFont="1" applyFill="1" applyBorder="1" applyAlignment="1">
      <alignment horizontal="left" vertical="center" wrapText="1"/>
    </xf>
    <xf numFmtId="171" fontId="4" fillId="0" borderId="18" xfId="41" applyFont="1" applyFill="1" applyBorder="1" applyAlignment="1">
      <alignment horizontal="center" vertical="center" wrapText="1"/>
    </xf>
    <xf numFmtId="182" fontId="4" fillId="0" borderId="18" xfId="41" applyNumberFormat="1" applyFont="1" applyFill="1" applyBorder="1" applyAlignment="1">
      <alignment horizontal="center" vertical="center" wrapText="1"/>
    </xf>
    <xf numFmtId="183" fontId="4" fillId="0" borderId="18" xfId="41" applyNumberFormat="1" applyFont="1" applyFill="1" applyBorder="1" applyAlignment="1">
      <alignment vertical="center"/>
    </xf>
    <xf numFmtId="183" fontId="5" fillId="0" borderId="0" xfId="41" applyNumberFormat="1" applyFont="1" applyFill="1" applyAlignment="1">
      <alignment vertical="center"/>
    </xf>
    <xf numFmtId="182" fontId="5" fillId="0" borderId="0" xfId="41" applyNumberFormat="1" applyFont="1" applyFill="1" applyAlignment="1">
      <alignment vertical="center"/>
    </xf>
    <xf numFmtId="183" fontId="4" fillId="0" borderId="0" xfId="41" applyNumberFormat="1" applyFont="1" applyFill="1" applyAlignment="1">
      <alignment vertical="center"/>
    </xf>
    <xf numFmtId="183" fontId="5" fillId="0" borderId="0" xfId="41" applyNumberFormat="1" applyFont="1" applyFill="1" applyAlignment="1">
      <alignment/>
    </xf>
    <xf numFmtId="182" fontId="5" fillId="0" borderId="0" xfId="41" applyNumberFormat="1" applyFont="1" applyFill="1" applyAlignment="1">
      <alignment/>
    </xf>
    <xf numFmtId="171" fontId="5" fillId="0" borderId="16" xfId="41" applyFont="1" applyFill="1" applyBorder="1" applyAlignment="1">
      <alignment vertical="center" wrapText="1"/>
    </xf>
    <xf numFmtId="183" fontId="5" fillId="0" borderId="16" xfId="41" applyNumberFormat="1" applyFont="1" applyFill="1" applyBorder="1" applyAlignment="1">
      <alignment vertical="center"/>
    </xf>
    <xf numFmtId="183" fontId="5" fillId="0" borderId="16" xfId="41" applyNumberFormat="1" applyFont="1" applyFill="1" applyBorder="1" applyAlignment="1">
      <alignment vertical="center" wrapText="1"/>
    </xf>
    <xf numFmtId="171" fontId="8" fillId="0" borderId="0" xfId="41" applyFont="1" applyFill="1" applyAlignment="1">
      <alignment horizontal="justify" vertical="center"/>
    </xf>
    <xf numFmtId="171" fontId="10" fillId="0" borderId="0" xfId="41" applyFont="1" applyFill="1" applyAlignment="1">
      <alignment vertical="center"/>
    </xf>
    <xf numFmtId="171" fontId="8" fillId="0" borderId="0" xfId="41" applyFont="1" applyFill="1" applyAlignment="1">
      <alignment vertical="center"/>
    </xf>
    <xf numFmtId="171" fontId="10" fillId="0" borderId="0" xfId="41" applyFont="1" applyFill="1" applyBorder="1" applyAlignment="1">
      <alignment vertical="center"/>
    </xf>
    <xf numFmtId="171" fontId="9" fillId="0" borderId="0" xfId="41" applyFont="1" applyFill="1" applyAlignment="1">
      <alignment vertical="center"/>
    </xf>
    <xf numFmtId="183" fontId="11" fillId="0" borderId="11" xfId="41" applyNumberFormat="1" applyFont="1" applyFill="1" applyBorder="1" applyAlignment="1">
      <alignment horizontal="center" vertical="center" wrapText="1"/>
    </xf>
    <xf numFmtId="182" fontId="11" fillId="0" borderId="11" xfId="41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83" fontId="11" fillId="0" borderId="13" xfId="41" applyNumberFormat="1" applyFont="1" applyFill="1" applyBorder="1" applyAlignment="1">
      <alignment horizontal="center" vertical="center" wrapText="1"/>
    </xf>
    <xf numFmtId="183" fontId="11" fillId="34" borderId="13" xfId="41" applyNumberFormat="1" applyFont="1" applyFill="1" applyBorder="1" applyAlignment="1">
      <alignment horizontal="center" vertical="center" wrapText="1"/>
    </xf>
    <xf numFmtId="183" fontId="11" fillId="0" borderId="10" xfId="41" applyNumberFormat="1" applyFont="1" applyFill="1" applyBorder="1" applyAlignment="1">
      <alignment horizontal="center" vertical="center"/>
    </xf>
    <xf numFmtId="171" fontId="11" fillId="0" borderId="10" xfId="41" applyFont="1" applyFill="1" applyBorder="1" applyAlignment="1">
      <alignment vertical="center" wrapText="1"/>
    </xf>
    <xf numFmtId="183" fontId="11" fillId="0" borderId="10" xfId="41" applyNumberFormat="1" applyFont="1" applyFill="1" applyBorder="1" applyAlignment="1">
      <alignment horizontal="center" vertical="center" wrapText="1"/>
    </xf>
    <xf numFmtId="182" fontId="11" fillId="0" borderId="10" xfId="41" applyNumberFormat="1" applyFont="1" applyFill="1" applyBorder="1" applyAlignment="1">
      <alignment vertical="center" wrapText="1"/>
    </xf>
    <xf numFmtId="183" fontId="11" fillId="0" borderId="10" xfId="41" applyNumberFormat="1" applyFont="1" applyFill="1" applyBorder="1" applyAlignment="1">
      <alignment vertical="center" wrapText="1"/>
    </xf>
    <xf numFmtId="183" fontId="14" fillId="0" borderId="10" xfId="41" applyNumberFormat="1" applyFont="1" applyFill="1" applyBorder="1" applyAlignment="1">
      <alignment horizontal="center" vertical="center"/>
    </xf>
    <xf numFmtId="171" fontId="14" fillId="0" borderId="10" xfId="41" applyFont="1" applyFill="1" applyBorder="1" applyAlignment="1">
      <alignment vertical="center"/>
    </xf>
    <xf numFmtId="183" fontId="14" fillId="0" borderId="10" xfId="41" applyNumberFormat="1" applyFont="1" applyFill="1" applyBorder="1" applyAlignment="1">
      <alignment vertical="center"/>
    </xf>
    <xf numFmtId="183" fontId="14" fillId="34" borderId="13" xfId="41" applyNumberFormat="1" applyFont="1" applyFill="1" applyBorder="1" applyAlignment="1">
      <alignment horizontal="center" vertical="center" wrapText="1"/>
    </xf>
    <xf numFmtId="171" fontId="14" fillId="0" borderId="10" xfId="41" applyFont="1" applyFill="1" applyBorder="1" applyAlignment="1">
      <alignment vertical="center" wrapText="1"/>
    </xf>
    <xf numFmtId="183" fontId="11" fillId="0" borderId="10" xfId="41" applyNumberFormat="1" applyFont="1" applyFill="1" applyBorder="1" applyAlignment="1">
      <alignment vertical="center"/>
    </xf>
    <xf numFmtId="171" fontId="14" fillId="0" borderId="10" xfId="41" applyFont="1" applyFill="1" applyBorder="1" applyAlignment="1">
      <alignment horizontal="left" vertical="center" wrapText="1"/>
    </xf>
    <xf numFmtId="183" fontId="14" fillId="0" borderId="10" xfId="41" applyNumberFormat="1" applyFont="1" applyFill="1" applyBorder="1" applyAlignment="1">
      <alignment horizontal="left" vertical="center" wrapText="1"/>
    </xf>
    <xf numFmtId="171" fontId="11" fillId="0" borderId="10" xfId="41" applyFont="1" applyFill="1" applyBorder="1" applyAlignment="1">
      <alignment horizontal="left" vertical="top" wrapText="1"/>
    </xf>
    <xf numFmtId="182" fontId="11" fillId="0" borderId="10" xfId="41" applyNumberFormat="1" applyFont="1" applyFill="1" applyBorder="1" applyAlignment="1">
      <alignment horizontal="left" vertical="center" wrapText="1"/>
    </xf>
    <xf numFmtId="171" fontId="11" fillId="0" borderId="10" xfId="41" applyFont="1" applyFill="1" applyBorder="1" applyAlignment="1">
      <alignment horizontal="left" vertical="center"/>
    </xf>
    <xf numFmtId="182" fontId="11" fillId="0" borderId="10" xfId="41" applyNumberFormat="1" applyFont="1" applyFill="1" applyBorder="1" applyAlignment="1">
      <alignment horizontal="center" vertical="center"/>
    </xf>
    <xf numFmtId="182" fontId="11" fillId="0" borderId="10" xfId="41" applyNumberFormat="1" applyFont="1" applyFill="1" applyBorder="1" applyAlignment="1">
      <alignment vertical="center"/>
    </xf>
    <xf numFmtId="182" fontId="14" fillId="0" borderId="10" xfId="41" applyNumberFormat="1" applyFont="1" applyFill="1" applyBorder="1" applyAlignment="1">
      <alignment horizontal="center" vertical="center"/>
    </xf>
    <xf numFmtId="183" fontId="14" fillId="0" borderId="13" xfId="41" applyNumberFormat="1" applyFont="1" applyFill="1" applyBorder="1" applyAlignment="1">
      <alignment horizontal="center" vertical="center" wrapText="1"/>
    </xf>
    <xf numFmtId="171" fontId="11" fillId="0" borderId="10" xfId="41" applyFont="1" applyFill="1" applyBorder="1" applyAlignment="1">
      <alignment vertical="center"/>
    </xf>
    <xf numFmtId="183" fontId="12" fillId="0" borderId="10" xfId="41" applyNumberFormat="1" applyFont="1" applyFill="1" applyBorder="1" applyAlignment="1">
      <alignment horizontal="center" vertical="center"/>
    </xf>
    <xf numFmtId="171" fontId="12" fillId="0" borderId="10" xfId="41" applyFont="1" applyFill="1" applyBorder="1" applyAlignment="1">
      <alignment vertical="center"/>
    </xf>
    <xf numFmtId="183" fontId="12" fillId="0" borderId="10" xfId="41" applyNumberFormat="1" applyFont="1" applyFill="1" applyBorder="1" applyAlignment="1">
      <alignment vertical="center"/>
    </xf>
    <xf numFmtId="171" fontId="12" fillId="0" borderId="10" xfId="41" applyFont="1" applyFill="1" applyBorder="1" applyAlignment="1">
      <alignment vertical="center" wrapText="1"/>
    </xf>
    <xf numFmtId="183" fontId="12" fillId="0" borderId="10" xfId="41" applyNumberFormat="1" applyFont="1" applyFill="1" applyBorder="1" applyAlignment="1">
      <alignment horizontal="center" vertical="center" wrapText="1"/>
    </xf>
    <xf numFmtId="183" fontId="12" fillId="0" borderId="10" xfId="41" applyNumberFormat="1" applyFont="1" applyFill="1" applyBorder="1" applyAlignment="1">
      <alignment vertical="center" wrapText="1"/>
    </xf>
    <xf numFmtId="183" fontId="14" fillId="0" borderId="10" xfId="41" applyNumberFormat="1" applyFont="1" applyFill="1" applyBorder="1" applyAlignment="1">
      <alignment horizontal="center" vertical="center" wrapText="1"/>
    </xf>
    <xf numFmtId="183" fontId="14" fillId="0" borderId="10" xfId="41" applyNumberFormat="1" applyFont="1" applyFill="1" applyBorder="1" applyAlignment="1">
      <alignment vertical="center" wrapText="1"/>
    </xf>
    <xf numFmtId="183" fontId="11" fillId="33" borderId="10" xfId="41" applyNumberFormat="1" applyFont="1" applyFill="1" applyBorder="1" applyAlignment="1">
      <alignment horizontal="center" vertical="center"/>
    </xf>
    <xf numFmtId="171" fontId="11" fillId="33" borderId="10" xfId="41" applyFont="1" applyFill="1" applyBorder="1" applyAlignment="1">
      <alignment vertical="top" wrapText="1"/>
    </xf>
    <xf numFmtId="182" fontId="11" fillId="33" borderId="10" xfId="41" applyNumberFormat="1" applyFont="1" applyFill="1" applyBorder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justify" vertical="top" wrapText="1"/>
    </xf>
    <xf numFmtId="181" fontId="14" fillId="0" borderId="15" xfId="0" applyNumberFormat="1" applyFont="1" applyBorder="1" applyAlignment="1">
      <alignment horizontal="center" vertical="center"/>
    </xf>
    <xf numFmtId="181" fontId="14" fillId="0" borderId="15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justify" vertical="top" wrapText="1"/>
    </xf>
    <xf numFmtId="181" fontId="14" fillId="0" borderId="10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vertical="center"/>
    </xf>
    <xf numFmtId="0" fontId="14" fillId="0" borderId="10" xfId="0" applyNumberFormat="1" applyFont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justify" vertical="center" wrapText="1"/>
    </xf>
    <xf numFmtId="181" fontId="14" fillId="0" borderId="16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vertical="center"/>
    </xf>
    <xf numFmtId="3" fontId="14" fillId="33" borderId="16" xfId="41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justify" vertical="center" wrapText="1"/>
    </xf>
    <xf numFmtId="181" fontId="11" fillId="0" borderId="16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vertical="center"/>
    </xf>
    <xf numFmtId="37" fontId="11" fillId="0" borderId="16" xfId="41" applyNumberFormat="1" applyFont="1" applyFill="1" applyBorder="1" applyAlignment="1">
      <alignment vertical="center"/>
    </xf>
    <xf numFmtId="183" fontId="11" fillId="0" borderId="18" xfId="41" applyNumberFormat="1" applyFont="1" applyFill="1" applyBorder="1" applyAlignment="1">
      <alignment horizontal="center" vertical="center" wrapText="1"/>
    </xf>
    <xf numFmtId="171" fontId="11" fillId="0" borderId="18" xfId="41" applyFont="1" applyFill="1" applyBorder="1" applyAlignment="1">
      <alignment horizontal="left" vertical="center" wrapText="1"/>
    </xf>
    <xf numFmtId="183" fontId="11" fillId="0" borderId="18" xfId="41" applyNumberFormat="1" applyFont="1" applyFill="1" applyBorder="1" applyAlignment="1">
      <alignment vertical="center" wrapText="1"/>
    </xf>
    <xf numFmtId="37" fontId="11" fillId="0" borderId="18" xfId="41" applyNumberFormat="1" applyFont="1" applyFill="1" applyBorder="1" applyAlignment="1">
      <alignment horizontal="center" vertical="center" wrapText="1"/>
    </xf>
    <xf numFmtId="37" fontId="11" fillId="0" borderId="18" xfId="41" applyNumberFormat="1" applyFont="1" applyFill="1" applyBorder="1" applyAlignment="1">
      <alignment vertical="center" wrapText="1"/>
    </xf>
    <xf numFmtId="183" fontId="51" fillId="0" borderId="10" xfId="41" applyNumberFormat="1" applyFont="1" applyFill="1" applyBorder="1" applyAlignment="1">
      <alignment horizontal="center" vertical="center"/>
    </xf>
    <xf numFmtId="171" fontId="51" fillId="0" borderId="10" xfId="41" applyFont="1" applyFill="1" applyBorder="1" applyAlignment="1">
      <alignment vertical="center" wrapText="1"/>
    </xf>
    <xf numFmtId="183" fontId="51" fillId="0" borderId="10" xfId="41" applyNumberFormat="1" applyFont="1" applyFill="1" applyBorder="1" applyAlignment="1">
      <alignment vertical="center"/>
    </xf>
    <xf numFmtId="3" fontId="51" fillId="0" borderId="10" xfId="41" applyNumberFormat="1" applyFont="1" applyFill="1" applyBorder="1" applyAlignment="1">
      <alignment vertical="center"/>
    </xf>
    <xf numFmtId="37" fontId="51" fillId="0" borderId="10" xfId="41" applyNumberFormat="1" applyFont="1" applyFill="1" applyBorder="1" applyAlignment="1">
      <alignment vertical="center"/>
    </xf>
    <xf numFmtId="37" fontId="51" fillId="0" borderId="10" xfId="41" applyNumberFormat="1" applyFont="1" applyFill="1" applyBorder="1" applyAlignment="1">
      <alignment horizontal="center" vertical="center"/>
    </xf>
    <xf numFmtId="37" fontId="52" fillId="0" borderId="10" xfId="41" applyNumberFormat="1" applyFont="1" applyFill="1" applyBorder="1" applyAlignment="1">
      <alignment vertical="center"/>
    </xf>
    <xf numFmtId="183" fontId="5" fillId="0" borderId="19" xfId="41" applyNumberFormat="1" applyFont="1" applyFill="1" applyBorder="1" applyAlignment="1">
      <alignment horizontal="left" vertical="top" wrapText="1"/>
    </xf>
    <xf numFmtId="183" fontId="5" fillId="0" borderId="0" xfId="41" applyNumberFormat="1" applyFont="1" applyFill="1" applyAlignment="1">
      <alignment horizontal="left" vertical="top" wrapText="1"/>
    </xf>
    <xf numFmtId="171" fontId="7" fillId="0" borderId="0" xfId="41" applyFont="1" applyFill="1" applyAlignment="1">
      <alignment horizontal="center" wrapText="1"/>
    </xf>
    <xf numFmtId="183" fontId="11" fillId="0" borderId="20" xfId="41" applyNumberFormat="1" applyFont="1" applyFill="1" applyBorder="1" applyAlignment="1">
      <alignment horizontal="center" vertical="center" wrapText="1"/>
    </xf>
    <xf numFmtId="183" fontId="11" fillId="0" borderId="21" xfId="41" applyNumberFormat="1" applyFont="1" applyFill="1" applyBorder="1" applyAlignment="1">
      <alignment horizontal="center" vertical="center" wrapText="1"/>
    </xf>
    <xf numFmtId="183" fontId="11" fillId="0" borderId="22" xfId="41" applyNumberFormat="1" applyFont="1" applyFill="1" applyBorder="1" applyAlignment="1">
      <alignment horizontal="center" vertical="center" wrapText="1"/>
    </xf>
    <xf numFmtId="183" fontId="11" fillId="0" borderId="23" xfId="41" applyNumberFormat="1" applyFont="1" applyFill="1" applyBorder="1" applyAlignment="1">
      <alignment horizontal="center" vertical="center" wrapText="1"/>
    </xf>
    <xf numFmtId="183" fontId="11" fillId="0" borderId="11" xfId="41" applyNumberFormat="1" applyFont="1" applyFill="1" applyBorder="1" applyAlignment="1">
      <alignment horizontal="center" vertical="center" wrapText="1"/>
    </xf>
    <xf numFmtId="171" fontId="11" fillId="0" borderId="23" xfId="4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1" fontId="4" fillId="33" borderId="0" xfId="41" applyFont="1" applyFill="1" applyAlignment="1">
      <alignment horizontal="center" wrapText="1"/>
    </xf>
    <xf numFmtId="171" fontId="4" fillId="33" borderId="23" xfId="4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83" fontId="4" fillId="33" borderId="20" xfId="41" applyNumberFormat="1" applyFont="1" applyFill="1" applyBorder="1" applyAlignment="1">
      <alignment horizontal="center" vertical="center" wrapText="1"/>
    </xf>
    <xf numFmtId="183" fontId="4" fillId="33" borderId="21" xfId="41" applyNumberFormat="1" applyFont="1" applyFill="1" applyBorder="1" applyAlignment="1">
      <alignment horizontal="center" vertical="center" wrapText="1"/>
    </xf>
    <xf numFmtId="183" fontId="4" fillId="33" borderId="22" xfId="41" applyNumberFormat="1" applyFont="1" applyFill="1" applyBorder="1" applyAlignment="1">
      <alignment horizontal="center" vertical="center" wrapText="1"/>
    </xf>
    <xf numFmtId="183" fontId="4" fillId="33" borderId="24" xfId="41" applyNumberFormat="1" applyFont="1" applyFill="1" applyBorder="1" applyAlignment="1">
      <alignment horizontal="center" vertical="center" wrapText="1"/>
    </xf>
    <xf numFmtId="183" fontId="4" fillId="33" borderId="12" xfId="41" applyNumberFormat="1" applyFont="1" applyFill="1" applyBorder="1" applyAlignment="1">
      <alignment horizontal="center" vertical="center" wrapText="1"/>
    </xf>
    <xf numFmtId="183" fontId="4" fillId="33" borderId="25" xfId="41" applyNumberFormat="1" applyFont="1" applyFill="1" applyBorder="1" applyAlignment="1">
      <alignment horizontal="center" vertical="center" wrapText="1"/>
    </xf>
    <xf numFmtId="183" fontId="4" fillId="33" borderId="26" xfId="41" applyNumberFormat="1" applyFont="1" applyFill="1" applyBorder="1" applyAlignment="1">
      <alignment horizontal="center" vertical="center" wrapText="1"/>
    </xf>
    <xf numFmtId="171" fontId="4" fillId="0" borderId="0" xfId="41" applyFont="1" applyFill="1" applyAlignment="1">
      <alignment horizontal="center" wrapText="1"/>
    </xf>
    <xf numFmtId="171" fontId="4" fillId="0" borderId="23" xfId="4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4" fillId="0" borderId="20" xfId="41" applyNumberFormat="1" applyFont="1" applyFill="1" applyBorder="1" applyAlignment="1">
      <alignment horizontal="center" vertical="center" wrapText="1"/>
    </xf>
    <xf numFmtId="183" fontId="4" fillId="0" borderId="21" xfId="41" applyNumberFormat="1" applyFont="1" applyFill="1" applyBorder="1" applyAlignment="1">
      <alignment horizontal="center" vertical="center" wrapText="1"/>
    </xf>
    <xf numFmtId="183" fontId="4" fillId="0" borderId="22" xfId="41" applyNumberFormat="1" applyFont="1" applyFill="1" applyBorder="1" applyAlignment="1">
      <alignment horizontal="center" vertical="center" wrapText="1"/>
    </xf>
    <xf numFmtId="183" fontId="4" fillId="0" borderId="27" xfId="41" applyNumberFormat="1" applyFont="1" applyFill="1" applyBorder="1" applyAlignment="1">
      <alignment horizontal="center" vertical="center" wrapText="1"/>
    </xf>
    <xf numFmtId="183" fontId="4" fillId="0" borderId="28" xfId="41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3476625</xdr:colOff>
      <xdr:row>1</xdr:row>
      <xdr:rowOff>9525</xdr:rowOff>
    </xdr:from>
    <xdr:to>
      <xdr:col>1</xdr:col>
      <xdr:colOff>3476625</xdr:colOff>
      <xdr:row>1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886200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="85" zoomScaleNormal="85" zoomScalePageLayoutView="0" workbookViewId="0" topLeftCell="A1">
      <pane ySplit="4" topLeftCell="A17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421875" style="150" customWidth="1"/>
    <col min="2" max="2" width="49.7109375" style="92" customWidth="1"/>
    <col min="3" max="3" width="8.7109375" style="150" customWidth="1"/>
    <col min="4" max="4" width="7.00390625" style="150" customWidth="1"/>
    <col min="5" max="5" width="13.57421875" style="151" customWidth="1"/>
    <col min="6" max="6" width="14.8515625" style="150" customWidth="1"/>
    <col min="7" max="7" width="8.00390625" style="150" customWidth="1"/>
    <col min="8" max="8" width="12.140625" style="150" hidden="1" customWidth="1"/>
    <col min="9" max="9" width="21.421875" style="150" hidden="1" customWidth="1"/>
    <col min="10" max="10" width="15.140625" style="150" customWidth="1"/>
    <col min="11" max="11" width="7.28125" style="150" customWidth="1"/>
    <col min="12" max="12" width="8.140625" style="150" hidden="1" customWidth="1"/>
    <col min="13" max="13" width="13.140625" style="150" hidden="1" customWidth="1"/>
    <col min="14" max="14" width="15.140625" style="150" customWidth="1"/>
    <col min="15" max="15" width="7.140625" style="150" customWidth="1"/>
    <col min="16" max="16" width="14.28125" style="150" hidden="1" customWidth="1"/>
    <col min="17" max="17" width="13.421875" style="150" hidden="1" customWidth="1"/>
    <col min="18" max="18" width="14.7109375" style="150" customWidth="1"/>
    <col min="19" max="19" width="7.28125" style="150" customWidth="1"/>
    <col min="20" max="20" width="14.8515625" style="150" hidden="1" customWidth="1"/>
    <col min="21" max="21" width="14.00390625" style="150" hidden="1" customWidth="1"/>
    <col min="22" max="22" width="14.8515625" style="150" customWidth="1"/>
    <col min="23" max="23" width="15.8515625" style="150" customWidth="1"/>
    <col min="24" max="16384" width="9.140625" style="92" customWidth="1"/>
  </cols>
  <sheetData>
    <row r="1" spans="1:23" ht="37.5" customHeight="1">
      <c r="A1" s="230" t="s">
        <v>117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23" ht="3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s="155" customFormat="1" ht="81" customHeight="1">
      <c r="A3" s="236" t="s">
        <v>0</v>
      </c>
      <c r="B3" s="236" t="s">
        <v>1</v>
      </c>
      <c r="C3" s="231" t="s">
        <v>127</v>
      </c>
      <c r="D3" s="232"/>
      <c r="E3" s="232"/>
      <c r="F3" s="233"/>
      <c r="G3" s="231" t="s">
        <v>128</v>
      </c>
      <c r="H3" s="232"/>
      <c r="I3" s="232"/>
      <c r="J3" s="233"/>
      <c r="K3" s="231" t="s">
        <v>129</v>
      </c>
      <c r="L3" s="232"/>
      <c r="M3" s="232"/>
      <c r="N3" s="233"/>
      <c r="O3" s="231" t="s">
        <v>130</v>
      </c>
      <c r="P3" s="232"/>
      <c r="Q3" s="232"/>
      <c r="R3" s="233"/>
      <c r="S3" s="231" t="s">
        <v>131</v>
      </c>
      <c r="T3" s="232"/>
      <c r="U3" s="232"/>
      <c r="V3" s="233"/>
      <c r="W3" s="234" t="s">
        <v>118</v>
      </c>
    </row>
    <row r="4" spans="1:23" s="156" customFormat="1" ht="45" customHeight="1">
      <c r="A4" s="237" t="s">
        <v>0</v>
      </c>
      <c r="B4" s="237"/>
      <c r="C4" s="160" t="s">
        <v>74</v>
      </c>
      <c r="D4" s="160" t="s">
        <v>76</v>
      </c>
      <c r="E4" s="161" t="s">
        <v>77</v>
      </c>
      <c r="F4" s="160" t="s">
        <v>46</v>
      </c>
      <c r="G4" s="160" t="s">
        <v>74</v>
      </c>
      <c r="H4" s="160" t="s">
        <v>76</v>
      </c>
      <c r="I4" s="161" t="s">
        <v>77</v>
      </c>
      <c r="J4" s="160" t="s">
        <v>46</v>
      </c>
      <c r="K4" s="160" t="s">
        <v>74</v>
      </c>
      <c r="L4" s="160" t="s">
        <v>76</v>
      </c>
      <c r="M4" s="161" t="s">
        <v>77</v>
      </c>
      <c r="N4" s="160" t="s">
        <v>46</v>
      </c>
      <c r="O4" s="160" t="s">
        <v>74</v>
      </c>
      <c r="P4" s="160" t="s">
        <v>76</v>
      </c>
      <c r="Q4" s="161" t="s">
        <v>77</v>
      </c>
      <c r="R4" s="160" t="s">
        <v>46</v>
      </c>
      <c r="S4" s="160" t="s">
        <v>74</v>
      </c>
      <c r="T4" s="160" t="s">
        <v>76</v>
      </c>
      <c r="U4" s="161" t="s">
        <v>77</v>
      </c>
      <c r="V4" s="160" t="s">
        <v>46</v>
      </c>
      <c r="W4" s="235"/>
    </row>
    <row r="5" spans="1:23" s="157" customFormat="1" ht="29.25" customHeight="1">
      <c r="A5" s="162"/>
      <c r="B5" s="162" t="s">
        <v>115</v>
      </c>
      <c r="C5" s="163">
        <f>C6+C33</f>
        <v>8348</v>
      </c>
      <c r="D5" s="163"/>
      <c r="E5" s="163"/>
      <c r="F5" s="163">
        <f>F6+F15+F18+F22+F27+F29+F32+F48++F58+F63+F64+F65</f>
        <v>78089493360</v>
      </c>
      <c r="G5" s="163">
        <f>G6+G33</f>
        <v>8304</v>
      </c>
      <c r="H5" s="163"/>
      <c r="I5" s="163"/>
      <c r="J5" s="163">
        <f>J6+J15+J18+J22+J27+J29+J32+J48++J58+J63+J64+J65</f>
        <v>75344219760</v>
      </c>
      <c r="K5" s="163">
        <f>K6+K33</f>
        <v>8304</v>
      </c>
      <c r="L5" s="163"/>
      <c r="M5" s="163"/>
      <c r="N5" s="163">
        <f>N6+N15+N18+N22+N27+N29+N32+N48++N58+N63+N64+N65</f>
        <v>75344219760</v>
      </c>
      <c r="O5" s="163">
        <f>O6+O33</f>
        <v>8304</v>
      </c>
      <c r="P5" s="163"/>
      <c r="Q5" s="163"/>
      <c r="R5" s="163">
        <f>R6+R15+R18+R22+R27+R29+R32+R48++R58+R63+R64+R65</f>
        <v>82044219760</v>
      </c>
      <c r="S5" s="163">
        <f>S6+S33</f>
        <v>8304</v>
      </c>
      <c r="T5" s="163"/>
      <c r="U5" s="163"/>
      <c r="V5" s="163">
        <f>V6+V15+V18+V22+V27+V29+V32+V48++V58+V63+V64+V65</f>
        <v>82044219760</v>
      </c>
      <c r="W5" s="164">
        <f>F5+J5+N5+V5+R5</f>
        <v>392866372400</v>
      </c>
    </row>
    <row r="6" spans="1:23" s="157" customFormat="1" ht="29.25" customHeight="1">
      <c r="A6" s="165" t="s">
        <v>2</v>
      </c>
      <c r="B6" s="166" t="s">
        <v>64</v>
      </c>
      <c r="C6" s="167">
        <f>SUM(C7:C14)</f>
        <v>1887</v>
      </c>
      <c r="D6" s="167"/>
      <c r="E6" s="168"/>
      <c r="F6" s="169">
        <f>SUM(F7:F14)</f>
        <v>5079170400</v>
      </c>
      <c r="G6" s="167">
        <f>SUM(G7:G14)</f>
        <v>1883</v>
      </c>
      <c r="H6" s="167"/>
      <c r="I6" s="168"/>
      <c r="J6" s="169">
        <f>SUM(J7:J14)</f>
        <v>5070588000</v>
      </c>
      <c r="K6" s="167">
        <f>SUM(K7:K14)</f>
        <v>1883</v>
      </c>
      <c r="L6" s="167"/>
      <c r="M6" s="168"/>
      <c r="N6" s="169">
        <f>SUM(N7:N14)</f>
        <v>5070588000</v>
      </c>
      <c r="O6" s="167">
        <f>SUM(O7:O14)</f>
        <v>1883</v>
      </c>
      <c r="P6" s="167"/>
      <c r="Q6" s="168"/>
      <c r="R6" s="169">
        <f>SUM(R7:R14)</f>
        <v>5070588000</v>
      </c>
      <c r="S6" s="167">
        <f>SUM(S7:S14)</f>
        <v>1883</v>
      </c>
      <c r="T6" s="167"/>
      <c r="U6" s="168"/>
      <c r="V6" s="169">
        <f>SUM(V7:V14)</f>
        <v>5070588000</v>
      </c>
      <c r="W6" s="164">
        <f aca="true" t="shared" si="0" ref="W6:W65">V6+R6+N6+J6+F6</f>
        <v>25361522400</v>
      </c>
    </row>
    <row r="7" spans="1:23" s="156" customFormat="1" ht="29.25" customHeight="1">
      <c r="A7" s="170">
        <v>1</v>
      </c>
      <c r="B7" s="171" t="s">
        <v>34</v>
      </c>
      <c r="C7" s="170">
        <v>558</v>
      </c>
      <c r="D7" s="170">
        <v>12</v>
      </c>
      <c r="E7" s="172">
        <v>149000</v>
      </c>
      <c r="F7" s="172">
        <f>C7*D7*E7</f>
        <v>997704000</v>
      </c>
      <c r="G7" s="170">
        <v>558</v>
      </c>
      <c r="H7" s="170">
        <v>12</v>
      </c>
      <c r="I7" s="172">
        <v>149000</v>
      </c>
      <c r="J7" s="172">
        <f>G7*H7*I7</f>
        <v>997704000</v>
      </c>
      <c r="K7" s="170">
        <v>558</v>
      </c>
      <c r="L7" s="170">
        <v>12</v>
      </c>
      <c r="M7" s="172">
        <v>149000</v>
      </c>
      <c r="N7" s="172">
        <f>K7*L7*M7</f>
        <v>997704000</v>
      </c>
      <c r="O7" s="170">
        <v>558</v>
      </c>
      <c r="P7" s="170">
        <v>12</v>
      </c>
      <c r="Q7" s="172">
        <v>149000</v>
      </c>
      <c r="R7" s="172">
        <f>O7*P7*Q7</f>
        <v>997704000</v>
      </c>
      <c r="S7" s="170">
        <v>558</v>
      </c>
      <c r="T7" s="170">
        <v>12</v>
      </c>
      <c r="U7" s="172">
        <v>149000</v>
      </c>
      <c r="V7" s="172">
        <f>S7*T7*U7</f>
        <v>997704000</v>
      </c>
      <c r="W7" s="173">
        <f t="shared" si="0"/>
        <v>4988520000</v>
      </c>
    </row>
    <row r="8" spans="1:23" s="156" customFormat="1" ht="29.25" customHeight="1">
      <c r="A8" s="170">
        <v>2</v>
      </c>
      <c r="B8" s="171" t="s">
        <v>109</v>
      </c>
      <c r="C8" s="170">
        <v>22</v>
      </c>
      <c r="D8" s="170">
        <v>12</v>
      </c>
      <c r="E8" s="172">
        <v>178800</v>
      </c>
      <c r="F8" s="172">
        <f aca="true" t="shared" si="1" ref="F8:F59">C8*D8*E8</f>
        <v>47203200</v>
      </c>
      <c r="G8" s="170">
        <v>18</v>
      </c>
      <c r="H8" s="170">
        <v>12</v>
      </c>
      <c r="I8" s="172">
        <v>178800</v>
      </c>
      <c r="J8" s="172">
        <f aca="true" t="shared" si="2" ref="J8:J14">G8*H8*I8</f>
        <v>38620800</v>
      </c>
      <c r="K8" s="170">
        <v>18</v>
      </c>
      <c r="L8" s="170">
        <v>12</v>
      </c>
      <c r="M8" s="172">
        <v>178800</v>
      </c>
      <c r="N8" s="172">
        <f aca="true" t="shared" si="3" ref="N8:N14">K8*L8*M8</f>
        <v>38620800</v>
      </c>
      <c r="O8" s="170">
        <v>18</v>
      </c>
      <c r="P8" s="170">
        <v>12</v>
      </c>
      <c r="Q8" s="172">
        <v>178800</v>
      </c>
      <c r="R8" s="172">
        <f aca="true" t="shared" si="4" ref="R8:R14">O8*P8*Q8</f>
        <v>38620800</v>
      </c>
      <c r="S8" s="170">
        <v>18</v>
      </c>
      <c r="T8" s="170">
        <v>12</v>
      </c>
      <c r="U8" s="172">
        <v>178800</v>
      </c>
      <c r="V8" s="172">
        <f aca="true" t="shared" si="5" ref="V8:V14">S8*T8*U8</f>
        <v>38620800</v>
      </c>
      <c r="W8" s="173">
        <f t="shared" si="0"/>
        <v>201686400</v>
      </c>
    </row>
    <row r="9" spans="1:23" s="156" customFormat="1" ht="43.5" customHeight="1">
      <c r="A9" s="170">
        <v>3</v>
      </c>
      <c r="B9" s="174" t="s">
        <v>132</v>
      </c>
      <c r="C9" s="170">
        <v>756</v>
      </c>
      <c r="D9" s="170">
        <v>12</v>
      </c>
      <c r="E9" s="172">
        <v>208600</v>
      </c>
      <c r="F9" s="172">
        <f t="shared" si="1"/>
        <v>1892419200</v>
      </c>
      <c r="G9" s="170">
        <v>756</v>
      </c>
      <c r="H9" s="170">
        <v>12</v>
      </c>
      <c r="I9" s="172">
        <v>208600</v>
      </c>
      <c r="J9" s="172">
        <f t="shared" si="2"/>
        <v>1892419200</v>
      </c>
      <c r="K9" s="170">
        <v>756</v>
      </c>
      <c r="L9" s="170">
        <v>12</v>
      </c>
      <c r="M9" s="172">
        <v>208600</v>
      </c>
      <c r="N9" s="172">
        <f t="shared" si="3"/>
        <v>1892419200</v>
      </c>
      <c r="O9" s="170">
        <v>756</v>
      </c>
      <c r="P9" s="170">
        <v>12</v>
      </c>
      <c r="Q9" s="172">
        <v>208600</v>
      </c>
      <c r="R9" s="172">
        <f t="shared" si="4"/>
        <v>1892419200</v>
      </c>
      <c r="S9" s="170">
        <v>756</v>
      </c>
      <c r="T9" s="170">
        <v>12</v>
      </c>
      <c r="U9" s="172">
        <v>208600</v>
      </c>
      <c r="V9" s="172">
        <f t="shared" si="5"/>
        <v>1892419200</v>
      </c>
      <c r="W9" s="173">
        <f t="shared" si="0"/>
        <v>9462096000</v>
      </c>
    </row>
    <row r="10" spans="1:23" s="156" customFormat="1" ht="29.25" customHeight="1">
      <c r="A10" s="170">
        <v>4</v>
      </c>
      <c r="B10" s="171" t="s">
        <v>110</v>
      </c>
      <c r="C10" s="170">
        <v>201</v>
      </c>
      <c r="D10" s="170">
        <v>12</v>
      </c>
      <c r="E10" s="172">
        <v>298000</v>
      </c>
      <c r="F10" s="172">
        <f t="shared" si="1"/>
        <v>718776000</v>
      </c>
      <c r="G10" s="170">
        <v>201</v>
      </c>
      <c r="H10" s="170">
        <v>12</v>
      </c>
      <c r="I10" s="172">
        <v>298000</v>
      </c>
      <c r="J10" s="172">
        <f t="shared" si="2"/>
        <v>718776000</v>
      </c>
      <c r="K10" s="170">
        <v>201</v>
      </c>
      <c r="L10" s="170">
        <v>12</v>
      </c>
      <c r="M10" s="172">
        <v>298000</v>
      </c>
      <c r="N10" s="172">
        <f t="shared" si="3"/>
        <v>718776000</v>
      </c>
      <c r="O10" s="170">
        <v>201</v>
      </c>
      <c r="P10" s="170">
        <v>12</v>
      </c>
      <c r="Q10" s="172">
        <v>298000</v>
      </c>
      <c r="R10" s="172">
        <f t="shared" si="4"/>
        <v>718776000</v>
      </c>
      <c r="S10" s="170">
        <v>201</v>
      </c>
      <c r="T10" s="170">
        <v>12</v>
      </c>
      <c r="U10" s="172">
        <v>298000</v>
      </c>
      <c r="V10" s="172">
        <f t="shared" si="5"/>
        <v>718776000</v>
      </c>
      <c r="W10" s="173">
        <f t="shared" si="0"/>
        <v>3593880000</v>
      </c>
    </row>
    <row r="11" spans="1:23" s="156" customFormat="1" ht="29.25" customHeight="1">
      <c r="A11" s="170">
        <v>5</v>
      </c>
      <c r="B11" s="171" t="s">
        <v>37</v>
      </c>
      <c r="C11" s="170">
        <v>4</v>
      </c>
      <c r="D11" s="170">
        <v>12</v>
      </c>
      <c r="E11" s="172">
        <v>298000</v>
      </c>
      <c r="F11" s="172">
        <f t="shared" si="1"/>
        <v>14304000</v>
      </c>
      <c r="G11" s="170">
        <v>4</v>
      </c>
      <c r="H11" s="170">
        <v>12</v>
      </c>
      <c r="I11" s="172">
        <v>298000</v>
      </c>
      <c r="J11" s="172">
        <f t="shared" si="2"/>
        <v>14304000</v>
      </c>
      <c r="K11" s="170">
        <v>4</v>
      </c>
      <c r="L11" s="170">
        <v>12</v>
      </c>
      <c r="M11" s="172">
        <v>298000</v>
      </c>
      <c r="N11" s="172">
        <f t="shared" si="3"/>
        <v>14304000</v>
      </c>
      <c r="O11" s="170">
        <v>4</v>
      </c>
      <c r="P11" s="170">
        <v>12</v>
      </c>
      <c r="Q11" s="172">
        <v>298000</v>
      </c>
      <c r="R11" s="172">
        <f t="shared" si="4"/>
        <v>14304000</v>
      </c>
      <c r="S11" s="170">
        <v>4</v>
      </c>
      <c r="T11" s="170">
        <v>12</v>
      </c>
      <c r="U11" s="172">
        <v>298000</v>
      </c>
      <c r="V11" s="172">
        <f t="shared" si="5"/>
        <v>14304000</v>
      </c>
      <c r="W11" s="173">
        <f t="shared" si="0"/>
        <v>71520000</v>
      </c>
    </row>
    <row r="12" spans="1:23" s="156" customFormat="1" ht="29.25" customHeight="1">
      <c r="A12" s="170">
        <v>6</v>
      </c>
      <c r="B12" s="171" t="s">
        <v>41</v>
      </c>
      <c r="C12" s="170">
        <v>4</v>
      </c>
      <c r="D12" s="170">
        <v>12</v>
      </c>
      <c r="E12" s="172">
        <v>223500</v>
      </c>
      <c r="F12" s="172">
        <f t="shared" si="1"/>
        <v>10728000</v>
      </c>
      <c r="G12" s="170">
        <v>4</v>
      </c>
      <c r="H12" s="170">
        <v>12</v>
      </c>
      <c r="I12" s="172">
        <v>223500</v>
      </c>
      <c r="J12" s="172">
        <f t="shared" si="2"/>
        <v>10728000</v>
      </c>
      <c r="K12" s="170">
        <v>4</v>
      </c>
      <c r="L12" s="170">
        <v>12</v>
      </c>
      <c r="M12" s="172">
        <v>223500</v>
      </c>
      <c r="N12" s="172">
        <f t="shared" si="3"/>
        <v>10728000</v>
      </c>
      <c r="O12" s="170">
        <v>4</v>
      </c>
      <c r="P12" s="170">
        <v>12</v>
      </c>
      <c r="Q12" s="172">
        <v>223500</v>
      </c>
      <c r="R12" s="172">
        <f t="shared" si="4"/>
        <v>10728000</v>
      </c>
      <c r="S12" s="170">
        <v>4</v>
      </c>
      <c r="T12" s="170">
        <v>12</v>
      </c>
      <c r="U12" s="172">
        <v>223500</v>
      </c>
      <c r="V12" s="172">
        <f t="shared" si="5"/>
        <v>10728000</v>
      </c>
      <c r="W12" s="173">
        <f t="shared" si="0"/>
        <v>53640000</v>
      </c>
    </row>
    <row r="13" spans="1:23" s="156" customFormat="1" ht="29.25" customHeight="1">
      <c r="A13" s="170">
        <v>7</v>
      </c>
      <c r="B13" s="171" t="s">
        <v>38</v>
      </c>
      <c r="C13" s="170">
        <v>161</v>
      </c>
      <c r="D13" s="170">
        <v>12</v>
      </c>
      <c r="E13" s="172">
        <v>356000</v>
      </c>
      <c r="F13" s="172">
        <f t="shared" si="1"/>
        <v>687792000</v>
      </c>
      <c r="G13" s="170">
        <v>161</v>
      </c>
      <c r="H13" s="170">
        <v>12</v>
      </c>
      <c r="I13" s="172">
        <v>356000</v>
      </c>
      <c r="J13" s="172">
        <f t="shared" si="2"/>
        <v>687792000</v>
      </c>
      <c r="K13" s="170">
        <v>161</v>
      </c>
      <c r="L13" s="170">
        <v>12</v>
      </c>
      <c r="M13" s="172">
        <v>356000</v>
      </c>
      <c r="N13" s="172">
        <f t="shared" si="3"/>
        <v>687792000</v>
      </c>
      <c r="O13" s="170">
        <v>161</v>
      </c>
      <c r="P13" s="170">
        <v>12</v>
      </c>
      <c r="Q13" s="172">
        <v>356000</v>
      </c>
      <c r="R13" s="172">
        <f t="shared" si="4"/>
        <v>687792000</v>
      </c>
      <c r="S13" s="170">
        <v>161</v>
      </c>
      <c r="T13" s="170">
        <v>12</v>
      </c>
      <c r="U13" s="172">
        <v>356000</v>
      </c>
      <c r="V13" s="172">
        <f t="shared" si="5"/>
        <v>687792000</v>
      </c>
      <c r="W13" s="173">
        <f t="shared" si="0"/>
        <v>3438960000</v>
      </c>
    </row>
    <row r="14" spans="1:23" s="156" customFormat="1" ht="29.25" customHeight="1">
      <c r="A14" s="170">
        <v>8</v>
      </c>
      <c r="B14" s="171" t="s">
        <v>140</v>
      </c>
      <c r="C14" s="170">
        <v>181</v>
      </c>
      <c r="D14" s="170">
        <v>12</v>
      </c>
      <c r="E14" s="172">
        <v>327000</v>
      </c>
      <c r="F14" s="172">
        <f t="shared" si="1"/>
        <v>710244000</v>
      </c>
      <c r="G14" s="170">
        <v>181</v>
      </c>
      <c r="H14" s="170">
        <v>12</v>
      </c>
      <c r="I14" s="172">
        <v>327000</v>
      </c>
      <c r="J14" s="172">
        <f t="shared" si="2"/>
        <v>710244000</v>
      </c>
      <c r="K14" s="170">
        <v>181</v>
      </c>
      <c r="L14" s="170">
        <v>12</v>
      </c>
      <c r="M14" s="172">
        <v>327000</v>
      </c>
      <c r="N14" s="172">
        <f t="shared" si="3"/>
        <v>710244000</v>
      </c>
      <c r="O14" s="170">
        <v>181</v>
      </c>
      <c r="P14" s="170">
        <v>12</v>
      </c>
      <c r="Q14" s="172">
        <v>327000</v>
      </c>
      <c r="R14" s="172">
        <f t="shared" si="4"/>
        <v>710244000</v>
      </c>
      <c r="S14" s="170">
        <v>181</v>
      </c>
      <c r="T14" s="170">
        <v>12</v>
      </c>
      <c r="U14" s="172">
        <v>327000</v>
      </c>
      <c r="V14" s="172">
        <f t="shared" si="5"/>
        <v>710244000</v>
      </c>
      <c r="W14" s="173">
        <f t="shared" si="0"/>
        <v>3551220000</v>
      </c>
    </row>
    <row r="15" spans="1:23" s="157" customFormat="1" ht="29.25" customHeight="1">
      <c r="A15" s="165" t="s">
        <v>3</v>
      </c>
      <c r="B15" s="166" t="s">
        <v>148</v>
      </c>
      <c r="C15" s="165">
        <f>SUM(C16:C17)</f>
        <v>906</v>
      </c>
      <c r="D15" s="165"/>
      <c r="E15" s="175">
        <v>327000</v>
      </c>
      <c r="F15" s="175">
        <f>F16+F17</f>
        <v>9593280000</v>
      </c>
      <c r="G15" s="165">
        <f>SUM(G16:G17)</f>
        <v>906</v>
      </c>
      <c r="H15" s="165"/>
      <c r="I15" s="175">
        <v>327000</v>
      </c>
      <c r="J15" s="175">
        <f>J16+J17</f>
        <v>9593280000</v>
      </c>
      <c r="K15" s="165">
        <f>SUM(K16:K17)</f>
        <v>906</v>
      </c>
      <c r="L15" s="165"/>
      <c r="M15" s="175">
        <v>327000</v>
      </c>
      <c r="N15" s="175">
        <f>N16+N17</f>
        <v>9593280000</v>
      </c>
      <c r="O15" s="165">
        <f>SUM(O16:O17)</f>
        <v>906</v>
      </c>
      <c r="P15" s="165"/>
      <c r="Q15" s="175">
        <v>327000</v>
      </c>
      <c r="R15" s="175">
        <f>R16+R17</f>
        <v>9593280000</v>
      </c>
      <c r="S15" s="165">
        <f>SUM(S16:S17)</f>
        <v>906</v>
      </c>
      <c r="T15" s="165"/>
      <c r="U15" s="175">
        <v>327000</v>
      </c>
      <c r="V15" s="175">
        <f>V16+V17</f>
        <v>9593280000</v>
      </c>
      <c r="W15" s="164">
        <f t="shared" si="0"/>
        <v>47966400000</v>
      </c>
    </row>
    <row r="16" spans="1:23" s="156" customFormat="1" ht="29.25" customHeight="1">
      <c r="A16" s="170">
        <v>1</v>
      </c>
      <c r="B16" s="174" t="s">
        <v>142</v>
      </c>
      <c r="C16" s="170">
        <v>150</v>
      </c>
      <c r="D16" s="170">
        <v>12</v>
      </c>
      <c r="E16" s="172">
        <v>1549600</v>
      </c>
      <c r="F16" s="172">
        <f t="shared" si="1"/>
        <v>2789280000</v>
      </c>
      <c r="G16" s="170">
        <v>150</v>
      </c>
      <c r="H16" s="170">
        <v>12</v>
      </c>
      <c r="I16" s="172">
        <v>1549600</v>
      </c>
      <c r="J16" s="172">
        <f>G16*H16*I16</f>
        <v>2789280000</v>
      </c>
      <c r="K16" s="170">
        <v>150</v>
      </c>
      <c r="L16" s="170">
        <v>12</v>
      </c>
      <c r="M16" s="172">
        <v>1549600</v>
      </c>
      <c r="N16" s="172">
        <f>K16*L16*M16</f>
        <v>2789280000</v>
      </c>
      <c r="O16" s="170">
        <v>150</v>
      </c>
      <c r="P16" s="170">
        <v>12</v>
      </c>
      <c r="Q16" s="172">
        <v>1549600</v>
      </c>
      <c r="R16" s="172">
        <f>O16*P16*Q16</f>
        <v>2789280000</v>
      </c>
      <c r="S16" s="170">
        <v>150</v>
      </c>
      <c r="T16" s="170">
        <v>12</v>
      </c>
      <c r="U16" s="172">
        <v>1549600</v>
      </c>
      <c r="V16" s="172">
        <f>S16*T16*U16</f>
        <v>2789280000</v>
      </c>
      <c r="W16" s="173">
        <f t="shared" si="0"/>
        <v>13946400000</v>
      </c>
    </row>
    <row r="17" spans="1:23" s="156" customFormat="1" ht="29.25" customHeight="1">
      <c r="A17" s="170">
        <v>2</v>
      </c>
      <c r="B17" s="174" t="s">
        <v>23</v>
      </c>
      <c r="C17" s="170">
        <v>756</v>
      </c>
      <c r="D17" s="170">
        <v>12</v>
      </c>
      <c r="E17" s="172">
        <v>750000</v>
      </c>
      <c r="F17" s="172">
        <f t="shared" si="1"/>
        <v>6804000000</v>
      </c>
      <c r="G17" s="170">
        <v>756</v>
      </c>
      <c r="H17" s="170">
        <v>12</v>
      </c>
      <c r="I17" s="172">
        <v>750000</v>
      </c>
      <c r="J17" s="172">
        <f>G17*H17*I17</f>
        <v>6804000000</v>
      </c>
      <c r="K17" s="170">
        <v>756</v>
      </c>
      <c r="L17" s="170">
        <v>12</v>
      </c>
      <c r="M17" s="172">
        <v>750000</v>
      </c>
      <c r="N17" s="172">
        <f>K17*L17*M17</f>
        <v>6804000000</v>
      </c>
      <c r="O17" s="170">
        <v>756</v>
      </c>
      <c r="P17" s="170">
        <v>12</v>
      </c>
      <c r="Q17" s="172">
        <v>750000</v>
      </c>
      <c r="R17" s="172">
        <f>O17*P17*Q17</f>
        <v>6804000000</v>
      </c>
      <c r="S17" s="170">
        <v>756</v>
      </c>
      <c r="T17" s="170">
        <v>12</v>
      </c>
      <c r="U17" s="172">
        <v>750000</v>
      </c>
      <c r="V17" s="172">
        <f>S17*T17*U17</f>
        <v>6804000000</v>
      </c>
      <c r="W17" s="173">
        <f t="shared" si="0"/>
        <v>34020000000</v>
      </c>
    </row>
    <row r="18" spans="1:23" s="157" customFormat="1" ht="29.25" customHeight="1">
      <c r="A18" s="165" t="s">
        <v>4</v>
      </c>
      <c r="B18" s="166" t="s">
        <v>112</v>
      </c>
      <c r="C18" s="165">
        <f>SUM(C19:C21)</f>
        <v>150</v>
      </c>
      <c r="D18" s="165"/>
      <c r="E18" s="172"/>
      <c r="F18" s="175">
        <f>F19+F20+F21</f>
        <v>336805560</v>
      </c>
      <c r="G18" s="165">
        <f>SUM(G19:G21)</f>
        <v>150</v>
      </c>
      <c r="H18" s="165"/>
      <c r="I18" s="172"/>
      <c r="J18" s="175">
        <f>J19+J20+J21</f>
        <v>336805560</v>
      </c>
      <c r="K18" s="165">
        <f>SUM(K19:K21)</f>
        <v>150</v>
      </c>
      <c r="L18" s="165"/>
      <c r="M18" s="172"/>
      <c r="N18" s="175">
        <f>N19+N20+N21</f>
        <v>336805560</v>
      </c>
      <c r="O18" s="165">
        <f>SUM(O19:O21)</f>
        <v>150</v>
      </c>
      <c r="P18" s="165"/>
      <c r="Q18" s="172"/>
      <c r="R18" s="175">
        <f>R19+R20+R21</f>
        <v>336805560</v>
      </c>
      <c r="S18" s="165">
        <f>SUM(S19:S21)</f>
        <v>150</v>
      </c>
      <c r="T18" s="165"/>
      <c r="U18" s="172"/>
      <c r="V18" s="175">
        <f>V19+V20+V21</f>
        <v>336805560</v>
      </c>
      <c r="W18" s="164">
        <f t="shared" si="0"/>
        <v>1684027800</v>
      </c>
    </row>
    <row r="19" spans="1:23" s="156" customFormat="1" ht="42.75" customHeight="1">
      <c r="A19" s="170">
        <v>1</v>
      </c>
      <c r="B19" s="174" t="s">
        <v>133</v>
      </c>
      <c r="C19" s="170">
        <v>48</v>
      </c>
      <c r="D19" s="170">
        <v>12</v>
      </c>
      <c r="E19" s="172">
        <v>93870</v>
      </c>
      <c r="F19" s="172">
        <f>C19*D19*E19</f>
        <v>54069120</v>
      </c>
      <c r="G19" s="170">
        <v>48</v>
      </c>
      <c r="H19" s="170">
        <v>12</v>
      </c>
      <c r="I19" s="172">
        <v>93870</v>
      </c>
      <c r="J19" s="172">
        <f>G19*H19*I19</f>
        <v>54069120</v>
      </c>
      <c r="K19" s="170">
        <v>48</v>
      </c>
      <c r="L19" s="170">
        <v>12</v>
      </c>
      <c r="M19" s="172">
        <v>93870</v>
      </c>
      <c r="N19" s="172">
        <f>K19*L19*M19</f>
        <v>54069120</v>
      </c>
      <c r="O19" s="170">
        <v>48</v>
      </c>
      <c r="P19" s="170">
        <v>12</v>
      </c>
      <c r="Q19" s="172">
        <v>93870</v>
      </c>
      <c r="R19" s="172">
        <f>O19*P19*Q19</f>
        <v>54069120</v>
      </c>
      <c r="S19" s="170">
        <v>48</v>
      </c>
      <c r="T19" s="170">
        <v>12</v>
      </c>
      <c r="U19" s="172">
        <v>93870</v>
      </c>
      <c r="V19" s="172">
        <f>S19*T19*U19</f>
        <v>54069120</v>
      </c>
      <c r="W19" s="173">
        <f t="shared" si="0"/>
        <v>270345600</v>
      </c>
    </row>
    <row r="20" spans="1:23" s="156" customFormat="1" ht="29.25" customHeight="1">
      <c r="A20" s="170">
        <v>2</v>
      </c>
      <c r="B20" s="174" t="s">
        <v>81</v>
      </c>
      <c r="C20" s="170">
        <v>55</v>
      </c>
      <c r="D20" s="170">
        <v>12</v>
      </c>
      <c r="E20" s="172">
        <v>187740</v>
      </c>
      <c r="F20" s="172">
        <f t="shared" si="1"/>
        <v>123908400</v>
      </c>
      <c r="G20" s="170">
        <v>55</v>
      </c>
      <c r="H20" s="170">
        <v>12</v>
      </c>
      <c r="I20" s="172">
        <v>187740</v>
      </c>
      <c r="J20" s="172">
        <f>G20*H20*I20</f>
        <v>123908400</v>
      </c>
      <c r="K20" s="170">
        <v>55</v>
      </c>
      <c r="L20" s="170">
        <v>12</v>
      </c>
      <c r="M20" s="172">
        <v>187740</v>
      </c>
      <c r="N20" s="172">
        <f>K20*L20*M20</f>
        <v>123908400</v>
      </c>
      <c r="O20" s="170">
        <v>55</v>
      </c>
      <c r="P20" s="170">
        <v>12</v>
      </c>
      <c r="Q20" s="172">
        <v>187740</v>
      </c>
      <c r="R20" s="172">
        <f>O20*P20*Q20</f>
        <v>123908400</v>
      </c>
      <c r="S20" s="170">
        <v>55</v>
      </c>
      <c r="T20" s="170">
        <v>12</v>
      </c>
      <c r="U20" s="172">
        <v>187740</v>
      </c>
      <c r="V20" s="172">
        <f>S20*T20*U20</f>
        <v>123908400</v>
      </c>
      <c r="W20" s="173">
        <f t="shared" si="0"/>
        <v>619542000</v>
      </c>
    </row>
    <row r="21" spans="1:23" s="156" customFormat="1" ht="29.25" customHeight="1">
      <c r="A21" s="170">
        <v>3</v>
      </c>
      <c r="B21" s="174" t="s">
        <v>111</v>
      </c>
      <c r="C21" s="170">
        <v>47</v>
      </c>
      <c r="D21" s="170">
        <v>12</v>
      </c>
      <c r="E21" s="172">
        <v>281610</v>
      </c>
      <c r="F21" s="172">
        <f t="shared" si="1"/>
        <v>158828040</v>
      </c>
      <c r="G21" s="170">
        <v>47</v>
      </c>
      <c r="H21" s="170">
        <v>12</v>
      </c>
      <c r="I21" s="172">
        <v>281610</v>
      </c>
      <c r="J21" s="172">
        <f>G21*H21*I21</f>
        <v>158828040</v>
      </c>
      <c r="K21" s="170">
        <v>47</v>
      </c>
      <c r="L21" s="170">
        <v>12</v>
      </c>
      <c r="M21" s="172">
        <v>281610</v>
      </c>
      <c r="N21" s="172">
        <f>K21*L21*M21</f>
        <v>158828040</v>
      </c>
      <c r="O21" s="170">
        <v>47</v>
      </c>
      <c r="P21" s="170">
        <v>12</v>
      </c>
      <c r="Q21" s="172">
        <v>281610</v>
      </c>
      <c r="R21" s="172">
        <f>O21*P21*Q21</f>
        <v>158828040</v>
      </c>
      <c r="S21" s="170">
        <v>47</v>
      </c>
      <c r="T21" s="170">
        <v>12</v>
      </c>
      <c r="U21" s="172">
        <v>281610</v>
      </c>
      <c r="V21" s="172">
        <f>S21*T21*U21</f>
        <v>158828040</v>
      </c>
      <c r="W21" s="173">
        <f t="shared" si="0"/>
        <v>794140200</v>
      </c>
    </row>
    <row r="22" spans="1:23" s="157" customFormat="1" ht="29.25" customHeight="1">
      <c r="A22" s="165" t="s">
        <v>5</v>
      </c>
      <c r="B22" s="166" t="s">
        <v>33</v>
      </c>
      <c r="C22" s="165">
        <f>C23+C24+C25+C26</f>
        <v>636</v>
      </c>
      <c r="D22" s="165"/>
      <c r="E22" s="175"/>
      <c r="F22" s="175">
        <f>F23+F24+F25+F26</f>
        <v>2231781600</v>
      </c>
      <c r="G22" s="165">
        <f>G23+G24+G25+G26</f>
        <v>632</v>
      </c>
      <c r="H22" s="165"/>
      <c r="I22" s="175"/>
      <c r="J22" s="175">
        <f>J23+J24+J25+J26</f>
        <v>2227490400</v>
      </c>
      <c r="K22" s="165">
        <f>SUM(K23:K26)</f>
        <v>632</v>
      </c>
      <c r="L22" s="165"/>
      <c r="M22" s="175"/>
      <c r="N22" s="175">
        <f>N23+N24+N25+N26</f>
        <v>2227490400</v>
      </c>
      <c r="O22" s="165">
        <f>SUM(O23:O26)</f>
        <v>632</v>
      </c>
      <c r="P22" s="165"/>
      <c r="Q22" s="175"/>
      <c r="R22" s="175">
        <f>R23+R24+R25+R26</f>
        <v>2227490400</v>
      </c>
      <c r="S22" s="165">
        <f>SUM(S23:S26)</f>
        <v>632</v>
      </c>
      <c r="T22" s="165"/>
      <c r="U22" s="175"/>
      <c r="V22" s="175">
        <f>V23+V24+V25+V26</f>
        <v>2227490400</v>
      </c>
      <c r="W22" s="164">
        <f t="shared" si="0"/>
        <v>11141743200</v>
      </c>
    </row>
    <row r="23" spans="1:23" s="156" customFormat="1" ht="45" customHeight="1">
      <c r="A23" s="221">
        <v>1</v>
      </c>
      <c r="B23" s="222" t="s">
        <v>141</v>
      </c>
      <c r="C23" s="221">
        <v>150</v>
      </c>
      <c r="D23" s="221">
        <v>12</v>
      </c>
      <c r="E23" s="223">
        <v>938700</v>
      </c>
      <c r="F23" s="223">
        <f t="shared" si="1"/>
        <v>1689660000</v>
      </c>
      <c r="G23" s="221">
        <v>150</v>
      </c>
      <c r="H23" s="221">
        <v>12</v>
      </c>
      <c r="I23" s="223">
        <v>938700</v>
      </c>
      <c r="J23" s="223">
        <f>G23*H23*I23</f>
        <v>1689660000</v>
      </c>
      <c r="K23" s="221">
        <v>150</v>
      </c>
      <c r="L23" s="221">
        <v>12</v>
      </c>
      <c r="M23" s="223">
        <v>938700</v>
      </c>
      <c r="N23" s="223">
        <f>K23*L23*M23</f>
        <v>1689660000</v>
      </c>
      <c r="O23" s="221">
        <v>150</v>
      </c>
      <c r="P23" s="221">
        <v>12</v>
      </c>
      <c r="Q23" s="223">
        <v>938700</v>
      </c>
      <c r="R23" s="223">
        <f>O23*P23*Q23</f>
        <v>1689660000</v>
      </c>
      <c r="S23" s="221">
        <v>150</v>
      </c>
      <c r="T23" s="221">
        <v>12</v>
      </c>
      <c r="U23" s="223">
        <v>938700</v>
      </c>
      <c r="V23" s="223">
        <f>S23*T23*U23</f>
        <v>1689660000</v>
      </c>
      <c r="W23" s="173">
        <f t="shared" si="0"/>
        <v>8448300000</v>
      </c>
    </row>
    <row r="24" spans="1:23" s="156" customFormat="1" ht="45" customHeight="1">
      <c r="A24" s="221">
        <v>2</v>
      </c>
      <c r="B24" s="222" t="s">
        <v>113</v>
      </c>
      <c r="C24" s="221">
        <v>116</v>
      </c>
      <c r="D24" s="221">
        <v>12</v>
      </c>
      <c r="E24" s="223">
        <v>149000</v>
      </c>
      <c r="F24" s="223">
        <f>C24*D24*E24</f>
        <v>207408000</v>
      </c>
      <c r="G24" s="221">
        <v>116</v>
      </c>
      <c r="H24" s="221">
        <v>12</v>
      </c>
      <c r="I24" s="223">
        <v>149000</v>
      </c>
      <c r="J24" s="223">
        <f>G24*H24*I24</f>
        <v>207408000</v>
      </c>
      <c r="K24" s="221">
        <v>116</v>
      </c>
      <c r="L24" s="221">
        <v>12</v>
      </c>
      <c r="M24" s="223">
        <v>149000</v>
      </c>
      <c r="N24" s="223">
        <f>K24*L24*M24</f>
        <v>207408000</v>
      </c>
      <c r="O24" s="221">
        <v>116</v>
      </c>
      <c r="P24" s="221">
        <v>12</v>
      </c>
      <c r="Q24" s="223">
        <v>149000</v>
      </c>
      <c r="R24" s="223">
        <f>O24*P24*Q24</f>
        <v>207408000</v>
      </c>
      <c r="S24" s="221">
        <v>116</v>
      </c>
      <c r="T24" s="221">
        <v>12</v>
      </c>
      <c r="U24" s="223">
        <v>149000</v>
      </c>
      <c r="V24" s="223">
        <f>S24*T24*U24</f>
        <v>207408000</v>
      </c>
      <c r="W24" s="173">
        <f>V24+R24+N24+J24+F24</f>
        <v>1037040000</v>
      </c>
    </row>
    <row r="25" spans="1:23" s="156" customFormat="1" ht="33" customHeight="1">
      <c r="A25" s="221">
        <v>3</v>
      </c>
      <c r="B25" s="222" t="s">
        <v>146</v>
      </c>
      <c r="C25" s="221">
        <v>22</v>
      </c>
      <c r="D25" s="221">
        <v>12</v>
      </c>
      <c r="E25" s="224">
        <v>89400</v>
      </c>
      <c r="F25" s="225">
        <f>E25*D25*C25</f>
        <v>23601600</v>
      </c>
      <c r="G25" s="221">
        <v>18</v>
      </c>
      <c r="H25" s="221">
        <v>12</v>
      </c>
      <c r="I25" s="224">
        <v>89400</v>
      </c>
      <c r="J25" s="223">
        <f>G25*H25*I25</f>
        <v>19310400</v>
      </c>
      <c r="K25" s="225">
        <v>18</v>
      </c>
      <c r="L25" s="226">
        <v>12</v>
      </c>
      <c r="M25" s="224">
        <v>89400</v>
      </c>
      <c r="N25" s="223">
        <f>K25*L25*M25</f>
        <v>19310400</v>
      </c>
      <c r="O25" s="221">
        <v>18</v>
      </c>
      <c r="P25" s="221">
        <v>12</v>
      </c>
      <c r="Q25" s="224">
        <v>89400</v>
      </c>
      <c r="R25" s="223">
        <f>O25*P25*Q25</f>
        <v>19310400</v>
      </c>
      <c r="S25" s="221">
        <v>18</v>
      </c>
      <c r="T25" s="221">
        <v>12</v>
      </c>
      <c r="U25" s="224">
        <v>89400</v>
      </c>
      <c r="V25" s="227">
        <f>U25*T25*S25</f>
        <v>19310400</v>
      </c>
      <c r="W25" s="173">
        <f>V25+R25+N25+J25+F25</f>
        <v>100843200</v>
      </c>
    </row>
    <row r="26" spans="1:23" s="157" customFormat="1" ht="41.25" customHeight="1">
      <c r="A26" s="221">
        <v>4</v>
      </c>
      <c r="B26" s="222" t="s">
        <v>147</v>
      </c>
      <c r="C26" s="221">
        <v>348</v>
      </c>
      <c r="D26" s="221">
        <v>12</v>
      </c>
      <c r="E26" s="223">
        <v>74500</v>
      </c>
      <c r="F26" s="223">
        <f t="shared" si="1"/>
        <v>311112000</v>
      </c>
      <c r="G26" s="221">
        <v>348</v>
      </c>
      <c r="H26" s="221">
        <v>12</v>
      </c>
      <c r="I26" s="223">
        <v>74500</v>
      </c>
      <c r="J26" s="223">
        <f>G26*H26*I26</f>
        <v>311112000</v>
      </c>
      <c r="K26" s="221">
        <v>348</v>
      </c>
      <c r="L26" s="221">
        <v>12</v>
      </c>
      <c r="M26" s="223">
        <v>74500</v>
      </c>
      <c r="N26" s="223">
        <f>K26*L26*M26</f>
        <v>311112000</v>
      </c>
      <c r="O26" s="221">
        <v>348</v>
      </c>
      <c r="P26" s="221">
        <v>12</v>
      </c>
      <c r="Q26" s="223">
        <v>74500</v>
      </c>
      <c r="R26" s="223">
        <f>O26*P26*Q26</f>
        <v>311112000</v>
      </c>
      <c r="S26" s="221">
        <v>348</v>
      </c>
      <c r="T26" s="221">
        <v>12</v>
      </c>
      <c r="U26" s="223">
        <v>74500</v>
      </c>
      <c r="V26" s="223">
        <f>S26*T26*U26</f>
        <v>311112000</v>
      </c>
      <c r="W26" s="173">
        <f t="shared" si="0"/>
        <v>1555560000</v>
      </c>
    </row>
    <row r="27" spans="1:23" s="156" customFormat="1" ht="36" customHeight="1">
      <c r="A27" s="165" t="s">
        <v>6</v>
      </c>
      <c r="B27" s="166" t="s">
        <v>143</v>
      </c>
      <c r="C27" s="165">
        <f>C28</f>
        <v>150</v>
      </c>
      <c r="D27" s="165"/>
      <c r="E27" s="168"/>
      <c r="F27" s="175">
        <f>F28</f>
        <v>608277600</v>
      </c>
      <c r="G27" s="165">
        <f>G28</f>
        <v>150</v>
      </c>
      <c r="H27" s="165"/>
      <c r="I27" s="168"/>
      <c r="J27" s="175">
        <f>J28</f>
        <v>608277600</v>
      </c>
      <c r="K27" s="165">
        <f>K28</f>
        <v>150</v>
      </c>
      <c r="L27" s="165"/>
      <c r="M27" s="168"/>
      <c r="N27" s="175">
        <f>N28</f>
        <v>608277600</v>
      </c>
      <c r="O27" s="165">
        <f>O28</f>
        <v>150</v>
      </c>
      <c r="P27" s="165"/>
      <c r="Q27" s="168"/>
      <c r="R27" s="175">
        <f>R28</f>
        <v>608277600</v>
      </c>
      <c r="S27" s="165">
        <f>S28</f>
        <v>150</v>
      </c>
      <c r="T27" s="165"/>
      <c r="U27" s="168"/>
      <c r="V27" s="175">
        <f>V28</f>
        <v>608277600</v>
      </c>
      <c r="W27" s="164">
        <f t="shared" si="0"/>
        <v>3041388000</v>
      </c>
    </row>
    <row r="28" spans="1:23" s="157" customFormat="1" ht="31.5" customHeight="1">
      <c r="A28" s="170">
        <v>1</v>
      </c>
      <c r="B28" s="176" t="s">
        <v>144</v>
      </c>
      <c r="C28" s="170">
        <v>150</v>
      </c>
      <c r="D28" s="170">
        <v>12</v>
      </c>
      <c r="E28" s="177">
        <v>337932</v>
      </c>
      <c r="F28" s="172">
        <f t="shared" si="1"/>
        <v>608277600</v>
      </c>
      <c r="G28" s="170">
        <v>150</v>
      </c>
      <c r="H28" s="170">
        <v>12</v>
      </c>
      <c r="I28" s="177">
        <v>337932</v>
      </c>
      <c r="J28" s="172">
        <f>G28*H28*I28</f>
        <v>608277600</v>
      </c>
      <c r="K28" s="170">
        <v>150</v>
      </c>
      <c r="L28" s="170">
        <v>12</v>
      </c>
      <c r="M28" s="177">
        <v>337932</v>
      </c>
      <c r="N28" s="172">
        <f>K28*L28*M28</f>
        <v>608277600</v>
      </c>
      <c r="O28" s="170">
        <v>150</v>
      </c>
      <c r="P28" s="170">
        <v>12</v>
      </c>
      <c r="Q28" s="177">
        <v>337932</v>
      </c>
      <c r="R28" s="172">
        <f>O28*P28*Q28</f>
        <v>608277600</v>
      </c>
      <c r="S28" s="170">
        <v>150</v>
      </c>
      <c r="T28" s="170">
        <v>12</v>
      </c>
      <c r="U28" s="177">
        <v>337932</v>
      </c>
      <c r="V28" s="172">
        <f>S28*T28*U28</f>
        <v>608277600</v>
      </c>
      <c r="W28" s="173">
        <f t="shared" si="0"/>
        <v>3041388000</v>
      </c>
    </row>
    <row r="29" spans="1:23" s="156" customFormat="1" ht="29.25" customHeight="1">
      <c r="A29" s="165" t="s">
        <v>7</v>
      </c>
      <c r="B29" s="178" t="s">
        <v>125</v>
      </c>
      <c r="C29" s="165">
        <f>C31</f>
        <v>1688</v>
      </c>
      <c r="D29" s="167"/>
      <c r="E29" s="179"/>
      <c r="F29" s="175">
        <f>F30+F31</f>
        <v>2303884800</v>
      </c>
      <c r="G29" s="165">
        <f>G31</f>
        <v>1688</v>
      </c>
      <c r="H29" s="167"/>
      <c r="I29" s="179"/>
      <c r="J29" s="175">
        <f>J30+J31</f>
        <v>2303884800</v>
      </c>
      <c r="K29" s="165">
        <f>K31</f>
        <v>1688</v>
      </c>
      <c r="L29" s="167"/>
      <c r="M29" s="179"/>
      <c r="N29" s="175">
        <f>N30+N31</f>
        <v>2303884800</v>
      </c>
      <c r="O29" s="165">
        <f>O31</f>
        <v>1688</v>
      </c>
      <c r="P29" s="167"/>
      <c r="Q29" s="179"/>
      <c r="R29" s="175">
        <f>R30+R31</f>
        <v>2303884800</v>
      </c>
      <c r="S29" s="165">
        <f>S31</f>
        <v>1688</v>
      </c>
      <c r="T29" s="167"/>
      <c r="U29" s="179"/>
      <c r="V29" s="175">
        <f>V30+V31</f>
        <v>2303884800</v>
      </c>
      <c r="W29" s="164">
        <f t="shared" si="0"/>
        <v>11519424000</v>
      </c>
    </row>
    <row r="30" spans="1:23" s="156" customFormat="1" ht="29.25" customHeight="1">
      <c r="A30" s="170">
        <v>1</v>
      </c>
      <c r="B30" s="171" t="s">
        <v>134</v>
      </c>
      <c r="C30" s="170">
        <v>1538</v>
      </c>
      <c r="D30" s="170">
        <v>8</v>
      </c>
      <c r="E30" s="172">
        <f>E34</f>
        <v>119200</v>
      </c>
      <c r="F30" s="172">
        <f t="shared" si="1"/>
        <v>1466636800</v>
      </c>
      <c r="G30" s="170">
        <v>1538</v>
      </c>
      <c r="H30" s="170">
        <v>8</v>
      </c>
      <c r="I30" s="172">
        <f>I34</f>
        <v>119200</v>
      </c>
      <c r="J30" s="172">
        <f>G30*H30*I30</f>
        <v>1466636800</v>
      </c>
      <c r="K30" s="170">
        <v>1538</v>
      </c>
      <c r="L30" s="170">
        <v>8</v>
      </c>
      <c r="M30" s="172">
        <f>M34</f>
        <v>119200</v>
      </c>
      <c r="N30" s="172">
        <f>K30*L30*M30</f>
        <v>1466636800</v>
      </c>
      <c r="O30" s="170">
        <v>1538</v>
      </c>
      <c r="P30" s="170">
        <v>8</v>
      </c>
      <c r="Q30" s="172">
        <f>Q34</f>
        <v>119200</v>
      </c>
      <c r="R30" s="172">
        <f>O30*P30*Q30</f>
        <v>1466636800</v>
      </c>
      <c r="S30" s="170">
        <v>1538</v>
      </c>
      <c r="T30" s="170">
        <v>8</v>
      </c>
      <c r="U30" s="172">
        <f>U34</f>
        <v>119200</v>
      </c>
      <c r="V30" s="172">
        <f>S30*T30*U30</f>
        <v>1466636800</v>
      </c>
      <c r="W30" s="173">
        <f t="shared" si="0"/>
        <v>7333184000</v>
      </c>
    </row>
    <row r="31" spans="1:23" s="157" customFormat="1" ht="29.25" customHeight="1">
      <c r="A31" s="170">
        <v>2</v>
      </c>
      <c r="B31" s="171" t="s">
        <v>145</v>
      </c>
      <c r="C31" s="170">
        <v>1688</v>
      </c>
      <c r="D31" s="170">
        <v>8</v>
      </c>
      <c r="E31" s="172">
        <v>62000</v>
      </c>
      <c r="F31" s="172">
        <f t="shared" si="1"/>
        <v>837248000</v>
      </c>
      <c r="G31" s="170">
        <v>1688</v>
      </c>
      <c r="H31" s="170">
        <v>8</v>
      </c>
      <c r="I31" s="172">
        <v>62000</v>
      </c>
      <c r="J31" s="172">
        <f>G31*H31*I31</f>
        <v>837248000</v>
      </c>
      <c r="K31" s="170">
        <v>1688</v>
      </c>
      <c r="L31" s="170">
        <v>8</v>
      </c>
      <c r="M31" s="172">
        <v>62000</v>
      </c>
      <c r="N31" s="172">
        <f>K31*L31*M31</f>
        <v>837248000</v>
      </c>
      <c r="O31" s="170">
        <v>1688</v>
      </c>
      <c r="P31" s="170">
        <v>8</v>
      </c>
      <c r="Q31" s="172">
        <v>62000</v>
      </c>
      <c r="R31" s="172">
        <f>O31*P31*Q31</f>
        <v>837248000</v>
      </c>
      <c r="S31" s="170">
        <v>1688</v>
      </c>
      <c r="T31" s="170">
        <v>8</v>
      </c>
      <c r="U31" s="172">
        <v>62000</v>
      </c>
      <c r="V31" s="172">
        <f>S31*T31*U31</f>
        <v>837248000</v>
      </c>
      <c r="W31" s="173">
        <f t="shared" si="0"/>
        <v>4186240000</v>
      </c>
    </row>
    <row r="32" spans="1:23" s="157" customFormat="1" ht="29.25" customHeight="1">
      <c r="A32" s="165" t="s">
        <v>15</v>
      </c>
      <c r="B32" s="180" t="s">
        <v>67</v>
      </c>
      <c r="C32" s="165"/>
      <c r="D32" s="165"/>
      <c r="E32" s="181"/>
      <c r="F32" s="175">
        <f>F33+F40</f>
        <v>27887592400</v>
      </c>
      <c r="G32" s="165"/>
      <c r="H32" s="165"/>
      <c r="I32" s="181"/>
      <c r="J32" s="175">
        <f>J33+J40</f>
        <v>25214792400</v>
      </c>
      <c r="K32" s="165"/>
      <c r="L32" s="165"/>
      <c r="M32" s="181"/>
      <c r="N32" s="175">
        <f>N33+N40</f>
        <v>25214792400</v>
      </c>
      <c r="O32" s="165"/>
      <c r="P32" s="165"/>
      <c r="Q32" s="181"/>
      <c r="R32" s="175">
        <f>R33+R40</f>
        <v>25214792400</v>
      </c>
      <c r="S32" s="165"/>
      <c r="T32" s="165"/>
      <c r="U32" s="181"/>
      <c r="V32" s="175">
        <f>V33+V40</f>
        <v>25214792400</v>
      </c>
      <c r="W32" s="164">
        <f t="shared" si="0"/>
        <v>128746762000</v>
      </c>
    </row>
    <row r="33" spans="1:23" s="156" customFormat="1" ht="29.25" customHeight="1">
      <c r="A33" s="165">
        <v>1</v>
      </c>
      <c r="B33" s="166" t="s">
        <v>8</v>
      </c>
      <c r="C33" s="165">
        <f>SUM(C34:C39)</f>
        <v>6461</v>
      </c>
      <c r="D33" s="165"/>
      <c r="E33" s="182"/>
      <c r="F33" s="175">
        <f>SUM(F34:F39)</f>
        <v>18246778400</v>
      </c>
      <c r="G33" s="165">
        <f>SUM(G34:G39)</f>
        <v>6421</v>
      </c>
      <c r="H33" s="165"/>
      <c r="I33" s="182"/>
      <c r="J33" s="175">
        <f>SUM(J34:J39)</f>
        <v>16506458400</v>
      </c>
      <c r="K33" s="165">
        <f>SUM(K34:K39)</f>
        <v>6421</v>
      </c>
      <c r="L33" s="165"/>
      <c r="M33" s="182"/>
      <c r="N33" s="175">
        <f>SUM(N34:N39)</f>
        <v>16506458400</v>
      </c>
      <c r="O33" s="165">
        <f>SUM(O34:O39)</f>
        <v>6421</v>
      </c>
      <c r="P33" s="165"/>
      <c r="Q33" s="182"/>
      <c r="R33" s="175">
        <f>SUM(R34:R39)</f>
        <v>16506458400</v>
      </c>
      <c r="S33" s="165">
        <f>SUM(S34:S39)</f>
        <v>6421</v>
      </c>
      <c r="T33" s="165"/>
      <c r="U33" s="182"/>
      <c r="V33" s="175">
        <f>SUM(V34:V39)</f>
        <v>16506458400</v>
      </c>
      <c r="W33" s="164">
        <f t="shared" si="0"/>
        <v>84272612000</v>
      </c>
    </row>
    <row r="34" spans="1:23" s="158" customFormat="1" ht="29.25" customHeight="1">
      <c r="A34" s="183" t="s">
        <v>56</v>
      </c>
      <c r="B34" s="171" t="s">
        <v>9</v>
      </c>
      <c r="C34" s="170">
        <f aca="true" t="shared" si="6" ref="C34:C39">C41</f>
        <v>1025</v>
      </c>
      <c r="D34" s="170">
        <v>15</v>
      </c>
      <c r="E34" s="172">
        <v>119200</v>
      </c>
      <c r="F34" s="172">
        <f t="shared" si="1"/>
        <v>1832700000</v>
      </c>
      <c r="G34" s="170">
        <f aca="true" t="shared" si="7" ref="G34:G39">G41</f>
        <v>1025</v>
      </c>
      <c r="H34" s="170">
        <v>15</v>
      </c>
      <c r="I34" s="172">
        <v>119200</v>
      </c>
      <c r="J34" s="172">
        <f aca="true" t="shared" si="8" ref="J34:J39">G34*H34*I34</f>
        <v>1832700000</v>
      </c>
      <c r="K34" s="170">
        <f aca="true" t="shared" si="9" ref="K34:K39">K41</f>
        <v>1025</v>
      </c>
      <c r="L34" s="170">
        <v>15</v>
      </c>
      <c r="M34" s="172">
        <v>119200</v>
      </c>
      <c r="N34" s="172">
        <f aca="true" t="shared" si="10" ref="N34:N39">K34*L34*M34</f>
        <v>1832700000</v>
      </c>
      <c r="O34" s="170">
        <f aca="true" t="shared" si="11" ref="O34:O39">O41</f>
        <v>1025</v>
      </c>
      <c r="P34" s="170">
        <v>15</v>
      </c>
      <c r="Q34" s="172">
        <v>119200</v>
      </c>
      <c r="R34" s="172">
        <f aca="true" t="shared" si="12" ref="R34:R39">O34*P34*Q34</f>
        <v>1832700000</v>
      </c>
      <c r="S34" s="170">
        <f aca="true" t="shared" si="13" ref="S34:S39">S41</f>
        <v>1025</v>
      </c>
      <c r="T34" s="170">
        <v>15</v>
      </c>
      <c r="U34" s="172">
        <v>119200</v>
      </c>
      <c r="V34" s="172">
        <f aca="true" t="shared" si="14" ref="V34:V39">S34*T34*U34</f>
        <v>1832700000</v>
      </c>
      <c r="W34" s="173">
        <f t="shared" si="0"/>
        <v>9163500000</v>
      </c>
    </row>
    <row r="35" spans="1:23" s="156" customFormat="1" ht="29.25" customHeight="1">
      <c r="A35" s="183" t="s">
        <v>56</v>
      </c>
      <c r="B35" s="171" t="s">
        <v>10</v>
      </c>
      <c r="C35" s="170">
        <f t="shared" si="6"/>
        <v>1038</v>
      </c>
      <c r="D35" s="170">
        <v>7</v>
      </c>
      <c r="E35" s="172">
        <v>119200</v>
      </c>
      <c r="F35" s="172">
        <f t="shared" si="1"/>
        <v>866107200</v>
      </c>
      <c r="G35" s="170">
        <f t="shared" si="7"/>
        <v>1038</v>
      </c>
      <c r="H35" s="170">
        <v>7</v>
      </c>
      <c r="I35" s="172">
        <v>119200</v>
      </c>
      <c r="J35" s="172">
        <f t="shared" si="8"/>
        <v>866107200</v>
      </c>
      <c r="K35" s="170">
        <f t="shared" si="9"/>
        <v>1038</v>
      </c>
      <c r="L35" s="170">
        <v>7</v>
      </c>
      <c r="M35" s="172">
        <v>119200</v>
      </c>
      <c r="N35" s="172">
        <f t="shared" si="10"/>
        <v>866107200</v>
      </c>
      <c r="O35" s="170">
        <f t="shared" si="11"/>
        <v>1038</v>
      </c>
      <c r="P35" s="170">
        <v>7</v>
      </c>
      <c r="Q35" s="172">
        <v>119200</v>
      </c>
      <c r="R35" s="172">
        <f t="shared" si="12"/>
        <v>866107200</v>
      </c>
      <c r="S35" s="170">
        <f t="shared" si="13"/>
        <v>1038</v>
      </c>
      <c r="T35" s="170">
        <v>7</v>
      </c>
      <c r="U35" s="172">
        <v>119200</v>
      </c>
      <c r="V35" s="172">
        <f t="shared" si="14"/>
        <v>866107200</v>
      </c>
      <c r="W35" s="173">
        <f t="shared" si="0"/>
        <v>4330536000</v>
      </c>
    </row>
    <row r="36" spans="1:23" s="156" customFormat="1" ht="29.25" customHeight="1">
      <c r="A36" s="183" t="s">
        <v>56</v>
      </c>
      <c r="B36" s="171" t="s">
        <v>11</v>
      </c>
      <c r="C36" s="170">
        <f t="shared" si="6"/>
        <v>488</v>
      </c>
      <c r="D36" s="170">
        <v>12</v>
      </c>
      <c r="E36" s="172">
        <v>119200</v>
      </c>
      <c r="F36" s="172">
        <f t="shared" si="1"/>
        <v>698035200</v>
      </c>
      <c r="G36" s="170">
        <f t="shared" si="7"/>
        <v>488</v>
      </c>
      <c r="H36" s="170">
        <v>12</v>
      </c>
      <c r="I36" s="172">
        <v>119200</v>
      </c>
      <c r="J36" s="172">
        <f t="shared" si="8"/>
        <v>698035200</v>
      </c>
      <c r="K36" s="170">
        <f t="shared" si="9"/>
        <v>488</v>
      </c>
      <c r="L36" s="170">
        <v>12</v>
      </c>
      <c r="M36" s="172">
        <v>119200</v>
      </c>
      <c r="N36" s="172">
        <f t="shared" si="10"/>
        <v>698035200</v>
      </c>
      <c r="O36" s="170">
        <f t="shared" si="11"/>
        <v>488</v>
      </c>
      <c r="P36" s="170">
        <v>12</v>
      </c>
      <c r="Q36" s="172">
        <v>119200</v>
      </c>
      <c r="R36" s="172">
        <f t="shared" si="12"/>
        <v>698035200</v>
      </c>
      <c r="S36" s="170">
        <f t="shared" si="13"/>
        <v>488</v>
      </c>
      <c r="T36" s="170">
        <v>12</v>
      </c>
      <c r="U36" s="172">
        <v>119200</v>
      </c>
      <c r="V36" s="172">
        <f t="shared" si="14"/>
        <v>698035200</v>
      </c>
      <c r="W36" s="173">
        <f t="shared" si="0"/>
        <v>3490176000</v>
      </c>
    </row>
    <row r="37" spans="1:23" s="156" customFormat="1" ht="29.25" customHeight="1">
      <c r="A37" s="183" t="s">
        <v>56</v>
      </c>
      <c r="B37" s="171" t="s">
        <v>12</v>
      </c>
      <c r="C37" s="170">
        <f t="shared" si="6"/>
        <v>464</v>
      </c>
      <c r="D37" s="170">
        <v>12</v>
      </c>
      <c r="E37" s="172">
        <v>119200</v>
      </c>
      <c r="F37" s="172">
        <f t="shared" si="1"/>
        <v>663705600</v>
      </c>
      <c r="G37" s="170">
        <f t="shared" si="7"/>
        <v>464</v>
      </c>
      <c r="H37" s="170">
        <v>12</v>
      </c>
      <c r="I37" s="172">
        <v>119200</v>
      </c>
      <c r="J37" s="172">
        <f t="shared" si="8"/>
        <v>663705600</v>
      </c>
      <c r="K37" s="170">
        <f t="shared" si="9"/>
        <v>464</v>
      </c>
      <c r="L37" s="170">
        <v>12</v>
      </c>
      <c r="M37" s="172">
        <v>119200</v>
      </c>
      <c r="N37" s="172">
        <f t="shared" si="10"/>
        <v>663705600</v>
      </c>
      <c r="O37" s="170">
        <f t="shared" si="11"/>
        <v>464</v>
      </c>
      <c r="P37" s="170">
        <v>12</v>
      </c>
      <c r="Q37" s="172">
        <v>119200</v>
      </c>
      <c r="R37" s="172">
        <f t="shared" si="12"/>
        <v>663705600</v>
      </c>
      <c r="S37" s="170">
        <f t="shared" si="13"/>
        <v>464</v>
      </c>
      <c r="T37" s="170">
        <v>12</v>
      </c>
      <c r="U37" s="172">
        <v>119200</v>
      </c>
      <c r="V37" s="172">
        <f t="shared" si="14"/>
        <v>663705600</v>
      </c>
      <c r="W37" s="173">
        <f t="shared" si="0"/>
        <v>3318528000</v>
      </c>
    </row>
    <row r="38" spans="1:23" s="156" customFormat="1" ht="29.25" customHeight="1">
      <c r="A38" s="183" t="s">
        <v>56</v>
      </c>
      <c r="B38" s="171" t="s">
        <v>13</v>
      </c>
      <c r="C38" s="170">
        <f t="shared" si="6"/>
        <v>3226</v>
      </c>
      <c r="D38" s="170">
        <v>12</v>
      </c>
      <c r="E38" s="172">
        <v>119200</v>
      </c>
      <c r="F38" s="172">
        <f t="shared" si="1"/>
        <v>4614470400</v>
      </c>
      <c r="G38" s="170">
        <f t="shared" si="7"/>
        <v>3226</v>
      </c>
      <c r="H38" s="170">
        <v>12</v>
      </c>
      <c r="I38" s="172">
        <v>119200</v>
      </c>
      <c r="J38" s="172">
        <f t="shared" si="8"/>
        <v>4614470400</v>
      </c>
      <c r="K38" s="170">
        <f t="shared" si="9"/>
        <v>3226</v>
      </c>
      <c r="L38" s="170">
        <v>12</v>
      </c>
      <c r="M38" s="172">
        <v>119200</v>
      </c>
      <c r="N38" s="172">
        <f t="shared" si="10"/>
        <v>4614470400</v>
      </c>
      <c r="O38" s="170">
        <f t="shared" si="11"/>
        <v>3226</v>
      </c>
      <c r="P38" s="170">
        <v>12</v>
      </c>
      <c r="Q38" s="172">
        <v>119200</v>
      </c>
      <c r="R38" s="172">
        <f t="shared" si="12"/>
        <v>4614470400</v>
      </c>
      <c r="S38" s="170">
        <f t="shared" si="13"/>
        <v>3226</v>
      </c>
      <c r="T38" s="170">
        <v>12</v>
      </c>
      <c r="U38" s="172">
        <v>119200</v>
      </c>
      <c r="V38" s="172">
        <f t="shared" si="14"/>
        <v>4614470400</v>
      </c>
      <c r="W38" s="173">
        <f t="shared" si="0"/>
        <v>23072352000</v>
      </c>
    </row>
    <row r="39" spans="1:23" s="157" customFormat="1" ht="29.25" customHeight="1">
      <c r="A39" s="183" t="s">
        <v>56</v>
      </c>
      <c r="B39" s="171" t="s">
        <v>18</v>
      </c>
      <c r="C39" s="170">
        <f t="shared" si="6"/>
        <v>220</v>
      </c>
      <c r="D39" s="170">
        <v>365</v>
      </c>
      <c r="E39" s="172">
        <v>119200</v>
      </c>
      <c r="F39" s="172">
        <f t="shared" si="1"/>
        <v>9571760000</v>
      </c>
      <c r="G39" s="170">
        <f t="shared" si="7"/>
        <v>180</v>
      </c>
      <c r="H39" s="170">
        <v>365</v>
      </c>
      <c r="I39" s="172">
        <v>119200</v>
      </c>
      <c r="J39" s="172">
        <f t="shared" si="8"/>
        <v>7831440000</v>
      </c>
      <c r="K39" s="170">
        <f t="shared" si="9"/>
        <v>180</v>
      </c>
      <c r="L39" s="170">
        <v>365</v>
      </c>
      <c r="M39" s="172">
        <v>119200</v>
      </c>
      <c r="N39" s="172">
        <f t="shared" si="10"/>
        <v>7831440000</v>
      </c>
      <c r="O39" s="170">
        <f t="shared" si="11"/>
        <v>180</v>
      </c>
      <c r="P39" s="170">
        <v>365</v>
      </c>
      <c r="Q39" s="172">
        <v>119200</v>
      </c>
      <c r="R39" s="172">
        <f t="shared" si="12"/>
        <v>7831440000</v>
      </c>
      <c r="S39" s="170">
        <f t="shared" si="13"/>
        <v>180</v>
      </c>
      <c r="T39" s="170">
        <v>365</v>
      </c>
      <c r="U39" s="172">
        <v>119200</v>
      </c>
      <c r="V39" s="172">
        <f t="shared" si="14"/>
        <v>7831440000</v>
      </c>
      <c r="W39" s="184">
        <f t="shared" si="0"/>
        <v>40897520000</v>
      </c>
    </row>
    <row r="40" spans="1:23" s="156" customFormat="1" ht="29.25" customHeight="1">
      <c r="A40" s="165">
        <v>2</v>
      </c>
      <c r="B40" s="185" t="s">
        <v>14</v>
      </c>
      <c r="C40" s="165">
        <f>SUM(C41:C46)</f>
        <v>6461</v>
      </c>
      <c r="D40" s="165"/>
      <c r="E40" s="182"/>
      <c r="F40" s="175">
        <f>F41+F42+F43+F44+F45+F46+F47</f>
        <v>9640814000</v>
      </c>
      <c r="G40" s="165">
        <f>SUM(G41:G46)</f>
        <v>6421</v>
      </c>
      <c r="H40" s="165"/>
      <c r="I40" s="182"/>
      <c r="J40" s="175">
        <f>J41+J42+J43+J44+J45+J46+J47</f>
        <v>8708334000</v>
      </c>
      <c r="K40" s="165">
        <f>SUM(K41:K46)</f>
        <v>6421</v>
      </c>
      <c r="L40" s="165"/>
      <c r="M40" s="182"/>
      <c r="N40" s="175">
        <f>N41+N42+N43+N44+N45+N46+N47</f>
        <v>8708334000</v>
      </c>
      <c r="O40" s="165">
        <f>SUM(O41:O46)</f>
        <v>6421</v>
      </c>
      <c r="P40" s="165"/>
      <c r="Q40" s="182"/>
      <c r="R40" s="175">
        <f>R41+R42+R43+R44+R45+R46+R47</f>
        <v>8708334000</v>
      </c>
      <c r="S40" s="165">
        <f>SUM(S41:S46)</f>
        <v>6421</v>
      </c>
      <c r="T40" s="165"/>
      <c r="U40" s="182"/>
      <c r="V40" s="175">
        <f>V41+V42+V43+V44+V45+V46+V47</f>
        <v>8708334000</v>
      </c>
      <c r="W40" s="164">
        <f t="shared" si="0"/>
        <v>44474150000</v>
      </c>
    </row>
    <row r="41" spans="1:23" s="156" customFormat="1" ht="29.25" customHeight="1">
      <c r="A41" s="170" t="s">
        <v>51</v>
      </c>
      <c r="B41" s="171" t="s">
        <v>114</v>
      </c>
      <c r="C41" s="170">
        <v>1025</v>
      </c>
      <c r="D41" s="170">
        <f>D34</f>
        <v>15</v>
      </c>
      <c r="E41" s="172">
        <v>62000</v>
      </c>
      <c r="F41" s="172">
        <f t="shared" si="1"/>
        <v>953250000</v>
      </c>
      <c r="G41" s="170">
        <v>1025</v>
      </c>
      <c r="H41" s="170">
        <f>H34</f>
        <v>15</v>
      </c>
      <c r="I41" s="172">
        <v>62000</v>
      </c>
      <c r="J41" s="172">
        <f aca="true" t="shared" si="15" ref="J41:J47">G41*H41*I41</f>
        <v>953250000</v>
      </c>
      <c r="K41" s="170">
        <v>1025</v>
      </c>
      <c r="L41" s="170">
        <f>L34</f>
        <v>15</v>
      </c>
      <c r="M41" s="172">
        <v>62000</v>
      </c>
      <c r="N41" s="172">
        <f aca="true" t="shared" si="16" ref="N41:N47">K41*L41*M41</f>
        <v>953250000</v>
      </c>
      <c r="O41" s="170">
        <v>1025</v>
      </c>
      <c r="P41" s="170">
        <f>P34</f>
        <v>15</v>
      </c>
      <c r="Q41" s="172">
        <v>62000</v>
      </c>
      <c r="R41" s="172">
        <f aca="true" t="shared" si="17" ref="R41:R47">O41*P41*Q41</f>
        <v>953250000</v>
      </c>
      <c r="S41" s="170">
        <v>1025</v>
      </c>
      <c r="T41" s="170">
        <f>T34</f>
        <v>15</v>
      </c>
      <c r="U41" s="172">
        <v>62000</v>
      </c>
      <c r="V41" s="172">
        <f aca="true" t="shared" si="18" ref="V41:V47">S41*T41*U41</f>
        <v>953250000</v>
      </c>
      <c r="W41" s="173">
        <f t="shared" si="0"/>
        <v>4766250000</v>
      </c>
    </row>
    <row r="42" spans="1:23" s="156" customFormat="1" ht="29.25" customHeight="1">
      <c r="A42" s="170" t="s">
        <v>51</v>
      </c>
      <c r="B42" s="171" t="s">
        <v>10</v>
      </c>
      <c r="C42" s="170">
        <v>1038</v>
      </c>
      <c r="D42" s="170">
        <f>D35</f>
        <v>7</v>
      </c>
      <c r="E42" s="172">
        <v>62000</v>
      </c>
      <c r="F42" s="172">
        <f t="shared" si="1"/>
        <v>450492000</v>
      </c>
      <c r="G42" s="170">
        <v>1038</v>
      </c>
      <c r="H42" s="170">
        <f>H35</f>
        <v>7</v>
      </c>
      <c r="I42" s="172">
        <v>62000</v>
      </c>
      <c r="J42" s="172">
        <f t="shared" si="15"/>
        <v>450492000</v>
      </c>
      <c r="K42" s="170">
        <v>1038</v>
      </c>
      <c r="L42" s="170">
        <f>L35</f>
        <v>7</v>
      </c>
      <c r="M42" s="172">
        <v>62000</v>
      </c>
      <c r="N42" s="172">
        <f t="shared" si="16"/>
        <v>450492000</v>
      </c>
      <c r="O42" s="170">
        <v>1038</v>
      </c>
      <c r="P42" s="170">
        <f>P35</f>
        <v>7</v>
      </c>
      <c r="Q42" s="172">
        <v>62000</v>
      </c>
      <c r="R42" s="172">
        <f t="shared" si="17"/>
        <v>450492000</v>
      </c>
      <c r="S42" s="170">
        <v>1038</v>
      </c>
      <c r="T42" s="170">
        <f>T35</f>
        <v>7</v>
      </c>
      <c r="U42" s="172">
        <v>62000</v>
      </c>
      <c r="V42" s="172">
        <f t="shared" si="18"/>
        <v>450492000</v>
      </c>
      <c r="W42" s="173">
        <f t="shared" si="0"/>
        <v>2252460000</v>
      </c>
    </row>
    <row r="43" spans="1:23" s="156" customFormat="1" ht="29.25" customHeight="1">
      <c r="A43" s="170" t="s">
        <v>51</v>
      </c>
      <c r="B43" s="171" t="s">
        <v>11</v>
      </c>
      <c r="C43" s="170">
        <v>488</v>
      </c>
      <c r="D43" s="170">
        <f>D36</f>
        <v>12</v>
      </c>
      <c r="E43" s="172">
        <v>62000</v>
      </c>
      <c r="F43" s="172">
        <f t="shared" si="1"/>
        <v>363072000</v>
      </c>
      <c r="G43" s="170">
        <v>488</v>
      </c>
      <c r="H43" s="170">
        <f>H36</f>
        <v>12</v>
      </c>
      <c r="I43" s="172">
        <v>62000</v>
      </c>
      <c r="J43" s="172">
        <f t="shared" si="15"/>
        <v>363072000</v>
      </c>
      <c r="K43" s="170">
        <v>488</v>
      </c>
      <c r="L43" s="170">
        <f>L36</f>
        <v>12</v>
      </c>
      <c r="M43" s="172">
        <v>62000</v>
      </c>
      <c r="N43" s="172">
        <f t="shared" si="16"/>
        <v>363072000</v>
      </c>
      <c r="O43" s="170">
        <v>488</v>
      </c>
      <c r="P43" s="170">
        <f>P36</f>
        <v>12</v>
      </c>
      <c r="Q43" s="172">
        <v>62000</v>
      </c>
      <c r="R43" s="172">
        <f t="shared" si="17"/>
        <v>363072000</v>
      </c>
      <c r="S43" s="170">
        <v>488</v>
      </c>
      <c r="T43" s="170">
        <f>T36</f>
        <v>12</v>
      </c>
      <c r="U43" s="172">
        <v>62000</v>
      </c>
      <c r="V43" s="172">
        <f t="shared" si="18"/>
        <v>363072000</v>
      </c>
      <c r="W43" s="173">
        <f t="shared" si="0"/>
        <v>1815360000</v>
      </c>
    </row>
    <row r="44" spans="1:23" s="156" customFormat="1" ht="29.25" customHeight="1">
      <c r="A44" s="170" t="s">
        <v>51</v>
      </c>
      <c r="B44" s="171" t="s">
        <v>12</v>
      </c>
      <c r="C44" s="170">
        <v>464</v>
      </c>
      <c r="D44" s="170">
        <f>D37</f>
        <v>12</v>
      </c>
      <c r="E44" s="172">
        <v>62000</v>
      </c>
      <c r="F44" s="172">
        <f t="shared" si="1"/>
        <v>345216000</v>
      </c>
      <c r="G44" s="170">
        <v>464</v>
      </c>
      <c r="H44" s="170">
        <f>H37</f>
        <v>12</v>
      </c>
      <c r="I44" s="172">
        <v>62000</v>
      </c>
      <c r="J44" s="172">
        <f t="shared" si="15"/>
        <v>345216000</v>
      </c>
      <c r="K44" s="170">
        <v>464</v>
      </c>
      <c r="L44" s="170">
        <f>L37</f>
        <v>12</v>
      </c>
      <c r="M44" s="172">
        <v>62000</v>
      </c>
      <c r="N44" s="172">
        <f t="shared" si="16"/>
        <v>345216000</v>
      </c>
      <c r="O44" s="170">
        <v>464</v>
      </c>
      <c r="P44" s="170">
        <f>P37</f>
        <v>12</v>
      </c>
      <c r="Q44" s="172">
        <v>62000</v>
      </c>
      <c r="R44" s="172">
        <f t="shared" si="17"/>
        <v>345216000</v>
      </c>
      <c r="S44" s="170">
        <v>464</v>
      </c>
      <c r="T44" s="170">
        <f>T37</f>
        <v>12</v>
      </c>
      <c r="U44" s="172">
        <v>62000</v>
      </c>
      <c r="V44" s="172">
        <f t="shared" si="18"/>
        <v>345216000</v>
      </c>
      <c r="W44" s="173">
        <f t="shared" si="0"/>
        <v>1726080000</v>
      </c>
    </row>
    <row r="45" spans="1:23" s="156" customFormat="1" ht="29.25" customHeight="1">
      <c r="A45" s="170" t="s">
        <v>51</v>
      </c>
      <c r="B45" s="171" t="s">
        <v>13</v>
      </c>
      <c r="C45" s="170">
        <v>3226</v>
      </c>
      <c r="D45" s="170">
        <f>D38</f>
        <v>12</v>
      </c>
      <c r="E45" s="172">
        <v>62000</v>
      </c>
      <c r="F45" s="172">
        <f t="shared" si="1"/>
        <v>2400144000</v>
      </c>
      <c r="G45" s="170">
        <v>3226</v>
      </c>
      <c r="H45" s="170">
        <f>H38</f>
        <v>12</v>
      </c>
      <c r="I45" s="172">
        <v>62000</v>
      </c>
      <c r="J45" s="172">
        <f t="shared" si="15"/>
        <v>2400144000</v>
      </c>
      <c r="K45" s="170">
        <v>3226</v>
      </c>
      <c r="L45" s="170">
        <f>L38</f>
        <v>12</v>
      </c>
      <c r="M45" s="172">
        <v>62000</v>
      </c>
      <c r="N45" s="172">
        <f t="shared" si="16"/>
        <v>2400144000</v>
      </c>
      <c r="O45" s="170">
        <v>3226</v>
      </c>
      <c r="P45" s="170">
        <f>P38</f>
        <v>12</v>
      </c>
      <c r="Q45" s="172">
        <v>62000</v>
      </c>
      <c r="R45" s="172">
        <f t="shared" si="17"/>
        <v>2400144000</v>
      </c>
      <c r="S45" s="170">
        <v>3226</v>
      </c>
      <c r="T45" s="170">
        <f>T38</f>
        <v>12</v>
      </c>
      <c r="U45" s="172">
        <v>62000</v>
      </c>
      <c r="V45" s="172">
        <f t="shared" si="18"/>
        <v>2400144000</v>
      </c>
      <c r="W45" s="173">
        <f t="shared" si="0"/>
        <v>12000720000</v>
      </c>
    </row>
    <row r="46" spans="1:23" s="156" customFormat="1" ht="29.25" customHeight="1">
      <c r="A46" s="170" t="s">
        <v>51</v>
      </c>
      <c r="B46" s="171" t="s">
        <v>19</v>
      </c>
      <c r="C46" s="170">
        <v>220</v>
      </c>
      <c r="D46" s="170">
        <v>365</v>
      </c>
      <c r="E46" s="172">
        <v>62000</v>
      </c>
      <c r="F46" s="172">
        <f t="shared" si="1"/>
        <v>4978600000</v>
      </c>
      <c r="G46" s="170">
        <v>180</v>
      </c>
      <c r="H46" s="170">
        <v>365</v>
      </c>
      <c r="I46" s="172">
        <v>62000</v>
      </c>
      <c r="J46" s="172">
        <f t="shared" si="15"/>
        <v>4073400000</v>
      </c>
      <c r="K46" s="170">
        <v>180</v>
      </c>
      <c r="L46" s="170">
        <v>365</v>
      </c>
      <c r="M46" s="172">
        <v>62000</v>
      </c>
      <c r="N46" s="172">
        <f t="shared" si="16"/>
        <v>4073400000</v>
      </c>
      <c r="O46" s="170">
        <v>180</v>
      </c>
      <c r="P46" s="170">
        <v>365</v>
      </c>
      <c r="Q46" s="172">
        <v>62000</v>
      </c>
      <c r="R46" s="172">
        <f t="shared" si="17"/>
        <v>4073400000</v>
      </c>
      <c r="S46" s="170">
        <v>180</v>
      </c>
      <c r="T46" s="170">
        <v>365</v>
      </c>
      <c r="U46" s="172">
        <v>62000</v>
      </c>
      <c r="V46" s="172">
        <f t="shared" si="18"/>
        <v>4073400000</v>
      </c>
      <c r="W46" s="184">
        <f t="shared" si="0"/>
        <v>21272200000</v>
      </c>
    </row>
    <row r="47" spans="1:23" s="157" customFormat="1" ht="29.25" customHeight="1">
      <c r="A47" s="170" t="s">
        <v>51</v>
      </c>
      <c r="B47" s="174" t="s">
        <v>124</v>
      </c>
      <c r="C47" s="170">
        <v>220</v>
      </c>
      <c r="D47" s="170">
        <v>11</v>
      </c>
      <c r="E47" s="172">
        <v>62000</v>
      </c>
      <c r="F47" s="172">
        <f t="shared" si="1"/>
        <v>150040000</v>
      </c>
      <c r="G47" s="170">
        <v>180</v>
      </c>
      <c r="H47" s="170">
        <v>11</v>
      </c>
      <c r="I47" s="172">
        <v>62000</v>
      </c>
      <c r="J47" s="172">
        <f t="shared" si="15"/>
        <v>122760000</v>
      </c>
      <c r="K47" s="170">
        <v>180</v>
      </c>
      <c r="L47" s="170">
        <v>11</v>
      </c>
      <c r="M47" s="172">
        <v>62000</v>
      </c>
      <c r="N47" s="172">
        <f t="shared" si="16"/>
        <v>122760000</v>
      </c>
      <c r="O47" s="170">
        <v>180</v>
      </c>
      <c r="P47" s="170">
        <v>11</v>
      </c>
      <c r="Q47" s="172">
        <v>62000</v>
      </c>
      <c r="R47" s="172">
        <f t="shared" si="17"/>
        <v>122760000</v>
      </c>
      <c r="S47" s="170">
        <v>180</v>
      </c>
      <c r="T47" s="170">
        <v>11</v>
      </c>
      <c r="U47" s="172">
        <v>62000</v>
      </c>
      <c r="V47" s="172">
        <f t="shared" si="18"/>
        <v>122760000</v>
      </c>
      <c r="W47" s="184">
        <f t="shared" si="0"/>
        <v>641080000</v>
      </c>
    </row>
    <row r="48" spans="1:23" s="159" customFormat="1" ht="29.25" customHeight="1">
      <c r="A48" s="165" t="s">
        <v>30</v>
      </c>
      <c r="B48" s="166" t="s">
        <v>16</v>
      </c>
      <c r="C48" s="165"/>
      <c r="D48" s="165"/>
      <c r="E48" s="175"/>
      <c r="F48" s="175">
        <f>F49+F52+F55</f>
        <v>5596362000</v>
      </c>
      <c r="G48" s="165"/>
      <c r="H48" s="165"/>
      <c r="I48" s="175"/>
      <c r="J48" s="175">
        <f>J49+J52+J55</f>
        <v>5596362000</v>
      </c>
      <c r="K48" s="165"/>
      <c r="L48" s="165"/>
      <c r="M48" s="175"/>
      <c r="N48" s="175">
        <f>N49+N52+N55</f>
        <v>5596362000</v>
      </c>
      <c r="O48" s="165"/>
      <c r="P48" s="165"/>
      <c r="Q48" s="175"/>
      <c r="R48" s="175">
        <f>R49+R52+R55</f>
        <v>5596362000</v>
      </c>
      <c r="S48" s="165"/>
      <c r="T48" s="165"/>
      <c r="U48" s="175"/>
      <c r="V48" s="175">
        <f>V49+V52+V55</f>
        <v>5596362000</v>
      </c>
      <c r="W48" s="164">
        <f t="shared" si="0"/>
        <v>27981810000</v>
      </c>
    </row>
    <row r="49" spans="1:23" s="156" customFormat="1" ht="29.25" customHeight="1">
      <c r="A49" s="186">
        <v>1</v>
      </c>
      <c r="B49" s="187" t="s">
        <v>17</v>
      </c>
      <c r="C49" s="186"/>
      <c r="D49" s="186"/>
      <c r="E49" s="188"/>
      <c r="F49" s="188">
        <f>F50+F51</f>
        <v>2083800000</v>
      </c>
      <c r="G49" s="186"/>
      <c r="H49" s="186"/>
      <c r="I49" s="188"/>
      <c r="J49" s="188">
        <f>J50+J51</f>
        <v>2083800000</v>
      </c>
      <c r="K49" s="186"/>
      <c r="L49" s="186"/>
      <c r="M49" s="188"/>
      <c r="N49" s="188">
        <f>N50+N51</f>
        <v>2083800000</v>
      </c>
      <c r="O49" s="186"/>
      <c r="P49" s="186"/>
      <c r="Q49" s="188"/>
      <c r="R49" s="188">
        <f>R50+R51</f>
        <v>2083800000</v>
      </c>
      <c r="S49" s="186"/>
      <c r="T49" s="186"/>
      <c r="U49" s="188"/>
      <c r="V49" s="188">
        <f>V50+V51</f>
        <v>2083800000</v>
      </c>
      <c r="W49" s="164">
        <f t="shared" si="0"/>
        <v>10419000000</v>
      </c>
    </row>
    <row r="50" spans="1:23" s="156" customFormat="1" ht="29.25" customHeight="1">
      <c r="A50" s="170" t="s">
        <v>51</v>
      </c>
      <c r="B50" s="174" t="s">
        <v>29</v>
      </c>
      <c r="C50" s="170">
        <v>2300</v>
      </c>
      <c r="D50" s="170">
        <v>5</v>
      </c>
      <c r="E50" s="172">
        <f>E38</f>
        <v>119200</v>
      </c>
      <c r="F50" s="172">
        <f t="shared" si="1"/>
        <v>1370800000</v>
      </c>
      <c r="G50" s="170">
        <v>2300</v>
      </c>
      <c r="H50" s="170">
        <v>5</v>
      </c>
      <c r="I50" s="172">
        <f>I38</f>
        <v>119200</v>
      </c>
      <c r="J50" s="172">
        <f>G50*H50*I50</f>
        <v>1370800000</v>
      </c>
      <c r="K50" s="170">
        <v>2300</v>
      </c>
      <c r="L50" s="170">
        <v>5</v>
      </c>
      <c r="M50" s="172">
        <f>M38</f>
        <v>119200</v>
      </c>
      <c r="N50" s="172">
        <f>K50*L50*M50</f>
        <v>1370800000</v>
      </c>
      <c r="O50" s="170">
        <v>2300</v>
      </c>
      <c r="P50" s="170">
        <v>5</v>
      </c>
      <c r="Q50" s="172">
        <f>Q38</f>
        <v>119200</v>
      </c>
      <c r="R50" s="172">
        <f>O50*P50*Q50</f>
        <v>1370800000</v>
      </c>
      <c r="S50" s="170">
        <v>2300</v>
      </c>
      <c r="T50" s="170">
        <v>5</v>
      </c>
      <c r="U50" s="172">
        <f>U38</f>
        <v>119200</v>
      </c>
      <c r="V50" s="172">
        <f>S50*T50*U50</f>
        <v>1370800000</v>
      </c>
      <c r="W50" s="173">
        <f t="shared" si="0"/>
        <v>6854000000</v>
      </c>
    </row>
    <row r="51" spans="1:23" s="159" customFormat="1" ht="29.25" customHeight="1">
      <c r="A51" s="170" t="s">
        <v>51</v>
      </c>
      <c r="B51" s="174" t="s">
        <v>28</v>
      </c>
      <c r="C51" s="170">
        <v>2300</v>
      </c>
      <c r="D51" s="170">
        <v>5</v>
      </c>
      <c r="E51" s="172">
        <f>E47</f>
        <v>62000</v>
      </c>
      <c r="F51" s="172">
        <f t="shared" si="1"/>
        <v>713000000</v>
      </c>
      <c r="G51" s="170">
        <v>2300</v>
      </c>
      <c r="H51" s="170">
        <v>5</v>
      </c>
      <c r="I51" s="172">
        <f>I47</f>
        <v>62000</v>
      </c>
      <c r="J51" s="172">
        <f>G51*H51*I51</f>
        <v>713000000</v>
      </c>
      <c r="K51" s="170">
        <v>2300</v>
      </c>
      <c r="L51" s="170">
        <v>5</v>
      </c>
      <c r="M51" s="172">
        <f>M47</f>
        <v>62000</v>
      </c>
      <c r="N51" s="172">
        <f>K51*L51*M51</f>
        <v>713000000</v>
      </c>
      <c r="O51" s="170">
        <v>2300</v>
      </c>
      <c r="P51" s="170">
        <v>5</v>
      </c>
      <c r="Q51" s="172">
        <f>Q47</f>
        <v>62000</v>
      </c>
      <c r="R51" s="172">
        <f>O51*P51*Q51</f>
        <v>713000000</v>
      </c>
      <c r="S51" s="170">
        <v>2300</v>
      </c>
      <c r="T51" s="170">
        <v>5</v>
      </c>
      <c r="U51" s="172">
        <f>U47</f>
        <v>62000</v>
      </c>
      <c r="V51" s="172">
        <f>S51*T51*U51</f>
        <v>713000000</v>
      </c>
      <c r="W51" s="173">
        <f t="shared" si="0"/>
        <v>3565000000</v>
      </c>
    </row>
    <row r="52" spans="1:23" s="156" customFormat="1" ht="29.25" customHeight="1">
      <c r="A52" s="186">
        <v>2</v>
      </c>
      <c r="B52" s="189" t="s">
        <v>40</v>
      </c>
      <c r="C52" s="186"/>
      <c r="D52" s="190"/>
      <c r="E52" s="191"/>
      <c r="F52" s="188">
        <f>F53+F54</f>
        <v>2634648000</v>
      </c>
      <c r="G52" s="186"/>
      <c r="H52" s="190"/>
      <c r="I52" s="191"/>
      <c r="J52" s="188">
        <f>J53+J54</f>
        <v>2634648000</v>
      </c>
      <c r="K52" s="186"/>
      <c r="L52" s="190"/>
      <c r="M52" s="191"/>
      <c r="N52" s="188">
        <f>N53+N54</f>
        <v>2634648000</v>
      </c>
      <c r="O52" s="186"/>
      <c r="P52" s="190"/>
      <c r="Q52" s="191"/>
      <c r="R52" s="188">
        <f>R53+R54</f>
        <v>2634648000</v>
      </c>
      <c r="S52" s="186"/>
      <c r="T52" s="190"/>
      <c r="U52" s="191"/>
      <c r="V52" s="188">
        <f>V53+V54</f>
        <v>2634648000</v>
      </c>
      <c r="W52" s="164">
        <f t="shared" si="0"/>
        <v>13173240000</v>
      </c>
    </row>
    <row r="53" spans="1:23" s="156" customFormat="1" ht="29.25" customHeight="1">
      <c r="A53" s="170" t="s">
        <v>51</v>
      </c>
      <c r="B53" s="174" t="s">
        <v>29</v>
      </c>
      <c r="C53" s="170">
        <v>1454</v>
      </c>
      <c r="D53" s="192">
        <v>10</v>
      </c>
      <c r="E53" s="193">
        <f>E50</f>
        <v>119200</v>
      </c>
      <c r="F53" s="172">
        <f t="shared" si="1"/>
        <v>1733168000</v>
      </c>
      <c r="G53" s="170">
        <v>1454</v>
      </c>
      <c r="H53" s="192">
        <v>10</v>
      </c>
      <c r="I53" s="193">
        <f>I50</f>
        <v>119200</v>
      </c>
      <c r="J53" s="172">
        <f>G53*H53*I53</f>
        <v>1733168000</v>
      </c>
      <c r="K53" s="170">
        <v>1454</v>
      </c>
      <c r="L53" s="192">
        <v>10</v>
      </c>
      <c r="M53" s="193">
        <f>M50</f>
        <v>119200</v>
      </c>
      <c r="N53" s="172">
        <f>K53*L53*M53</f>
        <v>1733168000</v>
      </c>
      <c r="O53" s="170">
        <v>1454</v>
      </c>
      <c r="P53" s="192">
        <v>10</v>
      </c>
      <c r="Q53" s="193">
        <f>Q50</f>
        <v>119200</v>
      </c>
      <c r="R53" s="172">
        <f>O53*P53*Q53</f>
        <v>1733168000</v>
      </c>
      <c r="S53" s="170">
        <v>1454</v>
      </c>
      <c r="T53" s="192">
        <v>10</v>
      </c>
      <c r="U53" s="193">
        <f>U50</f>
        <v>119200</v>
      </c>
      <c r="V53" s="172">
        <f>S53*T53*U53</f>
        <v>1733168000</v>
      </c>
      <c r="W53" s="173">
        <f t="shared" si="0"/>
        <v>8665840000</v>
      </c>
    </row>
    <row r="54" spans="1:23" s="159" customFormat="1" ht="45" customHeight="1">
      <c r="A54" s="170" t="s">
        <v>51</v>
      </c>
      <c r="B54" s="174" t="s">
        <v>28</v>
      </c>
      <c r="C54" s="170">
        <v>1454</v>
      </c>
      <c r="D54" s="192">
        <v>10</v>
      </c>
      <c r="E54" s="193">
        <f>E51</f>
        <v>62000</v>
      </c>
      <c r="F54" s="172">
        <f t="shared" si="1"/>
        <v>901480000</v>
      </c>
      <c r="G54" s="170">
        <v>1454</v>
      </c>
      <c r="H54" s="192">
        <v>10</v>
      </c>
      <c r="I54" s="193">
        <f>I51</f>
        <v>62000</v>
      </c>
      <c r="J54" s="172">
        <f>G54*H54*I54</f>
        <v>901480000</v>
      </c>
      <c r="K54" s="170">
        <v>1454</v>
      </c>
      <c r="L54" s="192">
        <v>10</v>
      </c>
      <c r="M54" s="193">
        <f>M51</f>
        <v>62000</v>
      </c>
      <c r="N54" s="172">
        <f>K54*L54*M54</f>
        <v>901480000</v>
      </c>
      <c r="O54" s="170">
        <v>1454</v>
      </c>
      <c r="P54" s="192">
        <v>10</v>
      </c>
      <c r="Q54" s="193">
        <f>Q51</f>
        <v>62000</v>
      </c>
      <c r="R54" s="172">
        <f>O54*P54*Q54</f>
        <v>901480000</v>
      </c>
      <c r="S54" s="170">
        <v>1454</v>
      </c>
      <c r="T54" s="192">
        <v>10</v>
      </c>
      <c r="U54" s="193">
        <f>U51</f>
        <v>62000</v>
      </c>
      <c r="V54" s="172">
        <f>S54*T54*U54</f>
        <v>901480000</v>
      </c>
      <c r="W54" s="173">
        <f t="shared" si="0"/>
        <v>4507400000</v>
      </c>
    </row>
    <row r="55" spans="1:23" s="156" customFormat="1" ht="45" customHeight="1">
      <c r="A55" s="186">
        <v>3</v>
      </c>
      <c r="B55" s="189" t="s">
        <v>121</v>
      </c>
      <c r="C55" s="186"/>
      <c r="D55" s="190"/>
      <c r="E55" s="191"/>
      <c r="F55" s="188">
        <f>F56+F57</f>
        <v>877914000</v>
      </c>
      <c r="G55" s="186"/>
      <c r="H55" s="190"/>
      <c r="I55" s="191"/>
      <c r="J55" s="188">
        <f>J56+J57</f>
        <v>877914000</v>
      </c>
      <c r="K55" s="186"/>
      <c r="L55" s="190"/>
      <c r="M55" s="191"/>
      <c r="N55" s="188">
        <f>N56+N57</f>
        <v>877914000</v>
      </c>
      <c r="O55" s="186"/>
      <c r="P55" s="190"/>
      <c r="Q55" s="191"/>
      <c r="R55" s="188">
        <f>R56+R57</f>
        <v>877914000</v>
      </c>
      <c r="S55" s="186"/>
      <c r="T55" s="190"/>
      <c r="U55" s="191"/>
      <c r="V55" s="188">
        <f>V56+V57</f>
        <v>877914000</v>
      </c>
      <c r="W55" s="164">
        <f t="shared" si="0"/>
        <v>4389570000</v>
      </c>
    </row>
    <row r="56" spans="1:23" s="156" customFormat="1" ht="45" customHeight="1">
      <c r="A56" s="170" t="s">
        <v>51</v>
      </c>
      <c r="B56" s="174" t="s">
        <v>123</v>
      </c>
      <c r="C56" s="170">
        <v>323</v>
      </c>
      <c r="D56" s="192">
        <v>15</v>
      </c>
      <c r="E56" s="193">
        <f>E53</f>
        <v>119200</v>
      </c>
      <c r="F56" s="172">
        <f t="shared" si="1"/>
        <v>577524000</v>
      </c>
      <c r="G56" s="170">
        <v>323</v>
      </c>
      <c r="H56" s="192">
        <v>15</v>
      </c>
      <c r="I56" s="193">
        <f>I53</f>
        <v>119200</v>
      </c>
      <c r="J56" s="172">
        <f>G56*H56*I56</f>
        <v>577524000</v>
      </c>
      <c r="K56" s="170">
        <v>323</v>
      </c>
      <c r="L56" s="192">
        <v>15</v>
      </c>
      <c r="M56" s="193">
        <f>M53</f>
        <v>119200</v>
      </c>
      <c r="N56" s="172">
        <f>K56*L56*M56</f>
        <v>577524000</v>
      </c>
      <c r="O56" s="170">
        <v>323</v>
      </c>
      <c r="P56" s="192">
        <v>15</v>
      </c>
      <c r="Q56" s="193">
        <f>Q53</f>
        <v>119200</v>
      </c>
      <c r="R56" s="172">
        <f>O56*P56*Q56</f>
        <v>577524000</v>
      </c>
      <c r="S56" s="170">
        <v>323</v>
      </c>
      <c r="T56" s="192">
        <v>15</v>
      </c>
      <c r="U56" s="193">
        <f>U53</f>
        <v>119200</v>
      </c>
      <c r="V56" s="172">
        <f>S56*T56*U56</f>
        <v>577524000</v>
      </c>
      <c r="W56" s="173">
        <f t="shared" si="0"/>
        <v>2887620000</v>
      </c>
    </row>
    <row r="57" spans="1:23" s="156" customFormat="1" ht="47.25" customHeight="1">
      <c r="A57" s="170" t="s">
        <v>51</v>
      </c>
      <c r="B57" s="174" t="s">
        <v>122</v>
      </c>
      <c r="C57" s="170">
        <v>323</v>
      </c>
      <c r="D57" s="192">
        <v>15</v>
      </c>
      <c r="E57" s="193">
        <f>E54</f>
        <v>62000</v>
      </c>
      <c r="F57" s="172">
        <f t="shared" si="1"/>
        <v>300390000</v>
      </c>
      <c r="G57" s="170">
        <v>323</v>
      </c>
      <c r="H57" s="192">
        <v>15</v>
      </c>
      <c r="I57" s="193">
        <f>I54</f>
        <v>62000</v>
      </c>
      <c r="J57" s="172">
        <f>G57*H57*I57</f>
        <v>300390000</v>
      </c>
      <c r="K57" s="170">
        <v>323</v>
      </c>
      <c r="L57" s="192">
        <v>15</v>
      </c>
      <c r="M57" s="193">
        <f>M54</f>
        <v>62000</v>
      </c>
      <c r="N57" s="172">
        <f>K57*L57*M57</f>
        <v>300390000</v>
      </c>
      <c r="O57" s="170">
        <v>323</v>
      </c>
      <c r="P57" s="192">
        <v>15</v>
      </c>
      <c r="Q57" s="193">
        <f>Q54</f>
        <v>62000</v>
      </c>
      <c r="R57" s="172">
        <f>O57*P57*Q57</f>
        <v>300390000</v>
      </c>
      <c r="S57" s="170">
        <v>323</v>
      </c>
      <c r="T57" s="192">
        <v>15</v>
      </c>
      <c r="U57" s="193">
        <f>U54</f>
        <v>62000</v>
      </c>
      <c r="V57" s="172">
        <f>S57*T57*U57</f>
        <v>300390000</v>
      </c>
      <c r="W57" s="173">
        <f t="shared" si="0"/>
        <v>1501950000</v>
      </c>
    </row>
    <row r="58" spans="1:23" s="156" customFormat="1" ht="33.75" customHeight="1">
      <c r="A58" s="194" t="s">
        <v>31</v>
      </c>
      <c r="B58" s="195" t="s">
        <v>61</v>
      </c>
      <c r="C58" s="194"/>
      <c r="D58" s="194"/>
      <c r="E58" s="196"/>
      <c r="F58" s="175">
        <f>F59+F60+F60+F61+F62</f>
        <v>2824539000</v>
      </c>
      <c r="G58" s="194"/>
      <c r="H58" s="194"/>
      <c r="I58" s="196"/>
      <c r="J58" s="175">
        <f>J59+J60+J60+J61+J62</f>
        <v>2824539000</v>
      </c>
      <c r="K58" s="194"/>
      <c r="L58" s="194"/>
      <c r="M58" s="196"/>
      <c r="N58" s="175">
        <f>N59+N60+N60+N61+N62</f>
        <v>2824539000</v>
      </c>
      <c r="O58" s="194"/>
      <c r="P58" s="194"/>
      <c r="Q58" s="196"/>
      <c r="R58" s="175">
        <f>R59+R60+R60+R61+R62</f>
        <v>2824539000</v>
      </c>
      <c r="S58" s="194"/>
      <c r="T58" s="194"/>
      <c r="U58" s="196"/>
      <c r="V58" s="175">
        <f>V59+V60+V60+V61+V62</f>
        <v>2824539000</v>
      </c>
      <c r="W58" s="164">
        <f t="shared" si="0"/>
        <v>14122695000</v>
      </c>
    </row>
    <row r="59" spans="1:23" s="156" customFormat="1" ht="23.25" customHeight="1">
      <c r="A59" s="197" t="s">
        <v>20</v>
      </c>
      <c r="B59" s="198" t="s">
        <v>138</v>
      </c>
      <c r="C59" s="199">
        <f>102+59+22</f>
        <v>183</v>
      </c>
      <c r="D59" s="199">
        <v>365</v>
      </c>
      <c r="E59" s="200">
        <v>4200</v>
      </c>
      <c r="F59" s="172">
        <f t="shared" si="1"/>
        <v>280539000</v>
      </c>
      <c r="G59" s="199">
        <f>102+59+22</f>
        <v>183</v>
      </c>
      <c r="H59" s="199">
        <v>365</v>
      </c>
      <c r="I59" s="200">
        <v>4200</v>
      </c>
      <c r="J59" s="172">
        <f>G59*H59*I59</f>
        <v>280539000</v>
      </c>
      <c r="K59" s="199">
        <f>102+59+22</f>
        <v>183</v>
      </c>
      <c r="L59" s="199">
        <v>365</v>
      </c>
      <c r="M59" s="200">
        <v>4200</v>
      </c>
      <c r="N59" s="172">
        <f>K59*L59*M59</f>
        <v>280539000</v>
      </c>
      <c r="O59" s="199">
        <f>102+59+22</f>
        <v>183</v>
      </c>
      <c r="P59" s="199">
        <v>365</v>
      </c>
      <c r="Q59" s="200">
        <v>4200</v>
      </c>
      <c r="R59" s="172">
        <f>O59*P59*Q59</f>
        <v>280539000</v>
      </c>
      <c r="S59" s="199">
        <f>102+59+22</f>
        <v>183</v>
      </c>
      <c r="T59" s="199">
        <v>365</v>
      </c>
      <c r="U59" s="200">
        <v>4200</v>
      </c>
      <c r="V59" s="172">
        <f>S59*T59*U59</f>
        <v>280539000</v>
      </c>
      <c r="W59" s="173">
        <f t="shared" si="0"/>
        <v>1402695000</v>
      </c>
    </row>
    <row r="60" spans="1:23" s="156" customFormat="1" ht="39.75" customHeight="1">
      <c r="A60" s="201" t="s">
        <v>21</v>
      </c>
      <c r="B60" s="202" t="s">
        <v>119</v>
      </c>
      <c r="C60" s="203">
        <v>22</v>
      </c>
      <c r="D60" s="199">
        <v>12</v>
      </c>
      <c r="E60" s="204">
        <v>4500000</v>
      </c>
      <c r="F60" s="172">
        <f>C60*E60</f>
        <v>99000000</v>
      </c>
      <c r="G60" s="203">
        <v>22</v>
      </c>
      <c r="H60" s="199">
        <v>12</v>
      </c>
      <c r="I60" s="204">
        <v>4500000</v>
      </c>
      <c r="J60" s="172">
        <f>G60*I60</f>
        <v>99000000</v>
      </c>
      <c r="K60" s="203">
        <v>22</v>
      </c>
      <c r="L60" s="199">
        <v>12</v>
      </c>
      <c r="M60" s="204">
        <v>4500000</v>
      </c>
      <c r="N60" s="172">
        <f>K60*M60</f>
        <v>99000000</v>
      </c>
      <c r="O60" s="203">
        <v>22</v>
      </c>
      <c r="P60" s="199">
        <v>12</v>
      </c>
      <c r="Q60" s="204">
        <v>4500000</v>
      </c>
      <c r="R60" s="172">
        <f>O60*Q60</f>
        <v>99000000</v>
      </c>
      <c r="S60" s="203">
        <v>22</v>
      </c>
      <c r="T60" s="199">
        <v>12</v>
      </c>
      <c r="U60" s="204">
        <v>4500000</v>
      </c>
      <c r="V60" s="172">
        <f>S60*U60</f>
        <v>99000000</v>
      </c>
      <c r="W60" s="173">
        <f t="shared" si="0"/>
        <v>495000000</v>
      </c>
    </row>
    <row r="61" spans="1:23" s="156" customFormat="1" ht="29.25" customHeight="1">
      <c r="A61" s="201">
        <v>3</v>
      </c>
      <c r="B61" s="205" t="s">
        <v>120</v>
      </c>
      <c r="C61" s="203">
        <v>102</v>
      </c>
      <c r="D61" s="199">
        <v>12</v>
      </c>
      <c r="E61" s="204">
        <v>20000000</v>
      </c>
      <c r="F61" s="172">
        <f>E61*C61</f>
        <v>2040000000</v>
      </c>
      <c r="G61" s="203">
        <v>102</v>
      </c>
      <c r="H61" s="199">
        <v>12</v>
      </c>
      <c r="I61" s="204">
        <v>20000000</v>
      </c>
      <c r="J61" s="172">
        <f>I61*G61</f>
        <v>2040000000</v>
      </c>
      <c r="K61" s="203">
        <v>102</v>
      </c>
      <c r="L61" s="199">
        <v>12</v>
      </c>
      <c r="M61" s="204">
        <v>20000000</v>
      </c>
      <c r="N61" s="172">
        <f>M61*K61</f>
        <v>2040000000</v>
      </c>
      <c r="O61" s="203">
        <v>102</v>
      </c>
      <c r="P61" s="199">
        <v>12</v>
      </c>
      <c r="Q61" s="204">
        <v>20000000</v>
      </c>
      <c r="R61" s="172">
        <f>Q61*O61</f>
        <v>2040000000</v>
      </c>
      <c r="S61" s="203">
        <v>102</v>
      </c>
      <c r="T61" s="199">
        <v>12</v>
      </c>
      <c r="U61" s="204">
        <v>20000000</v>
      </c>
      <c r="V61" s="172">
        <f>U61*S61</f>
        <v>2040000000</v>
      </c>
      <c r="W61" s="173">
        <f t="shared" si="0"/>
        <v>10200000000</v>
      </c>
    </row>
    <row r="62" spans="1:23" s="157" customFormat="1" ht="29.25" customHeight="1">
      <c r="A62" s="206">
        <v>4</v>
      </c>
      <c r="B62" s="207" t="s">
        <v>126</v>
      </c>
      <c r="C62" s="208">
        <v>102</v>
      </c>
      <c r="D62" s="208">
        <v>12</v>
      </c>
      <c r="E62" s="209">
        <v>3000000</v>
      </c>
      <c r="F62" s="210">
        <f>C62*E62</f>
        <v>306000000</v>
      </c>
      <c r="G62" s="208">
        <v>102</v>
      </c>
      <c r="H62" s="208">
        <v>12</v>
      </c>
      <c r="I62" s="209">
        <v>3000000</v>
      </c>
      <c r="J62" s="210">
        <f>G62*I62</f>
        <v>306000000</v>
      </c>
      <c r="K62" s="208">
        <v>102</v>
      </c>
      <c r="L62" s="208">
        <v>12</v>
      </c>
      <c r="M62" s="209">
        <v>3000000</v>
      </c>
      <c r="N62" s="210">
        <f>K62*M62</f>
        <v>306000000</v>
      </c>
      <c r="O62" s="208">
        <v>102</v>
      </c>
      <c r="P62" s="208">
        <v>12</v>
      </c>
      <c r="Q62" s="209">
        <v>3000000</v>
      </c>
      <c r="R62" s="210">
        <f>O62*Q62</f>
        <v>306000000</v>
      </c>
      <c r="S62" s="208">
        <v>102</v>
      </c>
      <c r="T62" s="208">
        <v>12</v>
      </c>
      <c r="U62" s="209">
        <v>3000000</v>
      </c>
      <c r="V62" s="210">
        <f>S62*U62</f>
        <v>306000000</v>
      </c>
      <c r="W62" s="173">
        <f t="shared" si="0"/>
        <v>1530000000</v>
      </c>
    </row>
    <row r="63" spans="1:23" s="157" customFormat="1" ht="29.25" customHeight="1">
      <c r="A63" s="211" t="s">
        <v>107</v>
      </c>
      <c r="B63" s="212" t="s">
        <v>135</v>
      </c>
      <c r="C63" s="213">
        <v>110</v>
      </c>
      <c r="D63" s="213"/>
      <c r="E63" s="214">
        <v>2980000</v>
      </c>
      <c r="F63" s="215">
        <f>C63*E63</f>
        <v>327800000</v>
      </c>
      <c r="G63" s="213">
        <v>90</v>
      </c>
      <c r="H63" s="213"/>
      <c r="I63" s="214">
        <v>2980000</v>
      </c>
      <c r="J63" s="215">
        <f>G63*I63</f>
        <v>268200000</v>
      </c>
      <c r="K63" s="213">
        <v>90</v>
      </c>
      <c r="L63" s="213"/>
      <c r="M63" s="214">
        <v>2980000</v>
      </c>
      <c r="N63" s="215">
        <f>K63*M63</f>
        <v>268200000</v>
      </c>
      <c r="O63" s="213">
        <v>90</v>
      </c>
      <c r="P63" s="213"/>
      <c r="Q63" s="214">
        <v>2980000</v>
      </c>
      <c r="R63" s="215">
        <f>O63*Q63</f>
        <v>268200000</v>
      </c>
      <c r="S63" s="213">
        <v>90</v>
      </c>
      <c r="T63" s="213"/>
      <c r="U63" s="214">
        <v>2980000</v>
      </c>
      <c r="V63" s="215">
        <f>S63*U63</f>
        <v>268200000</v>
      </c>
      <c r="W63" s="164">
        <f t="shared" si="0"/>
        <v>1400600000</v>
      </c>
    </row>
    <row r="64" spans="1:23" s="156" customFormat="1" ht="45" customHeight="1">
      <c r="A64" s="216" t="s">
        <v>108</v>
      </c>
      <c r="B64" s="217" t="s">
        <v>136</v>
      </c>
      <c r="C64" s="216"/>
      <c r="D64" s="216"/>
      <c r="E64" s="216"/>
      <c r="F64" s="216">
        <v>7900000000</v>
      </c>
      <c r="G64" s="216"/>
      <c r="H64" s="216"/>
      <c r="I64" s="216"/>
      <c r="J64" s="216">
        <v>7900000000</v>
      </c>
      <c r="K64" s="216"/>
      <c r="L64" s="216"/>
      <c r="M64" s="216"/>
      <c r="N64" s="216">
        <v>7900000000</v>
      </c>
      <c r="O64" s="216"/>
      <c r="P64" s="216"/>
      <c r="Q64" s="216"/>
      <c r="R64" s="216">
        <v>7900000000</v>
      </c>
      <c r="S64" s="216"/>
      <c r="T64" s="216"/>
      <c r="U64" s="216"/>
      <c r="V64" s="216">
        <v>7900000000</v>
      </c>
      <c r="W64" s="164">
        <f t="shared" si="0"/>
        <v>39500000000</v>
      </c>
    </row>
    <row r="65" spans="1:23" s="102" customFormat="1" ht="28.5">
      <c r="A65" s="216" t="s">
        <v>116</v>
      </c>
      <c r="B65" s="217" t="s">
        <v>137</v>
      </c>
      <c r="C65" s="216">
        <v>2</v>
      </c>
      <c r="D65" s="216"/>
      <c r="E65" s="219">
        <v>6700000000</v>
      </c>
      <c r="F65" s="219">
        <f>E65*C65</f>
        <v>13400000000</v>
      </c>
      <c r="G65" s="219">
        <v>2</v>
      </c>
      <c r="H65" s="219"/>
      <c r="I65" s="219">
        <v>6700000000</v>
      </c>
      <c r="J65" s="219">
        <f>I65*G65</f>
        <v>13400000000</v>
      </c>
      <c r="K65" s="220">
        <v>2</v>
      </c>
      <c r="L65" s="219"/>
      <c r="M65" s="219">
        <v>6700000000</v>
      </c>
      <c r="N65" s="219">
        <f>M65*K65</f>
        <v>13400000000</v>
      </c>
      <c r="O65" s="218">
        <v>3</v>
      </c>
      <c r="P65" s="216"/>
      <c r="Q65" s="216">
        <v>6700000000</v>
      </c>
      <c r="R65" s="216">
        <f>Q65*O65</f>
        <v>20100000000</v>
      </c>
      <c r="S65" s="218">
        <v>3</v>
      </c>
      <c r="T65" s="216"/>
      <c r="U65" s="216">
        <v>6700000000</v>
      </c>
      <c r="V65" s="216">
        <f>U65*S65</f>
        <v>20100000000</v>
      </c>
      <c r="W65" s="164">
        <f t="shared" si="0"/>
        <v>80400000000</v>
      </c>
    </row>
    <row r="66" spans="1:23" s="102" customFormat="1" ht="15.75">
      <c r="A66" s="228" t="s">
        <v>139</v>
      </c>
      <c r="B66" s="228"/>
      <c r="C66" s="147"/>
      <c r="D66" s="147"/>
      <c r="E66" s="148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</row>
    <row r="67" spans="1:23" ht="15.75">
      <c r="A67" s="229"/>
      <c r="B67" s="229"/>
      <c r="C67" s="147"/>
      <c r="D67" s="147"/>
      <c r="E67" s="148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</row>
    <row r="68" spans="1:2" ht="15.75">
      <c r="A68" s="229"/>
      <c r="B68" s="229"/>
    </row>
    <row r="69" spans="1:2" ht="15.75">
      <c r="A69" s="229"/>
      <c r="B69" s="229"/>
    </row>
    <row r="70" spans="1:2" ht="15.75">
      <c r="A70" s="229"/>
      <c r="B70" s="229"/>
    </row>
    <row r="71" spans="1:2" ht="15.75">
      <c r="A71" s="229"/>
      <c r="B71" s="229"/>
    </row>
    <row r="72" spans="1:2" ht="15.75">
      <c r="A72" s="229"/>
      <c r="B72" s="229"/>
    </row>
  </sheetData>
  <sheetProtection/>
  <mergeCells count="10">
    <mergeCell ref="A66:B72"/>
    <mergeCell ref="A1:W1"/>
    <mergeCell ref="S3:V3"/>
    <mergeCell ref="W3:W4"/>
    <mergeCell ref="A3:A4"/>
    <mergeCell ref="B3:B4"/>
    <mergeCell ref="C3:F3"/>
    <mergeCell ref="G3:J3"/>
    <mergeCell ref="K3:N3"/>
    <mergeCell ref="O3:R3"/>
  </mergeCells>
  <printOptions/>
  <pageMargins left="0.2362204724409449" right="0.15748031496062992" top="0.2362204724409449" bottom="0.2362204724409449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E1">
      <selection activeCell="M65" sqref="M65:Q69"/>
    </sheetView>
  </sheetViews>
  <sheetFormatPr defaultColWidth="9.140625" defaultRowHeight="12.75"/>
  <cols>
    <col min="1" max="1" width="6.140625" style="86" customWidth="1"/>
    <col min="2" max="2" width="53.28125" style="6" customWidth="1"/>
    <col min="3" max="3" width="10.28125" style="86" customWidth="1"/>
    <col min="4" max="4" width="9.421875" style="6" customWidth="1"/>
    <col min="5" max="5" width="8.7109375" style="86" customWidth="1"/>
    <col min="6" max="6" width="10.140625" style="87" customWidth="1"/>
    <col min="7" max="7" width="13.7109375" style="86" customWidth="1"/>
    <col min="8" max="8" width="10.28125" style="86" customWidth="1"/>
    <col min="9" max="9" width="9.421875" style="6" customWidth="1"/>
    <col min="10" max="10" width="8.7109375" style="86" customWidth="1"/>
    <col min="11" max="11" width="10.57421875" style="87" customWidth="1"/>
    <col min="12" max="12" width="14.57421875" style="86" customWidth="1"/>
    <col min="13" max="13" width="10.28125" style="86" customWidth="1"/>
    <col min="14" max="14" width="9.421875" style="6" customWidth="1"/>
    <col min="15" max="15" width="8.7109375" style="86" customWidth="1"/>
    <col min="16" max="16" width="11.28125" style="87" customWidth="1"/>
    <col min="17" max="17" width="14.421875" style="86" customWidth="1"/>
    <col min="18" max="18" width="10.28125" style="86" customWidth="1"/>
    <col min="19" max="19" width="14.140625" style="6" customWidth="1"/>
    <col min="20" max="20" width="16.7109375" style="6" bestFit="1" customWidth="1"/>
    <col min="21" max="16384" width="9.140625" style="6" customWidth="1"/>
  </cols>
  <sheetData>
    <row r="1" spans="1:18" ht="45.75" customHeight="1">
      <c r="A1" s="238" t="s">
        <v>55</v>
      </c>
      <c r="B1" s="238"/>
      <c r="C1" s="238"/>
      <c r="D1" s="238"/>
      <c r="E1" s="238"/>
      <c r="F1" s="238"/>
      <c r="G1" s="238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customHeight="1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9" s="10" customFormat="1" ht="24.75" customHeight="1">
      <c r="A4" s="239" t="s">
        <v>0</v>
      </c>
      <c r="B4" s="239" t="s">
        <v>1</v>
      </c>
      <c r="C4" s="242" t="s">
        <v>100</v>
      </c>
      <c r="D4" s="243"/>
      <c r="E4" s="243"/>
      <c r="F4" s="243"/>
      <c r="G4" s="244"/>
      <c r="H4" s="242" t="s">
        <v>100</v>
      </c>
      <c r="I4" s="243"/>
      <c r="J4" s="243"/>
      <c r="K4" s="243"/>
      <c r="L4" s="244"/>
      <c r="M4" s="242" t="s">
        <v>49</v>
      </c>
      <c r="N4" s="243"/>
      <c r="O4" s="243"/>
      <c r="P4" s="243"/>
      <c r="Q4" s="244"/>
      <c r="R4" s="245" t="s">
        <v>99</v>
      </c>
      <c r="S4" s="246"/>
    </row>
    <row r="5" spans="1:19" s="10" customFormat="1" ht="49.5" customHeight="1">
      <c r="A5" s="240" t="s">
        <v>0</v>
      </c>
      <c r="B5" s="240"/>
      <c r="C5" s="242" t="s">
        <v>78</v>
      </c>
      <c r="D5" s="243"/>
      <c r="E5" s="243"/>
      <c r="F5" s="243"/>
      <c r="G5" s="244"/>
      <c r="H5" s="242" t="s">
        <v>82</v>
      </c>
      <c r="I5" s="243"/>
      <c r="J5" s="243"/>
      <c r="K5" s="243"/>
      <c r="L5" s="244"/>
      <c r="M5" s="242" t="s">
        <v>79</v>
      </c>
      <c r="N5" s="243"/>
      <c r="O5" s="243"/>
      <c r="P5" s="243"/>
      <c r="Q5" s="244"/>
      <c r="R5" s="247"/>
      <c r="S5" s="248"/>
    </row>
    <row r="6" spans="1:19" s="15" customFormat="1" ht="38.25" customHeight="1">
      <c r="A6" s="241" t="s">
        <v>0</v>
      </c>
      <c r="B6" s="241"/>
      <c r="C6" s="11" t="s">
        <v>74</v>
      </c>
      <c r="D6" s="12" t="s">
        <v>75</v>
      </c>
      <c r="E6" s="11" t="s">
        <v>76</v>
      </c>
      <c r="F6" s="13" t="s">
        <v>77</v>
      </c>
      <c r="G6" s="11" t="s">
        <v>46</v>
      </c>
      <c r="H6" s="11" t="s">
        <v>74</v>
      </c>
      <c r="I6" s="12" t="s">
        <v>75</v>
      </c>
      <c r="J6" s="11" t="s">
        <v>76</v>
      </c>
      <c r="K6" s="13" t="s">
        <v>77</v>
      </c>
      <c r="L6" s="11" t="s">
        <v>46</v>
      </c>
      <c r="M6" s="11" t="s">
        <v>74</v>
      </c>
      <c r="N6" s="12" t="s">
        <v>75</v>
      </c>
      <c r="O6" s="11" t="s">
        <v>76</v>
      </c>
      <c r="P6" s="13" t="s">
        <v>77</v>
      </c>
      <c r="Q6" s="11" t="s">
        <v>46</v>
      </c>
      <c r="R6" s="91" t="s">
        <v>96</v>
      </c>
      <c r="S6" s="14" t="s">
        <v>46</v>
      </c>
    </row>
    <row r="7" spans="1:19" s="22" customFormat="1" ht="30" customHeight="1">
      <c r="A7" s="16"/>
      <c r="B7" s="16" t="s">
        <v>86</v>
      </c>
      <c r="C7" s="17"/>
      <c r="D7" s="18"/>
      <c r="E7" s="17"/>
      <c r="F7" s="19"/>
      <c r="G7" s="17">
        <f>G8+G70</f>
        <v>46568000</v>
      </c>
      <c r="H7" s="17"/>
      <c r="I7" s="17"/>
      <c r="J7" s="17"/>
      <c r="K7" s="17"/>
      <c r="L7" s="17">
        <f>L8+L70</f>
        <v>48206851.84</v>
      </c>
      <c r="M7" s="17"/>
      <c r="N7" s="17"/>
      <c r="O7" s="17"/>
      <c r="P7" s="17"/>
      <c r="Q7" s="17">
        <f>Q8+Q70</f>
        <v>52237498</v>
      </c>
      <c r="R7" s="20"/>
      <c r="S7" s="21">
        <f>Q7-L7</f>
        <v>4030646.1599999964</v>
      </c>
    </row>
    <row r="8" spans="1:19" s="15" customFormat="1" ht="22.5" customHeight="1">
      <c r="A8" s="20" t="s">
        <v>42</v>
      </c>
      <c r="B8" s="23" t="s">
        <v>88</v>
      </c>
      <c r="C8" s="20"/>
      <c r="D8" s="24"/>
      <c r="E8" s="20"/>
      <c r="F8" s="25"/>
      <c r="G8" s="20">
        <f>38098000</f>
        <v>38098000</v>
      </c>
      <c r="H8" s="20"/>
      <c r="I8" s="20"/>
      <c r="J8" s="20"/>
      <c r="K8" s="20"/>
      <c r="L8" s="20">
        <f>L9+L10+L11</f>
        <v>39736851.84</v>
      </c>
      <c r="M8" s="20"/>
      <c r="N8" s="20"/>
      <c r="O8" s="20"/>
      <c r="P8" s="20"/>
      <c r="Q8" s="20">
        <f>38098000</f>
        <v>38098000</v>
      </c>
      <c r="R8" s="20"/>
      <c r="S8" s="26">
        <f>Q8-L8</f>
        <v>-1638851.8400000036</v>
      </c>
    </row>
    <row r="9" spans="1:19" s="15" customFormat="1" ht="22.5" customHeight="1">
      <c r="A9" s="20" t="s">
        <v>85</v>
      </c>
      <c r="B9" s="23" t="s">
        <v>83</v>
      </c>
      <c r="C9" s="20"/>
      <c r="D9" s="24"/>
      <c r="E9" s="20"/>
      <c r="F9" s="25"/>
      <c r="G9" s="20">
        <f>G8-G10</f>
        <v>6096629.3999999985</v>
      </c>
      <c r="H9" s="20"/>
      <c r="I9" s="20"/>
      <c r="J9" s="20"/>
      <c r="K9" s="20"/>
      <c r="L9" s="20">
        <f>G9</f>
        <v>6096629.3999999985</v>
      </c>
      <c r="M9" s="20"/>
      <c r="N9" s="20"/>
      <c r="O9" s="20"/>
      <c r="P9" s="20"/>
      <c r="Q9" s="20">
        <f>Q8-Q10</f>
        <v>6154006.920000002</v>
      </c>
      <c r="R9" s="20"/>
      <c r="S9" s="26">
        <f>Q9-L9</f>
        <v>57377.52000000328</v>
      </c>
    </row>
    <row r="10" spans="1:19" s="15" customFormat="1" ht="22.5" customHeight="1">
      <c r="A10" s="20" t="s">
        <v>85</v>
      </c>
      <c r="B10" s="23" t="s">
        <v>84</v>
      </c>
      <c r="C10" s="20"/>
      <c r="D10" s="24"/>
      <c r="E10" s="20"/>
      <c r="F10" s="25"/>
      <c r="G10" s="20">
        <f>G12+G21+G24+G28+G32+G34+G37+G52+G65</f>
        <v>32001370.6</v>
      </c>
      <c r="H10" s="20"/>
      <c r="I10" s="20">
        <f>I12+I21+I24+I28+I32+I34+I37+I52+I65</f>
        <v>0</v>
      </c>
      <c r="J10" s="20">
        <f>J12+J21+J24+J28+J32+J34+J37+J52+J65</f>
        <v>0</v>
      </c>
      <c r="K10" s="20">
        <f>K12+K21+K24+K28+K32+K34+K37+K52+K65</f>
        <v>0</v>
      </c>
      <c r="L10" s="20">
        <f>L12+L21+L24+L28+L32+L34+L37+L52+L65-L11</f>
        <v>31868471.440000005</v>
      </c>
      <c r="M10" s="20"/>
      <c r="N10" s="20"/>
      <c r="O10" s="20"/>
      <c r="P10" s="20"/>
      <c r="Q10" s="20">
        <f>Q12+Q21+Q24+Q28+Q32+Q34+Q37+Q52+Q65</f>
        <v>31943993.08</v>
      </c>
      <c r="R10" s="20"/>
      <c r="S10" s="26">
        <f>Q10-L10</f>
        <v>75521.63999999315</v>
      </c>
    </row>
    <row r="11" spans="1:19" s="22" customFormat="1" ht="40.5" customHeight="1">
      <c r="A11" s="20" t="s">
        <v>85</v>
      </c>
      <c r="B11" s="23" t="s">
        <v>98</v>
      </c>
      <c r="C11" s="20"/>
      <c r="D11" s="24"/>
      <c r="E11" s="20"/>
      <c r="F11" s="25"/>
      <c r="G11" s="20"/>
      <c r="H11" s="20"/>
      <c r="I11" s="20"/>
      <c r="J11" s="20"/>
      <c r="K11" s="20"/>
      <c r="L11" s="20">
        <v>1771751</v>
      </c>
      <c r="M11" s="20"/>
      <c r="N11" s="20"/>
      <c r="O11" s="20"/>
      <c r="P11" s="20"/>
      <c r="Q11" s="20"/>
      <c r="R11" s="20"/>
      <c r="S11" s="26"/>
    </row>
    <row r="12" spans="1:19" s="22" customFormat="1" ht="37.5" customHeight="1">
      <c r="A12" s="27" t="s">
        <v>2</v>
      </c>
      <c r="B12" s="28" t="s">
        <v>64</v>
      </c>
      <c r="C12" s="29">
        <f>SUM(C13:C20)</f>
        <v>2234</v>
      </c>
      <c r="D12" s="28"/>
      <c r="E12" s="29"/>
      <c r="F12" s="30"/>
      <c r="G12" s="29">
        <f>SUM(G13:G20)</f>
        <v>4372944</v>
      </c>
      <c r="H12" s="29">
        <f>SUM(H13:H20)</f>
        <v>2234</v>
      </c>
      <c r="I12" s="28"/>
      <c r="J12" s="29"/>
      <c r="K12" s="30"/>
      <c r="L12" s="29">
        <f>SUM(L13:L20)</f>
        <v>4601097.6</v>
      </c>
      <c r="M12" s="29">
        <f>SUM(M13:M20)</f>
        <v>2041</v>
      </c>
      <c r="N12" s="28"/>
      <c r="O12" s="29"/>
      <c r="P12" s="30"/>
      <c r="Q12" s="29">
        <f>SUM(Q13:Q20)</f>
        <v>4219802.4</v>
      </c>
      <c r="R12" s="20">
        <f aca="true" t="shared" si="0" ref="R12:R43">M12-H12</f>
        <v>-193</v>
      </c>
      <c r="S12" s="26">
        <f aca="true" t="shared" si="1" ref="S12:S43">Q12-L12</f>
        <v>-381295.19999999925</v>
      </c>
    </row>
    <row r="13" spans="1:19" s="15" customFormat="1" ht="22.5" customHeight="1">
      <c r="A13" s="31">
        <v>1</v>
      </c>
      <c r="B13" s="32" t="s">
        <v>34</v>
      </c>
      <c r="C13" s="33">
        <v>664</v>
      </c>
      <c r="D13" s="32">
        <v>0.1</v>
      </c>
      <c r="E13" s="33">
        <v>12</v>
      </c>
      <c r="F13" s="33">
        <v>1150</v>
      </c>
      <c r="G13" s="33">
        <f aca="true" t="shared" si="2" ref="G13:G20">C13*D13*E13*F13</f>
        <v>916320.0000000001</v>
      </c>
      <c r="H13" s="33">
        <v>664</v>
      </c>
      <c r="I13" s="32">
        <v>0.1</v>
      </c>
      <c r="J13" s="33">
        <v>12</v>
      </c>
      <c r="K13" s="33">
        <v>1210</v>
      </c>
      <c r="L13" s="33">
        <f aca="true" t="shared" si="3" ref="L13:L20">H13*I13*J13*K13</f>
        <v>964128.0000000001</v>
      </c>
      <c r="M13" s="33">
        <v>558</v>
      </c>
      <c r="N13" s="32">
        <v>0.1</v>
      </c>
      <c r="O13" s="33">
        <v>12</v>
      </c>
      <c r="P13" s="33">
        <v>1210</v>
      </c>
      <c r="Q13" s="33">
        <f aca="true" t="shared" si="4" ref="Q13:Q20">M13*N13*O13*P13</f>
        <v>810216</v>
      </c>
      <c r="R13" s="34">
        <f t="shared" si="0"/>
        <v>-106</v>
      </c>
      <c r="S13" s="33">
        <f t="shared" si="1"/>
        <v>-153912.00000000012</v>
      </c>
    </row>
    <row r="14" spans="1:19" s="15" customFormat="1" ht="22.5" customHeight="1">
      <c r="A14" s="31">
        <v>2</v>
      </c>
      <c r="B14" s="32" t="s">
        <v>35</v>
      </c>
      <c r="C14" s="33">
        <v>110</v>
      </c>
      <c r="D14" s="32">
        <v>0.12</v>
      </c>
      <c r="E14" s="33">
        <v>12</v>
      </c>
      <c r="F14" s="33">
        <v>1150</v>
      </c>
      <c r="G14" s="33">
        <f t="shared" si="2"/>
        <v>182159.99999999997</v>
      </c>
      <c r="H14" s="33">
        <v>110</v>
      </c>
      <c r="I14" s="32">
        <v>0.12</v>
      </c>
      <c r="J14" s="33">
        <v>12</v>
      </c>
      <c r="K14" s="33">
        <v>1210</v>
      </c>
      <c r="L14" s="33">
        <f t="shared" si="3"/>
        <v>191663.99999999997</v>
      </c>
      <c r="M14" s="33">
        <v>63</v>
      </c>
      <c r="N14" s="32">
        <v>0.12</v>
      </c>
      <c r="O14" s="33">
        <v>12</v>
      </c>
      <c r="P14" s="33">
        <v>1210</v>
      </c>
      <c r="Q14" s="33">
        <f t="shared" si="4"/>
        <v>109771.2</v>
      </c>
      <c r="R14" s="34">
        <f t="shared" si="0"/>
        <v>-47</v>
      </c>
      <c r="S14" s="33">
        <f t="shared" si="1"/>
        <v>-81892.79999999997</v>
      </c>
    </row>
    <row r="15" spans="1:19" s="15" customFormat="1" ht="22.5" customHeight="1">
      <c r="A15" s="31">
        <v>3</v>
      </c>
      <c r="B15" s="32" t="s">
        <v>25</v>
      </c>
      <c r="C15" s="33">
        <v>842</v>
      </c>
      <c r="D15" s="32">
        <v>0.12</v>
      </c>
      <c r="E15" s="33">
        <v>12</v>
      </c>
      <c r="F15" s="33">
        <v>1150</v>
      </c>
      <c r="G15" s="33">
        <f t="shared" si="2"/>
        <v>1394352</v>
      </c>
      <c r="H15" s="33">
        <v>842</v>
      </c>
      <c r="I15" s="32">
        <v>0.12</v>
      </c>
      <c r="J15" s="33">
        <v>12</v>
      </c>
      <c r="K15" s="33">
        <v>1210</v>
      </c>
      <c r="L15" s="33">
        <f t="shared" si="3"/>
        <v>1467100.8</v>
      </c>
      <c r="M15" s="33">
        <v>867</v>
      </c>
      <c r="N15" s="32">
        <v>0.12</v>
      </c>
      <c r="O15" s="33">
        <v>12</v>
      </c>
      <c r="P15" s="33">
        <v>1210</v>
      </c>
      <c r="Q15" s="33">
        <f t="shared" si="4"/>
        <v>1510660.8</v>
      </c>
      <c r="R15" s="34">
        <f t="shared" si="0"/>
        <v>25</v>
      </c>
      <c r="S15" s="33">
        <f t="shared" si="1"/>
        <v>43560</v>
      </c>
    </row>
    <row r="16" spans="1:19" s="15" customFormat="1" ht="22.5" customHeight="1">
      <c r="A16" s="31">
        <v>4</v>
      </c>
      <c r="B16" s="32" t="s">
        <v>36</v>
      </c>
      <c r="C16" s="33">
        <v>136</v>
      </c>
      <c r="D16" s="32">
        <v>0.2</v>
      </c>
      <c r="E16" s="33">
        <v>12</v>
      </c>
      <c r="F16" s="33">
        <v>1150</v>
      </c>
      <c r="G16" s="33">
        <f t="shared" si="2"/>
        <v>375360.00000000006</v>
      </c>
      <c r="H16" s="33">
        <v>136</v>
      </c>
      <c r="I16" s="32">
        <v>0.2</v>
      </c>
      <c r="J16" s="33">
        <v>12</v>
      </c>
      <c r="K16" s="33">
        <v>1210</v>
      </c>
      <c r="L16" s="33">
        <f t="shared" si="3"/>
        <v>394944.00000000006</v>
      </c>
      <c r="M16" s="33">
        <v>117</v>
      </c>
      <c r="N16" s="32">
        <v>0.2</v>
      </c>
      <c r="O16" s="33">
        <v>12</v>
      </c>
      <c r="P16" s="33">
        <v>1210</v>
      </c>
      <c r="Q16" s="33">
        <f t="shared" si="4"/>
        <v>339768</v>
      </c>
      <c r="R16" s="34">
        <f t="shared" si="0"/>
        <v>-19</v>
      </c>
      <c r="S16" s="33">
        <f t="shared" si="1"/>
        <v>-55176.00000000006</v>
      </c>
    </row>
    <row r="17" spans="1:19" s="15" customFormat="1" ht="22.5" customHeight="1">
      <c r="A17" s="31">
        <v>5</v>
      </c>
      <c r="B17" s="32" t="s">
        <v>37</v>
      </c>
      <c r="C17" s="33">
        <v>12</v>
      </c>
      <c r="D17" s="32">
        <v>0.15</v>
      </c>
      <c r="E17" s="33">
        <v>12</v>
      </c>
      <c r="F17" s="33">
        <v>1150</v>
      </c>
      <c r="G17" s="33">
        <f t="shared" si="2"/>
        <v>24839.999999999996</v>
      </c>
      <c r="H17" s="33">
        <v>12</v>
      </c>
      <c r="I17" s="32">
        <v>0.15</v>
      </c>
      <c r="J17" s="33">
        <v>12</v>
      </c>
      <c r="K17" s="33">
        <v>1210</v>
      </c>
      <c r="L17" s="33">
        <f t="shared" si="3"/>
        <v>26135.999999999996</v>
      </c>
      <c r="M17" s="33">
        <v>2</v>
      </c>
      <c r="N17" s="35">
        <v>0.15</v>
      </c>
      <c r="O17" s="33">
        <v>12</v>
      </c>
      <c r="P17" s="33">
        <v>1210</v>
      </c>
      <c r="Q17" s="33">
        <f t="shared" si="4"/>
        <v>4356</v>
      </c>
      <c r="R17" s="34">
        <f t="shared" si="0"/>
        <v>-10</v>
      </c>
      <c r="S17" s="33">
        <f t="shared" si="1"/>
        <v>-21779.999999999996</v>
      </c>
    </row>
    <row r="18" spans="1:19" s="15" customFormat="1" ht="22.5" customHeight="1">
      <c r="A18" s="31">
        <v>6</v>
      </c>
      <c r="B18" s="32" t="s">
        <v>41</v>
      </c>
      <c r="C18" s="31">
        <v>12</v>
      </c>
      <c r="D18" s="32">
        <v>0.2</v>
      </c>
      <c r="E18" s="33">
        <v>12</v>
      </c>
      <c r="F18" s="33">
        <v>1150</v>
      </c>
      <c r="G18" s="33">
        <f t="shared" si="2"/>
        <v>33120.00000000001</v>
      </c>
      <c r="H18" s="31">
        <v>12</v>
      </c>
      <c r="I18" s="32">
        <v>0.2</v>
      </c>
      <c r="J18" s="33">
        <v>12</v>
      </c>
      <c r="K18" s="33">
        <v>1210</v>
      </c>
      <c r="L18" s="33">
        <f t="shared" si="3"/>
        <v>34848.00000000001</v>
      </c>
      <c r="M18" s="31">
        <v>2</v>
      </c>
      <c r="N18" s="32">
        <v>0.2</v>
      </c>
      <c r="O18" s="33">
        <v>12</v>
      </c>
      <c r="P18" s="33">
        <v>1210</v>
      </c>
      <c r="Q18" s="33">
        <f t="shared" si="4"/>
        <v>5808.000000000001</v>
      </c>
      <c r="R18" s="34">
        <f t="shared" si="0"/>
        <v>-10</v>
      </c>
      <c r="S18" s="33">
        <f t="shared" si="1"/>
        <v>-29040.000000000007</v>
      </c>
    </row>
    <row r="19" spans="1:19" s="15" customFormat="1" ht="22.5" customHeight="1">
      <c r="A19" s="31">
        <v>7</v>
      </c>
      <c r="B19" s="32" t="s">
        <v>38</v>
      </c>
      <c r="C19" s="33">
        <v>204</v>
      </c>
      <c r="D19" s="32">
        <v>0.24</v>
      </c>
      <c r="E19" s="33">
        <v>12</v>
      </c>
      <c r="F19" s="33">
        <v>1150</v>
      </c>
      <c r="G19" s="33">
        <f t="shared" si="2"/>
        <v>675648</v>
      </c>
      <c r="H19" s="33">
        <v>204</v>
      </c>
      <c r="I19" s="32">
        <v>0.24</v>
      </c>
      <c r="J19" s="33">
        <v>12</v>
      </c>
      <c r="K19" s="33">
        <v>1210</v>
      </c>
      <c r="L19" s="33">
        <f t="shared" si="3"/>
        <v>710899.2</v>
      </c>
      <c r="M19" s="33">
        <v>204</v>
      </c>
      <c r="N19" s="32">
        <v>0.24</v>
      </c>
      <c r="O19" s="33">
        <v>12</v>
      </c>
      <c r="P19" s="33">
        <v>1210</v>
      </c>
      <c r="Q19" s="33">
        <f t="shared" si="4"/>
        <v>710899.2</v>
      </c>
      <c r="R19" s="34">
        <f t="shared" si="0"/>
        <v>0</v>
      </c>
      <c r="S19" s="33">
        <f t="shared" si="1"/>
        <v>0</v>
      </c>
    </row>
    <row r="20" spans="1:19" s="15" customFormat="1" ht="22.5" customHeight="1">
      <c r="A20" s="31">
        <v>8</v>
      </c>
      <c r="B20" s="32" t="s">
        <v>39</v>
      </c>
      <c r="C20" s="33">
        <v>254</v>
      </c>
      <c r="D20" s="32">
        <v>0.22</v>
      </c>
      <c r="E20" s="33">
        <v>12</v>
      </c>
      <c r="F20" s="33">
        <v>1150</v>
      </c>
      <c r="G20" s="33">
        <f t="shared" si="2"/>
        <v>771144.0000000001</v>
      </c>
      <c r="H20" s="33">
        <v>254</v>
      </c>
      <c r="I20" s="32">
        <v>0.22</v>
      </c>
      <c r="J20" s="33">
        <v>12</v>
      </c>
      <c r="K20" s="33">
        <v>1210</v>
      </c>
      <c r="L20" s="33">
        <f t="shared" si="3"/>
        <v>811377.6000000001</v>
      </c>
      <c r="M20" s="33">
        <v>228</v>
      </c>
      <c r="N20" s="32">
        <v>0.22</v>
      </c>
      <c r="O20" s="33">
        <v>12</v>
      </c>
      <c r="P20" s="33">
        <v>1210</v>
      </c>
      <c r="Q20" s="33">
        <f t="shared" si="4"/>
        <v>728323.2000000001</v>
      </c>
      <c r="R20" s="34">
        <f t="shared" si="0"/>
        <v>-26</v>
      </c>
      <c r="S20" s="33">
        <f t="shared" si="1"/>
        <v>-83054.40000000002</v>
      </c>
    </row>
    <row r="21" spans="1:19" s="22" customFormat="1" ht="36.75" customHeight="1">
      <c r="A21" s="27" t="s">
        <v>3</v>
      </c>
      <c r="B21" s="28" t="s">
        <v>65</v>
      </c>
      <c r="C21" s="26">
        <f>SUM(C22:C23)</f>
        <v>949</v>
      </c>
      <c r="D21" s="26"/>
      <c r="E21" s="26"/>
      <c r="F21" s="26"/>
      <c r="G21" s="26">
        <f>SUM(G22:G23)</f>
        <v>7286400</v>
      </c>
      <c r="H21" s="26">
        <f>SUM(H22:H23)</f>
        <v>949</v>
      </c>
      <c r="I21" s="28"/>
      <c r="J21" s="26"/>
      <c r="K21" s="29"/>
      <c r="L21" s="26">
        <f>SUM(L22:L23)</f>
        <v>7666560</v>
      </c>
      <c r="M21" s="26">
        <f>SUM(M22:M23)</f>
        <v>993</v>
      </c>
      <c r="N21" s="28"/>
      <c r="O21" s="26"/>
      <c r="P21" s="29"/>
      <c r="Q21" s="26">
        <f>SUM(Q22:Q23)</f>
        <v>8123940</v>
      </c>
      <c r="R21" s="20">
        <f t="shared" si="0"/>
        <v>44</v>
      </c>
      <c r="S21" s="26">
        <f t="shared" si="1"/>
        <v>457380</v>
      </c>
    </row>
    <row r="22" spans="1:19" s="15" customFormat="1" ht="22.5" customHeight="1">
      <c r="A22" s="31">
        <v>1</v>
      </c>
      <c r="B22" s="36" t="s">
        <v>44</v>
      </c>
      <c r="C22" s="33">
        <v>107</v>
      </c>
      <c r="D22" s="36">
        <v>1</v>
      </c>
      <c r="E22" s="33">
        <v>12</v>
      </c>
      <c r="F22" s="37">
        <v>1150</v>
      </c>
      <c r="G22" s="33">
        <f>C22*D22*E22*F22</f>
        <v>1476600</v>
      </c>
      <c r="H22" s="33">
        <v>107</v>
      </c>
      <c r="I22" s="36">
        <v>1</v>
      </c>
      <c r="J22" s="33">
        <v>12</v>
      </c>
      <c r="K22" s="37">
        <v>1210</v>
      </c>
      <c r="L22" s="33">
        <f>H22*I22*J22*K22</f>
        <v>1553640</v>
      </c>
      <c r="M22" s="33">
        <v>126</v>
      </c>
      <c r="N22" s="36">
        <v>1</v>
      </c>
      <c r="O22" s="33">
        <v>12</v>
      </c>
      <c r="P22" s="37">
        <v>1210</v>
      </c>
      <c r="Q22" s="33">
        <f>M22*N22*O22*P22</f>
        <v>1829520</v>
      </c>
      <c r="R22" s="34">
        <f t="shared" si="0"/>
        <v>19</v>
      </c>
      <c r="S22" s="33">
        <f t="shared" si="1"/>
        <v>275880</v>
      </c>
    </row>
    <row r="23" spans="1:19" s="15" customFormat="1" ht="22.5" customHeight="1">
      <c r="A23" s="31">
        <v>2</v>
      </c>
      <c r="B23" s="36" t="s">
        <v>23</v>
      </c>
      <c r="C23" s="33">
        <v>842</v>
      </c>
      <c r="D23" s="36">
        <v>0.5</v>
      </c>
      <c r="E23" s="33">
        <v>12</v>
      </c>
      <c r="F23" s="37">
        <v>1150</v>
      </c>
      <c r="G23" s="33">
        <f>C23*D23*E23*F23</f>
        <v>5809800</v>
      </c>
      <c r="H23" s="33">
        <v>842</v>
      </c>
      <c r="I23" s="36">
        <v>0.5</v>
      </c>
      <c r="J23" s="33">
        <v>12</v>
      </c>
      <c r="K23" s="37">
        <v>1210</v>
      </c>
      <c r="L23" s="33">
        <f>H23*I23*J23*K23</f>
        <v>6112920</v>
      </c>
      <c r="M23" s="33">
        <v>867</v>
      </c>
      <c r="N23" s="36">
        <v>0.5</v>
      </c>
      <c r="O23" s="33">
        <v>12</v>
      </c>
      <c r="P23" s="37">
        <v>1210</v>
      </c>
      <c r="Q23" s="33">
        <f>M23*N23*O23*P23</f>
        <v>6294420</v>
      </c>
      <c r="R23" s="34">
        <f t="shared" si="0"/>
        <v>25</v>
      </c>
      <c r="S23" s="33">
        <f t="shared" si="1"/>
        <v>181500</v>
      </c>
    </row>
    <row r="24" spans="1:19" s="22" customFormat="1" ht="22.5" customHeight="1">
      <c r="A24" s="27" t="s">
        <v>4</v>
      </c>
      <c r="B24" s="28" t="s">
        <v>26</v>
      </c>
      <c r="C24" s="26">
        <f>SUM(C25:C27)</f>
        <v>105</v>
      </c>
      <c r="D24" s="26"/>
      <c r="E24" s="26"/>
      <c r="F24" s="26"/>
      <c r="G24" s="26">
        <f>SUM(G25:G27)</f>
        <v>136203.24</v>
      </c>
      <c r="H24" s="26">
        <f>SUM(H25:H27)</f>
        <v>105</v>
      </c>
      <c r="I24" s="28"/>
      <c r="J24" s="26"/>
      <c r="K24" s="30"/>
      <c r="L24" s="26">
        <f>SUM(L25:L27)</f>
        <v>143309.496</v>
      </c>
      <c r="M24" s="26">
        <f>SUM(M25:M27)</f>
        <v>126</v>
      </c>
      <c r="N24" s="28"/>
      <c r="O24" s="26"/>
      <c r="P24" s="30"/>
      <c r="Q24" s="26">
        <f>SUM(Q25:Q27)</f>
        <v>173069.688</v>
      </c>
      <c r="R24" s="20">
        <f t="shared" si="0"/>
        <v>21</v>
      </c>
      <c r="S24" s="26">
        <f t="shared" si="1"/>
        <v>29760.19199999998</v>
      </c>
    </row>
    <row r="25" spans="1:19" s="15" customFormat="1" ht="34.5" customHeight="1">
      <c r="A25" s="31">
        <v>1</v>
      </c>
      <c r="B25" s="36" t="s">
        <v>45</v>
      </c>
      <c r="C25" s="33">
        <v>23</v>
      </c>
      <c r="D25" s="36">
        <f>(1+0.22)*5%</f>
        <v>0.061</v>
      </c>
      <c r="E25" s="33">
        <v>12</v>
      </c>
      <c r="F25" s="37">
        <v>1150</v>
      </c>
      <c r="G25" s="33">
        <f>C25*D25*E25*F25</f>
        <v>19361.399999999998</v>
      </c>
      <c r="H25" s="33">
        <v>23</v>
      </c>
      <c r="I25" s="36">
        <f>(1+0.22)*5%</f>
        <v>0.061</v>
      </c>
      <c r="J25" s="33">
        <v>12</v>
      </c>
      <c r="K25" s="37">
        <v>1210</v>
      </c>
      <c r="L25" s="33">
        <f>H25*I25*J25*K25</f>
        <v>20371.559999999998</v>
      </c>
      <c r="M25" s="33">
        <v>23</v>
      </c>
      <c r="N25" s="36">
        <f>(1+0.22)*5%</f>
        <v>0.061</v>
      </c>
      <c r="O25" s="33">
        <v>12</v>
      </c>
      <c r="P25" s="37">
        <v>1210</v>
      </c>
      <c r="Q25" s="33">
        <f>M25*N25*O25*P25</f>
        <v>20371.559999999998</v>
      </c>
      <c r="R25" s="34">
        <f t="shared" si="0"/>
        <v>0</v>
      </c>
      <c r="S25" s="33">
        <f t="shared" si="1"/>
        <v>0</v>
      </c>
    </row>
    <row r="26" spans="1:19" s="15" customFormat="1" ht="22.5" customHeight="1">
      <c r="A26" s="31">
        <v>2</v>
      </c>
      <c r="B26" s="36" t="s">
        <v>80</v>
      </c>
      <c r="C26" s="33">
        <v>42</v>
      </c>
      <c r="D26" s="36">
        <f>(1+0.22)*7%</f>
        <v>0.0854</v>
      </c>
      <c r="E26" s="33">
        <v>12</v>
      </c>
      <c r="F26" s="37">
        <v>1150</v>
      </c>
      <c r="G26" s="33">
        <f>C26*D26*E26*F26</f>
        <v>49497.840000000004</v>
      </c>
      <c r="H26" s="33">
        <v>42</v>
      </c>
      <c r="I26" s="36">
        <f>(1+0.22)*7%</f>
        <v>0.0854</v>
      </c>
      <c r="J26" s="33">
        <v>12</v>
      </c>
      <c r="K26" s="37">
        <v>1210</v>
      </c>
      <c r="L26" s="33">
        <f>H26*I26*J26*K26</f>
        <v>52080.336</v>
      </c>
      <c r="M26" s="33">
        <v>56</v>
      </c>
      <c r="N26" s="36">
        <f>(1+0.22)*7%</f>
        <v>0.0854</v>
      </c>
      <c r="O26" s="33">
        <v>12</v>
      </c>
      <c r="P26" s="37">
        <v>1210</v>
      </c>
      <c r="Q26" s="33">
        <f>M26*N26*O26*P26</f>
        <v>69440.448</v>
      </c>
      <c r="R26" s="34">
        <f t="shared" si="0"/>
        <v>14</v>
      </c>
      <c r="S26" s="33">
        <f t="shared" si="1"/>
        <v>17360.112</v>
      </c>
    </row>
    <row r="27" spans="1:19" s="15" customFormat="1" ht="22.5" customHeight="1">
      <c r="A27" s="31">
        <v>3</v>
      </c>
      <c r="B27" s="36" t="s">
        <v>81</v>
      </c>
      <c r="C27" s="33">
        <v>40</v>
      </c>
      <c r="D27" s="36">
        <f>(1+0.22)*10%</f>
        <v>0.122</v>
      </c>
      <c r="E27" s="33">
        <v>12</v>
      </c>
      <c r="F27" s="37">
        <v>1150</v>
      </c>
      <c r="G27" s="33">
        <f>C27*D27*E27*F27</f>
        <v>67344</v>
      </c>
      <c r="H27" s="33">
        <v>40</v>
      </c>
      <c r="I27" s="36">
        <f>(1+0.22)*10%</f>
        <v>0.122</v>
      </c>
      <c r="J27" s="33">
        <v>12</v>
      </c>
      <c r="K27" s="37">
        <v>1210</v>
      </c>
      <c r="L27" s="33">
        <f>H27*I27*J27*K27</f>
        <v>70857.6</v>
      </c>
      <c r="M27" s="33">
        <v>47</v>
      </c>
      <c r="N27" s="36">
        <f>(1+0.22)*10%</f>
        <v>0.122</v>
      </c>
      <c r="O27" s="33">
        <v>12</v>
      </c>
      <c r="P27" s="37">
        <v>1210</v>
      </c>
      <c r="Q27" s="33">
        <f>M27*N27*O27*P27</f>
        <v>83257.68</v>
      </c>
      <c r="R27" s="34">
        <f t="shared" si="0"/>
        <v>7</v>
      </c>
      <c r="S27" s="33">
        <f t="shared" si="1"/>
        <v>12400.079999999987</v>
      </c>
    </row>
    <row r="28" spans="1:19" s="22" customFormat="1" ht="22.5" customHeight="1">
      <c r="A28" s="27" t="s">
        <v>5</v>
      </c>
      <c r="B28" s="28" t="s">
        <v>33</v>
      </c>
      <c r="C28" s="26">
        <f>SUM(C29:C31)</f>
        <v>243</v>
      </c>
      <c r="D28" s="26"/>
      <c r="E28" s="26"/>
      <c r="F28" s="26"/>
      <c r="G28" s="26">
        <f>SUM(G29:G31)</f>
        <v>1088406</v>
      </c>
      <c r="H28" s="26">
        <f>SUM(H29:H31)</f>
        <v>243</v>
      </c>
      <c r="I28" s="28"/>
      <c r="J28" s="26"/>
      <c r="K28" s="30"/>
      <c r="L28" s="26">
        <f>SUM(L29:L31)</f>
        <v>1145192.4000000001</v>
      </c>
      <c r="M28" s="26">
        <f>SUM(M29:M31)</f>
        <v>243</v>
      </c>
      <c r="N28" s="28"/>
      <c r="O28" s="26"/>
      <c r="P28" s="30"/>
      <c r="Q28" s="26">
        <f>SUM(Q29:Q31)</f>
        <v>1285891.2</v>
      </c>
      <c r="R28" s="20">
        <f t="shared" si="0"/>
        <v>0</v>
      </c>
      <c r="S28" s="26">
        <f t="shared" si="1"/>
        <v>140698.7999999998</v>
      </c>
    </row>
    <row r="29" spans="1:19" s="15" customFormat="1" ht="68.25" customHeight="1">
      <c r="A29" s="38">
        <v>1</v>
      </c>
      <c r="B29" s="36" t="s">
        <v>50</v>
      </c>
      <c r="C29" s="33">
        <v>107</v>
      </c>
      <c r="D29" s="36">
        <f>(1+0.22)*50%</f>
        <v>0.61</v>
      </c>
      <c r="E29" s="33">
        <v>12</v>
      </c>
      <c r="F29" s="37">
        <v>1150</v>
      </c>
      <c r="G29" s="33">
        <f>C29*D29*E29*F29</f>
        <v>900726</v>
      </c>
      <c r="H29" s="33">
        <v>107</v>
      </c>
      <c r="I29" s="36">
        <f>(1+0.22)*50%</f>
        <v>0.61</v>
      </c>
      <c r="J29" s="33">
        <v>12</v>
      </c>
      <c r="K29" s="37">
        <v>1210</v>
      </c>
      <c r="L29" s="33">
        <f>H29*I29*J29*K29</f>
        <v>947720.4</v>
      </c>
      <c r="M29" s="33">
        <v>126</v>
      </c>
      <c r="N29" s="36">
        <f>(1+0.22)*50%</f>
        <v>0.61</v>
      </c>
      <c r="O29" s="33">
        <v>12</v>
      </c>
      <c r="P29" s="37">
        <v>1210</v>
      </c>
      <c r="Q29" s="33">
        <f>M29*N29*O29*P29</f>
        <v>1116007.2</v>
      </c>
      <c r="R29" s="34">
        <f t="shared" si="0"/>
        <v>19</v>
      </c>
      <c r="S29" s="33">
        <f t="shared" si="1"/>
        <v>168286.79999999993</v>
      </c>
    </row>
    <row r="30" spans="1:19" s="15" customFormat="1" ht="41.25" customHeight="1">
      <c r="A30" s="38">
        <v>2</v>
      </c>
      <c r="B30" s="36" t="s">
        <v>48</v>
      </c>
      <c r="C30" s="33">
        <v>136</v>
      </c>
      <c r="D30" s="36">
        <f>0.2*50%</f>
        <v>0.1</v>
      </c>
      <c r="E30" s="33">
        <v>12</v>
      </c>
      <c r="F30" s="37">
        <v>1150</v>
      </c>
      <c r="G30" s="33">
        <f>C30*D30*E30*F30</f>
        <v>187680.00000000003</v>
      </c>
      <c r="H30" s="33">
        <v>136</v>
      </c>
      <c r="I30" s="36">
        <f>0.2*50%</f>
        <v>0.1</v>
      </c>
      <c r="J30" s="33">
        <v>12</v>
      </c>
      <c r="K30" s="37">
        <v>1210</v>
      </c>
      <c r="L30" s="33">
        <f>H30*I30*J30*K30</f>
        <v>197472.00000000003</v>
      </c>
      <c r="M30" s="33">
        <v>117</v>
      </c>
      <c r="N30" s="36">
        <f>0.2*50%</f>
        <v>0.1</v>
      </c>
      <c r="O30" s="33">
        <v>12</v>
      </c>
      <c r="P30" s="37">
        <v>1210</v>
      </c>
      <c r="Q30" s="33">
        <f>M30*N30*O30*P30</f>
        <v>169884</v>
      </c>
      <c r="R30" s="34">
        <f t="shared" si="0"/>
        <v>-19</v>
      </c>
      <c r="S30" s="33">
        <f t="shared" si="1"/>
        <v>-27588.00000000003</v>
      </c>
    </row>
    <row r="31" spans="1:19" s="15" customFormat="1" ht="78.75" customHeight="1">
      <c r="A31" s="38">
        <v>3</v>
      </c>
      <c r="B31" s="36" t="s">
        <v>47</v>
      </c>
      <c r="C31" s="33"/>
      <c r="D31" s="36"/>
      <c r="E31" s="33"/>
      <c r="F31" s="39"/>
      <c r="G31" s="33"/>
      <c r="H31" s="33"/>
      <c r="I31" s="36"/>
      <c r="J31" s="33"/>
      <c r="K31" s="39"/>
      <c r="L31" s="33"/>
      <c r="M31" s="33"/>
      <c r="N31" s="36"/>
      <c r="O31" s="33"/>
      <c r="P31" s="39"/>
      <c r="Q31" s="33"/>
      <c r="R31" s="34">
        <f t="shared" si="0"/>
        <v>0</v>
      </c>
      <c r="S31" s="33">
        <f t="shared" si="1"/>
        <v>0</v>
      </c>
    </row>
    <row r="32" spans="1:19" s="22" customFormat="1" ht="34.5" customHeight="1">
      <c r="A32" s="27" t="s">
        <v>6</v>
      </c>
      <c r="B32" s="28" t="s">
        <v>24</v>
      </c>
      <c r="C32" s="26">
        <f>C33</f>
        <v>107</v>
      </c>
      <c r="D32" s="28"/>
      <c r="E32" s="26"/>
      <c r="F32" s="30"/>
      <c r="G32" s="26">
        <f>G33</f>
        <v>324261.36</v>
      </c>
      <c r="H32" s="26">
        <f>H33</f>
        <v>107</v>
      </c>
      <c r="I32" s="28"/>
      <c r="J32" s="26"/>
      <c r="K32" s="30"/>
      <c r="L32" s="26">
        <f>L33</f>
        <v>341179.344</v>
      </c>
      <c r="M32" s="26">
        <f>M33</f>
        <v>126</v>
      </c>
      <c r="N32" s="28"/>
      <c r="O32" s="26"/>
      <c r="P32" s="30"/>
      <c r="Q32" s="26">
        <f>Q33</f>
        <v>401762.592</v>
      </c>
      <c r="R32" s="20">
        <f t="shared" si="0"/>
        <v>19</v>
      </c>
      <c r="S32" s="26">
        <f t="shared" si="1"/>
        <v>60583.24800000002</v>
      </c>
    </row>
    <row r="33" spans="1:19" s="15" customFormat="1" ht="44.25" customHeight="1">
      <c r="A33" s="31">
        <v>1</v>
      </c>
      <c r="B33" s="88" t="s">
        <v>97</v>
      </c>
      <c r="C33" s="33">
        <v>107</v>
      </c>
      <c r="D33" s="88"/>
      <c r="E33" s="33">
        <v>12</v>
      </c>
      <c r="F33" s="89">
        <f>1.22*1150*18%</f>
        <v>252.54</v>
      </c>
      <c r="G33" s="89">
        <f>C33*E33*F33</f>
        <v>324261.36</v>
      </c>
      <c r="H33" s="33">
        <v>107</v>
      </c>
      <c r="I33" s="88"/>
      <c r="J33" s="33">
        <v>12</v>
      </c>
      <c r="K33" s="89">
        <f>1.22*1210*18%</f>
        <v>265.716</v>
      </c>
      <c r="L33" s="89">
        <f>H33*J33*K33</f>
        <v>341179.344</v>
      </c>
      <c r="M33" s="33">
        <v>126</v>
      </c>
      <c r="N33" s="88"/>
      <c r="O33" s="33">
        <v>12</v>
      </c>
      <c r="P33" s="89">
        <f>1.22*1210*18%</f>
        <v>265.716</v>
      </c>
      <c r="Q33" s="89">
        <f>M33*O33*P33</f>
        <v>401762.592</v>
      </c>
      <c r="R33" s="34">
        <f t="shared" si="0"/>
        <v>19</v>
      </c>
      <c r="S33" s="33">
        <f t="shared" si="1"/>
        <v>60583.24800000002</v>
      </c>
    </row>
    <row r="34" spans="1:19" s="22" customFormat="1" ht="40.5" customHeight="1">
      <c r="A34" s="27" t="s">
        <v>7</v>
      </c>
      <c r="B34" s="23" t="s">
        <v>66</v>
      </c>
      <c r="C34" s="26">
        <f>C36</f>
        <v>1891</v>
      </c>
      <c r="D34" s="23"/>
      <c r="E34" s="40"/>
      <c r="F34" s="41"/>
      <c r="G34" s="40">
        <f>SUM(G35:G36)</f>
        <v>1949624.0000000002</v>
      </c>
      <c r="H34" s="26">
        <f>H36</f>
        <v>1891</v>
      </c>
      <c r="I34" s="23"/>
      <c r="J34" s="40"/>
      <c r="K34" s="41"/>
      <c r="L34" s="40">
        <f>SUM(L35:L36)</f>
        <v>2046081.6</v>
      </c>
      <c r="M34" s="26">
        <f>M36</f>
        <v>1235</v>
      </c>
      <c r="N34" s="23"/>
      <c r="O34" s="40"/>
      <c r="P34" s="41"/>
      <c r="Q34" s="40">
        <f>SUM(Q35:Q36)</f>
        <v>1323169.6</v>
      </c>
      <c r="R34" s="20">
        <f t="shared" si="0"/>
        <v>-656</v>
      </c>
      <c r="S34" s="26">
        <f t="shared" si="1"/>
        <v>-722912</v>
      </c>
    </row>
    <row r="35" spans="1:19" s="15" customFormat="1" ht="30.75" customHeight="1">
      <c r="A35" s="31">
        <v>1</v>
      </c>
      <c r="B35" s="32" t="s">
        <v>57</v>
      </c>
      <c r="C35" s="33">
        <v>1724</v>
      </c>
      <c r="D35" s="32">
        <v>0.08</v>
      </c>
      <c r="E35" s="33">
        <v>8</v>
      </c>
      <c r="F35" s="33">
        <v>1150</v>
      </c>
      <c r="G35" s="33">
        <f>C35*D35*E35*F35</f>
        <v>1268864.0000000002</v>
      </c>
      <c r="H35" s="33">
        <v>1724</v>
      </c>
      <c r="I35" s="32">
        <v>0.08</v>
      </c>
      <c r="J35" s="33">
        <v>8</v>
      </c>
      <c r="K35" s="33">
        <v>1210</v>
      </c>
      <c r="L35" s="33">
        <f>H35*I35*J35*K35</f>
        <v>1335065.6</v>
      </c>
      <c r="M35" s="33">
        <v>1109</v>
      </c>
      <c r="N35" s="32">
        <v>0.08</v>
      </c>
      <c r="O35" s="33">
        <v>8</v>
      </c>
      <c r="P35" s="33">
        <v>1210</v>
      </c>
      <c r="Q35" s="33">
        <f>M35*N35*O35*P35</f>
        <v>858809.6</v>
      </c>
      <c r="R35" s="34">
        <f t="shared" si="0"/>
        <v>-615</v>
      </c>
      <c r="S35" s="33">
        <f t="shared" si="1"/>
        <v>-476256.0000000001</v>
      </c>
    </row>
    <row r="36" spans="1:19" s="15" customFormat="1" ht="31.5" customHeight="1">
      <c r="A36" s="31">
        <v>2</v>
      </c>
      <c r="B36" s="32" t="s">
        <v>58</v>
      </c>
      <c r="C36" s="33">
        <v>1891</v>
      </c>
      <c r="D36" s="32"/>
      <c r="E36" s="33">
        <v>8</v>
      </c>
      <c r="F36" s="33">
        <v>45</v>
      </c>
      <c r="G36" s="33">
        <f>C36*E36*F36</f>
        <v>680760</v>
      </c>
      <c r="H36" s="33">
        <v>1891</v>
      </c>
      <c r="I36" s="32"/>
      <c r="J36" s="33">
        <v>8</v>
      </c>
      <c r="K36" s="33">
        <v>47</v>
      </c>
      <c r="L36" s="33">
        <f>H36*J36*K36</f>
        <v>711016</v>
      </c>
      <c r="M36" s="33">
        <v>1235</v>
      </c>
      <c r="N36" s="32"/>
      <c r="O36" s="33">
        <v>8</v>
      </c>
      <c r="P36" s="33">
        <v>47</v>
      </c>
      <c r="Q36" s="33">
        <f>M36*O36*P36</f>
        <v>464360</v>
      </c>
      <c r="R36" s="34">
        <f t="shared" si="0"/>
        <v>-656</v>
      </c>
      <c r="S36" s="33">
        <f t="shared" si="1"/>
        <v>-246656</v>
      </c>
    </row>
    <row r="37" spans="1:20" s="22" customFormat="1" ht="32.25" customHeight="1">
      <c r="A37" s="42" t="s">
        <v>15</v>
      </c>
      <c r="B37" s="43" t="s">
        <v>67</v>
      </c>
      <c r="C37" s="26"/>
      <c r="D37" s="44"/>
      <c r="E37" s="27"/>
      <c r="F37" s="45"/>
      <c r="G37" s="27">
        <f>G38+G45</f>
        <v>7907777</v>
      </c>
      <c r="H37" s="26"/>
      <c r="I37" s="44"/>
      <c r="J37" s="27"/>
      <c r="K37" s="45"/>
      <c r="L37" s="27">
        <f>L38+L45</f>
        <v>8300279.800000001</v>
      </c>
      <c r="M37" s="26"/>
      <c r="N37" s="44"/>
      <c r="O37" s="27"/>
      <c r="P37" s="45"/>
      <c r="Q37" s="27">
        <f>Q38+Q45</f>
        <v>9449385.600000001</v>
      </c>
      <c r="R37" s="20">
        <f t="shared" si="0"/>
        <v>0</v>
      </c>
      <c r="S37" s="26">
        <f t="shared" si="1"/>
        <v>1149105.8000000007</v>
      </c>
      <c r="T37" s="46"/>
    </row>
    <row r="38" spans="1:20" s="15" customFormat="1" ht="33.75" customHeight="1">
      <c r="A38" s="27">
        <v>1</v>
      </c>
      <c r="B38" s="28" t="s">
        <v>8</v>
      </c>
      <c r="C38" s="26">
        <f>SUM(C39:C44)</f>
        <v>5523</v>
      </c>
      <c r="D38" s="47"/>
      <c r="E38" s="26"/>
      <c r="F38" s="48"/>
      <c r="G38" s="26">
        <f>SUM(G39:G44)</f>
        <v>5310332</v>
      </c>
      <c r="H38" s="26">
        <f>SUM(H39:H44)</f>
        <v>5523</v>
      </c>
      <c r="I38" s="47"/>
      <c r="J38" s="26"/>
      <c r="K38" s="48"/>
      <c r="L38" s="26">
        <f>SUM(L39:L44)</f>
        <v>5587392.800000001</v>
      </c>
      <c r="M38" s="26">
        <f>SUM(M39:M44)</f>
        <v>5720</v>
      </c>
      <c r="N38" s="47"/>
      <c r="O38" s="26"/>
      <c r="P38" s="48"/>
      <c r="Q38" s="26">
        <f>SUM(Q39:Q44)</f>
        <v>6360921.600000001</v>
      </c>
      <c r="R38" s="20">
        <f t="shared" si="0"/>
        <v>197</v>
      </c>
      <c r="S38" s="26">
        <f t="shared" si="1"/>
        <v>773528.7999999998</v>
      </c>
      <c r="T38" s="49"/>
    </row>
    <row r="39" spans="1:20" s="15" customFormat="1" ht="24.75" customHeight="1">
      <c r="A39" s="50" t="s">
        <v>56</v>
      </c>
      <c r="B39" s="32" t="s">
        <v>9</v>
      </c>
      <c r="C39" s="33">
        <v>445</v>
      </c>
      <c r="D39" s="32">
        <v>0.08</v>
      </c>
      <c r="E39" s="33">
        <v>15</v>
      </c>
      <c r="F39" s="33">
        <v>1150</v>
      </c>
      <c r="G39" s="33">
        <f aca="true" t="shared" si="5" ref="G39:G44">C39*D39*E39*F39</f>
        <v>614100</v>
      </c>
      <c r="H39" s="33">
        <v>445</v>
      </c>
      <c r="I39" s="32">
        <v>0.08</v>
      </c>
      <c r="J39" s="33">
        <v>15</v>
      </c>
      <c r="K39" s="33">
        <v>1210</v>
      </c>
      <c r="L39" s="33">
        <f aca="true" t="shared" si="6" ref="L39:L44">H39*I39*J39*K39</f>
        <v>646140</v>
      </c>
      <c r="M39" s="33">
        <v>964</v>
      </c>
      <c r="N39" s="32">
        <v>0.08</v>
      </c>
      <c r="O39" s="33">
        <v>15</v>
      </c>
      <c r="P39" s="33">
        <v>1210</v>
      </c>
      <c r="Q39" s="33">
        <f aca="true" t="shared" si="7" ref="Q39:Q44">M39*N39*O39*P39</f>
        <v>1399728.0000000002</v>
      </c>
      <c r="R39" s="34">
        <f t="shared" si="0"/>
        <v>519</v>
      </c>
      <c r="S39" s="33">
        <f t="shared" si="1"/>
        <v>753588.0000000002</v>
      </c>
      <c r="T39" s="49"/>
    </row>
    <row r="40" spans="1:19" s="51" customFormat="1" ht="24.75" customHeight="1">
      <c r="A40" s="50" t="s">
        <v>56</v>
      </c>
      <c r="B40" s="32" t="s">
        <v>10</v>
      </c>
      <c r="C40" s="33">
        <v>2362</v>
      </c>
      <c r="D40" s="32">
        <v>0.08</v>
      </c>
      <c r="E40" s="33">
        <v>7</v>
      </c>
      <c r="F40" s="33">
        <v>1150</v>
      </c>
      <c r="G40" s="33">
        <f t="shared" si="5"/>
        <v>1521128</v>
      </c>
      <c r="H40" s="33">
        <v>2362</v>
      </c>
      <c r="I40" s="32">
        <v>0.08</v>
      </c>
      <c r="J40" s="33">
        <v>7</v>
      </c>
      <c r="K40" s="33">
        <v>1210</v>
      </c>
      <c r="L40" s="33">
        <f t="shared" si="6"/>
        <v>1600491.2</v>
      </c>
      <c r="M40" s="33">
        <v>1548</v>
      </c>
      <c r="N40" s="32">
        <v>0.08</v>
      </c>
      <c r="O40" s="33">
        <v>7</v>
      </c>
      <c r="P40" s="33">
        <v>1210</v>
      </c>
      <c r="Q40" s="33">
        <f t="shared" si="7"/>
        <v>1048924.8</v>
      </c>
      <c r="R40" s="34">
        <f t="shared" si="0"/>
        <v>-814</v>
      </c>
      <c r="S40" s="33">
        <f t="shared" si="1"/>
        <v>-551566.3999999999</v>
      </c>
    </row>
    <row r="41" spans="1:20" s="15" customFormat="1" ht="24.75" customHeight="1">
      <c r="A41" s="50" t="s">
        <v>56</v>
      </c>
      <c r="B41" s="32" t="s">
        <v>11</v>
      </c>
      <c r="C41" s="33">
        <v>420</v>
      </c>
      <c r="D41" s="32">
        <v>0.08</v>
      </c>
      <c r="E41" s="33">
        <v>12</v>
      </c>
      <c r="F41" s="33">
        <v>1150</v>
      </c>
      <c r="G41" s="33">
        <f t="shared" si="5"/>
        <v>463680.00000000006</v>
      </c>
      <c r="H41" s="33">
        <v>420</v>
      </c>
      <c r="I41" s="32">
        <v>0.08</v>
      </c>
      <c r="J41" s="33">
        <v>12</v>
      </c>
      <c r="K41" s="33">
        <v>1210</v>
      </c>
      <c r="L41" s="33">
        <f t="shared" si="6"/>
        <v>487872.00000000006</v>
      </c>
      <c r="M41" s="33">
        <v>448</v>
      </c>
      <c r="N41" s="32">
        <v>0.08</v>
      </c>
      <c r="O41" s="33">
        <v>12</v>
      </c>
      <c r="P41" s="33">
        <v>1210</v>
      </c>
      <c r="Q41" s="33">
        <f t="shared" si="7"/>
        <v>520396.80000000005</v>
      </c>
      <c r="R41" s="34">
        <f t="shared" si="0"/>
        <v>28</v>
      </c>
      <c r="S41" s="33">
        <f t="shared" si="1"/>
        <v>32524.79999999999</v>
      </c>
      <c r="T41" s="49"/>
    </row>
    <row r="42" spans="1:19" s="15" customFormat="1" ht="24.75" customHeight="1">
      <c r="A42" s="50" t="s">
        <v>56</v>
      </c>
      <c r="B42" s="32" t="s">
        <v>12</v>
      </c>
      <c r="C42" s="33">
        <v>479</v>
      </c>
      <c r="D42" s="32">
        <v>0.08</v>
      </c>
      <c r="E42" s="33">
        <v>12</v>
      </c>
      <c r="F42" s="33">
        <v>1150</v>
      </c>
      <c r="G42" s="33">
        <f t="shared" si="5"/>
        <v>528816</v>
      </c>
      <c r="H42" s="33">
        <v>479</v>
      </c>
      <c r="I42" s="32">
        <v>0.08</v>
      </c>
      <c r="J42" s="33">
        <v>12</v>
      </c>
      <c r="K42" s="33">
        <v>1210</v>
      </c>
      <c r="L42" s="33">
        <f t="shared" si="6"/>
        <v>556406.4</v>
      </c>
      <c r="M42" s="33">
        <v>346</v>
      </c>
      <c r="N42" s="32">
        <v>0.08</v>
      </c>
      <c r="O42" s="33">
        <v>12</v>
      </c>
      <c r="P42" s="33">
        <v>1210</v>
      </c>
      <c r="Q42" s="33">
        <f t="shared" si="7"/>
        <v>401913.6</v>
      </c>
      <c r="R42" s="34">
        <f t="shared" si="0"/>
        <v>-133</v>
      </c>
      <c r="S42" s="33">
        <f t="shared" si="1"/>
        <v>-154492.80000000005</v>
      </c>
    </row>
    <row r="43" spans="1:19" s="15" customFormat="1" ht="24.75" customHeight="1">
      <c r="A43" s="50" t="s">
        <v>56</v>
      </c>
      <c r="B43" s="32" t="s">
        <v>13</v>
      </c>
      <c r="C43" s="33">
        <v>1777</v>
      </c>
      <c r="D43" s="32">
        <v>0.08</v>
      </c>
      <c r="E43" s="33">
        <v>12</v>
      </c>
      <c r="F43" s="33">
        <v>1150</v>
      </c>
      <c r="G43" s="33">
        <f t="shared" si="5"/>
        <v>1961808</v>
      </c>
      <c r="H43" s="33">
        <v>1777</v>
      </c>
      <c r="I43" s="32">
        <v>0.08</v>
      </c>
      <c r="J43" s="33">
        <v>12</v>
      </c>
      <c r="K43" s="33">
        <v>1210</v>
      </c>
      <c r="L43" s="33">
        <f t="shared" si="6"/>
        <v>2064163.2000000002</v>
      </c>
      <c r="M43" s="33">
        <v>2374</v>
      </c>
      <c r="N43" s="32">
        <v>0.08</v>
      </c>
      <c r="O43" s="33">
        <v>12</v>
      </c>
      <c r="P43" s="33">
        <v>1210</v>
      </c>
      <c r="Q43" s="33">
        <f t="shared" si="7"/>
        <v>2757638.4</v>
      </c>
      <c r="R43" s="34">
        <f t="shared" si="0"/>
        <v>597</v>
      </c>
      <c r="S43" s="33">
        <f t="shared" si="1"/>
        <v>693475.1999999997</v>
      </c>
    </row>
    <row r="44" spans="1:19" s="15" customFormat="1" ht="24.75" customHeight="1">
      <c r="A44" s="50" t="s">
        <v>56</v>
      </c>
      <c r="B44" s="32" t="s">
        <v>18</v>
      </c>
      <c r="C44" s="33">
        <v>40</v>
      </c>
      <c r="D44" s="32">
        <v>0.08</v>
      </c>
      <c r="E44" s="33">
        <v>60</v>
      </c>
      <c r="F44" s="33">
        <v>1150</v>
      </c>
      <c r="G44" s="33">
        <f t="shared" si="5"/>
        <v>220800</v>
      </c>
      <c r="H44" s="33">
        <v>40</v>
      </c>
      <c r="I44" s="32">
        <v>0.08</v>
      </c>
      <c r="J44" s="33">
        <v>60</v>
      </c>
      <c r="K44" s="33">
        <v>1210</v>
      </c>
      <c r="L44" s="33">
        <f t="shared" si="6"/>
        <v>232320</v>
      </c>
      <c r="M44" s="33">
        <v>40</v>
      </c>
      <c r="N44" s="32">
        <v>0.08</v>
      </c>
      <c r="O44" s="33">
        <v>60</v>
      </c>
      <c r="P44" s="33">
        <v>1210</v>
      </c>
      <c r="Q44" s="33">
        <f t="shared" si="7"/>
        <v>232320</v>
      </c>
      <c r="R44" s="34">
        <f aca="true" t="shared" si="8" ref="R44:R75">M44-H44</f>
        <v>0</v>
      </c>
      <c r="S44" s="33">
        <f aca="true" t="shared" si="9" ref="S44:S75">Q44-L44</f>
        <v>0</v>
      </c>
    </row>
    <row r="45" spans="1:19" s="15" customFormat="1" ht="24.75" customHeight="1">
      <c r="A45" s="27">
        <v>2</v>
      </c>
      <c r="B45" s="47" t="s">
        <v>14</v>
      </c>
      <c r="C45" s="26">
        <f>SUM(C46:C51)</f>
        <v>5523</v>
      </c>
      <c r="D45" s="47"/>
      <c r="E45" s="26"/>
      <c r="F45" s="48"/>
      <c r="G45" s="26">
        <f>SUM(G46:G51)</f>
        <v>2597445</v>
      </c>
      <c r="H45" s="26">
        <f>SUM(H46:H51)</f>
        <v>5523</v>
      </c>
      <c r="I45" s="47"/>
      <c r="J45" s="26"/>
      <c r="K45" s="48"/>
      <c r="L45" s="26">
        <f>SUM(L46:L51)</f>
        <v>2712887</v>
      </c>
      <c r="M45" s="26">
        <f>SUM(M46:M51)</f>
        <v>5720</v>
      </c>
      <c r="N45" s="47"/>
      <c r="O45" s="26"/>
      <c r="P45" s="48"/>
      <c r="Q45" s="26">
        <f>SUM(Q46:Q51)</f>
        <v>3088464</v>
      </c>
      <c r="R45" s="20">
        <f t="shared" si="8"/>
        <v>197</v>
      </c>
      <c r="S45" s="26">
        <f t="shared" si="9"/>
        <v>375577</v>
      </c>
    </row>
    <row r="46" spans="1:19" s="15" customFormat="1" ht="24.75" customHeight="1">
      <c r="A46" s="31" t="s">
        <v>51</v>
      </c>
      <c r="B46" s="32" t="s">
        <v>9</v>
      </c>
      <c r="C46" s="33">
        <v>445</v>
      </c>
      <c r="D46" s="32"/>
      <c r="E46" s="52">
        <f aca="true" t="shared" si="10" ref="E46:E51">E39</f>
        <v>15</v>
      </c>
      <c r="F46" s="52">
        <v>45</v>
      </c>
      <c r="G46" s="52">
        <f aca="true" t="shared" si="11" ref="G46:G51">C46*E46*F46</f>
        <v>300375</v>
      </c>
      <c r="H46" s="52">
        <v>445</v>
      </c>
      <c r="I46" s="35"/>
      <c r="J46" s="52">
        <f aca="true" t="shared" si="12" ref="J46:J51">J39</f>
        <v>15</v>
      </c>
      <c r="K46" s="33">
        <v>47</v>
      </c>
      <c r="L46" s="33">
        <f aca="true" t="shared" si="13" ref="L46:L51">H46*J46*K46</f>
        <v>313725</v>
      </c>
      <c r="M46" s="33">
        <f>M39</f>
        <v>964</v>
      </c>
      <c r="N46" s="32"/>
      <c r="O46" s="33">
        <f aca="true" t="shared" si="14" ref="O46:O51">O39</f>
        <v>15</v>
      </c>
      <c r="P46" s="33">
        <v>47</v>
      </c>
      <c r="Q46" s="33">
        <f aca="true" t="shared" si="15" ref="Q46:Q51">M46*O46*P46</f>
        <v>679620</v>
      </c>
      <c r="R46" s="34">
        <f t="shared" si="8"/>
        <v>519</v>
      </c>
      <c r="S46" s="33">
        <f t="shared" si="9"/>
        <v>365895</v>
      </c>
    </row>
    <row r="47" spans="1:19" s="15" customFormat="1" ht="24.75" customHeight="1">
      <c r="A47" s="31" t="s">
        <v>51</v>
      </c>
      <c r="B47" s="32" t="s">
        <v>10</v>
      </c>
      <c r="C47" s="33">
        <v>2362</v>
      </c>
      <c r="D47" s="32"/>
      <c r="E47" s="52">
        <f t="shared" si="10"/>
        <v>7</v>
      </c>
      <c r="F47" s="52">
        <v>45</v>
      </c>
      <c r="G47" s="52">
        <f t="shared" si="11"/>
        <v>744030</v>
      </c>
      <c r="H47" s="52">
        <v>2362</v>
      </c>
      <c r="I47" s="35"/>
      <c r="J47" s="52">
        <f t="shared" si="12"/>
        <v>7</v>
      </c>
      <c r="K47" s="33">
        <v>47</v>
      </c>
      <c r="L47" s="33">
        <f t="shared" si="13"/>
        <v>777098</v>
      </c>
      <c r="M47" s="33">
        <v>1548</v>
      </c>
      <c r="N47" s="32"/>
      <c r="O47" s="33">
        <f t="shared" si="14"/>
        <v>7</v>
      </c>
      <c r="P47" s="33">
        <v>47</v>
      </c>
      <c r="Q47" s="33">
        <f t="shared" si="15"/>
        <v>509292</v>
      </c>
      <c r="R47" s="34">
        <f t="shared" si="8"/>
        <v>-814</v>
      </c>
      <c r="S47" s="33">
        <f t="shared" si="9"/>
        <v>-267806</v>
      </c>
    </row>
    <row r="48" spans="1:19" s="15" customFormat="1" ht="24.75" customHeight="1">
      <c r="A48" s="31" t="s">
        <v>51</v>
      </c>
      <c r="B48" s="32" t="s">
        <v>11</v>
      </c>
      <c r="C48" s="33">
        <v>420</v>
      </c>
      <c r="D48" s="32"/>
      <c r="E48" s="52">
        <f t="shared" si="10"/>
        <v>12</v>
      </c>
      <c r="F48" s="52">
        <v>45</v>
      </c>
      <c r="G48" s="52">
        <f t="shared" si="11"/>
        <v>226800</v>
      </c>
      <c r="H48" s="52">
        <v>420</v>
      </c>
      <c r="I48" s="35"/>
      <c r="J48" s="52">
        <f t="shared" si="12"/>
        <v>12</v>
      </c>
      <c r="K48" s="33">
        <v>47</v>
      </c>
      <c r="L48" s="33">
        <f t="shared" si="13"/>
        <v>236880</v>
      </c>
      <c r="M48" s="33">
        <v>448</v>
      </c>
      <c r="N48" s="32"/>
      <c r="O48" s="33">
        <f t="shared" si="14"/>
        <v>12</v>
      </c>
      <c r="P48" s="33">
        <v>47</v>
      </c>
      <c r="Q48" s="33">
        <f t="shared" si="15"/>
        <v>252672</v>
      </c>
      <c r="R48" s="34">
        <f t="shared" si="8"/>
        <v>28</v>
      </c>
      <c r="S48" s="33">
        <f t="shared" si="9"/>
        <v>15792</v>
      </c>
    </row>
    <row r="49" spans="1:19" s="15" customFormat="1" ht="24.75" customHeight="1">
      <c r="A49" s="31" t="s">
        <v>51</v>
      </c>
      <c r="B49" s="32" t="s">
        <v>12</v>
      </c>
      <c r="C49" s="33">
        <v>479</v>
      </c>
      <c r="D49" s="32"/>
      <c r="E49" s="52">
        <f t="shared" si="10"/>
        <v>12</v>
      </c>
      <c r="F49" s="52">
        <v>45</v>
      </c>
      <c r="G49" s="52">
        <f t="shared" si="11"/>
        <v>258660</v>
      </c>
      <c r="H49" s="52">
        <v>479</v>
      </c>
      <c r="I49" s="35"/>
      <c r="J49" s="52">
        <f t="shared" si="12"/>
        <v>12</v>
      </c>
      <c r="K49" s="33">
        <v>47</v>
      </c>
      <c r="L49" s="33">
        <f t="shared" si="13"/>
        <v>270156</v>
      </c>
      <c r="M49" s="33">
        <f>M42</f>
        <v>346</v>
      </c>
      <c r="N49" s="32"/>
      <c r="O49" s="33">
        <f t="shared" si="14"/>
        <v>12</v>
      </c>
      <c r="P49" s="33">
        <v>47</v>
      </c>
      <c r="Q49" s="33">
        <f t="shared" si="15"/>
        <v>195144</v>
      </c>
      <c r="R49" s="34">
        <f t="shared" si="8"/>
        <v>-133</v>
      </c>
      <c r="S49" s="33">
        <f t="shared" si="9"/>
        <v>-75012</v>
      </c>
    </row>
    <row r="50" spans="1:19" s="15" customFormat="1" ht="24.75" customHeight="1">
      <c r="A50" s="31" t="s">
        <v>51</v>
      </c>
      <c r="B50" s="32" t="s">
        <v>13</v>
      </c>
      <c r="C50" s="33">
        <v>1777</v>
      </c>
      <c r="D50" s="32"/>
      <c r="E50" s="52">
        <f t="shared" si="10"/>
        <v>12</v>
      </c>
      <c r="F50" s="52">
        <v>45</v>
      </c>
      <c r="G50" s="52">
        <f t="shared" si="11"/>
        <v>959580</v>
      </c>
      <c r="H50" s="52">
        <v>1777</v>
      </c>
      <c r="I50" s="35"/>
      <c r="J50" s="52">
        <f t="shared" si="12"/>
        <v>12</v>
      </c>
      <c r="K50" s="33">
        <v>47</v>
      </c>
      <c r="L50" s="33">
        <f t="shared" si="13"/>
        <v>1002228</v>
      </c>
      <c r="M50" s="33">
        <f>M43</f>
        <v>2374</v>
      </c>
      <c r="N50" s="32"/>
      <c r="O50" s="33">
        <f t="shared" si="14"/>
        <v>12</v>
      </c>
      <c r="P50" s="33">
        <v>47</v>
      </c>
      <c r="Q50" s="33">
        <f t="shared" si="15"/>
        <v>1338936</v>
      </c>
      <c r="R50" s="34">
        <f t="shared" si="8"/>
        <v>597</v>
      </c>
      <c r="S50" s="33">
        <f t="shared" si="9"/>
        <v>336708</v>
      </c>
    </row>
    <row r="51" spans="1:19" s="15" customFormat="1" ht="24.75" customHeight="1">
      <c r="A51" s="31" t="s">
        <v>51</v>
      </c>
      <c r="B51" s="32" t="s">
        <v>19</v>
      </c>
      <c r="C51" s="33">
        <v>40</v>
      </c>
      <c r="D51" s="32"/>
      <c r="E51" s="52">
        <f t="shared" si="10"/>
        <v>60</v>
      </c>
      <c r="F51" s="52">
        <v>45</v>
      </c>
      <c r="G51" s="52">
        <f t="shared" si="11"/>
        <v>108000</v>
      </c>
      <c r="H51" s="52">
        <v>40</v>
      </c>
      <c r="I51" s="35"/>
      <c r="J51" s="52">
        <f t="shared" si="12"/>
        <v>60</v>
      </c>
      <c r="K51" s="33">
        <v>47</v>
      </c>
      <c r="L51" s="33">
        <f t="shared" si="13"/>
        <v>112800</v>
      </c>
      <c r="M51" s="33">
        <f>M44</f>
        <v>40</v>
      </c>
      <c r="N51" s="32"/>
      <c r="O51" s="33">
        <f t="shared" si="14"/>
        <v>60</v>
      </c>
      <c r="P51" s="33">
        <v>47</v>
      </c>
      <c r="Q51" s="33">
        <f t="shared" si="15"/>
        <v>112800</v>
      </c>
      <c r="R51" s="34">
        <f t="shared" si="8"/>
        <v>0</v>
      </c>
      <c r="S51" s="33">
        <f t="shared" si="9"/>
        <v>0</v>
      </c>
    </row>
    <row r="52" spans="1:19" s="22" customFormat="1" ht="24.75" customHeight="1">
      <c r="A52" s="27" t="s">
        <v>30</v>
      </c>
      <c r="B52" s="28" t="s">
        <v>16</v>
      </c>
      <c r="C52" s="33"/>
      <c r="D52" s="47"/>
      <c r="E52" s="26"/>
      <c r="F52" s="48"/>
      <c r="G52" s="26">
        <f>G53+G56+G59+G62</f>
        <v>8935755</v>
      </c>
      <c r="H52" s="33"/>
      <c r="I52" s="47"/>
      <c r="J52" s="26"/>
      <c r="K52" s="48"/>
      <c r="L52" s="26">
        <f>L53+L56+L59+L62</f>
        <v>9396522.200000001</v>
      </c>
      <c r="M52" s="26"/>
      <c r="N52" s="26"/>
      <c r="O52" s="26"/>
      <c r="P52" s="26"/>
      <c r="Q52" s="26">
        <f>Q53+Q56+Q59+Q62</f>
        <v>4089672</v>
      </c>
      <c r="R52" s="34">
        <f t="shared" si="8"/>
        <v>0</v>
      </c>
      <c r="S52" s="26">
        <f t="shared" si="9"/>
        <v>-5306850.200000001</v>
      </c>
    </row>
    <row r="53" spans="1:19" s="22" customFormat="1" ht="42.75" customHeight="1">
      <c r="A53" s="31">
        <v>1</v>
      </c>
      <c r="B53" s="36" t="s">
        <v>27</v>
      </c>
      <c r="C53" s="33"/>
      <c r="D53" s="47"/>
      <c r="E53" s="26"/>
      <c r="F53" s="48"/>
      <c r="G53" s="33">
        <f>G54+G55</f>
        <v>6993595</v>
      </c>
      <c r="H53" s="33"/>
      <c r="I53" s="47"/>
      <c r="J53" s="26"/>
      <c r="K53" s="48"/>
      <c r="L53" s="33">
        <f>L54+L55</f>
        <v>7358409</v>
      </c>
      <c r="M53" s="33"/>
      <c r="N53" s="47"/>
      <c r="O53" s="26"/>
      <c r="P53" s="48"/>
      <c r="Q53" s="26">
        <v>0</v>
      </c>
      <c r="R53" s="34">
        <f t="shared" si="8"/>
        <v>0</v>
      </c>
      <c r="S53" s="33">
        <f t="shared" si="9"/>
        <v>-7358409</v>
      </c>
    </row>
    <row r="54" spans="1:19" s="15" customFormat="1" ht="21.75" customHeight="1">
      <c r="A54" s="31"/>
      <c r="B54" s="36" t="s">
        <v>29</v>
      </c>
      <c r="C54" s="33">
        <v>208</v>
      </c>
      <c r="D54" s="32">
        <v>0.08</v>
      </c>
      <c r="E54" s="33">
        <v>365</v>
      </c>
      <c r="F54" s="33">
        <v>1150</v>
      </c>
      <c r="G54" s="33">
        <f>C54*D54*E54*F54</f>
        <v>6984640</v>
      </c>
      <c r="H54" s="33">
        <v>208</v>
      </c>
      <c r="I54" s="32">
        <v>0.08</v>
      </c>
      <c r="J54" s="33">
        <v>365</v>
      </c>
      <c r="K54" s="33">
        <v>1210</v>
      </c>
      <c r="L54" s="33">
        <f>H54*I54*J54*K54</f>
        <v>7349056</v>
      </c>
      <c r="M54" s="33"/>
      <c r="N54" s="32"/>
      <c r="O54" s="33"/>
      <c r="P54" s="53"/>
      <c r="Q54" s="33"/>
      <c r="R54" s="34">
        <f t="shared" si="8"/>
        <v>-208</v>
      </c>
      <c r="S54" s="33">
        <f t="shared" si="9"/>
        <v>-7349056</v>
      </c>
    </row>
    <row r="55" spans="1:19" s="15" customFormat="1" ht="21.75" customHeight="1">
      <c r="A55" s="31"/>
      <c r="B55" s="36" t="s">
        <v>28</v>
      </c>
      <c r="C55" s="33">
        <v>199</v>
      </c>
      <c r="D55" s="32"/>
      <c r="E55" s="33"/>
      <c r="F55" s="33">
        <v>45</v>
      </c>
      <c r="G55" s="33">
        <f>C55*F55</f>
        <v>8955</v>
      </c>
      <c r="H55" s="33">
        <v>199</v>
      </c>
      <c r="I55" s="32"/>
      <c r="J55" s="33"/>
      <c r="K55" s="33">
        <v>47</v>
      </c>
      <c r="L55" s="33">
        <f>H55*K55</f>
        <v>9353</v>
      </c>
      <c r="M55" s="33"/>
      <c r="N55" s="32"/>
      <c r="O55" s="33"/>
      <c r="P55" s="53"/>
      <c r="Q55" s="33"/>
      <c r="R55" s="34">
        <f t="shared" si="8"/>
        <v>-199</v>
      </c>
      <c r="S55" s="33">
        <f t="shared" si="9"/>
        <v>-9353</v>
      </c>
    </row>
    <row r="56" spans="1:19" s="15" customFormat="1" ht="22.5" customHeight="1">
      <c r="A56" s="31">
        <v>2</v>
      </c>
      <c r="B56" s="32" t="s">
        <v>17</v>
      </c>
      <c r="C56" s="33"/>
      <c r="D56" s="32"/>
      <c r="E56" s="33"/>
      <c r="F56" s="33"/>
      <c r="G56" s="33">
        <f>G57+G58</f>
        <v>23701</v>
      </c>
      <c r="H56" s="33"/>
      <c r="I56" s="32"/>
      <c r="J56" s="33"/>
      <c r="K56" s="33"/>
      <c r="L56" s="33">
        <f>L57+L58</f>
        <v>24877.4</v>
      </c>
      <c r="M56" s="33"/>
      <c r="N56" s="32"/>
      <c r="O56" s="33"/>
      <c r="P56" s="33"/>
      <c r="Q56" s="33">
        <f>Q57+Q58</f>
        <v>1653700</v>
      </c>
      <c r="R56" s="34">
        <f t="shared" si="8"/>
        <v>0</v>
      </c>
      <c r="S56" s="33">
        <f t="shared" si="9"/>
        <v>1628822.6</v>
      </c>
    </row>
    <row r="57" spans="1:19" s="15" customFormat="1" ht="22.5" customHeight="1">
      <c r="A57" s="31" t="s">
        <v>51</v>
      </c>
      <c r="B57" s="36" t="s">
        <v>29</v>
      </c>
      <c r="C57" s="33">
        <v>173</v>
      </c>
      <c r="D57" s="32">
        <v>0.08</v>
      </c>
      <c r="E57" s="33"/>
      <c r="F57" s="33">
        <v>1150</v>
      </c>
      <c r="G57" s="33">
        <f>C57*D57*F57</f>
        <v>15916</v>
      </c>
      <c r="H57" s="33">
        <v>173</v>
      </c>
      <c r="I57" s="32">
        <v>0.08</v>
      </c>
      <c r="J57" s="33"/>
      <c r="K57" s="33">
        <v>1210</v>
      </c>
      <c r="L57" s="33">
        <f>H57*I57*K57</f>
        <v>16746.4</v>
      </c>
      <c r="M57" s="33">
        <v>2300</v>
      </c>
      <c r="N57" s="32">
        <v>0.08</v>
      </c>
      <c r="O57" s="33">
        <v>5</v>
      </c>
      <c r="P57" s="53">
        <v>96.8</v>
      </c>
      <c r="Q57" s="33">
        <f>P57*O57*M57</f>
        <v>1113200</v>
      </c>
      <c r="R57" s="34">
        <f t="shared" si="8"/>
        <v>2127</v>
      </c>
      <c r="S57" s="33">
        <f t="shared" si="9"/>
        <v>1096453.6</v>
      </c>
    </row>
    <row r="58" spans="1:19" s="15" customFormat="1" ht="22.5" customHeight="1">
      <c r="A58" s="31" t="s">
        <v>51</v>
      </c>
      <c r="B58" s="36" t="s">
        <v>28</v>
      </c>
      <c r="C58" s="33">
        <v>173</v>
      </c>
      <c r="D58" s="32"/>
      <c r="E58" s="33"/>
      <c r="F58" s="33">
        <v>45</v>
      </c>
      <c r="G58" s="33">
        <f>C58*F58</f>
        <v>7785</v>
      </c>
      <c r="H58" s="33">
        <v>173</v>
      </c>
      <c r="I58" s="32"/>
      <c r="J58" s="33"/>
      <c r="K58" s="33">
        <v>47</v>
      </c>
      <c r="L58" s="33">
        <f>H58*K58</f>
        <v>8131</v>
      </c>
      <c r="M58" s="33">
        <v>2300</v>
      </c>
      <c r="N58" s="32"/>
      <c r="O58" s="33">
        <v>5</v>
      </c>
      <c r="P58" s="33">
        <v>47</v>
      </c>
      <c r="Q58" s="33">
        <f>P58*O58*M58</f>
        <v>540500</v>
      </c>
      <c r="R58" s="34">
        <f t="shared" si="8"/>
        <v>2127</v>
      </c>
      <c r="S58" s="33">
        <f t="shared" si="9"/>
        <v>532369</v>
      </c>
    </row>
    <row r="59" spans="1:19" s="15" customFormat="1" ht="22.5" customHeight="1">
      <c r="A59" s="31">
        <v>3</v>
      </c>
      <c r="B59" s="36" t="s">
        <v>40</v>
      </c>
      <c r="C59" s="33"/>
      <c r="D59" s="36"/>
      <c r="E59" s="37"/>
      <c r="F59" s="37"/>
      <c r="G59" s="37">
        <f>G60+G61</f>
        <v>1890326</v>
      </c>
      <c r="H59" s="33"/>
      <c r="I59" s="36"/>
      <c r="J59" s="37"/>
      <c r="K59" s="37"/>
      <c r="L59" s="37">
        <f>L60+L61</f>
        <v>1984152.4</v>
      </c>
      <c r="M59" s="33"/>
      <c r="N59" s="36"/>
      <c r="O59" s="37"/>
      <c r="P59" s="37"/>
      <c r="Q59" s="37">
        <f>Q60+Q61</f>
        <v>2090852</v>
      </c>
      <c r="R59" s="34">
        <f t="shared" si="8"/>
        <v>0</v>
      </c>
      <c r="S59" s="33">
        <f t="shared" si="9"/>
        <v>106699.6000000001</v>
      </c>
    </row>
    <row r="60" spans="1:19" s="15" customFormat="1" ht="22.5" customHeight="1">
      <c r="A60" s="31" t="s">
        <v>51</v>
      </c>
      <c r="B60" s="36" t="s">
        <v>29</v>
      </c>
      <c r="C60" s="33">
        <v>13798</v>
      </c>
      <c r="D60" s="36">
        <v>0.08</v>
      </c>
      <c r="E60" s="37"/>
      <c r="F60" s="37">
        <v>1150</v>
      </c>
      <c r="G60" s="37">
        <f>C60*D60*F60</f>
        <v>1269416</v>
      </c>
      <c r="H60" s="33">
        <v>13798</v>
      </c>
      <c r="I60" s="36">
        <v>0.08</v>
      </c>
      <c r="J60" s="37"/>
      <c r="K60" s="37">
        <v>1210</v>
      </c>
      <c r="L60" s="37">
        <f>H60*I60*K60</f>
        <v>1335646.4</v>
      </c>
      <c r="M60" s="33">
        <v>1454</v>
      </c>
      <c r="N60" s="36">
        <v>0.08</v>
      </c>
      <c r="O60" s="37">
        <v>10</v>
      </c>
      <c r="P60" s="39">
        <v>96.8</v>
      </c>
      <c r="Q60" s="37">
        <f>M60*O60*P60</f>
        <v>1407472</v>
      </c>
      <c r="R60" s="34">
        <f t="shared" si="8"/>
        <v>-12344</v>
      </c>
      <c r="S60" s="33">
        <f t="shared" si="9"/>
        <v>71825.6000000001</v>
      </c>
    </row>
    <row r="61" spans="1:19" s="15" customFormat="1" ht="22.5" customHeight="1">
      <c r="A61" s="31" t="s">
        <v>51</v>
      </c>
      <c r="B61" s="36" t="s">
        <v>28</v>
      </c>
      <c r="C61" s="33">
        <v>13798</v>
      </c>
      <c r="D61" s="36"/>
      <c r="E61" s="37"/>
      <c r="F61" s="37">
        <v>45</v>
      </c>
      <c r="G61" s="33">
        <f>C61*F61</f>
        <v>620910</v>
      </c>
      <c r="H61" s="33">
        <v>13798</v>
      </c>
      <c r="I61" s="36"/>
      <c r="J61" s="37"/>
      <c r="K61" s="37">
        <v>47</v>
      </c>
      <c r="L61" s="33">
        <f>H61*K61</f>
        <v>648506</v>
      </c>
      <c r="M61" s="33">
        <v>1454</v>
      </c>
      <c r="N61" s="36"/>
      <c r="O61" s="37">
        <v>10</v>
      </c>
      <c r="P61" s="37">
        <v>47</v>
      </c>
      <c r="Q61" s="37">
        <f>M61*O61*P61</f>
        <v>683380</v>
      </c>
      <c r="R61" s="34">
        <f t="shared" si="8"/>
        <v>-12344</v>
      </c>
      <c r="S61" s="33">
        <f t="shared" si="9"/>
        <v>34874</v>
      </c>
    </row>
    <row r="62" spans="1:19" s="15" customFormat="1" ht="42.75" customHeight="1">
      <c r="A62" s="31">
        <v>4</v>
      </c>
      <c r="B62" s="36" t="s">
        <v>68</v>
      </c>
      <c r="C62" s="33"/>
      <c r="D62" s="36"/>
      <c r="E62" s="37"/>
      <c r="F62" s="37"/>
      <c r="G62" s="37">
        <f>G63+G64</f>
        <v>28133</v>
      </c>
      <c r="H62" s="33"/>
      <c r="I62" s="36"/>
      <c r="J62" s="37"/>
      <c r="K62" s="37"/>
      <c r="L62" s="37">
        <f>L63+L64</f>
        <v>29083.4</v>
      </c>
      <c r="M62" s="33"/>
      <c r="N62" s="36"/>
      <c r="O62" s="37"/>
      <c r="P62" s="37"/>
      <c r="Q62" s="37">
        <f>Q63+Q64</f>
        <v>345120</v>
      </c>
      <c r="R62" s="34">
        <f t="shared" si="8"/>
        <v>0</v>
      </c>
      <c r="S62" s="33">
        <f t="shared" si="9"/>
        <v>316036.6</v>
      </c>
    </row>
    <row r="63" spans="1:19" s="15" customFormat="1" ht="43.5" customHeight="1">
      <c r="A63" s="31" t="s">
        <v>51</v>
      </c>
      <c r="B63" s="36" t="s">
        <v>69</v>
      </c>
      <c r="C63" s="33">
        <v>198</v>
      </c>
      <c r="D63" s="36">
        <v>0.08</v>
      </c>
      <c r="E63" s="37">
        <v>0</v>
      </c>
      <c r="F63" s="37">
        <v>1150</v>
      </c>
      <c r="G63" s="33">
        <f>C63*D63*F63</f>
        <v>18216</v>
      </c>
      <c r="H63" s="33">
        <v>198</v>
      </c>
      <c r="I63" s="36">
        <v>0.08</v>
      </c>
      <c r="J63" s="37">
        <v>0</v>
      </c>
      <c r="K63" s="37">
        <v>1210</v>
      </c>
      <c r="L63" s="33">
        <f>H63*I63*K63</f>
        <v>19166.4</v>
      </c>
      <c r="M63" s="33">
        <v>240</v>
      </c>
      <c r="N63" s="36">
        <v>0.08</v>
      </c>
      <c r="O63" s="37">
        <v>10</v>
      </c>
      <c r="P63" s="39">
        <v>96.8</v>
      </c>
      <c r="Q63" s="33">
        <f>P63*O63*M63</f>
        <v>232320</v>
      </c>
      <c r="R63" s="34">
        <f t="shared" si="8"/>
        <v>42</v>
      </c>
      <c r="S63" s="33">
        <f t="shared" si="9"/>
        <v>213153.6</v>
      </c>
    </row>
    <row r="64" spans="1:19" s="15" customFormat="1" ht="48" customHeight="1">
      <c r="A64" s="31" t="s">
        <v>51</v>
      </c>
      <c r="B64" s="36" t="s">
        <v>70</v>
      </c>
      <c r="C64" s="33">
        <v>211</v>
      </c>
      <c r="D64" s="36"/>
      <c r="E64" s="37">
        <v>0</v>
      </c>
      <c r="F64" s="37">
        <v>47</v>
      </c>
      <c r="G64" s="33">
        <f>C64*F64</f>
        <v>9917</v>
      </c>
      <c r="H64" s="33">
        <v>211</v>
      </c>
      <c r="I64" s="36"/>
      <c r="J64" s="37">
        <v>0</v>
      </c>
      <c r="K64" s="37">
        <v>47</v>
      </c>
      <c r="L64" s="33">
        <f>H64*K64</f>
        <v>9917</v>
      </c>
      <c r="M64" s="33">
        <v>240</v>
      </c>
      <c r="N64" s="36"/>
      <c r="O64" s="37">
        <v>10</v>
      </c>
      <c r="P64" s="37">
        <v>47</v>
      </c>
      <c r="Q64" s="33">
        <f>P64*O64*M64</f>
        <v>112800</v>
      </c>
      <c r="R64" s="34">
        <f t="shared" si="8"/>
        <v>29</v>
      </c>
      <c r="S64" s="33">
        <f t="shared" si="9"/>
        <v>102883</v>
      </c>
    </row>
    <row r="65" spans="1:19" s="22" customFormat="1" ht="65.25" customHeight="1">
      <c r="A65" s="26" t="s">
        <v>31</v>
      </c>
      <c r="B65" s="28" t="s">
        <v>61</v>
      </c>
      <c r="C65" s="26"/>
      <c r="D65" s="47"/>
      <c r="E65" s="26"/>
      <c r="F65" s="48"/>
      <c r="G65" s="26">
        <v>0</v>
      </c>
      <c r="H65" s="26"/>
      <c r="I65" s="47"/>
      <c r="J65" s="26"/>
      <c r="K65" s="48"/>
      <c r="L65" s="26">
        <v>0</v>
      </c>
      <c r="M65" s="26"/>
      <c r="N65" s="47"/>
      <c r="O65" s="26"/>
      <c r="P65" s="48"/>
      <c r="Q65" s="26">
        <f>SUM(Q66:Q69)</f>
        <v>2877300</v>
      </c>
      <c r="R65" s="34">
        <f t="shared" si="8"/>
        <v>0</v>
      </c>
      <c r="S65" s="26">
        <f t="shared" si="9"/>
        <v>2877300</v>
      </c>
    </row>
    <row r="66" spans="1:19" s="15" customFormat="1" ht="54" customHeight="1">
      <c r="A66" s="54" t="s">
        <v>20</v>
      </c>
      <c r="B66" s="55" t="s">
        <v>73</v>
      </c>
      <c r="C66" s="56"/>
      <c r="D66" s="56"/>
      <c r="E66" s="56"/>
      <c r="F66" s="57"/>
      <c r="G66" s="58"/>
      <c r="H66" s="56"/>
      <c r="I66" s="56"/>
      <c r="J66" s="56"/>
      <c r="K66" s="57"/>
      <c r="L66" s="58"/>
      <c r="M66" s="56">
        <v>61320</v>
      </c>
      <c r="N66" s="56"/>
      <c r="O66" s="56">
        <v>365</v>
      </c>
      <c r="P66" s="57">
        <v>2.5</v>
      </c>
      <c r="Q66" s="58">
        <f>M66*P66</f>
        <v>153300</v>
      </c>
      <c r="R66" s="34">
        <f t="shared" si="8"/>
        <v>61320</v>
      </c>
      <c r="S66" s="33">
        <f t="shared" si="9"/>
        <v>153300</v>
      </c>
    </row>
    <row r="67" spans="1:19" s="15" customFormat="1" ht="45" customHeight="1">
      <c r="A67" s="59" t="s">
        <v>21</v>
      </c>
      <c r="B67" s="60" t="s">
        <v>62</v>
      </c>
      <c r="C67" s="4"/>
      <c r="D67" s="56"/>
      <c r="E67" s="56"/>
      <c r="F67" s="61"/>
      <c r="G67" s="62"/>
      <c r="H67" s="4"/>
      <c r="I67" s="56"/>
      <c r="J67" s="56"/>
      <c r="K67" s="61"/>
      <c r="L67" s="62"/>
      <c r="M67" s="4">
        <v>16</v>
      </c>
      <c r="N67" s="56"/>
      <c r="O67" s="56">
        <v>12</v>
      </c>
      <c r="P67" s="61">
        <v>30000</v>
      </c>
      <c r="Q67" s="62">
        <f>M67*P67</f>
        <v>480000</v>
      </c>
      <c r="R67" s="34">
        <f t="shared" si="8"/>
        <v>16</v>
      </c>
      <c r="S67" s="33">
        <f t="shared" si="9"/>
        <v>480000</v>
      </c>
    </row>
    <row r="68" spans="1:19" s="15" customFormat="1" ht="38.25" customHeight="1">
      <c r="A68" s="59">
        <v>3</v>
      </c>
      <c r="B68" s="60" t="s">
        <v>63</v>
      </c>
      <c r="C68" s="4"/>
      <c r="D68" s="56"/>
      <c r="E68" s="56"/>
      <c r="F68" s="61"/>
      <c r="G68" s="62"/>
      <c r="H68" s="4"/>
      <c r="I68" s="56"/>
      <c r="J68" s="56"/>
      <c r="K68" s="61"/>
      <c r="L68" s="62"/>
      <c r="M68" s="4">
        <v>102</v>
      </c>
      <c r="N68" s="56"/>
      <c r="O68" s="56">
        <v>12</v>
      </c>
      <c r="P68" s="61">
        <v>20000</v>
      </c>
      <c r="Q68" s="62">
        <f>M68*P68</f>
        <v>2040000</v>
      </c>
      <c r="R68" s="34">
        <f t="shared" si="8"/>
        <v>102</v>
      </c>
      <c r="S68" s="33">
        <f t="shared" si="9"/>
        <v>2040000</v>
      </c>
    </row>
    <row r="69" spans="1:19" s="15" customFormat="1" ht="36" customHeight="1">
      <c r="A69" s="63">
        <v>4</v>
      </c>
      <c r="B69" s="64" t="s">
        <v>71</v>
      </c>
      <c r="C69" s="65"/>
      <c r="D69" s="65"/>
      <c r="E69" s="65"/>
      <c r="F69" s="66"/>
      <c r="G69" s="67"/>
      <c r="H69" s="65"/>
      <c r="I69" s="65"/>
      <c r="J69" s="65"/>
      <c r="K69" s="66"/>
      <c r="L69" s="67"/>
      <c r="M69" s="65">
        <v>102</v>
      </c>
      <c r="N69" s="65"/>
      <c r="O69" s="65">
        <v>12</v>
      </c>
      <c r="P69" s="66">
        <v>2000</v>
      </c>
      <c r="Q69" s="67">
        <f>M69*P69</f>
        <v>204000</v>
      </c>
      <c r="R69" s="34">
        <f t="shared" si="8"/>
        <v>102</v>
      </c>
      <c r="S69" s="33">
        <f t="shared" si="9"/>
        <v>204000</v>
      </c>
    </row>
    <row r="70" spans="1:19" s="22" customFormat="1" ht="36" customHeight="1">
      <c r="A70" s="68" t="s">
        <v>43</v>
      </c>
      <c r="B70" s="69" t="s">
        <v>89</v>
      </c>
      <c r="C70" s="70"/>
      <c r="D70" s="70"/>
      <c r="E70" s="70"/>
      <c r="F70" s="71"/>
      <c r="G70" s="72">
        <f>G71+G77</f>
        <v>8470000</v>
      </c>
      <c r="H70" s="70"/>
      <c r="I70" s="70"/>
      <c r="J70" s="70"/>
      <c r="K70" s="71"/>
      <c r="L70" s="72">
        <f>L71+L77</f>
        <v>8470000</v>
      </c>
      <c r="M70" s="70"/>
      <c r="N70" s="70"/>
      <c r="O70" s="70"/>
      <c r="P70" s="71"/>
      <c r="Q70" s="72">
        <f>Q71+Q77</f>
        <v>14139498</v>
      </c>
      <c r="R70" s="34">
        <f t="shared" si="8"/>
        <v>0</v>
      </c>
      <c r="S70" s="26">
        <f t="shared" si="9"/>
        <v>5669498</v>
      </c>
    </row>
    <row r="71" spans="1:19" s="22" customFormat="1" ht="42.75" customHeight="1">
      <c r="A71" s="68" t="s">
        <v>2</v>
      </c>
      <c r="B71" s="69" t="s">
        <v>87</v>
      </c>
      <c r="C71" s="70">
        <v>7</v>
      </c>
      <c r="D71" s="70"/>
      <c r="E71" s="70"/>
      <c r="F71" s="71">
        <v>510000</v>
      </c>
      <c r="G71" s="72">
        <f>C71*F71</f>
        <v>3570000</v>
      </c>
      <c r="H71" s="70">
        <v>7</v>
      </c>
      <c r="I71" s="70"/>
      <c r="J71" s="70"/>
      <c r="K71" s="71">
        <v>510000</v>
      </c>
      <c r="L71" s="72">
        <f>H71*K71</f>
        <v>3570000</v>
      </c>
      <c r="M71" s="70">
        <v>16</v>
      </c>
      <c r="N71" s="70"/>
      <c r="O71" s="70"/>
      <c r="P71" s="71">
        <v>510000</v>
      </c>
      <c r="Q71" s="72">
        <f>M71*P71</f>
        <v>8160000</v>
      </c>
      <c r="R71" s="20">
        <f t="shared" si="8"/>
        <v>9</v>
      </c>
      <c r="S71" s="26">
        <f t="shared" si="9"/>
        <v>4590000</v>
      </c>
    </row>
    <row r="72" spans="1:19" s="15" customFormat="1" ht="24.75" customHeight="1">
      <c r="A72" s="1">
        <v>1</v>
      </c>
      <c r="B72" s="2" t="s">
        <v>91</v>
      </c>
      <c r="C72" s="65">
        <v>70</v>
      </c>
      <c r="D72" s="65"/>
      <c r="E72" s="65">
        <v>365</v>
      </c>
      <c r="F72" s="66">
        <v>43</v>
      </c>
      <c r="G72" s="67">
        <f>C72*E72*F72</f>
        <v>1098650</v>
      </c>
      <c r="H72" s="65">
        <v>70</v>
      </c>
      <c r="I72" s="65"/>
      <c r="J72" s="65">
        <v>365</v>
      </c>
      <c r="K72" s="66">
        <v>47</v>
      </c>
      <c r="L72" s="67">
        <f>H72*J72*K72</f>
        <v>1200850</v>
      </c>
      <c r="M72" s="65">
        <f>16*10</f>
        <v>160</v>
      </c>
      <c r="N72" s="65"/>
      <c r="O72" s="65">
        <v>365</v>
      </c>
      <c r="P72" s="66">
        <v>47</v>
      </c>
      <c r="Q72" s="67">
        <f>M72*O72*P72</f>
        <v>2744800</v>
      </c>
      <c r="R72" s="34">
        <f t="shared" si="8"/>
        <v>90</v>
      </c>
      <c r="S72" s="33">
        <f t="shared" si="9"/>
        <v>1543950</v>
      </c>
    </row>
    <row r="73" spans="1:19" s="15" customFormat="1" ht="24.75" customHeight="1">
      <c r="A73" s="1">
        <v>2</v>
      </c>
      <c r="B73" s="2" t="s">
        <v>92</v>
      </c>
      <c r="C73" s="65">
        <v>70</v>
      </c>
      <c r="D73" s="65"/>
      <c r="E73" s="65">
        <v>8</v>
      </c>
      <c r="F73" s="66">
        <v>43</v>
      </c>
      <c r="G73" s="67">
        <f>C73*E73*F73</f>
        <v>24080</v>
      </c>
      <c r="H73" s="65">
        <v>70</v>
      </c>
      <c r="I73" s="65"/>
      <c r="J73" s="65">
        <v>8</v>
      </c>
      <c r="K73" s="66">
        <v>47</v>
      </c>
      <c r="L73" s="67">
        <f>H73*J73*K73</f>
        <v>26320</v>
      </c>
      <c r="M73" s="65">
        <f>16*10</f>
        <v>160</v>
      </c>
      <c r="N73" s="65"/>
      <c r="O73" s="65">
        <v>8</v>
      </c>
      <c r="P73" s="66">
        <v>47</v>
      </c>
      <c r="Q73" s="67">
        <f>M73*O73*P73</f>
        <v>60160</v>
      </c>
      <c r="R73" s="34">
        <f t="shared" si="8"/>
        <v>90</v>
      </c>
      <c r="S73" s="33">
        <f t="shared" si="9"/>
        <v>33840</v>
      </c>
    </row>
    <row r="74" spans="1:19" s="15" customFormat="1" ht="24.75" customHeight="1">
      <c r="A74" s="1">
        <v>3</v>
      </c>
      <c r="B74" s="2" t="s">
        <v>93</v>
      </c>
      <c r="C74" s="65">
        <v>70</v>
      </c>
      <c r="D74" s="73">
        <v>0.08</v>
      </c>
      <c r="E74" s="65">
        <v>365</v>
      </c>
      <c r="F74" s="66">
        <v>1150</v>
      </c>
      <c r="G74" s="67">
        <f>C74*D74*E74*F74</f>
        <v>2350600.0000000005</v>
      </c>
      <c r="H74" s="65">
        <v>70</v>
      </c>
      <c r="I74" s="73">
        <v>0.08</v>
      </c>
      <c r="J74" s="65">
        <v>365</v>
      </c>
      <c r="K74" s="66">
        <v>1210</v>
      </c>
      <c r="L74" s="67">
        <f>H74*I74*J74*K74</f>
        <v>2473240.0000000005</v>
      </c>
      <c r="M74" s="65">
        <f>16*10</f>
        <v>160</v>
      </c>
      <c r="N74" s="73">
        <v>0.08</v>
      </c>
      <c r="O74" s="65">
        <v>365</v>
      </c>
      <c r="P74" s="66">
        <v>1210</v>
      </c>
      <c r="Q74" s="67">
        <f>M74*N74*O74*P74</f>
        <v>5653120</v>
      </c>
      <c r="R74" s="34">
        <f t="shared" si="8"/>
        <v>90</v>
      </c>
      <c r="S74" s="33">
        <f t="shared" si="9"/>
        <v>3179879.9999999995</v>
      </c>
    </row>
    <row r="75" spans="1:19" s="15" customFormat="1" ht="24.75" customHeight="1">
      <c r="A75" s="1">
        <v>4</v>
      </c>
      <c r="B75" s="2" t="s">
        <v>94</v>
      </c>
      <c r="C75" s="65">
        <v>7</v>
      </c>
      <c r="D75" s="74">
        <v>0.1</v>
      </c>
      <c r="E75" s="65">
        <v>12</v>
      </c>
      <c r="F75" s="66">
        <v>1150</v>
      </c>
      <c r="G75" s="67">
        <f>C75*D75*E75*F75</f>
        <v>9660</v>
      </c>
      <c r="H75" s="65">
        <v>7</v>
      </c>
      <c r="I75" s="74">
        <v>0.1</v>
      </c>
      <c r="J75" s="65">
        <v>12</v>
      </c>
      <c r="K75" s="66">
        <v>1210</v>
      </c>
      <c r="L75" s="67">
        <f>H75*I75*J75*K75</f>
        <v>10164</v>
      </c>
      <c r="M75" s="65">
        <v>16</v>
      </c>
      <c r="N75" s="74">
        <v>0.1</v>
      </c>
      <c r="O75" s="65">
        <v>12</v>
      </c>
      <c r="P75" s="66">
        <v>1210</v>
      </c>
      <c r="Q75" s="67">
        <f>M75*N75*O75*P75</f>
        <v>23232.000000000004</v>
      </c>
      <c r="R75" s="34">
        <f t="shared" si="8"/>
        <v>9</v>
      </c>
      <c r="S75" s="33">
        <f t="shared" si="9"/>
        <v>13068.000000000004</v>
      </c>
    </row>
    <row r="76" spans="1:19" s="15" customFormat="1" ht="39.75" customHeight="1">
      <c r="A76" s="1">
        <v>5</v>
      </c>
      <c r="B76" s="3" t="s">
        <v>95</v>
      </c>
      <c r="C76" s="65">
        <v>7</v>
      </c>
      <c r="D76" s="65"/>
      <c r="E76" s="65">
        <v>12</v>
      </c>
      <c r="F76" s="66">
        <v>1000</v>
      </c>
      <c r="G76" s="67">
        <f>C76*E76*F76</f>
        <v>84000</v>
      </c>
      <c r="H76" s="65">
        <v>7</v>
      </c>
      <c r="I76" s="65"/>
      <c r="J76" s="65">
        <v>12</v>
      </c>
      <c r="K76" s="66">
        <v>1000</v>
      </c>
      <c r="L76" s="67">
        <f>H76*J76*K76</f>
        <v>84000</v>
      </c>
      <c r="M76" s="65">
        <v>16</v>
      </c>
      <c r="N76" s="65"/>
      <c r="O76" s="65">
        <v>12</v>
      </c>
      <c r="P76" s="66">
        <v>1000</v>
      </c>
      <c r="Q76" s="67">
        <f>M76*O76*P76</f>
        <v>192000</v>
      </c>
      <c r="R76" s="34">
        <f aca="true" t="shared" si="16" ref="R76:R83">M76-H76</f>
        <v>9</v>
      </c>
      <c r="S76" s="33">
        <f aca="true" t="shared" si="17" ref="S76:S83">Q76-L76</f>
        <v>108000</v>
      </c>
    </row>
    <row r="77" spans="1:19" s="15" customFormat="1" ht="22.5" customHeight="1">
      <c r="A77" s="20" t="s">
        <v>3</v>
      </c>
      <c r="B77" s="23" t="s">
        <v>90</v>
      </c>
      <c r="C77" s="20"/>
      <c r="D77" s="24"/>
      <c r="E77" s="20"/>
      <c r="F77" s="25"/>
      <c r="G77" s="20">
        <v>4900000</v>
      </c>
      <c r="H77" s="20"/>
      <c r="I77" s="24"/>
      <c r="J77" s="20"/>
      <c r="K77" s="25"/>
      <c r="L77" s="20">
        <v>4900000</v>
      </c>
      <c r="M77" s="20">
        <f>SUM(M78:M83)</f>
        <v>7381</v>
      </c>
      <c r="N77" s="20">
        <f>SUM(N78:N83)</f>
        <v>0</v>
      </c>
      <c r="O77" s="20">
        <f>SUM(O78:O83)</f>
        <v>0</v>
      </c>
      <c r="P77" s="20">
        <f>SUM(P78:P83)</f>
        <v>1756</v>
      </c>
      <c r="Q77" s="20">
        <f>SUM(Q78:Q83)</f>
        <v>5979498</v>
      </c>
      <c r="R77" s="20">
        <f t="shared" si="16"/>
        <v>7381</v>
      </c>
      <c r="S77" s="26">
        <f t="shared" si="17"/>
        <v>1079498</v>
      </c>
    </row>
    <row r="78" spans="1:19" s="15" customFormat="1" ht="22.5" customHeight="1">
      <c r="A78" s="59" t="s">
        <v>20</v>
      </c>
      <c r="B78" s="60" t="s">
        <v>54</v>
      </c>
      <c r="C78" s="4"/>
      <c r="D78" s="56"/>
      <c r="E78" s="75"/>
      <c r="F78" s="75"/>
      <c r="G78" s="76">
        <f aca="true" t="shared" si="18" ref="G78:G83">C78*F78</f>
        <v>0</v>
      </c>
      <c r="H78" s="4"/>
      <c r="I78" s="56"/>
      <c r="J78" s="75"/>
      <c r="K78" s="75"/>
      <c r="L78" s="76">
        <f aca="true" t="shared" si="19" ref="L78:L83">H78*K78</f>
        <v>0</v>
      </c>
      <c r="M78" s="4">
        <v>102</v>
      </c>
      <c r="N78" s="56"/>
      <c r="O78" s="75"/>
      <c r="P78" s="75">
        <v>1.5</v>
      </c>
      <c r="Q78" s="33">
        <f aca="true" t="shared" si="20" ref="Q78:Q83">M78*P78</f>
        <v>153</v>
      </c>
      <c r="R78" s="34">
        <f t="shared" si="16"/>
        <v>102</v>
      </c>
      <c r="S78" s="33">
        <f t="shared" si="17"/>
        <v>153</v>
      </c>
    </row>
    <row r="79" spans="1:19" s="15" customFormat="1" ht="22.5" customHeight="1">
      <c r="A79" s="59" t="s">
        <v>21</v>
      </c>
      <c r="B79" s="60" t="s">
        <v>52</v>
      </c>
      <c r="C79" s="4"/>
      <c r="D79" s="56"/>
      <c r="E79" s="75"/>
      <c r="F79" s="75"/>
      <c r="G79" s="76">
        <f t="shared" si="18"/>
        <v>0</v>
      </c>
      <c r="H79" s="4"/>
      <c r="I79" s="56"/>
      <c r="J79" s="75"/>
      <c r="K79" s="75"/>
      <c r="L79" s="76">
        <f t="shared" si="19"/>
        <v>0</v>
      </c>
      <c r="M79" s="4">
        <v>126</v>
      </c>
      <c r="N79" s="56"/>
      <c r="O79" s="75"/>
      <c r="P79" s="75">
        <v>1.5</v>
      </c>
      <c r="Q79" s="33">
        <f t="shared" si="20"/>
        <v>189</v>
      </c>
      <c r="R79" s="34">
        <f t="shared" si="16"/>
        <v>126</v>
      </c>
      <c r="S79" s="33">
        <f t="shared" si="17"/>
        <v>189</v>
      </c>
    </row>
    <row r="80" spans="1:19" s="15" customFormat="1" ht="22.5" customHeight="1">
      <c r="A80" s="59" t="s">
        <v>22</v>
      </c>
      <c r="B80" s="60" t="s">
        <v>59</v>
      </c>
      <c r="C80" s="4"/>
      <c r="D80" s="56"/>
      <c r="E80" s="75"/>
      <c r="F80" s="75"/>
      <c r="G80" s="76">
        <f t="shared" si="18"/>
        <v>0</v>
      </c>
      <c r="H80" s="4"/>
      <c r="I80" s="56"/>
      <c r="J80" s="75"/>
      <c r="K80" s="75"/>
      <c r="L80" s="76">
        <f t="shared" si="19"/>
        <v>0</v>
      </c>
      <c r="M80" s="4">
        <v>102</v>
      </c>
      <c r="N80" s="56"/>
      <c r="O80" s="75"/>
      <c r="P80" s="75">
        <v>1.5</v>
      </c>
      <c r="Q80" s="33">
        <f t="shared" si="20"/>
        <v>153</v>
      </c>
      <c r="R80" s="34">
        <f t="shared" si="16"/>
        <v>102</v>
      </c>
      <c r="S80" s="33">
        <f t="shared" si="17"/>
        <v>153</v>
      </c>
    </row>
    <row r="81" spans="1:19" s="15" customFormat="1" ht="22.5" customHeight="1">
      <c r="A81" s="54">
        <v>4</v>
      </c>
      <c r="B81" s="55" t="s">
        <v>53</v>
      </c>
      <c r="C81" s="4"/>
      <c r="D81" s="56"/>
      <c r="E81" s="75"/>
      <c r="F81" s="75"/>
      <c r="G81" s="76">
        <f t="shared" si="18"/>
        <v>0</v>
      </c>
      <c r="H81" s="4"/>
      <c r="I81" s="56"/>
      <c r="J81" s="75"/>
      <c r="K81" s="75"/>
      <c r="L81" s="76">
        <f t="shared" si="19"/>
        <v>0</v>
      </c>
      <c r="M81" s="4">
        <v>102</v>
      </c>
      <c r="N81" s="56"/>
      <c r="O81" s="75"/>
      <c r="P81" s="75">
        <v>1.5</v>
      </c>
      <c r="Q81" s="33">
        <f t="shared" si="20"/>
        <v>153</v>
      </c>
      <c r="R81" s="34">
        <f t="shared" si="16"/>
        <v>102</v>
      </c>
      <c r="S81" s="33">
        <f t="shared" si="17"/>
        <v>153</v>
      </c>
    </row>
    <row r="82" spans="1:19" s="15" customFormat="1" ht="37.5" customHeight="1">
      <c r="A82" s="54">
        <v>5</v>
      </c>
      <c r="B82" s="60" t="s">
        <v>72</v>
      </c>
      <c r="C82" s="4"/>
      <c r="D82" s="56"/>
      <c r="E82" s="75"/>
      <c r="F82" s="56"/>
      <c r="G82" s="32">
        <f t="shared" si="18"/>
        <v>0</v>
      </c>
      <c r="H82" s="4"/>
      <c r="I82" s="56"/>
      <c r="J82" s="75"/>
      <c r="K82" s="56"/>
      <c r="L82" s="32">
        <f t="shared" si="19"/>
        <v>0</v>
      </c>
      <c r="M82" s="4">
        <v>1444</v>
      </c>
      <c r="N82" s="56"/>
      <c r="O82" s="75"/>
      <c r="P82" s="56">
        <v>900</v>
      </c>
      <c r="Q82" s="33">
        <f t="shared" si="20"/>
        <v>1299600</v>
      </c>
      <c r="R82" s="34">
        <f t="shared" si="16"/>
        <v>1444</v>
      </c>
      <c r="S82" s="33">
        <f t="shared" si="17"/>
        <v>1299600</v>
      </c>
    </row>
    <row r="83" spans="1:19" s="15" customFormat="1" ht="22.5" customHeight="1">
      <c r="A83" s="90">
        <v>6</v>
      </c>
      <c r="B83" s="77" t="s">
        <v>60</v>
      </c>
      <c r="C83" s="78"/>
      <c r="D83" s="78"/>
      <c r="E83" s="79"/>
      <c r="F83" s="78"/>
      <c r="G83" s="80">
        <f t="shared" si="18"/>
        <v>0</v>
      </c>
      <c r="H83" s="78"/>
      <c r="I83" s="78"/>
      <c r="J83" s="79"/>
      <c r="K83" s="78"/>
      <c r="L83" s="80">
        <f t="shared" si="19"/>
        <v>0</v>
      </c>
      <c r="M83" s="78">
        <v>5505</v>
      </c>
      <c r="N83" s="78"/>
      <c r="O83" s="79"/>
      <c r="P83" s="78">
        <v>850</v>
      </c>
      <c r="Q83" s="81">
        <f t="shared" si="20"/>
        <v>4679250</v>
      </c>
      <c r="R83" s="82">
        <f t="shared" si="16"/>
        <v>5505</v>
      </c>
      <c r="S83" s="81">
        <f t="shared" si="17"/>
        <v>4679250</v>
      </c>
    </row>
    <row r="84" spans="1:18" s="15" customFormat="1" ht="15.75">
      <c r="A84" s="83"/>
      <c r="C84" s="83"/>
      <c r="E84" s="83"/>
      <c r="F84" s="84"/>
      <c r="G84" s="83"/>
      <c r="H84" s="83"/>
      <c r="J84" s="83"/>
      <c r="K84" s="84"/>
      <c r="L84" s="83"/>
      <c r="M84" s="83"/>
      <c r="O84" s="83"/>
      <c r="P84" s="84"/>
      <c r="Q84" s="83"/>
      <c r="R84" s="83"/>
    </row>
    <row r="85" spans="1:18" s="15" customFormat="1" ht="15.75">
      <c r="A85" s="83"/>
      <c r="C85" s="83"/>
      <c r="E85" s="83"/>
      <c r="F85" s="84"/>
      <c r="G85" s="85"/>
      <c r="H85" s="83"/>
      <c r="J85" s="83"/>
      <c r="K85" s="84"/>
      <c r="L85" s="83"/>
      <c r="M85" s="83"/>
      <c r="O85" s="83"/>
      <c r="P85" s="84"/>
      <c r="Q85" s="83"/>
      <c r="R85" s="83"/>
    </row>
  </sheetData>
  <sheetProtection/>
  <mergeCells count="10">
    <mergeCell ref="A1:G1"/>
    <mergeCell ref="A4:A6"/>
    <mergeCell ref="B4:B6"/>
    <mergeCell ref="C4:G4"/>
    <mergeCell ref="R4:S5"/>
    <mergeCell ref="C5:G5"/>
    <mergeCell ref="H5:L5"/>
    <mergeCell ref="M5:Q5"/>
    <mergeCell ref="H4:L4"/>
    <mergeCell ref="M4:Q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67">
      <selection activeCell="B9" sqref="B9"/>
    </sheetView>
  </sheetViews>
  <sheetFormatPr defaultColWidth="9.140625" defaultRowHeight="12.75"/>
  <cols>
    <col min="1" max="1" width="6.140625" style="150" customWidth="1"/>
    <col min="2" max="2" width="53.28125" style="92" customWidth="1"/>
    <col min="3" max="3" width="10.28125" style="150" customWidth="1"/>
    <col min="4" max="4" width="9.421875" style="92" customWidth="1"/>
    <col min="5" max="5" width="8.7109375" style="150" customWidth="1"/>
    <col min="6" max="6" width="10.140625" style="151" customWidth="1"/>
    <col min="7" max="7" width="13.7109375" style="150" customWidth="1"/>
    <col min="8" max="8" width="10.28125" style="150" customWidth="1"/>
    <col min="9" max="9" width="9.421875" style="92" customWidth="1"/>
    <col min="10" max="10" width="8.7109375" style="150" customWidth="1"/>
    <col min="11" max="11" width="10.57421875" style="151" customWidth="1"/>
    <col min="12" max="12" width="14.57421875" style="150" customWidth="1"/>
    <col min="13" max="13" width="10.28125" style="150" customWidth="1"/>
    <col min="14" max="14" width="9.421875" style="92" customWidth="1"/>
    <col min="15" max="15" width="8.7109375" style="150" customWidth="1"/>
    <col min="16" max="16" width="11.28125" style="151" customWidth="1"/>
    <col min="17" max="17" width="14.421875" style="150" customWidth="1"/>
    <col min="18" max="18" width="10.28125" style="150" customWidth="1"/>
    <col min="19" max="19" width="14.140625" style="92" customWidth="1"/>
    <col min="20" max="20" width="16.7109375" style="92" bestFit="1" customWidth="1"/>
    <col min="21" max="16384" width="9.140625" style="92" customWidth="1"/>
  </cols>
  <sheetData>
    <row r="1" spans="1:19" ht="45.75" customHeight="1">
      <c r="A1" s="249" t="s">
        <v>102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1:18" ht="16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 t="s">
        <v>32</v>
      </c>
      <c r="R2" s="94"/>
    </row>
    <row r="3" spans="1:19" s="96" customFormat="1" ht="81" customHeight="1">
      <c r="A3" s="250" t="s">
        <v>0</v>
      </c>
      <c r="B3" s="250" t="s">
        <v>1</v>
      </c>
      <c r="C3" s="252" t="s">
        <v>104</v>
      </c>
      <c r="D3" s="253"/>
      <c r="E3" s="253"/>
      <c r="F3" s="253"/>
      <c r="G3" s="254"/>
      <c r="H3" s="252" t="s">
        <v>105</v>
      </c>
      <c r="I3" s="253"/>
      <c r="J3" s="253"/>
      <c r="K3" s="253"/>
      <c r="L3" s="254"/>
      <c r="M3" s="252" t="s">
        <v>106</v>
      </c>
      <c r="N3" s="253"/>
      <c r="O3" s="253"/>
      <c r="P3" s="253"/>
      <c r="Q3" s="254"/>
      <c r="R3" s="255" t="s">
        <v>99</v>
      </c>
      <c r="S3" s="256"/>
    </row>
    <row r="4" spans="1:19" s="102" customFormat="1" ht="38.25" customHeight="1">
      <c r="A4" s="251" t="s">
        <v>0</v>
      </c>
      <c r="B4" s="251"/>
      <c r="C4" s="97" t="s">
        <v>74</v>
      </c>
      <c r="D4" s="98" t="s">
        <v>75</v>
      </c>
      <c r="E4" s="97" t="s">
        <v>76</v>
      </c>
      <c r="F4" s="99" t="s">
        <v>77</v>
      </c>
      <c r="G4" s="97" t="s">
        <v>46</v>
      </c>
      <c r="H4" s="97" t="s">
        <v>74</v>
      </c>
      <c r="I4" s="98" t="s">
        <v>75</v>
      </c>
      <c r="J4" s="97" t="s">
        <v>76</v>
      </c>
      <c r="K4" s="99" t="s">
        <v>77</v>
      </c>
      <c r="L4" s="97" t="s">
        <v>46</v>
      </c>
      <c r="M4" s="97" t="s">
        <v>74</v>
      </c>
      <c r="N4" s="98" t="s">
        <v>75</v>
      </c>
      <c r="O4" s="97" t="s">
        <v>76</v>
      </c>
      <c r="P4" s="99" t="s">
        <v>77</v>
      </c>
      <c r="Q4" s="97" t="s">
        <v>46</v>
      </c>
      <c r="R4" s="100" t="s">
        <v>96</v>
      </c>
      <c r="S4" s="101" t="s">
        <v>46</v>
      </c>
    </row>
    <row r="5" spans="1:19" s="109" customFormat="1" ht="30" customHeight="1">
      <c r="A5" s="103"/>
      <c r="B5" s="103" t="s">
        <v>86</v>
      </c>
      <c r="C5" s="104"/>
      <c r="D5" s="105"/>
      <c r="E5" s="104"/>
      <c r="F5" s="106"/>
      <c r="G5" s="104">
        <f>G6+G68</f>
        <v>51158000</v>
      </c>
      <c r="H5" s="104"/>
      <c r="I5" s="104"/>
      <c r="J5" s="104"/>
      <c r="K5" s="104"/>
      <c r="L5" s="104">
        <f>L6+L68</f>
        <v>52796851.84</v>
      </c>
      <c r="M5" s="104"/>
      <c r="N5" s="104"/>
      <c r="O5" s="104"/>
      <c r="P5" s="104"/>
      <c r="Q5" s="104">
        <f>Q6+Q68</f>
        <v>51158000</v>
      </c>
      <c r="R5" s="107"/>
      <c r="S5" s="108">
        <f>Q5-L5</f>
        <v>-1638851.8400000036</v>
      </c>
    </row>
    <row r="6" spans="1:19" s="102" customFormat="1" ht="42" customHeight="1">
      <c r="A6" s="107" t="s">
        <v>42</v>
      </c>
      <c r="B6" s="110" t="s">
        <v>103</v>
      </c>
      <c r="C6" s="107"/>
      <c r="D6" s="111"/>
      <c r="E6" s="107"/>
      <c r="F6" s="112"/>
      <c r="G6" s="107">
        <f>G7+G8</f>
        <v>38098000</v>
      </c>
      <c r="H6" s="107"/>
      <c r="I6" s="107"/>
      <c r="J6" s="107"/>
      <c r="K6" s="107"/>
      <c r="L6" s="107">
        <f>L7+L8+L9</f>
        <v>39736851.84</v>
      </c>
      <c r="M6" s="107"/>
      <c r="N6" s="107"/>
      <c r="O6" s="107"/>
      <c r="P6" s="107"/>
      <c r="Q6" s="107">
        <f>38098000</f>
        <v>38098000</v>
      </c>
      <c r="R6" s="107"/>
      <c r="S6" s="113">
        <f>Q6-L6</f>
        <v>-1638851.8400000036</v>
      </c>
    </row>
    <row r="7" spans="1:19" s="102" customFormat="1" ht="22.5" customHeight="1">
      <c r="A7" s="107" t="s">
        <v>85</v>
      </c>
      <c r="B7" s="110" t="s">
        <v>83</v>
      </c>
      <c r="C7" s="107"/>
      <c r="D7" s="111"/>
      <c r="E7" s="107"/>
      <c r="F7" s="112"/>
      <c r="G7" s="107">
        <v>6096629.4</v>
      </c>
      <c r="H7" s="107"/>
      <c r="I7" s="107"/>
      <c r="J7" s="107"/>
      <c r="K7" s="107"/>
      <c r="L7" s="107">
        <v>6096629.3999999985</v>
      </c>
      <c r="M7" s="107"/>
      <c r="N7" s="107"/>
      <c r="O7" s="107"/>
      <c r="P7" s="107"/>
      <c r="Q7" s="107">
        <f>Q6-Q8</f>
        <v>6648606.920000002</v>
      </c>
      <c r="R7" s="107"/>
      <c r="S7" s="113">
        <f>Q7-L7</f>
        <v>551977.5200000033</v>
      </c>
    </row>
    <row r="8" spans="1:19" s="102" customFormat="1" ht="22.5" customHeight="1">
      <c r="A8" s="107" t="s">
        <v>85</v>
      </c>
      <c r="B8" s="110" t="s">
        <v>84</v>
      </c>
      <c r="C8" s="107"/>
      <c r="D8" s="111"/>
      <c r="E8" s="107"/>
      <c r="F8" s="112"/>
      <c r="G8" s="107">
        <f>G10+G19+G22+G26+G30+G32+G35+G50+G63</f>
        <v>32001370.6</v>
      </c>
      <c r="H8" s="107"/>
      <c r="I8" s="107"/>
      <c r="J8" s="107"/>
      <c r="K8" s="107"/>
      <c r="L8" s="107">
        <f>L10+L19+L22+L26+L30+L32+L35+L50+L63-L9</f>
        <v>32001370.6</v>
      </c>
      <c r="M8" s="107"/>
      <c r="N8" s="107"/>
      <c r="O8" s="107"/>
      <c r="P8" s="107"/>
      <c r="Q8" s="107">
        <f>Q10+Q19+Q22+Q26+Q30+Q32+Q35+Q50+Q63</f>
        <v>31449393.08</v>
      </c>
      <c r="R8" s="107"/>
      <c r="S8" s="113">
        <f>Q8-L8</f>
        <v>-551977.5200000033</v>
      </c>
    </row>
    <row r="9" spans="1:19" s="109" customFormat="1" ht="27" customHeight="1">
      <c r="A9" s="107" t="s">
        <v>85</v>
      </c>
      <c r="B9" s="110" t="s">
        <v>98</v>
      </c>
      <c r="C9" s="107"/>
      <c r="D9" s="111"/>
      <c r="E9" s="107"/>
      <c r="F9" s="112"/>
      <c r="G9" s="107">
        <v>0</v>
      </c>
      <c r="H9" s="107"/>
      <c r="I9" s="107"/>
      <c r="J9" s="107"/>
      <c r="K9" s="107"/>
      <c r="L9" s="107">
        <v>1638851.8400000036</v>
      </c>
      <c r="M9" s="107"/>
      <c r="N9" s="107"/>
      <c r="O9" s="107"/>
      <c r="P9" s="107"/>
      <c r="Q9" s="107"/>
      <c r="R9" s="107"/>
      <c r="S9" s="113"/>
    </row>
    <row r="10" spans="1:19" s="109" customFormat="1" ht="37.5" customHeight="1">
      <c r="A10" s="114" t="s">
        <v>2</v>
      </c>
      <c r="B10" s="115" t="s">
        <v>64</v>
      </c>
      <c r="C10" s="116">
        <f>SUM(C11:C18)</f>
        <v>2234</v>
      </c>
      <c r="D10" s="115"/>
      <c r="E10" s="116"/>
      <c r="F10" s="117"/>
      <c r="G10" s="116">
        <f>SUM(G11:G18)</f>
        <v>4372944</v>
      </c>
      <c r="H10" s="116">
        <f>SUM(H11:H18)</f>
        <v>2234</v>
      </c>
      <c r="I10" s="115"/>
      <c r="J10" s="116"/>
      <c r="K10" s="117"/>
      <c r="L10" s="116">
        <f>SUM(L11:L18)</f>
        <v>4601097.6</v>
      </c>
      <c r="M10" s="116">
        <f>SUM(M11:M18)</f>
        <v>2041</v>
      </c>
      <c r="N10" s="115"/>
      <c r="O10" s="116"/>
      <c r="P10" s="117"/>
      <c r="Q10" s="116">
        <f>SUM(Q11:Q18)</f>
        <v>4219802.4</v>
      </c>
      <c r="R10" s="107">
        <f aca="true" t="shared" si="0" ref="R10:R41">M10-H10</f>
        <v>-193</v>
      </c>
      <c r="S10" s="113">
        <f aca="true" t="shared" si="1" ref="S10:S41">Q10-L10</f>
        <v>-381295.19999999925</v>
      </c>
    </row>
    <row r="11" spans="1:19" s="102" customFormat="1" ht="22.5" customHeight="1">
      <c r="A11" s="118">
        <v>1</v>
      </c>
      <c r="B11" s="35" t="s">
        <v>34</v>
      </c>
      <c r="C11" s="52">
        <v>664</v>
      </c>
      <c r="D11" s="35">
        <v>0.1</v>
      </c>
      <c r="E11" s="52">
        <v>12</v>
      </c>
      <c r="F11" s="52">
        <v>1150</v>
      </c>
      <c r="G11" s="52">
        <f aca="true" t="shared" si="2" ref="G11:G18">C11*D11*E11*F11</f>
        <v>916320.0000000001</v>
      </c>
      <c r="H11" s="52">
        <v>664</v>
      </c>
      <c r="I11" s="35">
        <v>0.1</v>
      </c>
      <c r="J11" s="52">
        <v>12</v>
      </c>
      <c r="K11" s="52">
        <v>1210</v>
      </c>
      <c r="L11" s="52">
        <f aca="true" t="shared" si="3" ref="L11:L18">H11*I11*J11*K11</f>
        <v>964128.0000000001</v>
      </c>
      <c r="M11" s="52">
        <v>558</v>
      </c>
      <c r="N11" s="35">
        <v>0.1</v>
      </c>
      <c r="O11" s="52">
        <v>12</v>
      </c>
      <c r="P11" s="52">
        <v>1210</v>
      </c>
      <c r="Q11" s="52">
        <f aca="true" t="shared" si="4" ref="Q11:Q18">M11*N11*O11*P11</f>
        <v>810216</v>
      </c>
      <c r="R11" s="119">
        <f t="shared" si="0"/>
        <v>-106</v>
      </c>
      <c r="S11" s="52">
        <f t="shared" si="1"/>
        <v>-153912.00000000012</v>
      </c>
    </row>
    <row r="12" spans="1:19" s="102" customFormat="1" ht="22.5" customHeight="1">
      <c r="A12" s="118">
        <v>2</v>
      </c>
      <c r="B12" s="35" t="s">
        <v>35</v>
      </c>
      <c r="C12" s="52">
        <v>110</v>
      </c>
      <c r="D12" s="35">
        <v>0.12</v>
      </c>
      <c r="E12" s="52">
        <v>12</v>
      </c>
      <c r="F12" s="52">
        <v>1150</v>
      </c>
      <c r="G12" s="52">
        <f t="shared" si="2"/>
        <v>182159.99999999997</v>
      </c>
      <c r="H12" s="52">
        <v>110</v>
      </c>
      <c r="I12" s="35">
        <v>0.12</v>
      </c>
      <c r="J12" s="52">
        <v>12</v>
      </c>
      <c r="K12" s="52">
        <v>1210</v>
      </c>
      <c r="L12" s="52">
        <f t="shared" si="3"/>
        <v>191663.99999999997</v>
      </c>
      <c r="M12" s="52">
        <v>63</v>
      </c>
      <c r="N12" s="35">
        <v>0.12</v>
      </c>
      <c r="O12" s="52">
        <v>12</v>
      </c>
      <c r="P12" s="52">
        <v>1210</v>
      </c>
      <c r="Q12" s="52">
        <f t="shared" si="4"/>
        <v>109771.2</v>
      </c>
      <c r="R12" s="119">
        <f t="shared" si="0"/>
        <v>-47</v>
      </c>
      <c r="S12" s="52">
        <f t="shared" si="1"/>
        <v>-81892.79999999997</v>
      </c>
    </row>
    <row r="13" spans="1:19" s="102" customFormat="1" ht="22.5" customHeight="1">
      <c r="A13" s="118">
        <v>3</v>
      </c>
      <c r="B13" s="35" t="s">
        <v>25</v>
      </c>
      <c r="C13" s="52">
        <v>842</v>
      </c>
      <c r="D13" s="35">
        <v>0.12</v>
      </c>
      <c r="E13" s="52">
        <v>12</v>
      </c>
      <c r="F13" s="52">
        <v>1150</v>
      </c>
      <c r="G13" s="52">
        <f t="shared" si="2"/>
        <v>1394352</v>
      </c>
      <c r="H13" s="52">
        <v>842</v>
      </c>
      <c r="I13" s="35">
        <v>0.12</v>
      </c>
      <c r="J13" s="52">
        <v>12</v>
      </c>
      <c r="K13" s="52">
        <v>1210</v>
      </c>
      <c r="L13" s="52">
        <f t="shared" si="3"/>
        <v>1467100.8</v>
      </c>
      <c r="M13" s="52">
        <v>867</v>
      </c>
      <c r="N13" s="35">
        <v>0.12</v>
      </c>
      <c r="O13" s="52">
        <v>12</v>
      </c>
      <c r="P13" s="52">
        <v>1210</v>
      </c>
      <c r="Q13" s="52">
        <f t="shared" si="4"/>
        <v>1510660.8</v>
      </c>
      <c r="R13" s="119">
        <f t="shared" si="0"/>
        <v>25</v>
      </c>
      <c r="S13" s="52">
        <f t="shared" si="1"/>
        <v>43560</v>
      </c>
    </row>
    <row r="14" spans="1:19" s="102" customFormat="1" ht="22.5" customHeight="1">
      <c r="A14" s="118">
        <v>4</v>
      </c>
      <c r="B14" s="35" t="s">
        <v>36</v>
      </c>
      <c r="C14" s="52">
        <v>136</v>
      </c>
      <c r="D14" s="35">
        <v>0.2</v>
      </c>
      <c r="E14" s="52">
        <v>12</v>
      </c>
      <c r="F14" s="52">
        <v>1150</v>
      </c>
      <c r="G14" s="52">
        <f t="shared" si="2"/>
        <v>375360.00000000006</v>
      </c>
      <c r="H14" s="52">
        <v>136</v>
      </c>
      <c r="I14" s="35">
        <v>0.2</v>
      </c>
      <c r="J14" s="52">
        <v>12</v>
      </c>
      <c r="K14" s="52">
        <v>1210</v>
      </c>
      <c r="L14" s="52">
        <f t="shared" si="3"/>
        <v>394944.00000000006</v>
      </c>
      <c r="M14" s="52">
        <v>117</v>
      </c>
      <c r="N14" s="35">
        <v>0.2</v>
      </c>
      <c r="O14" s="52">
        <v>12</v>
      </c>
      <c r="P14" s="52">
        <v>1210</v>
      </c>
      <c r="Q14" s="52">
        <f t="shared" si="4"/>
        <v>339768</v>
      </c>
      <c r="R14" s="119">
        <f t="shared" si="0"/>
        <v>-19</v>
      </c>
      <c r="S14" s="52">
        <f t="shared" si="1"/>
        <v>-55176.00000000006</v>
      </c>
    </row>
    <row r="15" spans="1:19" s="102" customFormat="1" ht="22.5" customHeight="1">
      <c r="A15" s="118">
        <v>5</v>
      </c>
      <c r="B15" s="35" t="s">
        <v>37</v>
      </c>
      <c r="C15" s="52">
        <v>12</v>
      </c>
      <c r="D15" s="35">
        <v>0.15</v>
      </c>
      <c r="E15" s="52">
        <v>12</v>
      </c>
      <c r="F15" s="52">
        <v>1150</v>
      </c>
      <c r="G15" s="52">
        <f t="shared" si="2"/>
        <v>24839.999999999996</v>
      </c>
      <c r="H15" s="52">
        <v>12</v>
      </c>
      <c r="I15" s="35">
        <v>0.15</v>
      </c>
      <c r="J15" s="52">
        <v>12</v>
      </c>
      <c r="K15" s="52">
        <v>1210</v>
      </c>
      <c r="L15" s="52">
        <f t="shared" si="3"/>
        <v>26135.999999999996</v>
      </c>
      <c r="M15" s="52">
        <v>2</v>
      </c>
      <c r="N15" s="35">
        <v>0.15</v>
      </c>
      <c r="O15" s="52">
        <v>12</v>
      </c>
      <c r="P15" s="52">
        <v>1210</v>
      </c>
      <c r="Q15" s="52">
        <f t="shared" si="4"/>
        <v>4356</v>
      </c>
      <c r="R15" s="119">
        <f t="shared" si="0"/>
        <v>-10</v>
      </c>
      <c r="S15" s="52">
        <f t="shared" si="1"/>
        <v>-21779.999999999996</v>
      </c>
    </row>
    <row r="16" spans="1:19" s="102" customFormat="1" ht="22.5" customHeight="1">
      <c r="A16" s="118">
        <v>6</v>
      </c>
      <c r="B16" s="35" t="s">
        <v>41</v>
      </c>
      <c r="C16" s="118">
        <v>12</v>
      </c>
      <c r="D16" s="35">
        <v>0.2</v>
      </c>
      <c r="E16" s="52">
        <v>12</v>
      </c>
      <c r="F16" s="52">
        <v>1150</v>
      </c>
      <c r="G16" s="52">
        <f t="shared" si="2"/>
        <v>33120.00000000001</v>
      </c>
      <c r="H16" s="118">
        <v>12</v>
      </c>
      <c r="I16" s="35">
        <v>0.2</v>
      </c>
      <c r="J16" s="52">
        <v>12</v>
      </c>
      <c r="K16" s="52">
        <v>1210</v>
      </c>
      <c r="L16" s="52">
        <f t="shared" si="3"/>
        <v>34848.00000000001</v>
      </c>
      <c r="M16" s="118">
        <v>2</v>
      </c>
      <c r="N16" s="35">
        <v>0.2</v>
      </c>
      <c r="O16" s="52">
        <v>12</v>
      </c>
      <c r="P16" s="52">
        <v>1210</v>
      </c>
      <c r="Q16" s="52">
        <f t="shared" si="4"/>
        <v>5808.000000000001</v>
      </c>
      <c r="R16" s="119">
        <f t="shared" si="0"/>
        <v>-10</v>
      </c>
      <c r="S16" s="52">
        <f t="shared" si="1"/>
        <v>-29040.000000000007</v>
      </c>
    </row>
    <row r="17" spans="1:19" s="102" customFormat="1" ht="22.5" customHeight="1">
      <c r="A17" s="118">
        <v>7</v>
      </c>
      <c r="B17" s="35" t="s">
        <v>38</v>
      </c>
      <c r="C17" s="52">
        <v>204</v>
      </c>
      <c r="D17" s="35">
        <v>0.24</v>
      </c>
      <c r="E17" s="52">
        <v>12</v>
      </c>
      <c r="F17" s="52">
        <v>1150</v>
      </c>
      <c r="G17" s="52">
        <f t="shared" si="2"/>
        <v>675648</v>
      </c>
      <c r="H17" s="52">
        <v>204</v>
      </c>
      <c r="I17" s="35">
        <v>0.24</v>
      </c>
      <c r="J17" s="52">
        <v>12</v>
      </c>
      <c r="K17" s="52">
        <v>1210</v>
      </c>
      <c r="L17" s="52">
        <f t="shared" si="3"/>
        <v>710899.2</v>
      </c>
      <c r="M17" s="52">
        <v>204</v>
      </c>
      <c r="N17" s="35">
        <v>0.24</v>
      </c>
      <c r="O17" s="52">
        <v>12</v>
      </c>
      <c r="P17" s="52">
        <v>1210</v>
      </c>
      <c r="Q17" s="52">
        <f t="shared" si="4"/>
        <v>710899.2</v>
      </c>
      <c r="R17" s="119">
        <f t="shared" si="0"/>
        <v>0</v>
      </c>
      <c r="S17" s="52">
        <f t="shared" si="1"/>
        <v>0</v>
      </c>
    </row>
    <row r="18" spans="1:19" s="102" customFormat="1" ht="22.5" customHeight="1">
      <c r="A18" s="118">
        <v>8</v>
      </c>
      <c r="B18" s="35" t="s">
        <v>39</v>
      </c>
      <c r="C18" s="52">
        <v>254</v>
      </c>
      <c r="D18" s="35">
        <v>0.22</v>
      </c>
      <c r="E18" s="52">
        <v>12</v>
      </c>
      <c r="F18" s="52">
        <v>1150</v>
      </c>
      <c r="G18" s="52">
        <f t="shared" si="2"/>
        <v>771144.0000000001</v>
      </c>
      <c r="H18" s="52">
        <v>254</v>
      </c>
      <c r="I18" s="35">
        <v>0.22</v>
      </c>
      <c r="J18" s="52">
        <v>12</v>
      </c>
      <c r="K18" s="52">
        <v>1210</v>
      </c>
      <c r="L18" s="52">
        <f t="shared" si="3"/>
        <v>811377.6000000001</v>
      </c>
      <c r="M18" s="52">
        <v>228</v>
      </c>
      <c r="N18" s="35">
        <v>0.22</v>
      </c>
      <c r="O18" s="52">
        <v>12</v>
      </c>
      <c r="P18" s="52">
        <v>1210</v>
      </c>
      <c r="Q18" s="52">
        <f t="shared" si="4"/>
        <v>728323.2000000001</v>
      </c>
      <c r="R18" s="119">
        <f t="shared" si="0"/>
        <v>-26</v>
      </c>
      <c r="S18" s="52">
        <f t="shared" si="1"/>
        <v>-83054.40000000002</v>
      </c>
    </row>
    <row r="19" spans="1:19" s="109" customFormat="1" ht="36.75" customHeight="1">
      <c r="A19" s="114" t="s">
        <v>3</v>
      </c>
      <c r="B19" s="115" t="s">
        <v>65</v>
      </c>
      <c r="C19" s="113">
        <f>SUM(C20:C21)</f>
        <v>949</v>
      </c>
      <c r="D19" s="113"/>
      <c r="E19" s="113"/>
      <c r="F19" s="113"/>
      <c r="G19" s="113">
        <f>SUM(G20:G21)</f>
        <v>7286400</v>
      </c>
      <c r="H19" s="113">
        <f>SUM(H20:H21)</f>
        <v>949</v>
      </c>
      <c r="I19" s="115"/>
      <c r="J19" s="113"/>
      <c r="K19" s="116"/>
      <c r="L19" s="113">
        <f>SUM(L20:L21)</f>
        <v>7666560</v>
      </c>
      <c r="M19" s="113">
        <f>SUM(M20:M21)</f>
        <v>993</v>
      </c>
      <c r="N19" s="115"/>
      <c r="O19" s="113"/>
      <c r="P19" s="116"/>
      <c r="Q19" s="113">
        <f>SUM(Q20:Q21)</f>
        <v>8123940</v>
      </c>
      <c r="R19" s="107">
        <f t="shared" si="0"/>
        <v>44</v>
      </c>
      <c r="S19" s="113">
        <f t="shared" si="1"/>
        <v>457380</v>
      </c>
    </row>
    <row r="20" spans="1:19" s="102" customFormat="1" ht="22.5" customHeight="1">
      <c r="A20" s="118">
        <v>1</v>
      </c>
      <c r="B20" s="120" t="s">
        <v>44</v>
      </c>
      <c r="C20" s="52">
        <v>107</v>
      </c>
      <c r="D20" s="120">
        <v>1</v>
      </c>
      <c r="E20" s="52">
        <v>12</v>
      </c>
      <c r="F20" s="121">
        <v>1150</v>
      </c>
      <c r="G20" s="52">
        <f>C20*D20*E20*F20</f>
        <v>1476600</v>
      </c>
      <c r="H20" s="52">
        <v>107</v>
      </c>
      <c r="I20" s="120">
        <v>1</v>
      </c>
      <c r="J20" s="52">
        <v>12</v>
      </c>
      <c r="K20" s="121">
        <v>1210</v>
      </c>
      <c r="L20" s="52">
        <f>H20*I20*J20*K20</f>
        <v>1553640</v>
      </c>
      <c r="M20" s="52">
        <v>126</v>
      </c>
      <c r="N20" s="120">
        <v>1</v>
      </c>
      <c r="O20" s="52">
        <v>12</v>
      </c>
      <c r="P20" s="121">
        <v>1210</v>
      </c>
      <c r="Q20" s="52">
        <f>M20*N20*O20*P20</f>
        <v>1829520</v>
      </c>
      <c r="R20" s="119">
        <f t="shared" si="0"/>
        <v>19</v>
      </c>
      <c r="S20" s="52">
        <f t="shared" si="1"/>
        <v>275880</v>
      </c>
    </row>
    <row r="21" spans="1:19" s="102" customFormat="1" ht="22.5" customHeight="1">
      <c r="A21" s="118">
        <v>2</v>
      </c>
      <c r="B21" s="120" t="s">
        <v>23</v>
      </c>
      <c r="C21" s="52">
        <v>842</v>
      </c>
      <c r="D21" s="120">
        <v>0.5</v>
      </c>
      <c r="E21" s="52">
        <v>12</v>
      </c>
      <c r="F21" s="121">
        <v>1150</v>
      </c>
      <c r="G21" s="52">
        <f>C21*D21*E21*F21</f>
        <v>5809800</v>
      </c>
      <c r="H21" s="52">
        <v>842</v>
      </c>
      <c r="I21" s="120">
        <v>0.5</v>
      </c>
      <c r="J21" s="52">
        <v>12</v>
      </c>
      <c r="K21" s="121">
        <v>1210</v>
      </c>
      <c r="L21" s="52">
        <f>H21*I21*J21*K21</f>
        <v>6112920</v>
      </c>
      <c r="M21" s="52">
        <v>867</v>
      </c>
      <c r="N21" s="120">
        <v>0.5</v>
      </c>
      <c r="O21" s="52">
        <v>12</v>
      </c>
      <c r="P21" s="121">
        <v>1210</v>
      </c>
      <c r="Q21" s="52">
        <f>M21*N21*O21*P21</f>
        <v>6294420</v>
      </c>
      <c r="R21" s="119">
        <f t="shared" si="0"/>
        <v>25</v>
      </c>
      <c r="S21" s="52">
        <f t="shared" si="1"/>
        <v>181500</v>
      </c>
    </row>
    <row r="22" spans="1:19" s="109" customFormat="1" ht="22.5" customHeight="1">
      <c r="A22" s="114" t="s">
        <v>4</v>
      </c>
      <c r="B22" s="115" t="s">
        <v>26</v>
      </c>
      <c r="C22" s="113">
        <f>SUM(C23:C25)</f>
        <v>105</v>
      </c>
      <c r="D22" s="113"/>
      <c r="E22" s="113"/>
      <c r="F22" s="113"/>
      <c r="G22" s="113">
        <f>SUM(G23:G25)</f>
        <v>136203.24</v>
      </c>
      <c r="H22" s="113">
        <f>SUM(H23:H25)</f>
        <v>105</v>
      </c>
      <c r="I22" s="115"/>
      <c r="J22" s="113"/>
      <c r="K22" s="117"/>
      <c r="L22" s="113">
        <f>SUM(L23:L25)</f>
        <v>143309.496</v>
      </c>
      <c r="M22" s="113">
        <f>SUM(M23:M25)</f>
        <v>126</v>
      </c>
      <c r="N22" s="115"/>
      <c r="O22" s="113"/>
      <c r="P22" s="117"/>
      <c r="Q22" s="113">
        <f>SUM(Q23:Q25)</f>
        <v>173069.688</v>
      </c>
      <c r="R22" s="107">
        <f t="shared" si="0"/>
        <v>21</v>
      </c>
      <c r="S22" s="113">
        <f t="shared" si="1"/>
        <v>29760.19199999998</v>
      </c>
    </row>
    <row r="23" spans="1:19" s="102" customFormat="1" ht="34.5" customHeight="1">
      <c r="A23" s="118">
        <v>1</v>
      </c>
      <c r="B23" s="120" t="s">
        <v>45</v>
      </c>
      <c r="C23" s="52">
        <v>23</v>
      </c>
      <c r="D23" s="120">
        <f>(1+0.22)*5%</f>
        <v>0.061</v>
      </c>
      <c r="E23" s="52">
        <v>12</v>
      </c>
      <c r="F23" s="121">
        <v>1150</v>
      </c>
      <c r="G23" s="52">
        <f>C23*D23*E23*F23</f>
        <v>19361.399999999998</v>
      </c>
      <c r="H23" s="52">
        <v>23</v>
      </c>
      <c r="I23" s="120">
        <f>(1+0.22)*5%</f>
        <v>0.061</v>
      </c>
      <c r="J23" s="52">
        <v>12</v>
      </c>
      <c r="K23" s="121">
        <v>1210</v>
      </c>
      <c r="L23" s="52">
        <f>H23*I23*J23*K23</f>
        <v>20371.559999999998</v>
      </c>
      <c r="M23" s="52">
        <v>23</v>
      </c>
      <c r="N23" s="120">
        <f>(1+0.22)*5%</f>
        <v>0.061</v>
      </c>
      <c r="O23" s="52">
        <v>12</v>
      </c>
      <c r="P23" s="121">
        <v>1210</v>
      </c>
      <c r="Q23" s="52">
        <f>M23*N23*O23*P23</f>
        <v>20371.559999999998</v>
      </c>
      <c r="R23" s="119">
        <f t="shared" si="0"/>
        <v>0</v>
      </c>
      <c r="S23" s="52">
        <f t="shared" si="1"/>
        <v>0</v>
      </c>
    </row>
    <row r="24" spans="1:19" s="102" customFormat="1" ht="22.5" customHeight="1">
      <c r="A24" s="118">
        <v>2</v>
      </c>
      <c r="B24" s="120" t="s">
        <v>80</v>
      </c>
      <c r="C24" s="52">
        <v>42</v>
      </c>
      <c r="D24" s="120">
        <f>(1+0.22)*7%</f>
        <v>0.0854</v>
      </c>
      <c r="E24" s="52">
        <v>12</v>
      </c>
      <c r="F24" s="121">
        <v>1150</v>
      </c>
      <c r="G24" s="52">
        <f>C24*D24*E24*F24</f>
        <v>49497.840000000004</v>
      </c>
      <c r="H24" s="52">
        <v>42</v>
      </c>
      <c r="I24" s="120">
        <f>(1+0.22)*7%</f>
        <v>0.0854</v>
      </c>
      <c r="J24" s="52">
        <v>12</v>
      </c>
      <c r="K24" s="121">
        <v>1210</v>
      </c>
      <c r="L24" s="52">
        <f>H24*I24*J24*K24</f>
        <v>52080.336</v>
      </c>
      <c r="M24" s="52">
        <v>56</v>
      </c>
      <c r="N24" s="120">
        <f>(1+0.22)*7%</f>
        <v>0.0854</v>
      </c>
      <c r="O24" s="52">
        <v>12</v>
      </c>
      <c r="P24" s="121">
        <v>1210</v>
      </c>
      <c r="Q24" s="52">
        <f>M24*N24*O24*P24</f>
        <v>69440.448</v>
      </c>
      <c r="R24" s="119">
        <f t="shared" si="0"/>
        <v>14</v>
      </c>
      <c r="S24" s="52">
        <f t="shared" si="1"/>
        <v>17360.112</v>
      </c>
    </row>
    <row r="25" spans="1:19" s="102" customFormat="1" ht="22.5" customHeight="1">
      <c r="A25" s="118">
        <v>3</v>
      </c>
      <c r="B25" s="120" t="s">
        <v>81</v>
      </c>
      <c r="C25" s="52">
        <v>40</v>
      </c>
      <c r="D25" s="120">
        <f>(1+0.22)*10%</f>
        <v>0.122</v>
      </c>
      <c r="E25" s="52">
        <v>12</v>
      </c>
      <c r="F25" s="121">
        <v>1150</v>
      </c>
      <c r="G25" s="52">
        <f>C25*D25*E25*F25</f>
        <v>67344</v>
      </c>
      <c r="H25" s="52">
        <v>40</v>
      </c>
      <c r="I25" s="120">
        <f>(1+0.22)*10%</f>
        <v>0.122</v>
      </c>
      <c r="J25" s="52">
        <v>12</v>
      </c>
      <c r="K25" s="121">
        <v>1210</v>
      </c>
      <c r="L25" s="52">
        <f>H25*I25*J25*K25</f>
        <v>70857.6</v>
      </c>
      <c r="M25" s="52">
        <v>47</v>
      </c>
      <c r="N25" s="120">
        <f>(1+0.22)*10%</f>
        <v>0.122</v>
      </c>
      <c r="O25" s="52">
        <v>12</v>
      </c>
      <c r="P25" s="121">
        <v>1210</v>
      </c>
      <c r="Q25" s="52">
        <f>M25*N25*O25*P25</f>
        <v>83257.68</v>
      </c>
      <c r="R25" s="119">
        <f t="shared" si="0"/>
        <v>7</v>
      </c>
      <c r="S25" s="52">
        <f t="shared" si="1"/>
        <v>12400.079999999987</v>
      </c>
    </row>
    <row r="26" spans="1:19" s="109" customFormat="1" ht="22.5" customHeight="1">
      <c r="A26" s="114" t="s">
        <v>5</v>
      </c>
      <c r="B26" s="115" t="s">
        <v>33</v>
      </c>
      <c r="C26" s="113">
        <f>SUM(C27:C29)</f>
        <v>243</v>
      </c>
      <c r="D26" s="113"/>
      <c r="E26" s="113"/>
      <c r="F26" s="113"/>
      <c r="G26" s="113">
        <f>SUM(G27:G29)</f>
        <v>1088406</v>
      </c>
      <c r="H26" s="113">
        <f>SUM(H27:H29)</f>
        <v>243</v>
      </c>
      <c r="I26" s="115"/>
      <c r="J26" s="113"/>
      <c r="K26" s="117"/>
      <c r="L26" s="113">
        <f>SUM(L27:L29)</f>
        <v>1145192.4000000001</v>
      </c>
      <c r="M26" s="113">
        <f>SUM(M27:M29)</f>
        <v>243</v>
      </c>
      <c r="N26" s="115"/>
      <c r="O26" s="113"/>
      <c r="P26" s="117"/>
      <c r="Q26" s="113">
        <f>SUM(Q27:Q29)</f>
        <v>1285891.2</v>
      </c>
      <c r="R26" s="107">
        <f t="shared" si="0"/>
        <v>0</v>
      </c>
      <c r="S26" s="113">
        <f t="shared" si="1"/>
        <v>140698.7999999998</v>
      </c>
    </row>
    <row r="27" spans="1:19" s="102" customFormat="1" ht="68.25" customHeight="1">
      <c r="A27" s="122">
        <v>1</v>
      </c>
      <c r="B27" s="120" t="s">
        <v>50</v>
      </c>
      <c r="C27" s="52">
        <v>107</v>
      </c>
      <c r="D27" s="120">
        <f>(1+0.22)*50%</f>
        <v>0.61</v>
      </c>
      <c r="E27" s="52">
        <v>12</v>
      </c>
      <c r="F27" s="121">
        <v>1150</v>
      </c>
      <c r="G27" s="52">
        <f>C27*D27*E27*F27</f>
        <v>900726</v>
      </c>
      <c r="H27" s="52">
        <v>107</v>
      </c>
      <c r="I27" s="120">
        <f>(1+0.22)*50%</f>
        <v>0.61</v>
      </c>
      <c r="J27" s="52">
        <v>12</v>
      </c>
      <c r="K27" s="121">
        <v>1210</v>
      </c>
      <c r="L27" s="52">
        <f>H27*I27*J27*K27</f>
        <v>947720.4</v>
      </c>
      <c r="M27" s="52">
        <v>126</v>
      </c>
      <c r="N27" s="120">
        <f>(1+0.22)*50%</f>
        <v>0.61</v>
      </c>
      <c r="O27" s="52">
        <v>12</v>
      </c>
      <c r="P27" s="121">
        <v>1210</v>
      </c>
      <c r="Q27" s="52">
        <f>M27*N27*O27*P27</f>
        <v>1116007.2</v>
      </c>
      <c r="R27" s="119">
        <f t="shared" si="0"/>
        <v>19</v>
      </c>
      <c r="S27" s="52">
        <f t="shared" si="1"/>
        <v>168286.79999999993</v>
      </c>
    </row>
    <row r="28" spans="1:19" s="102" customFormat="1" ht="41.25" customHeight="1">
      <c r="A28" s="122">
        <v>2</v>
      </c>
      <c r="B28" s="120" t="s">
        <v>48</v>
      </c>
      <c r="C28" s="52">
        <v>136</v>
      </c>
      <c r="D28" s="120">
        <f>0.2*50%</f>
        <v>0.1</v>
      </c>
      <c r="E28" s="52">
        <v>12</v>
      </c>
      <c r="F28" s="121">
        <v>1150</v>
      </c>
      <c r="G28" s="52">
        <f>C28*D28*E28*F28</f>
        <v>187680.00000000003</v>
      </c>
      <c r="H28" s="52">
        <v>136</v>
      </c>
      <c r="I28" s="120">
        <f>0.2*50%</f>
        <v>0.1</v>
      </c>
      <c r="J28" s="52">
        <v>12</v>
      </c>
      <c r="K28" s="121">
        <v>1210</v>
      </c>
      <c r="L28" s="52">
        <f>H28*I28*J28*K28</f>
        <v>197472.00000000003</v>
      </c>
      <c r="M28" s="52">
        <v>117</v>
      </c>
      <c r="N28" s="120">
        <f>0.2*50%</f>
        <v>0.1</v>
      </c>
      <c r="O28" s="52">
        <v>12</v>
      </c>
      <c r="P28" s="121">
        <v>1210</v>
      </c>
      <c r="Q28" s="52">
        <f>M28*N28*O28*P28</f>
        <v>169884</v>
      </c>
      <c r="R28" s="119">
        <f t="shared" si="0"/>
        <v>-19</v>
      </c>
      <c r="S28" s="52">
        <f t="shared" si="1"/>
        <v>-27588.00000000003</v>
      </c>
    </row>
    <row r="29" spans="1:19" s="102" customFormat="1" ht="78.75" customHeight="1">
      <c r="A29" s="122">
        <v>3</v>
      </c>
      <c r="B29" s="120" t="s">
        <v>47</v>
      </c>
      <c r="C29" s="52"/>
      <c r="D29" s="120"/>
      <c r="E29" s="52"/>
      <c r="F29" s="123"/>
      <c r="G29" s="52"/>
      <c r="H29" s="52"/>
      <c r="I29" s="120"/>
      <c r="J29" s="52"/>
      <c r="K29" s="123"/>
      <c r="L29" s="52"/>
      <c r="M29" s="52"/>
      <c r="N29" s="120"/>
      <c r="O29" s="52"/>
      <c r="P29" s="123"/>
      <c r="Q29" s="52"/>
      <c r="R29" s="119">
        <f t="shared" si="0"/>
        <v>0</v>
      </c>
      <c r="S29" s="52">
        <f t="shared" si="1"/>
        <v>0</v>
      </c>
    </row>
    <row r="30" spans="1:19" s="109" customFormat="1" ht="34.5" customHeight="1">
      <c r="A30" s="114" t="s">
        <v>6</v>
      </c>
      <c r="B30" s="115" t="s">
        <v>24</v>
      </c>
      <c r="C30" s="113">
        <f>C31</f>
        <v>107</v>
      </c>
      <c r="D30" s="115"/>
      <c r="E30" s="113"/>
      <c r="F30" s="117"/>
      <c r="G30" s="113">
        <f>G31</f>
        <v>324261.36</v>
      </c>
      <c r="H30" s="113">
        <f>H31</f>
        <v>107</v>
      </c>
      <c r="I30" s="115"/>
      <c r="J30" s="113"/>
      <c r="K30" s="117"/>
      <c r="L30" s="113">
        <f>L31</f>
        <v>341179.344</v>
      </c>
      <c r="M30" s="113">
        <f>M31</f>
        <v>126</v>
      </c>
      <c r="N30" s="115"/>
      <c r="O30" s="113"/>
      <c r="P30" s="117"/>
      <c r="Q30" s="113">
        <f>Q31</f>
        <v>401762.592</v>
      </c>
      <c r="R30" s="107">
        <f t="shared" si="0"/>
        <v>19</v>
      </c>
      <c r="S30" s="113">
        <f t="shared" si="1"/>
        <v>60583.24800000002</v>
      </c>
    </row>
    <row r="31" spans="1:19" s="102" customFormat="1" ht="44.25" customHeight="1">
      <c r="A31" s="118">
        <v>1</v>
      </c>
      <c r="B31" s="124" t="s">
        <v>97</v>
      </c>
      <c r="C31" s="52">
        <v>107</v>
      </c>
      <c r="D31" s="124"/>
      <c r="E31" s="52">
        <v>12</v>
      </c>
      <c r="F31" s="125">
        <f>1.22*1150*18%</f>
        <v>252.54</v>
      </c>
      <c r="G31" s="125">
        <f>C31*E31*F31</f>
        <v>324261.36</v>
      </c>
      <c r="H31" s="52">
        <v>107</v>
      </c>
      <c r="I31" s="124"/>
      <c r="J31" s="52">
        <v>12</v>
      </c>
      <c r="K31" s="125">
        <f>1.22*1210*18%</f>
        <v>265.716</v>
      </c>
      <c r="L31" s="125">
        <f>H31*J31*K31</f>
        <v>341179.344</v>
      </c>
      <c r="M31" s="52">
        <v>126</v>
      </c>
      <c r="N31" s="124"/>
      <c r="O31" s="52">
        <v>12</v>
      </c>
      <c r="P31" s="125">
        <f>1.22*1210*18%</f>
        <v>265.716</v>
      </c>
      <c r="Q31" s="125">
        <f>M31*O31*P31</f>
        <v>401762.592</v>
      </c>
      <c r="R31" s="119">
        <f t="shared" si="0"/>
        <v>19</v>
      </c>
      <c r="S31" s="52">
        <f t="shared" si="1"/>
        <v>60583.24800000002</v>
      </c>
    </row>
    <row r="32" spans="1:19" s="109" customFormat="1" ht="40.5" customHeight="1">
      <c r="A32" s="114" t="s">
        <v>7</v>
      </c>
      <c r="B32" s="110" t="s">
        <v>66</v>
      </c>
      <c r="C32" s="113">
        <f>C34</f>
        <v>1891</v>
      </c>
      <c r="D32" s="110"/>
      <c r="E32" s="126"/>
      <c r="F32" s="127"/>
      <c r="G32" s="126">
        <f>SUM(G33:G34)</f>
        <v>1949624.0000000002</v>
      </c>
      <c r="H32" s="113">
        <f>H34</f>
        <v>1891</v>
      </c>
      <c r="I32" s="110"/>
      <c r="J32" s="126"/>
      <c r="K32" s="127"/>
      <c r="L32" s="126">
        <f>SUM(L33:L34)</f>
        <v>2046081.6</v>
      </c>
      <c r="M32" s="113">
        <f>M34</f>
        <v>1235</v>
      </c>
      <c r="N32" s="110"/>
      <c r="O32" s="126"/>
      <c r="P32" s="127"/>
      <c r="Q32" s="126">
        <f>SUM(Q33:Q34)</f>
        <v>1323169.6</v>
      </c>
      <c r="R32" s="107">
        <f t="shared" si="0"/>
        <v>-656</v>
      </c>
      <c r="S32" s="113">
        <f t="shared" si="1"/>
        <v>-722912</v>
      </c>
    </row>
    <row r="33" spans="1:19" s="102" customFormat="1" ht="30.75" customHeight="1">
      <c r="A33" s="118">
        <v>1</v>
      </c>
      <c r="B33" s="35" t="s">
        <v>57</v>
      </c>
      <c r="C33" s="52">
        <v>1724</v>
      </c>
      <c r="D33" s="35">
        <v>0.08</v>
      </c>
      <c r="E33" s="52">
        <v>8</v>
      </c>
      <c r="F33" s="52">
        <v>1150</v>
      </c>
      <c r="G33" s="52">
        <f>C33*D33*E33*F33</f>
        <v>1268864.0000000002</v>
      </c>
      <c r="H33" s="52">
        <v>1724</v>
      </c>
      <c r="I33" s="35">
        <v>0.08</v>
      </c>
      <c r="J33" s="52">
        <v>8</v>
      </c>
      <c r="K33" s="52">
        <v>1210</v>
      </c>
      <c r="L33" s="52">
        <f>H33*I33*J33*K33</f>
        <v>1335065.6</v>
      </c>
      <c r="M33" s="52">
        <v>1109</v>
      </c>
      <c r="N33" s="35">
        <v>0.08</v>
      </c>
      <c r="O33" s="52">
        <v>8</v>
      </c>
      <c r="P33" s="52">
        <v>1210</v>
      </c>
      <c r="Q33" s="52">
        <f>M33*N33*O33*P33</f>
        <v>858809.6</v>
      </c>
      <c r="R33" s="119">
        <f t="shared" si="0"/>
        <v>-615</v>
      </c>
      <c r="S33" s="52">
        <f t="shared" si="1"/>
        <v>-476256.0000000001</v>
      </c>
    </row>
    <row r="34" spans="1:19" s="102" customFormat="1" ht="31.5" customHeight="1">
      <c r="A34" s="118">
        <v>2</v>
      </c>
      <c r="B34" s="35" t="s">
        <v>58</v>
      </c>
      <c r="C34" s="52">
        <v>1891</v>
      </c>
      <c r="D34" s="35"/>
      <c r="E34" s="52">
        <v>8</v>
      </c>
      <c r="F34" s="52">
        <v>45</v>
      </c>
      <c r="G34" s="52">
        <f>C34*E34*F34</f>
        <v>680760</v>
      </c>
      <c r="H34" s="52">
        <v>1891</v>
      </c>
      <c r="I34" s="35"/>
      <c r="J34" s="52">
        <v>8</v>
      </c>
      <c r="K34" s="52">
        <v>47</v>
      </c>
      <c r="L34" s="52">
        <f>H34*J34*K34</f>
        <v>711016</v>
      </c>
      <c r="M34" s="52">
        <v>1235</v>
      </c>
      <c r="N34" s="35"/>
      <c r="O34" s="52">
        <v>8</v>
      </c>
      <c r="P34" s="52">
        <v>47</v>
      </c>
      <c r="Q34" s="52">
        <f>M34*O34*P34</f>
        <v>464360</v>
      </c>
      <c r="R34" s="119">
        <f t="shared" si="0"/>
        <v>-656</v>
      </c>
      <c r="S34" s="52">
        <f t="shared" si="1"/>
        <v>-246656</v>
      </c>
    </row>
    <row r="35" spans="1:19" s="109" customFormat="1" ht="32.25" customHeight="1">
      <c r="A35" s="128" t="s">
        <v>15</v>
      </c>
      <c r="B35" s="129" t="s">
        <v>67</v>
      </c>
      <c r="C35" s="113"/>
      <c r="D35" s="130"/>
      <c r="E35" s="114"/>
      <c r="F35" s="131"/>
      <c r="G35" s="114">
        <f>G36+G43</f>
        <v>7907777</v>
      </c>
      <c r="H35" s="113"/>
      <c r="I35" s="130"/>
      <c r="J35" s="114"/>
      <c r="K35" s="131"/>
      <c r="L35" s="114">
        <f>L36+L43</f>
        <v>8300279.800000001</v>
      </c>
      <c r="M35" s="113"/>
      <c r="N35" s="130"/>
      <c r="O35" s="114"/>
      <c r="P35" s="131"/>
      <c r="Q35" s="114">
        <f>Q36+Q43</f>
        <v>9449385.600000001</v>
      </c>
      <c r="R35" s="107">
        <f t="shared" si="0"/>
        <v>0</v>
      </c>
      <c r="S35" s="113">
        <f t="shared" si="1"/>
        <v>1149105.8000000007</v>
      </c>
    </row>
    <row r="36" spans="1:19" s="102" customFormat="1" ht="33.75" customHeight="1">
      <c r="A36" s="114">
        <v>1</v>
      </c>
      <c r="B36" s="115" t="s">
        <v>8</v>
      </c>
      <c r="C36" s="113">
        <f>SUM(C37:C42)</f>
        <v>5523</v>
      </c>
      <c r="D36" s="132"/>
      <c r="E36" s="113"/>
      <c r="F36" s="133"/>
      <c r="G36" s="113">
        <f>SUM(G37:G42)</f>
        <v>5310332</v>
      </c>
      <c r="H36" s="113">
        <f>SUM(H37:H42)</f>
        <v>5523</v>
      </c>
      <c r="I36" s="132"/>
      <c r="J36" s="113"/>
      <c r="K36" s="133"/>
      <c r="L36" s="113">
        <f>SUM(L37:L42)</f>
        <v>5587392.800000001</v>
      </c>
      <c r="M36" s="113">
        <f>SUM(M37:M42)</f>
        <v>5720</v>
      </c>
      <c r="N36" s="132"/>
      <c r="O36" s="113"/>
      <c r="P36" s="133"/>
      <c r="Q36" s="113">
        <f>SUM(Q37:Q42)</f>
        <v>6360921.600000001</v>
      </c>
      <c r="R36" s="107">
        <f t="shared" si="0"/>
        <v>197</v>
      </c>
      <c r="S36" s="113">
        <f t="shared" si="1"/>
        <v>773528.7999999998</v>
      </c>
    </row>
    <row r="37" spans="1:19" s="102" customFormat="1" ht="24.75" customHeight="1">
      <c r="A37" s="134" t="s">
        <v>56</v>
      </c>
      <c r="B37" s="35" t="s">
        <v>9</v>
      </c>
      <c r="C37" s="52">
        <v>445</v>
      </c>
      <c r="D37" s="35">
        <v>0.08</v>
      </c>
      <c r="E37" s="52">
        <v>15</v>
      </c>
      <c r="F37" s="52">
        <v>1150</v>
      </c>
      <c r="G37" s="52">
        <f aca="true" t="shared" si="5" ref="G37:G42">C37*D37*E37*F37</f>
        <v>614100</v>
      </c>
      <c r="H37" s="52">
        <v>445</v>
      </c>
      <c r="I37" s="35">
        <v>0.08</v>
      </c>
      <c r="J37" s="52">
        <v>15</v>
      </c>
      <c r="K37" s="52">
        <v>1210</v>
      </c>
      <c r="L37" s="52">
        <f aca="true" t="shared" si="6" ref="L37:L42">H37*I37*J37*K37</f>
        <v>646140</v>
      </c>
      <c r="M37" s="52">
        <v>964</v>
      </c>
      <c r="N37" s="35">
        <v>0.08</v>
      </c>
      <c r="O37" s="52">
        <v>15</v>
      </c>
      <c r="P37" s="52">
        <v>1210</v>
      </c>
      <c r="Q37" s="52">
        <f aca="true" t="shared" si="7" ref="Q37:Q42">M37*N37*O37*P37</f>
        <v>1399728.0000000002</v>
      </c>
      <c r="R37" s="119">
        <f t="shared" si="0"/>
        <v>519</v>
      </c>
      <c r="S37" s="52">
        <f t="shared" si="1"/>
        <v>753588.0000000002</v>
      </c>
    </row>
    <row r="38" spans="1:19" s="135" customFormat="1" ht="24.75" customHeight="1">
      <c r="A38" s="134" t="s">
        <v>56</v>
      </c>
      <c r="B38" s="35" t="s">
        <v>10</v>
      </c>
      <c r="C38" s="52">
        <v>2362</v>
      </c>
      <c r="D38" s="35">
        <v>0.08</v>
      </c>
      <c r="E38" s="52">
        <v>7</v>
      </c>
      <c r="F38" s="52">
        <v>1150</v>
      </c>
      <c r="G38" s="52">
        <f t="shared" si="5"/>
        <v>1521128</v>
      </c>
      <c r="H38" s="52">
        <v>2362</v>
      </c>
      <c r="I38" s="35">
        <v>0.08</v>
      </c>
      <c r="J38" s="52">
        <v>7</v>
      </c>
      <c r="K38" s="52">
        <v>1210</v>
      </c>
      <c r="L38" s="52">
        <f t="shared" si="6"/>
        <v>1600491.2</v>
      </c>
      <c r="M38" s="52">
        <v>1548</v>
      </c>
      <c r="N38" s="35">
        <v>0.08</v>
      </c>
      <c r="O38" s="52">
        <v>7</v>
      </c>
      <c r="P38" s="52">
        <v>1210</v>
      </c>
      <c r="Q38" s="52">
        <f t="shared" si="7"/>
        <v>1048924.8</v>
      </c>
      <c r="R38" s="119">
        <f t="shared" si="0"/>
        <v>-814</v>
      </c>
      <c r="S38" s="52">
        <f t="shared" si="1"/>
        <v>-551566.3999999999</v>
      </c>
    </row>
    <row r="39" spans="1:19" s="102" customFormat="1" ht="24.75" customHeight="1">
      <c r="A39" s="134" t="s">
        <v>56</v>
      </c>
      <c r="B39" s="35" t="s">
        <v>11</v>
      </c>
      <c r="C39" s="52">
        <v>420</v>
      </c>
      <c r="D39" s="35">
        <v>0.08</v>
      </c>
      <c r="E39" s="52">
        <v>12</v>
      </c>
      <c r="F39" s="52">
        <v>1150</v>
      </c>
      <c r="G39" s="52">
        <f t="shared" si="5"/>
        <v>463680.00000000006</v>
      </c>
      <c r="H39" s="52">
        <v>420</v>
      </c>
      <c r="I39" s="35">
        <v>0.08</v>
      </c>
      <c r="J39" s="52">
        <v>12</v>
      </c>
      <c r="K39" s="52">
        <v>1210</v>
      </c>
      <c r="L39" s="52">
        <f t="shared" si="6"/>
        <v>487872.00000000006</v>
      </c>
      <c r="M39" s="52">
        <v>448</v>
      </c>
      <c r="N39" s="35">
        <v>0.08</v>
      </c>
      <c r="O39" s="52">
        <v>12</v>
      </c>
      <c r="P39" s="52">
        <v>1210</v>
      </c>
      <c r="Q39" s="52">
        <f t="shared" si="7"/>
        <v>520396.80000000005</v>
      </c>
      <c r="R39" s="119">
        <f t="shared" si="0"/>
        <v>28</v>
      </c>
      <c r="S39" s="52">
        <f t="shared" si="1"/>
        <v>32524.79999999999</v>
      </c>
    </row>
    <row r="40" spans="1:19" s="102" customFormat="1" ht="24.75" customHeight="1">
      <c r="A40" s="134" t="s">
        <v>56</v>
      </c>
      <c r="B40" s="35" t="s">
        <v>12</v>
      </c>
      <c r="C40" s="52">
        <v>479</v>
      </c>
      <c r="D40" s="35">
        <v>0.08</v>
      </c>
      <c r="E40" s="52">
        <v>12</v>
      </c>
      <c r="F40" s="52">
        <v>1150</v>
      </c>
      <c r="G40" s="52">
        <f t="shared" si="5"/>
        <v>528816</v>
      </c>
      <c r="H40" s="52">
        <v>479</v>
      </c>
      <c r="I40" s="35">
        <v>0.08</v>
      </c>
      <c r="J40" s="52">
        <v>12</v>
      </c>
      <c r="K40" s="52">
        <v>1210</v>
      </c>
      <c r="L40" s="52">
        <f t="shared" si="6"/>
        <v>556406.4</v>
      </c>
      <c r="M40" s="52">
        <v>346</v>
      </c>
      <c r="N40" s="35">
        <v>0.08</v>
      </c>
      <c r="O40" s="52">
        <v>12</v>
      </c>
      <c r="P40" s="52">
        <v>1210</v>
      </c>
      <c r="Q40" s="52">
        <f t="shared" si="7"/>
        <v>401913.6</v>
      </c>
      <c r="R40" s="119">
        <f t="shared" si="0"/>
        <v>-133</v>
      </c>
      <c r="S40" s="52">
        <f t="shared" si="1"/>
        <v>-154492.80000000005</v>
      </c>
    </row>
    <row r="41" spans="1:19" s="102" customFormat="1" ht="24.75" customHeight="1">
      <c r="A41" s="134" t="s">
        <v>56</v>
      </c>
      <c r="B41" s="35" t="s">
        <v>13</v>
      </c>
      <c r="C41" s="52">
        <v>1777</v>
      </c>
      <c r="D41" s="35">
        <v>0.08</v>
      </c>
      <c r="E41" s="52">
        <v>12</v>
      </c>
      <c r="F41" s="52">
        <v>1150</v>
      </c>
      <c r="G41" s="52">
        <f t="shared" si="5"/>
        <v>1961808</v>
      </c>
      <c r="H41" s="52">
        <v>1777</v>
      </c>
      <c r="I41" s="35">
        <v>0.08</v>
      </c>
      <c r="J41" s="52">
        <v>12</v>
      </c>
      <c r="K41" s="52">
        <v>1210</v>
      </c>
      <c r="L41" s="52">
        <f t="shared" si="6"/>
        <v>2064163.2000000002</v>
      </c>
      <c r="M41" s="52">
        <v>2374</v>
      </c>
      <c r="N41" s="35">
        <v>0.08</v>
      </c>
      <c r="O41" s="52">
        <v>12</v>
      </c>
      <c r="P41" s="52">
        <v>1210</v>
      </c>
      <c r="Q41" s="52">
        <f t="shared" si="7"/>
        <v>2757638.4</v>
      </c>
      <c r="R41" s="119">
        <f t="shared" si="0"/>
        <v>597</v>
      </c>
      <c r="S41" s="52">
        <f t="shared" si="1"/>
        <v>693475.1999999997</v>
      </c>
    </row>
    <row r="42" spans="1:19" s="102" customFormat="1" ht="24.75" customHeight="1">
      <c r="A42" s="134" t="s">
        <v>56</v>
      </c>
      <c r="B42" s="35" t="s">
        <v>18</v>
      </c>
      <c r="C42" s="52">
        <v>40</v>
      </c>
      <c r="D42" s="35">
        <v>0.08</v>
      </c>
      <c r="E42" s="52">
        <v>60</v>
      </c>
      <c r="F42" s="52">
        <v>1150</v>
      </c>
      <c r="G42" s="52">
        <f t="shared" si="5"/>
        <v>220800</v>
      </c>
      <c r="H42" s="52">
        <v>40</v>
      </c>
      <c r="I42" s="35">
        <v>0.08</v>
      </c>
      <c r="J42" s="52">
        <v>60</v>
      </c>
      <c r="K42" s="52">
        <v>1210</v>
      </c>
      <c r="L42" s="52">
        <f t="shared" si="6"/>
        <v>232320</v>
      </c>
      <c r="M42" s="52">
        <v>40</v>
      </c>
      <c r="N42" s="35">
        <v>0.08</v>
      </c>
      <c r="O42" s="52">
        <v>60</v>
      </c>
      <c r="P42" s="52">
        <v>1210</v>
      </c>
      <c r="Q42" s="52">
        <f t="shared" si="7"/>
        <v>232320</v>
      </c>
      <c r="R42" s="119">
        <f aca="true" t="shared" si="8" ref="R42:R62">M42-H42</f>
        <v>0</v>
      </c>
      <c r="S42" s="52">
        <f aca="true" t="shared" si="9" ref="S42:S62">Q42-L42</f>
        <v>0</v>
      </c>
    </row>
    <row r="43" spans="1:19" s="102" customFormat="1" ht="24.75" customHeight="1">
      <c r="A43" s="114">
        <v>2</v>
      </c>
      <c r="B43" s="132" t="s">
        <v>14</v>
      </c>
      <c r="C43" s="113">
        <f>SUM(C44:C49)</f>
        <v>5523</v>
      </c>
      <c r="D43" s="132"/>
      <c r="E43" s="113"/>
      <c r="F43" s="133"/>
      <c r="G43" s="113">
        <f>SUM(G44:G49)</f>
        <v>2597445</v>
      </c>
      <c r="H43" s="113">
        <f>SUM(H44:H49)</f>
        <v>5523</v>
      </c>
      <c r="I43" s="132"/>
      <c r="J43" s="113"/>
      <c r="K43" s="133"/>
      <c r="L43" s="113">
        <f>SUM(L44:L49)</f>
        <v>2712887</v>
      </c>
      <c r="M43" s="113">
        <f>SUM(M44:M49)</f>
        <v>5720</v>
      </c>
      <c r="N43" s="132"/>
      <c r="O43" s="113"/>
      <c r="P43" s="133"/>
      <c r="Q43" s="113">
        <f>SUM(Q44:Q49)</f>
        <v>3088464</v>
      </c>
      <c r="R43" s="107">
        <f t="shared" si="8"/>
        <v>197</v>
      </c>
      <c r="S43" s="113">
        <f t="shared" si="9"/>
        <v>375577</v>
      </c>
    </row>
    <row r="44" spans="1:19" s="102" customFormat="1" ht="24.75" customHeight="1">
      <c r="A44" s="118" t="s">
        <v>51</v>
      </c>
      <c r="B44" s="35" t="s">
        <v>9</v>
      </c>
      <c r="C44" s="52">
        <v>445</v>
      </c>
      <c r="D44" s="35"/>
      <c r="E44" s="52">
        <f aca="true" t="shared" si="10" ref="E44:E49">E37</f>
        <v>15</v>
      </c>
      <c r="F44" s="52">
        <v>45</v>
      </c>
      <c r="G44" s="52">
        <f aca="true" t="shared" si="11" ref="G44:G49">C44*E44*F44</f>
        <v>300375</v>
      </c>
      <c r="H44" s="52">
        <v>445</v>
      </c>
      <c r="I44" s="35"/>
      <c r="J44" s="52">
        <f aca="true" t="shared" si="12" ref="J44:J49">J37</f>
        <v>15</v>
      </c>
      <c r="K44" s="52">
        <v>47</v>
      </c>
      <c r="L44" s="52">
        <f aca="true" t="shared" si="13" ref="L44:L49">H44*J44*K44</f>
        <v>313725</v>
      </c>
      <c r="M44" s="52">
        <f>M37</f>
        <v>964</v>
      </c>
      <c r="N44" s="35"/>
      <c r="O44" s="52">
        <f aca="true" t="shared" si="14" ref="O44:O49">O37</f>
        <v>15</v>
      </c>
      <c r="P44" s="52">
        <v>47</v>
      </c>
      <c r="Q44" s="52">
        <f aca="true" t="shared" si="15" ref="Q44:Q49">M44*O44*P44</f>
        <v>679620</v>
      </c>
      <c r="R44" s="119">
        <f t="shared" si="8"/>
        <v>519</v>
      </c>
      <c r="S44" s="52">
        <f t="shared" si="9"/>
        <v>365895</v>
      </c>
    </row>
    <row r="45" spans="1:19" s="102" customFormat="1" ht="24.75" customHeight="1">
      <c r="A45" s="118" t="s">
        <v>51</v>
      </c>
      <c r="B45" s="35" t="s">
        <v>10</v>
      </c>
      <c r="C45" s="52">
        <v>2362</v>
      </c>
      <c r="D45" s="35"/>
      <c r="E45" s="52">
        <f t="shared" si="10"/>
        <v>7</v>
      </c>
      <c r="F45" s="52">
        <v>45</v>
      </c>
      <c r="G45" s="52">
        <f t="shared" si="11"/>
        <v>744030</v>
      </c>
      <c r="H45" s="52">
        <v>2362</v>
      </c>
      <c r="I45" s="35"/>
      <c r="J45" s="52">
        <f t="shared" si="12"/>
        <v>7</v>
      </c>
      <c r="K45" s="52">
        <v>47</v>
      </c>
      <c r="L45" s="52">
        <f t="shared" si="13"/>
        <v>777098</v>
      </c>
      <c r="M45" s="52">
        <v>1548</v>
      </c>
      <c r="N45" s="35"/>
      <c r="O45" s="52">
        <f t="shared" si="14"/>
        <v>7</v>
      </c>
      <c r="P45" s="52">
        <v>47</v>
      </c>
      <c r="Q45" s="52">
        <f t="shared" si="15"/>
        <v>509292</v>
      </c>
      <c r="R45" s="119">
        <f t="shared" si="8"/>
        <v>-814</v>
      </c>
      <c r="S45" s="52">
        <f t="shared" si="9"/>
        <v>-267806</v>
      </c>
    </row>
    <row r="46" spans="1:19" s="102" customFormat="1" ht="24.75" customHeight="1">
      <c r="A46" s="118" t="s">
        <v>51</v>
      </c>
      <c r="B46" s="35" t="s">
        <v>11</v>
      </c>
      <c r="C46" s="52">
        <v>420</v>
      </c>
      <c r="D46" s="35"/>
      <c r="E46" s="52">
        <f t="shared" si="10"/>
        <v>12</v>
      </c>
      <c r="F46" s="52">
        <v>45</v>
      </c>
      <c r="G46" s="52">
        <f t="shared" si="11"/>
        <v>226800</v>
      </c>
      <c r="H46" s="52">
        <v>420</v>
      </c>
      <c r="I46" s="35"/>
      <c r="J46" s="52">
        <f t="shared" si="12"/>
        <v>12</v>
      </c>
      <c r="K46" s="52">
        <v>47</v>
      </c>
      <c r="L46" s="52">
        <f t="shared" si="13"/>
        <v>236880</v>
      </c>
      <c r="M46" s="52">
        <v>448</v>
      </c>
      <c r="N46" s="35"/>
      <c r="O46" s="52">
        <f t="shared" si="14"/>
        <v>12</v>
      </c>
      <c r="P46" s="52">
        <v>47</v>
      </c>
      <c r="Q46" s="52">
        <f t="shared" si="15"/>
        <v>252672</v>
      </c>
      <c r="R46" s="119">
        <f t="shared" si="8"/>
        <v>28</v>
      </c>
      <c r="S46" s="52">
        <f t="shared" si="9"/>
        <v>15792</v>
      </c>
    </row>
    <row r="47" spans="1:19" s="102" customFormat="1" ht="24.75" customHeight="1">
      <c r="A47" s="118" t="s">
        <v>51</v>
      </c>
      <c r="B47" s="35" t="s">
        <v>12</v>
      </c>
      <c r="C47" s="52">
        <v>479</v>
      </c>
      <c r="D47" s="35"/>
      <c r="E47" s="52">
        <f t="shared" si="10"/>
        <v>12</v>
      </c>
      <c r="F47" s="52">
        <v>45</v>
      </c>
      <c r="G47" s="52">
        <f t="shared" si="11"/>
        <v>258660</v>
      </c>
      <c r="H47" s="52">
        <v>479</v>
      </c>
      <c r="I47" s="35"/>
      <c r="J47" s="52">
        <f t="shared" si="12"/>
        <v>12</v>
      </c>
      <c r="K47" s="52">
        <v>47</v>
      </c>
      <c r="L47" s="52">
        <f t="shared" si="13"/>
        <v>270156</v>
      </c>
      <c r="M47" s="52">
        <f>M40</f>
        <v>346</v>
      </c>
      <c r="N47" s="35"/>
      <c r="O47" s="52">
        <f t="shared" si="14"/>
        <v>12</v>
      </c>
      <c r="P47" s="52">
        <v>47</v>
      </c>
      <c r="Q47" s="52">
        <f t="shared" si="15"/>
        <v>195144</v>
      </c>
      <c r="R47" s="119">
        <f t="shared" si="8"/>
        <v>-133</v>
      </c>
      <c r="S47" s="52">
        <f t="shared" si="9"/>
        <v>-75012</v>
      </c>
    </row>
    <row r="48" spans="1:19" s="102" customFormat="1" ht="24.75" customHeight="1">
      <c r="A48" s="118" t="s">
        <v>51</v>
      </c>
      <c r="B48" s="35" t="s">
        <v>13</v>
      </c>
      <c r="C48" s="52">
        <v>1777</v>
      </c>
      <c r="D48" s="35"/>
      <c r="E48" s="52">
        <f t="shared" si="10"/>
        <v>12</v>
      </c>
      <c r="F48" s="52">
        <v>45</v>
      </c>
      <c r="G48" s="52">
        <f t="shared" si="11"/>
        <v>959580</v>
      </c>
      <c r="H48" s="52">
        <v>1777</v>
      </c>
      <c r="I48" s="35"/>
      <c r="J48" s="52">
        <f t="shared" si="12"/>
        <v>12</v>
      </c>
      <c r="K48" s="52">
        <v>47</v>
      </c>
      <c r="L48" s="52">
        <f t="shared" si="13"/>
        <v>1002228</v>
      </c>
      <c r="M48" s="52">
        <f>M41</f>
        <v>2374</v>
      </c>
      <c r="N48" s="35"/>
      <c r="O48" s="52">
        <f t="shared" si="14"/>
        <v>12</v>
      </c>
      <c r="P48" s="52">
        <v>47</v>
      </c>
      <c r="Q48" s="52">
        <f t="shared" si="15"/>
        <v>1338936</v>
      </c>
      <c r="R48" s="119">
        <f t="shared" si="8"/>
        <v>597</v>
      </c>
      <c r="S48" s="52">
        <f t="shared" si="9"/>
        <v>336708</v>
      </c>
    </row>
    <row r="49" spans="1:19" s="102" customFormat="1" ht="24.75" customHeight="1">
      <c r="A49" s="118" t="s">
        <v>51</v>
      </c>
      <c r="B49" s="35" t="s">
        <v>19</v>
      </c>
      <c r="C49" s="52">
        <v>40</v>
      </c>
      <c r="D49" s="35"/>
      <c r="E49" s="52">
        <f t="shared" si="10"/>
        <v>60</v>
      </c>
      <c r="F49" s="52">
        <v>45</v>
      </c>
      <c r="G49" s="52">
        <f t="shared" si="11"/>
        <v>108000</v>
      </c>
      <c r="H49" s="52">
        <v>40</v>
      </c>
      <c r="I49" s="35"/>
      <c r="J49" s="52">
        <f t="shared" si="12"/>
        <v>60</v>
      </c>
      <c r="K49" s="52">
        <v>47</v>
      </c>
      <c r="L49" s="52">
        <f t="shared" si="13"/>
        <v>112800</v>
      </c>
      <c r="M49" s="52">
        <f>M42</f>
        <v>40</v>
      </c>
      <c r="N49" s="35"/>
      <c r="O49" s="52">
        <f t="shared" si="14"/>
        <v>60</v>
      </c>
      <c r="P49" s="52">
        <v>47</v>
      </c>
      <c r="Q49" s="52">
        <f t="shared" si="15"/>
        <v>112800</v>
      </c>
      <c r="R49" s="119">
        <f t="shared" si="8"/>
        <v>0</v>
      </c>
      <c r="S49" s="52">
        <f t="shared" si="9"/>
        <v>0</v>
      </c>
    </row>
    <row r="50" spans="1:19" s="109" customFormat="1" ht="24.75" customHeight="1">
      <c r="A50" s="114" t="s">
        <v>30</v>
      </c>
      <c r="B50" s="115" t="s">
        <v>16</v>
      </c>
      <c r="C50" s="52"/>
      <c r="D50" s="132"/>
      <c r="E50" s="113"/>
      <c r="F50" s="133"/>
      <c r="G50" s="113">
        <f>G51+G54+G57+G60</f>
        <v>8935755</v>
      </c>
      <c r="H50" s="52"/>
      <c r="I50" s="132"/>
      <c r="J50" s="113"/>
      <c r="K50" s="133"/>
      <c r="L50" s="113">
        <f>L51+L54+L57+L60</f>
        <v>9396522.200000001</v>
      </c>
      <c r="M50" s="113"/>
      <c r="N50" s="113"/>
      <c r="O50" s="113"/>
      <c r="P50" s="113"/>
      <c r="Q50" s="113">
        <f>Q51+Q54+Q57+Q60</f>
        <v>4089672</v>
      </c>
      <c r="R50" s="119">
        <f t="shared" si="8"/>
        <v>0</v>
      </c>
      <c r="S50" s="113">
        <f t="shared" si="9"/>
        <v>-5306850.200000001</v>
      </c>
    </row>
    <row r="51" spans="1:19" s="109" customFormat="1" ht="42.75" customHeight="1">
      <c r="A51" s="118">
        <v>1</v>
      </c>
      <c r="B51" s="120" t="s">
        <v>27</v>
      </c>
      <c r="C51" s="52"/>
      <c r="D51" s="132"/>
      <c r="E51" s="113"/>
      <c r="F51" s="133"/>
      <c r="G51" s="52">
        <f>G52+G53</f>
        <v>6993595</v>
      </c>
      <c r="H51" s="52"/>
      <c r="I51" s="132"/>
      <c r="J51" s="113"/>
      <c r="K51" s="133"/>
      <c r="L51" s="52">
        <f>L52+L53</f>
        <v>7358409</v>
      </c>
      <c r="M51" s="52"/>
      <c r="N51" s="132"/>
      <c r="O51" s="113"/>
      <c r="P51" s="133"/>
      <c r="Q51" s="113">
        <v>0</v>
      </c>
      <c r="R51" s="119">
        <f t="shared" si="8"/>
        <v>0</v>
      </c>
      <c r="S51" s="52">
        <f t="shared" si="9"/>
        <v>-7358409</v>
      </c>
    </row>
    <row r="52" spans="1:19" s="102" customFormat="1" ht="21.75" customHeight="1">
      <c r="A52" s="118"/>
      <c r="B52" s="120" t="s">
        <v>29</v>
      </c>
      <c r="C52" s="52">
        <v>208</v>
      </c>
      <c r="D52" s="35">
        <v>0.08</v>
      </c>
      <c r="E52" s="52">
        <v>365</v>
      </c>
      <c r="F52" s="52">
        <v>1150</v>
      </c>
      <c r="G52" s="52">
        <f>C52*D52*E52*F52</f>
        <v>6984640</v>
      </c>
      <c r="H52" s="52">
        <v>208</v>
      </c>
      <c r="I52" s="35">
        <v>0.08</v>
      </c>
      <c r="J52" s="52">
        <v>365</v>
      </c>
      <c r="K52" s="52">
        <v>1210</v>
      </c>
      <c r="L52" s="52">
        <f>H52*I52*J52*K52</f>
        <v>7349056</v>
      </c>
      <c r="M52" s="52"/>
      <c r="N52" s="35"/>
      <c r="O52" s="52"/>
      <c r="P52" s="136"/>
      <c r="Q52" s="52"/>
      <c r="R52" s="119">
        <f t="shared" si="8"/>
        <v>-208</v>
      </c>
      <c r="S52" s="52">
        <f t="shared" si="9"/>
        <v>-7349056</v>
      </c>
    </row>
    <row r="53" spans="1:19" s="102" customFormat="1" ht="21.75" customHeight="1">
      <c r="A53" s="118"/>
      <c r="B53" s="120" t="s">
        <v>28</v>
      </c>
      <c r="C53" s="52">
        <v>199</v>
      </c>
      <c r="D53" s="35"/>
      <c r="E53" s="52"/>
      <c r="F53" s="52">
        <v>45</v>
      </c>
      <c r="G53" s="52">
        <f>C53*F53</f>
        <v>8955</v>
      </c>
      <c r="H53" s="52">
        <v>199</v>
      </c>
      <c r="I53" s="35"/>
      <c r="J53" s="52"/>
      <c r="K53" s="52">
        <v>47</v>
      </c>
      <c r="L53" s="52">
        <f>H53*K53</f>
        <v>9353</v>
      </c>
      <c r="M53" s="52"/>
      <c r="N53" s="35"/>
      <c r="O53" s="52"/>
      <c r="P53" s="136"/>
      <c r="Q53" s="52"/>
      <c r="R53" s="119">
        <f t="shared" si="8"/>
        <v>-199</v>
      </c>
      <c r="S53" s="52">
        <f t="shared" si="9"/>
        <v>-9353</v>
      </c>
    </row>
    <row r="54" spans="1:19" s="102" customFormat="1" ht="22.5" customHeight="1">
      <c r="A54" s="118">
        <v>2</v>
      </c>
      <c r="B54" s="35" t="s">
        <v>17</v>
      </c>
      <c r="C54" s="52"/>
      <c r="D54" s="35"/>
      <c r="E54" s="52"/>
      <c r="F54" s="52"/>
      <c r="G54" s="52">
        <f>G55+G56</f>
        <v>23701</v>
      </c>
      <c r="H54" s="52"/>
      <c r="I54" s="35"/>
      <c r="J54" s="52"/>
      <c r="K54" s="52"/>
      <c r="L54" s="52">
        <f>L55+L56</f>
        <v>24877.4</v>
      </c>
      <c r="M54" s="52"/>
      <c r="N54" s="35"/>
      <c r="O54" s="52"/>
      <c r="P54" s="52"/>
      <c r="Q54" s="52">
        <f>Q55+Q56</f>
        <v>1653700</v>
      </c>
      <c r="R54" s="119">
        <f t="shared" si="8"/>
        <v>0</v>
      </c>
      <c r="S54" s="52">
        <f t="shared" si="9"/>
        <v>1628822.6</v>
      </c>
    </row>
    <row r="55" spans="1:19" s="102" customFormat="1" ht="22.5" customHeight="1">
      <c r="A55" s="118" t="s">
        <v>51</v>
      </c>
      <c r="B55" s="120" t="s">
        <v>29</v>
      </c>
      <c r="C55" s="52">
        <v>173</v>
      </c>
      <c r="D55" s="35">
        <v>0.08</v>
      </c>
      <c r="E55" s="52"/>
      <c r="F55" s="52">
        <v>1150</v>
      </c>
      <c r="G55" s="52">
        <f>C55*D55*F55</f>
        <v>15916</v>
      </c>
      <c r="H55" s="52">
        <v>173</v>
      </c>
      <c r="I55" s="35">
        <v>0.08</v>
      </c>
      <c r="J55" s="52"/>
      <c r="K55" s="52">
        <v>1210</v>
      </c>
      <c r="L55" s="52">
        <f>H55*I55*K55</f>
        <v>16746.4</v>
      </c>
      <c r="M55" s="52">
        <v>2300</v>
      </c>
      <c r="N55" s="35">
        <v>0.08</v>
      </c>
      <c r="O55" s="52">
        <v>5</v>
      </c>
      <c r="P55" s="52">
        <v>1210</v>
      </c>
      <c r="Q55" s="52">
        <f>M55*N55*O55*P55</f>
        <v>1113200</v>
      </c>
      <c r="R55" s="119">
        <f t="shared" si="8"/>
        <v>2127</v>
      </c>
      <c r="S55" s="52">
        <f t="shared" si="9"/>
        <v>1096453.6</v>
      </c>
    </row>
    <row r="56" spans="1:19" s="102" customFormat="1" ht="22.5" customHeight="1">
      <c r="A56" s="118" t="s">
        <v>51</v>
      </c>
      <c r="B56" s="120" t="s">
        <v>28</v>
      </c>
      <c r="C56" s="52">
        <v>173</v>
      </c>
      <c r="D56" s="35"/>
      <c r="E56" s="52"/>
      <c r="F56" s="52">
        <v>45</v>
      </c>
      <c r="G56" s="52">
        <f>C56*F56</f>
        <v>7785</v>
      </c>
      <c r="H56" s="52">
        <v>173</v>
      </c>
      <c r="I56" s="35"/>
      <c r="J56" s="52"/>
      <c r="K56" s="52">
        <v>47</v>
      </c>
      <c r="L56" s="52">
        <f>H56*K56</f>
        <v>8131</v>
      </c>
      <c r="M56" s="52">
        <v>2300</v>
      </c>
      <c r="N56" s="35"/>
      <c r="O56" s="52">
        <v>5</v>
      </c>
      <c r="P56" s="52">
        <v>47</v>
      </c>
      <c r="Q56" s="52">
        <f>P56*O56*M56</f>
        <v>540500</v>
      </c>
      <c r="R56" s="119">
        <f t="shared" si="8"/>
        <v>2127</v>
      </c>
      <c r="S56" s="52">
        <f t="shared" si="9"/>
        <v>532369</v>
      </c>
    </row>
    <row r="57" spans="1:19" s="102" customFormat="1" ht="22.5" customHeight="1">
      <c r="A57" s="118">
        <v>3</v>
      </c>
      <c r="B57" s="120" t="s">
        <v>40</v>
      </c>
      <c r="C57" s="52"/>
      <c r="D57" s="120"/>
      <c r="E57" s="121"/>
      <c r="F57" s="121"/>
      <c r="G57" s="121">
        <f>G58+G59</f>
        <v>1890326</v>
      </c>
      <c r="H57" s="52"/>
      <c r="I57" s="120"/>
      <c r="J57" s="121"/>
      <c r="K57" s="121"/>
      <c r="L57" s="121">
        <f>L58+L59</f>
        <v>1984152.4</v>
      </c>
      <c r="M57" s="52"/>
      <c r="N57" s="120"/>
      <c r="O57" s="121"/>
      <c r="P57" s="121"/>
      <c r="Q57" s="121">
        <f>Q58+Q59</f>
        <v>2090852</v>
      </c>
      <c r="R57" s="119">
        <f t="shared" si="8"/>
        <v>0</v>
      </c>
      <c r="S57" s="52">
        <f t="shared" si="9"/>
        <v>106699.6000000001</v>
      </c>
    </row>
    <row r="58" spans="1:19" s="102" customFormat="1" ht="22.5" customHeight="1">
      <c r="A58" s="118" t="s">
        <v>51</v>
      </c>
      <c r="B58" s="120" t="s">
        <v>29</v>
      </c>
      <c r="C58" s="52">
        <v>13798</v>
      </c>
      <c r="D58" s="120">
        <v>0.08</v>
      </c>
      <c r="E58" s="121"/>
      <c r="F58" s="121">
        <v>1150</v>
      </c>
      <c r="G58" s="121">
        <f>C58*D58*F58</f>
        <v>1269416</v>
      </c>
      <c r="H58" s="52">
        <v>13798</v>
      </c>
      <c r="I58" s="120">
        <v>0.08</v>
      </c>
      <c r="J58" s="121"/>
      <c r="K58" s="121">
        <v>1210</v>
      </c>
      <c r="L58" s="121">
        <f>H58*I58*K58</f>
        <v>1335646.4</v>
      </c>
      <c r="M58" s="52">
        <v>1454</v>
      </c>
      <c r="N58" s="120">
        <v>0.08</v>
      </c>
      <c r="O58" s="121">
        <v>10</v>
      </c>
      <c r="P58" s="121">
        <v>1210</v>
      </c>
      <c r="Q58" s="52">
        <f>M58*N58*O58*P58</f>
        <v>1407472</v>
      </c>
      <c r="R58" s="119">
        <f t="shared" si="8"/>
        <v>-12344</v>
      </c>
      <c r="S58" s="52">
        <f t="shared" si="9"/>
        <v>71825.6000000001</v>
      </c>
    </row>
    <row r="59" spans="1:19" s="102" customFormat="1" ht="22.5" customHeight="1">
      <c r="A59" s="118" t="s">
        <v>51</v>
      </c>
      <c r="B59" s="120" t="s">
        <v>28</v>
      </c>
      <c r="C59" s="52">
        <v>13798</v>
      </c>
      <c r="D59" s="120"/>
      <c r="E59" s="121"/>
      <c r="F59" s="121">
        <v>45</v>
      </c>
      <c r="G59" s="52">
        <f>C59*F59</f>
        <v>620910</v>
      </c>
      <c r="H59" s="52">
        <v>13798</v>
      </c>
      <c r="I59" s="120"/>
      <c r="J59" s="121"/>
      <c r="K59" s="121">
        <v>47</v>
      </c>
      <c r="L59" s="52">
        <f>H59*K59</f>
        <v>648506</v>
      </c>
      <c r="M59" s="52">
        <v>1454</v>
      </c>
      <c r="N59" s="120"/>
      <c r="O59" s="121">
        <v>10</v>
      </c>
      <c r="P59" s="121">
        <v>47</v>
      </c>
      <c r="Q59" s="121">
        <f>M59*O59*P59</f>
        <v>683380</v>
      </c>
      <c r="R59" s="119">
        <f t="shared" si="8"/>
        <v>-12344</v>
      </c>
      <c r="S59" s="52">
        <f t="shared" si="9"/>
        <v>34874</v>
      </c>
    </row>
    <row r="60" spans="1:19" s="102" customFormat="1" ht="42.75" customHeight="1">
      <c r="A60" s="118">
        <v>4</v>
      </c>
      <c r="B60" s="120" t="s">
        <v>68</v>
      </c>
      <c r="C60" s="52"/>
      <c r="D60" s="120"/>
      <c r="E60" s="121"/>
      <c r="F60" s="121"/>
      <c r="G60" s="121">
        <f>G61+G62</f>
        <v>28133</v>
      </c>
      <c r="H60" s="52"/>
      <c r="I60" s="120"/>
      <c r="J60" s="121"/>
      <c r="K60" s="121"/>
      <c r="L60" s="121">
        <f>L61+L62</f>
        <v>29083.4</v>
      </c>
      <c r="M60" s="52"/>
      <c r="N60" s="120"/>
      <c r="O60" s="121"/>
      <c r="P60" s="121"/>
      <c r="Q60" s="121">
        <f>Q61+Q62</f>
        <v>345120</v>
      </c>
      <c r="R60" s="119">
        <f t="shared" si="8"/>
        <v>0</v>
      </c>
      <c r="S60" s="52">
        <f t="shared" si="9"/>
        <v>316036.6</v>
      </c>
    </row>
    <row r="61" spans="1:19" s="102" customFormat="1" ht="43.5" customHeight="1">
      <c r="A61" s="118" t="s">
        <v>51</v>
      </c>
      <c r="B61" s="120" t="s">
        <v>69</v>
      </c>
      <c r="C61" s="52">
        <v>198</v>
      </c>
      <c r="D61" s="120">
        <v>0.08</v>
      </c>
      <c r="E61" s="121">
        <v>0</v>
      </c>
      <c r="F61" s="121">
        <v>1150</v>
      </c>
      <c r="G61" s="52">
        <f>C61*D61*F61</f>
        <v>18216</v>
      </c>
      <c r="H61" s="52">
        <v>198</v>
      </c>
      <c r="I61" s="120">
        <v>0.08</v>
      </c>
      <c r="J61" s="121">
        <v>0</v>
      </c>
      <c r="K61" s="121">
        <v>1210</v>
      </c>
      <c r="L61" s="52">
        <f>H61*I61*K61</f>
        <v>19166.4</v>
      </c>
      <c r="M61" s="52">
        <v>240</v>
      </c>
      <c r="N61" s="120">
        <v>0.08</v>
      </c>
      <c r="O61" s="121">
        <v>10</v>
      </c>
      <c r="P61" s="121">
        <v>1210</v>
      </c>
      <c r="Q61" s="52">
        <f>M61*N61*O61*P61</f>
        <v>232320</v>
      </c>
      <c r="R61" s="119">
        <f t="shared" si="8"/>
        <v>42</v>
      </c>
      <c r="S61" s="52">
        <f t="shared" si="9"/>
        <v>213153.6</v>
      </c>
    </row>
    <row r="62" spans="1:19" s="102" customFormat="1" ht="48" customHeight="1">
      <c r="A62" s="118" t="s">
        <v>51</v>
      </c>
      <c r="B62" s="120" t="s">
        <v>70</v>
      </c>
      <c r="C62" s="52">
        <v>211</v>
      </c>
      <c r="D62" s="120"/>
      <c r="E62" s="121">
        <v>0</v>
      </c>
      <c r="F62" s="121">
        <v>47</v>
      </c>
      <c r="G62" s="52">
        <f>C62*F62</f>
        <v>9917</v>
      </c>
      <c r="H62" s="52">
        <v>211</v>
      </c>
      <c r="I62" s="120"/>
      <c r="J62" s="121">
        <v>0</v>
      </c>
      <c r="K62" s="121">
        <v>47</v>
      </c>
      <c r="L62" s="52">
        <f>H62*K62</f>
        <v>9917</v>
      </c>
      <c r="M62" s="52">
        <v>240</v>
      </c>
      <c r="N62" s="120"/>
      <c r="O62" s="121">
        <v>10</v>
      </c>
      <c r="P62" s="121">
        <v>47</v>
      </c>
      <c r="Q62" s="52">
        <f>P62*O62*M62</f>
        <v>112800</v>
      </c>
      <c r="R62" s="119">
        <f t="shared" si="8"/>
        <v>29</v>
      </c>
      <c r="S62" s="52">
        <f t="shared" si="9"/>
        <v>102883</v>
      </c>
    </row>
    <row r="63" spans="1:19" s="102" customFormat="1" ht="48" customHeight="1">
      <c r="A63" s="26" t="s">
        <v>31</v>
      </c>
      <c r="B63" s="28" t="s">
        <v>61</v>
      </c>
      <c r="C63" s="153"/>
      <c r="D63" s="152"/>
      <c r="E63" s="154"/>
      <c r="F63" s="154"/>
      <c r="G63" s="153"/>
      <c r="H63" s="153"/>
      <c r="I63" s="152"/>
      <c r="J63" s="154"/>
      <c r="K63" s="154"/>
      <c r="L63" s="153"/>
      <c r="M63" s="26"/>
      <c r="N63" s="47"/>
      <c r="O63" s="26"/>
      <c r="P63" s="48"/>
      <c r="Q63" s="26">
        <f>SUM(Q64:Q67)</f>
        <v>2382700</v>
      </c>
      <c r="R63" s="119"/>
      <c r="S63" s="52"/>
    </row>
    <row r="64" spans="1:19" s="102" customFormat="1" ht="48" customHeight="1">
      <c r="A64" s="54" t="s">
        <v>20</v>
      </c>
      <c r="B64" s="55" t="s">
        <v>73</v>
      </c>
      <c r="C64" s="153"/>
      <c r="D64" s="152"/>
      <c r="E64" s="154"/>
      <c r="F64" s="154"/>
      <c r="G64" s="153"/>
      <c r="H64" s="153"/>
      <c r="I64" s="152"/>
      <c r="J64" s="154"/>
      <c r="K64" s="154"/>
      <c r="L64" s="153"/>
      <c r="M64" s="56">
        <f>102+50</f>
        <v>152</v>
      </c>
      <c r="N64" s="56"/>
      <c r="O64" s="56">
        <v>365</v>
      </c>
      <c r="P64" s="57">
        <v>2.5</v>
      </c>
      <c r="Q64" s="58">
        <f>M64*O64*P64</f>
        <v>138700</v>
      </c>
      <c r="R64" s="119"/>
      <c r="S64" s="52"/>
    </row>
    <row r="65" spans="1:19" s="102" customFormat="1" ht="39.75" customHeight="1">
      <c r="A65" s="59" t="s">
        <v>21</v>
      </c>
      <c r="B65" s="60" t="s">
        <v>62</v>
      </c>
      <c r="C65" s="153"/>
      <c r="D65" s="152"/>
      <c r="E65" s="154"/>
      <c r="F65" s="154"/>
      <c r="G65" s="153"/>
      <c r="H65" s="153"/>
      <c r="I65" s="152"/>
      <c r="J65" s="154"/>
      <c r="K65" s="154"/>
      <c r="L65" s="153"/>
      <c r="M65" s="4"/>
      <c r="N65" s="56"/>
      <c r="O65" s="56"/>
      <c r="P65" s="61"/>
      <c r="Q65" s="32">
        <f>M65*P65</f>
        <v>0</v>
      </c>
      <c r="R65" s="119"/>
      <c r="S65" s="52"/>
    </row>
    <row r="66" spans="1:19" s="102" customFormat="1" ht="41.25" customHeight="1">
      <c r="A66" s="59">
        <v>3</v>
      </c>
      <c r="B66" s="60" t="s">
        <v>63</v>
      </c>
      <c r="C66" s="153"/>
      <c r="D66" s="152"/>
      <c r="E66" s="154"/>
      <c r="F66" s="154"/>
      <c r="G66" s="153"/>
      <c r="H66" s="153"/>
      <c r="I66" s="152"/>
      <c r="J66" s="154"/>
      <c r="K66" s="154"/>
      <c r="L66" s="153"/>
      <c r="M66" s="4">
        <v>102</v>
      </c>
      <c r="N66" s="56"/>
      <c r="O66" s="56">
        <v>12</v>
      </c>
      <c r="P66" s="61">
        <v>20000</v>
      </c>
      <c r="Q66" s="62">
        <f>M66*P66</f>
        <v>2040000</v>
      </c>
      <c r="R66" s="119"/>
      <c r="S66" s="52"/>
    </row>
    <row r="67" spans="1:19" s="102" customFormat="1" ht="41.25" customHeight="1">
      <c r="A67" s="63">
        <v>4</v>
      </c>
      <c r="B67" s="64" t="s">
        <v>71</v>
      </c>
      <c r="C67" s="153"/>
      <c r="D67" s="152"/>
      <c r="E67" s="154"/>
      <c r="F67" s="154"/>
      <c r="G67" s="153"/>
      <c r="H67" s="153"/>
      <c r="I67" s="152"/>
      <c r="J67" s="154"/>
      <c r="K67" s="154"/>
      <c r="L67" s="153"/>
      <c r="M67" s="65">
        <v>102</v>
      </c>
      <c r="N67" s="65"/>
      <c r="O67" s="65">
        <v>12</v>
      </c>
      <c r="P67" s="66">
        <v>2000</v>
      </c>
      <c r="Q67" s="67">
        <f>M67*P67</f>
        <v>204000</v>
      </c>
      <c r="R67" s="119"/>
      <c r="S67" s="52"/>
    </row>
    <row r="68" spans="1:19" s="109" customFormat="1" ht="36" customHeight="1">
      <c r="A68" s="137" t="s">
        <v>43</v>
      </c>
      <c r="B68" s="138" t="s">
        <v>89</v>
      </c>
      <c r="C68" s="139"/>
      <c r="D68" s="139"/>
      <c r="E68" s="139"/>
      <c r="F68" s="140"/>
      <c r="G68" s="141">
        <f>G69+G70</f>
        <v>13060000</v>
      </c>
      <c r="H68" s="139"/>
      <c r="I68" s="139"/>
      <c r="J68" s="139"/>
      <c r="K68" s="140"/>
      <c r="L68" s="141">
        <f>L69+L70</f>
        <v>13060000</v>
      </c>
      <c r="M68" s="139"/>
      <c r="N68" s="139"/>
      <c r="O68" s="139"/>
      <c r="P68" s="140"/>
      <c r="Q68" s="141">
        <f>Q69+Q70</f>
        <v>13060000</v>
      </c>
      <c r="R68" s="119">
        <f>M68-H68</f>
        <v>0</v>
      </c>
      <c r="S68" s="113">
        <f>Q68-L68</f>
        <v>0</v>
      </c>
    </row>
    <row r="69" spans="1:19" s="109" customFormat="1" ht="42.75" customHeight="1">
      <c r="A69" s="137" t="s">
        <v>2</v>
      </c>
      <c r="B69" s="138" t="s">
        <v>87</v>
      </c>
      <c r="C69" s="139">
        <v>16</v>
      </c>
      <c r="D69" s="139"/>
      <c r="E69" s="139"/>
      <c r="F69" s="140">
        <v>510000</v>
      </c>
      <c r="G69" s="141">
        <f>C69*F69</f>
        <v>8160000</v>
      </c>
      <c r="H69" s="139">
        <v>16</v>
      </c>
      <c r="I69" s="139"/>
      <c r="J69" s="139"/>
      <c r="K69" s="140">
        <v>510000</v>
      </c>
      <c r="L69" s="141">
        <f>H69*K69</f>
        <v>8160000</v>
      </c>
      <c r="M69" s="139">
        <v>16</v>
      </c>
      <c r="N69" s="139"/>
      <c r="O69" s="139"/>
      <c r="P69" s="140">
        <v>510000</v>
      </c>
      <c r="Q69" s="141">
        <f>M69*P69</f>
        <v>8160000</v>
      </c>
      <c r="R69" s="107">
        <f>M69-H69</f>
        <v>0</v>
      </c>
      <c r="S69" s="113">
        <f>Q69-L69</f>
        <v>0</v>
      </c>
    </row>
    <row r="70" spans="1:19" s="102" customFormat="1" ht="37.5" customHeight="1">
      <c r="A70" s="142" t="s">
        <v>3</v>
      </c>
      <c r="B70" s="143" t="s">
        <v>101</v>
      </c>
      <c r="C70" s="142"/>
      <c r="D70" s="144"/>
      <c r="E70" s="142"/>
      <c r="F70" s="145"/>
      <c r="G70" s="142">
        <v>4900000</v>
      </c>
      <c r="H70" s="142"/>
      <c r="I70" s="144"/>
      <c r="J70" s="142"/>
      <c r="K70" s="145"/>
      <c r="L70" s="142">
        <v>4900000</v>
      </c>
      <c r="M70" s="142"/>
      <c r="N70" s="142"/>
      <c r="O70" s="142"/>
      <c r="P70" s="142"/>
      <c r="Q70" s="142">
        <v>4900000</v>
      </c>
      <c r="R70" s="142">
        <f>M70-H70</f>
        <v>0</v>
      </c>
      <c r="S70" s="146">
        <f>Q70-L70</f>
        <v>0</v>
      </c>
    </row>
    <row r="71" spans="1:18" s="102" customFormat="1" ht="15.75">
      <c r="A71" s="147"/>
      <c r="C71" s="147"/>
      <c r="E71" s="147"/>
      <c r="F71" s="148"/>
      <c r="G71" s="147"/>
      <c r="H71" s="147"/>
      <c r="J71" s="147"/>
      <c r="K71" s="148"/>
      <c r="L71" s="147"/>
      <c r="M71" s="147"/>
      <c r="O71" s="147"/>
      <c r="P71" s="148"/>
      <c r="Q71" s="147"/>
      <c r="R71" s="147"/>
    </row>
    <row r="72" spans="1:18" s="102" customFormat="1" ht="15.75">
      <c r="A72" s="147"/>
      <c r="C72" s="147"/>
      <c r="E72" s="147"/>
      <c r="F72" s="148"/>
      <c r="G72" s="149"/>
      <c r="H72" s="147"/>
      <c r="J72" s="147"/>
      <c r="K72" s="148"/>
      <c r="L72" s="147"/>
      <c r="M72" s="147"/>
      <c r="O72" s="147"/>
      <c r="P72" s="148"/>
      <c r="Q72" s="147"/>
      <c r="R72" s="147"/>
    </row>
  </sheetData>
  <sheetProtection/>
  <mergeCells count="7">
    <mergeCell ref="A1:S1"/>
    <mergeCell ref="A3:A4"/>
    <mergeCell ref="B3:B4"/>
    <mergeCell ref="C3:G3"/>
    <mergeCell ref="H3:L3"/>
    <mergeCell ref="M3:Q3"/>
    <mergeCell ref="R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Ba Tuan</cp:lastModifiedBy>
  <cp:lastPrinted>2020-12-07T07:53:04Z</cp:lastPrinted>
  <dcterms:created xsi:type="dcterms:W3CDTF">2010-10-02T00:13:26Z</dcterms:created>
  <dcterms:modified xsi:type="dcterms:W3CDTF">2020-12-07T10:18:03Z</dcterms:modified>
  <cp:category/>
  <cp:version/>
  <cp:contentType/>
  <cp:contentStatus/>
</cp:coreProperties>
</file>