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tabRatio="735" firstSheet="2" activeTab="7"/>
  </bookViews>
  <sheets>
    <sheet name="Thu nội địa" sheetId="1" state="hidden" r:id="rId1"/>
    <sheet name="Tong hop phan cong" sheetId="15" state="hidden" r:id="rId2"/>
    <sheet name="Bieu 48" sheetId="31" r:id="rId3"/>
    <sheet name="Bieu 50_" sheetId="30" r:id="rId4"/>
    <sheet name="Bieu 51_" sheetId="6" r:id="rId5"/>
    <sheet name="bieu 52_" sheetId="7" r:id="rId6"/>
    <sheet name="bieu 53_" sheetId="24" r:id="rId7"/>
    <sheet name="Bieu 54_" sheetId="18" r:id="rId8"/>
    <sheet name="Bieu 54" sheetId="13" state="hidden" r:id="rId9"/>
    <sheet name="Bieu 58" sheetId="21" r:id="rId10"/>
    <sheet name="Bieu 59" sheetId="22" r:id="rId11"/>
    <sheet name="Bieu 61_Hien" sheetId="29" state="hidden" r:id="rId12"/>
    <sheet name="Bieu 61" sheetId="32" r:id="rId13"/>
    <sheet name="Biêu 63" sheetId="28" r:id="rId14"/>
    <sheet name="Biêu 64" sheetId="27" r:id="rId15"/>
  </sheets>
  <definedNames>
    <definedName name="_________a1" localSheetId="2" hidden="1">{"'Sheet1'!$L$16"}</definedName>
    <definedName name="_________a1" localSheetId="3" hidden="1">{"'Sheet1'!$L$16"}</definedName>
    <definedName name="_________a1" localSheetId="6" hidden="1">{"'Sheet1'!$L$16"}</definedName>
    <definedName name="_________a1" localSheetId="7" hidden="1">{"'Sheet1'!$L$16"}</definedName>
    <definedName name="_________a1" localSheetId="9" hidden="1">{"'Sheet1'!$L$16"}</definedName>
    <definedName name="_________a1" localSheetId="10" hidden="1">{"'Sheet1'!$L$16"}</definedName>
    <definedName name="_________a1" localSheetId="12" hidden="1">{"'Sheet1'!$L$16"}</definedName>
    <definedName name="_________a1" localSheetId="11" hidden="1">{"'Sheet1'!$L$16"}</definedName>
    <definedName name="_________a1" localSheetId="13" hidden="1">{"'Sheet1'!$L$16"}</definedName>
    <definedName name="_________a1" localSheetId="14" hidden="1">{"'Sheet1'!$L$16"}</definedName>
    <definedName name="_________a1" hidden="1">{"'Sheet1'!$L$16"}</definedName>
    <definedName name="_________PA3" localSheetId="2" hidden="1">{"'Sheet1'!$L$16"}</definedName>
    <definedName name="_________PA3" localSheetId="3" hidden="1">{"'Sheet1'!$L$16"}</definedName>
    <definedName name="_________PA3" localSheetId="6" hidden="1">{"'Sheet1'!$L$16"}</definedName>
    <definedName name="_________PA3" localSheetId="7" hidden="1">{"'Sheet1'!$L$16"}</definedName>
    <definedName name="_________PA3" localSheetId="9" hidden="1">{"'Sheet1'!$L$16"}</definedName>
    <definedName name="_________PA3" localSheetId="10" hidden="1">{"'Sheet1'!$L$16"}</definedName>
    <definedName name="_________PA3" localSheetId="12" hidden="1">{"'Sheet1'!$L$16"}</definedName>
    <definedName name="_________PA3" localSheetId="11" hidden="1">{"'Sheet1'!$L$16"}</definedName>
    <definedName name="_________PA3" localSheetId="13" hidden="1">{"'Sheet1'!$L$16"}</definedName>
    <definedName name="_________PA3" localSheetId="14" hidden="1">{"'Sheet1'!$L$16"}</definedName>
    <definedName name="_________PA3" hidden="1">{"'Sheet1'!$L$16"}</definedName>
    <definedName name="_______a1" localSheetId="2" hidden="1">{"'Sheet1'!$L$16"}</definedName>
    <definedName name="_______a1" localSheetId="3" hidden="1">{"'Sheet1'!$L$16"}</definedName>
    <definedName name="_______a1" localSheetId="6" hidden="1">{"'Sheet1'!$L$16"}</definedName>
    <definedName name="_______a1" localSheetId="7" hidden="1">{"'Sheet1'!$L$16"}</definedName>
    <definedName name="_______a1" localSheetId="9" hidden="1">{"'Sheet1'!$L$16"}</definedName>
    <definedName name="_______a1" localSheetId="10" hidden="1">{"'Sheet1'!$L$16"}</definedName>
    <definedName name="_______a1" localSheetId="12" hidden="1">{"'Sheet1'!$L$16"}</definedName>
    <definedName name="_______a1" localSheetId="11" hidden="1">{"'Sheet1'!$L$16"}</definedName>
    <definedName name="_______a1" localSheetId="13" hidden="1">{"'Sheet1'!$L$16"}</definedName>
    <definedName name="_______a1" localSheetId="14" hidden="1">{"'Sheet1'!$L$16"}</definedName>
    <definedName name="_______a1" hidden="1">{"'Sheet1'!$L$16"}</definedName>
    <definedName name="_______PA3" localSheetId="2" hidden="1">{"'Sheet1'!$L$16"}</definedName>
    <definedName name="_______PA3" localSheetId="3" hidden="1">{"'Sheet1'!$L$16"}</definedName>
    <definedName name="_______PA3" localSheetId="6" hidden="1">{"'Sheet1'!$L$16"}</definedName>
    <definedName name="_______PA3" localSheetId="7" hidden="1">{"'Sheet1'!$L$16"}</definedName>
    <definedName name="_______PA3" localSheetId="9" hidden="1">{"'Sheet1'!$L$16"}</definedName>
    <definedName name="_______PA3" localSheetId="10" hidden="1">{"'Sheet1'!$L$16"}</definedName>
    <definedName name="_______PA3" localSheetId="12" hidden="1">{"'Sheet1'!$L$16"}</definedName>
    <definedName name="_______PA3" localSheetId="11" hidden="1">{"'Sheet1'!$L$16"}</definedName>
    <definedName name="_______PA3" localSheetId="13" hidden="1">{"'Sheet1'!$L$16"}</definedName>
    <definedName name="_______PA3" localSheetId="14" hidden="1">{"'Sheet1'!$L$16"}</definedName>
    <definedName name="_______PA3" hidden="1">{"'Sheet1'!$L$16"}</definedName>
    <definedName name="______a1" localSheetId="2" hidden="1">{"'Sheet1'!$L$16"}</definedName>
    <definedName name="______a1" localSheetId="3" hidden="1">{"'Sheet1'!$L$16"}</definedName>
    <definedName name="______a1" localSheetId="6" hidden="1">{"'Sheet1'!$L$16"}</definedName>
    <definedName name="______a1" localSheetId="7" hidden="1">{"'Sheet1'!$L$16"}</definedName>
    <definedName name="______a1" localSheetId="9" hidden="1">{"'Sheet1'!$L$16"}</definedName>
    <definedName name="______a1" localSheetId="10" hidden="1">{"'Sheet1'!$L$16"}</definedName>
    <definedName name="______a1" localSheetId="12" hidden="1">{"'Sheet1'!$L$16"}</definedName>
    <definedName name="______a1" localSheetId="11" hidden="1">{"'Sheet1'!$L$16"}</definedName>
    <definedName name="______a1" localSheetId="13" hidden="1">{"'Sheet1'!$L$16"}</definedName>
    <definedName name="______a1" localSheetId="14" hidden="1">{"'Sheet1'!$L$16"}</definedName>
    <definedName name="______a1" hidden="1">{"'Sheet1'!$L$16"}</definedName>
    <definedName name="______h1" localSheetId="2" hidden="1">{"'Sheet1'!$L$16"}</definedName>
    <definedName name="______h1" localSheetId="3" hidden="1">{"'Sheet1'!$L$16"}</definedName>
    <definedName name="______h1" localSheetId="6" hidden="1">{"'Sheet1'!$L$16"}</definedName>
    <definedName name="______h1" localSheetId="7" hidden="1">{"'Sheet1'!$L$16"}</definedName>
    <definedName name="______h1" localSheetId="9" hidden="1">{"'Sheet1'!$L$16"}</definedName>
    <definedName name="______h1" localSheetId="10" hidden="1">{"'Sheet1'!$L$16"}</definedName>
    <definedName name="______h1" localSheetId="12" hidden="1">{"'Sheet1'!$L$16"}</definedName>
    <definedName name="______h1" localSheetId="11" hidden="1">{"'Sheet1'!$L$16"}</definedName>
    <definedName name="______h1" localSheetId="13" hidden="1">{"'Sheet1'!$L$16"}</definedName>
    <definedName name="______h1" localSheetId="14" hidden="1">{"'Sheet1'!$L$16"}</definedName>
    <definedName name="______h1" hidden="1">{"'Sheet1'!$L$16"}</definedName>
    <definedName name="______h10" localSheetId="2" hidden="1">{#N/A,#N/A,FALSE,"Chi tiÆt"}</definedName>
    <definedName name="______h10" localSheetId="3" hidden="1">{#N/A,#N/A,FALSE,"Chi tiÆt"}</definedName>
    <definedName name="______h10" localSheetId="6" hidden="1">{#N/A,#N/A,FALSE,"Chi tiÆt"}</definedName>
    <definedName name="______h10" localSheetId="7" hidden="1">{#N/A,#N/A,FALSE,"Chi tiÆt"}</definedName>
    <definedName name="______h10" localSheetId="9" hidden="1">{#N/A,#N/A,FALSE,"Chi tiÆt"}</definedName>
    <definedName name="______h10" localSheetId="10" hidden="1">{#N/A,#N/A,FALSE,"Chi tiÆt"}</definedName>
    <definedName name="______h10" localSheetId="12" hidden="1">{#N/A,#N/A,FALSE,"Chi tiÆt"}</definedName>
    <definedName name="______h10" localSheetId="11" hidden="1">{#N/A,#N/A,FALSE,"Chi tiÆt"}</definedName>
    <definedName name="______h10" localSheetId="13" hidden="1">{#N/A,#N/A,FALSE,"Chi tiÆt"}</definedName>
    <definedName name="______h10" localSheetId="14" hidden="1">{#N/A,#N/A,FALSE,"Chi tiÆt"}</definedName>
    <definedName name="______h10" hidden="1">{#N/A,#N/A,FALSE,"Chi tiÆt"}</definedName>
    <definedName name="______h2" localSheetId="2" hidden="1">{"'Sheet1'!$L$16"}</definedName>
    <definedName name="______h2" localSheetId="3" hidden="1">{"'Sheet1'!$L$16"}</definedName>
    <definedName name="______h2" localSheetId="6" hidden="1">{"'Sheet1'!$L$16"}</definedName>
    <definedName name="______h2" localSheetId="7" hidden="1">{"'Sheet1'!$L$16"}</definedName>
    <definedName name="______h2" localSheetId="9" hidden="1">{"'Sheet1'!$L$16"}</definedName>
    <definedName name="______h2" localSheetId="10" hidden="1">{"'Sheet1'!$L$16"}</definedName>
    <definedName name="______h2" localSheetId="12" hidden="1">{"'Sheet1'!$L$16"}</definedName>
    <definedName name="______h2" localSheetId="11" hidden="1">{"'Sheet1'!$L$16"}</definedName>
    <definedName name="______h2" localSheetId="13" hidden="1">{"'Sheet1'!$L$16"}</definedName>
    <definedName name="______h2" localSheetId="14" hidden="1">{"'Sheet1'!$L$16"}</definedName>
    <definedName name="______h2" hidden="1">{"'Sheet1'!$L$16"}</definedName>
    <definedName name="______h3" localSheetId="2" hidden="1">{"'Sheet1'!$L$16"}</definedName>
    <definedName name="______h3" localSheetId="3" hidden="1">{"'Sheet1'!$L$16"}</definedName>
    <definedName name="______h3" localSheetId="6" hidden="1">{"'Sheet1'!$L$16"}</definedName>
    <definedName name="______h3" localSheetId="7" hidden="1">{"'Sheet1'!$L$16"}</definedName>
    <definedName name="______h3" localSheetId="9" hidden="1">{"'Sheet1'!$L$16"}</definedName>
    <definedName name="______h3" localSheetId="10" hidden="1">{"'Sheet1'!$L$16"}</definedName>
    <definedName name="______h3" localSheetId="12" hidden="1">{"'Sheet1'!$L$16"}</definedName>
    <definedName name="______h3" localSheetId="11" hidden="1">{"'Sheet1'!$L$16"}</definedName>
    <definedName name="______h3" localSheetId="13" hidden="1">{"'Sheet1'!$L$16"}</definedName>
    <definedName name="______h3" localSheetId="14" hidden="1">{"'Sheet1'!$L$16"}</definedName>
    <definedName name="______h3" hidden="1">{"'Sheet1'!$L$16"}</definedName>
    <definedName name="______h5" localSheetId="2" hidden="1">{"'Sheet1'!$L$16"}</definedName>
    <definedName name="______h5" localSheetId="3" hidden="1">{"'Sheet1'!$L$16"}</definedName>
    <definedName name="______h5" localSheetId="6" hidden="1">{"'Sheet1'!$L$16"}</definedName>
    <definedName name="______h5" localSheetId="7" hidden="1">{"'Sheet1'!$L$16"}</definedName>
    <definedName name="______h5" localSheetId="9" hidden="1">{"'Sheet1'!$L$16"}</definedName>
    <definedName name="______h5" localSheetId="10" hidden="1">{"'Sheet1'!$L$16"}</definedName>
    <definedName name="______h5" localSheetId="12" hidden="1">{"'Sheet1'!$L$16"}</definedName>
    <definedName name="______h5" localSheetId="11" hidden="1">{"'Sheet1'!$L$16"}</definedName>
    <definedName name="______h5" localSheetId="13" hidden="1">{"'Sheet1'!$L$16"}</definedName>
    <definedName name="______h5" localSheetId="14" hidden="1">{"'Sheet1'!$L$16"}</definedName>
    <definedName name="______h5" hidden="1">{"'Sheet1'!$L$16"}</definedName>
    <definedName name="______h6" localSheetId="2" hidden="1">{"'Sheet1'!$L$16"}</definedName>
    <definedName name="______h6" localSheetId="3" hidden="1">{"'Sheet1'!$L$16"}</definedName>
    <definedName name="______h6" localSheetId="6" hidden="1">{"'Sheet1'!$L$16"}</definedName>
    <definedName name="______h6" localSheetId="7" hidden="1">{"'Sheet1'!$L$16"}</definedName>
    <definedName name="______h6" localSheetId="9" hidden="1">{"'Sheet1'!$L$16"}</definedName>
    <definedName name="______h6" localSheetId="10" hidden="1">{"'Sheet1'!$L$16"}</definedName>
    <definedName name="______h6" localSheetId="12" hidden="1">{"'Sheet1'!$L$16"}</definedName>
    <definedName name="______h6" localSheetId="11" hidden="1">{"'Sheet1'!$L$16"}</definedName>
    <definedName name="______h6" localSheetId="13" hidden="1">{"'Sheet1'!$L$16"}</definedName>
    <definedName name="______h6" localSheetId="14" hidden="1">{"'Sheet1'!$L$16"}</definedName>
    <definedName name="______h6" hidden="1">{"'Sheet1'!$L$16"}</definedName>
    <definedName name="______h7" localSheetId="2" hidden="1">{"'Sheet1'!$L$16"}</definedName>
    <definedName name="______h7" localSheetId="3" hidden="1">{"'Sheet1'!$L$16"}</definedName>
    <definedName name="______h7" localSheetId="6" hidden="1">{"'Sheet1'!$L$16"}</definedName>
    <definedName name="______h7" localSheetId="7" hidden="1">{"'Sheet1'!$L$16"}</definedName>
    <definedName name="______h7" localSheetId="9" hidden="1">{"'Sheet1'!$L$16"}</definedName>
    <definedName name="______h7" localSheetId="10" hidden="1">{"'Sheet1'!$L$16"}</definedName>
    <definedName name="______h7" localSheetId="12" hidden="1">{"'Sheet1'!$L$16"}</definedName>
    <definedName name="______h7" localSheetId="11" hidden="1">{"'Sheet1'!$L$16"}</definedName>
    <definedName name="______h7" localSheetId="13" hidden="1">{"'Sheet1'!$L$16"}</definedName>
    <definedName name="______h7" localSheetId="14" hidden="1">{"'Sheet1'!$L$16"}</definedName>
    <definedName name="______h7" hidden="1">{"'Sheet1'!$L$16"}</definedName>
    <definedName name="______h8" localSheetId="2" hidden="1">{"'Sheet1'!$L$16"}</definedName>
    <definedName name="______h8" localSheetId="3" hidden="1">{"'Sheet1'!$L$16"}</definedName>
    <definedName name="______h8" localSheetId="6" hidden="1">{"'Sheet1'!$L$16"}</definedName>
    <definedName name="______h8" localSheetId="7" hidden="1">{"'Sheet1'!$L$16"}</definedName>
    <definedName name="______h8" localSheetId="9" hidden="1">{"'Sheet1'!$L$16"}</definedName>
    <definedName name="______h8" localSheetId="10" hidden="1">{"'Sheet1'!$L$16"}</definedName>
    <definedName name="______h8" localSheetId="12" hidden="1">{"'Sheet1'!$L$16"}</definedName>
    <definedName name="______h8" localSheetId="11" hidden="1">{"'Sheet1'!$L$16"}</definedName>
    <definedName name="______h8" localSheetId="13" hidden="1">{"'Sheet1'!$L$16"}</definedName>
    <definedName name="______h8" localSheetId="14" hidden="1">{"'Sheet1'!$L$16"}</definedName>
    <definedName name="______h8" hidden="1">{"'Sheet1'!$L$16"}</definedName>
    <definedName name="______h9" localSheetId="2" hidden="1">{"'Sheet1'!$L$16"}</definedName>
    <definedName name="______h9" localSheetId="3" hidden="1">{"'Sheet1'!$L$16"}</definedName>
    <definedName name="______h9" localSheetId="6" hidden="1">{"'Sheet1'!$L$16"}</definedName>
    <definedName name="______h9" localSheetId="7" hidden="1">{"'Sheet1'!$L$16"}</definedName>
    <definedName name="______h9" localSheetId="9" hidden="1">{"'Sheet1'!$L$16"}</definedName>
    <definedName name="______h9" localSheetId="10" hidden="1">{"'Sheet1'!$L$16"}</definedName>
    <definedName name="______h9" localSheetId="12" hidden="1">{"'Sheet1'!$L$16"}</definedName>
    <definedName name="______h9" localSheetId="11" hidden="1">{"'Sheet1'!$L$16"}</definedName>
    <definedName name="______h9" localSheetId="13" hidden="1">{"'Sheet1'!$L$16"}</definedName>
    <definedName name="______h9" localSheetId="14" hidden="1">{"'Sheet1'!$L$16"}</definedName>
    <definedName name="______h9" hidden="1">{"'Sheet1'!$L$16"}</definedName>
    <definedName name="______NSO2" localSheetId="2" hidden="1">{"'Sheet1'!$L$16"}</definedName>
    <definedName name="______NSO2" localSheetId="3" hidden="1">{"'Sheet1'!$L$16"}</definedName>
    <definedName name="______NSO2" localSheetId="6" hidden="1">{"'Sheet1'!$L$16"}</definedName>
    <definedName name="______NSO2" localSheetId="7" hidden="1">{"'Sheet1'!$L$16"}</definedName>
    <definedName name="______NSO2" localSheetId="9" hidden="1">{"'Sheet1'!$L$16"}</definedName>
    <definedName name="______NSO2" localSheetId="10" hidden="1">{"'Sheet1'!$L$16"}</definedName>
    <definedName name="______NSO2" localSheetId="12" hidden="1">{"'Sheet1'!$L$16"}</definedName>
    <definedName name="______NSO2" localSheetId="11" hidden="1">{"'Sheet1'!$L$16"}</definedName>
    <definedName name="______NSO2" localSheetId="13" hidden="1">{"'Sheet1'!$L$16"}</definedName>
    <definedName name="______NSO2" localSheetId="14" hidden="1">{"'Sheet1'!$L$16"}</definedName>
    <definedName name="______NSO2" hidden="1">{"'Sheet1'!$L$16"}</definedName>
    <definedName name="______PA3" localSheetId="2" hidden="1">{"'Sheet1'!$L$16"}</definedName>
    <definedName name="______PA3" localSheetId="3" hidden="1">{"'Sheet1'!$L$16"}</definedName>
    <definedName name="______PA3" localSheetId="6" hidden="1">{"'Sheet1'!$L$16"}</definedName>
    <definedName name="______PA3" localSheetId="7" hidden="1">{"'Sheet1'!$L$16"}</definedName>
    <definedName name="______PA3" localSheetId="9" hidden="1">{"'Sheet1'!$L$16"}</definedName>
    <definedName name="______PA3" localSheetId="10" hidden="1">{"'Sheet1'!$L$16"}</definedName>
    <definedName name="______PA3" localSheetId="12" hidden="1">{"'Sheet1'!$L$16"}</definedName>
    <definedName name="______PA3" localSheetId="11" hidden="1">{"'Sheet1'!$L$16"}</definedName>
    <definedName name="______PA3" localSheetId="13" hidden="1">{"'Sheet1'!$L$16"}</definedName>
    <definedName name="______PA3" localSheetId="14" hidden="1">{"'Sheet1'!$L$16"}</definedName>
    <definedName name="______PA3" hidden="1">{"'Sheet1'!$L$16"}</definedName>
    <definedName name="______vl2" localSheetId="2" hidden="1">{"'Sheet1'!$L$16"}</definedName>
    <definedName name="______vl2" localSheetId="3" hidden="1">{"'Sheet1'!$L$16"}</definedName>
    <definedName name="______vl2" localSheetId="6" hidden="1">{"'Sheet1'!$L$16"}</definedName>
    <definedName name="______vl2" localSheetId="7" hidden="1">{"'Sheet1'!$L$16"}</definedName>
    <definedName name="______vl2" localSheetId="9" hidden="1">{"'Sheet1'!$L$16"}</definedName>
    <definedName name="______vl2" localSheetId="10" hidden="1">{"'Sheet1'!$L$16"}</definedName>
    <definedName name="______vl2" localSheetId="12" hidden="1">{"'Sheet1'!$L$16"}</definedName>
    <definedName name="______vl2" localSheetId="11" hidden="1">{"'Sheet1'!$L$16"}</definedName>
    <definedName name="______vl2" localSheetId="13" hidden="1">{"'Sheet1'!$L$16"}</definedName>
    <definedName name="______vl2" localSheetId="14" hidden="1">{"'Sheet1'!$L$16"}</definedName>
    <definedName name="______vl2" hidden="1">{"'Sheet1'!$L$16"}</definedName>
    <definedName name="_____a1" localSheetId="2" hidden="1">{"'Sheet1'!$L$16"}</definedName>
    <definedName name="_____a1" localSheetId="3" hidden="1">{"'Sheet1'!$L$16"}</definedName>
    <definedName name="_____a1" localSheetId="6" hidden="1">{"'Sheet1'!$L$16"}</definedName>
    <definedName name="_____a1" localSheetId="7" hidden="1">{"'Sheet1'!$L$16"}</definedName>
    <definedName name="_____a1" localSheetId="9" hidden="1">{"'Sheet1'!$L$16"}</definedName>
    <definedName name="_____a1" localSheetId="10" hidden="1">{"'Sheet1'!$L$16"}</definedName>
    <definedName name="_____a1" localSheetId="12" hidden="1">{"'Sheet1'!$L$16"}</definedName>
    <definedName name="_____a1" localSheetId="11" hidden="1">{"'Sheet1'!$L$16"}</definedName>
    <definedName name="_____a1" localSheetId="13" hidden="1">{"'Sheet1'!$L$16"}</definedName>
    <definedName name="_____a1" localSheetId="14" hidden="1">{"'Sheet1'!$L$16"}</definedName>
    <definedName name="_____a1" hidden="1">{"'Sheet1'!$L$16"}</definedName>
    <definedName name="_____h1" localSheetId="2" hidden="1">{"'Sheet1'!$L$16"}</definedName>
    <definedName name="_____h1" localSheetId="3" hidden="1">{"'Sheet1'!$L$16"}</definedName>
    <definedName name="_____h1" localSheetId="6" hidden="1">{"'Sheet1'!$L$16"}</definedName>
    <definedName name="_____h1" localSheetId="7" hidden="1">{"'Sheet1'!$L$16"}</definedName>
    <definedName name="_____h1" localSheetId="9" hidden="1">{"'Sheet1'!$L$16"}</definedName>
    <definedName name="_____h1" localSheetId="10" hidden="1">{"'Sheet1'!$L$16"}</definedName>
    <definedName name="_____h1" localSheetId="12" hidden="1">{"'Sheet1'!$L$16"}</definedName>
    <definedName name="_____h1" localSheetId="11" hidden="1">{"'Sheet1'!$L$16"}</definedName>
    <definedName name="_____h1" localSheetId="13" hidden="1">{"'Sheet1'!$L$16"}</definedName>
    <definedName name="_____h1" localSheetId="14" hidden="1">{"'Sheet1'!$L$16"}</definedName>
    <definedName name="_____h1" hidden="1">{"'Sheet1'!$L$16"}</definedName>
    <definedName name="_____h10" localSheetId="2" hidden="1">{#N/A,#N/A,FALSE,"Chi tiÆt"}</definedName>
    <definedName name="_____h10" localSheetId="3" hidden="1">{#N/A,#N/A,FALSE,"Chi tiÆt"}</definedName>
    <definedName name="_____h10" localSheetId="6" hidden="1">{#N/A,#N/A,FALSE,"Chi tiÆt"}</definedName>
    <definedName name="_____h10" localSheetId="7" hidden="1">{#N/A,#N/A,FALSE,"Chi tiÆt"}</definedName>
    <definedName name="_____h10" localSheetId="9" hidden="1">{#N/A,#N/A,FALSE,"Chi tiÆt"}</definedName>
    <definedName name="_____h10" localSheetId="10" hidden="1">{#N/A,#N/A,FALSE,"Chi tiÆt"}</definedName>
    <definedName name="_____h10" localSheetId="12" hidden="1">{#N/A,#N/A,FALSE,"Chi tiÆt"}</definedName>
    <definedName name="_____h10" localSheetId="11" hidden="1">{#N/A,#N/A,FALSE,"Chi tiÆt"}</definedName>
    <definedName name="_____h10" localSheetId="13" hidden="1">{#N/A,#N/A,FALSE,"Chi tiÆt"}</definedName>
    <definedName name="_____h10" localSheetId="14" hidden="1">{#N/A,#N/A,FALSE,"Chi tiÆt"}</definedName>
    <definedName name="_____h10" hidden="1">{#N/A,#N/A,FALSE,"Chi tiÆt"}</definedName>
    <definedName name="_____h2" localSheetId="2" hidden="1">{"'Sheet1'!$L$16"}</definedName>
    <definedName name="_____h2" localSheetId="3" hidden="1">{"'Sheet1'!$L$16"}</definedName>
    <definedName name="_____h2" localSheetId="6" hidden="1">{"'Sheet1'!$L$16"}</definedName>
    <definedName name="_____h2" localSheetId="7" hidden="1">{"'Sheet1'!$L$16"}</definedName>
    <definedName name="_____h2" localSheetId="9" hidden="1">{"'Sheet1'!$L$16"}</definedName>
    <definedName name="_____h2" localSheetId="10" hidden="1">{"'Sheet1'!$L$16"}</definedName>
    <definedName name="_____h2" localSheetId="12" hidden="1">{"'Sheet1'!$L$16"}</definedName>
    <definedName name="_____h2" localSheetId="11" hidden="1">{"'Sheet1'!$L$16"}</definedName>
    <definedName name="_____h2" localSheetId="13" hidden="1">{"'Sheet1'!$L$16"}</definedName>
    <definedName name="_____h2" localSheetId="14" hidden="1">{"'Sheet1'!$L$16"}</definedName>
    <definedName name="_____h2" hidden="1">{"'Sheet1'!$L$16"}</definedName>
    <definedName name="_____h3" localSheetId="2" hidden="1">{"'Sheet1'!$L$16"}</definedName>
    <definedName name="_____h3" localSheetId="3" hidden="1">{"'Sheet1'!$L$16"}</definedName>
    <definedName name="_____h3" localSheetId="6" hidden="1">{"'Sheet1'!$L$16"}</definedName>
    <definedName name="_____h3" localSheetId="7" hidden="1">{"'Sheet1'!$L$16"}</definedName>
    <definedName name="_____h3" localSheetId="9" hidden="1">{"'Sheet1'!$L$16"}</definedName>
    <definedName name="_____h3" localSheetId="10" hidden="1">{"'Sheet1'!$L$16"}</definedName>
    <definedName name="_____h3" localSheetId="12" hidden="1">{"'Sheet1'!$L$16"}</definedName>
    <definedName name="_____h3" localSheetId="11" hidden="1">{"'Sheet1'!$L$16"}</definedName>
    <definedName name="_____h3" localSheetId="13" hidden="1">{"'Sheet1'!$L$16"}</definedName>
    <definedName name="_____h3" localSheetId="14" hidden="1">{"'Sheet1'!$L$16"}</definedName>
    <definedName name="_____h3" hidden="1">{"'Sheet1'!$L$16"}</definedName>
    <definedName name="_____h5" localSheetId="2" hidden="1">{"'Sheet1'!$L$16"}</definedName>
    <definedName name="_____h5" localSheetId="3" hidden="1">{"'Sheet1'!$L$16"}</definedName>
    <definedName name="_____h5" localSheetId="6" hidden="1">{"'Sheet1'!$L$16"}</definedName>
    <definedName name="_____h5" localSheetId="7" hidden="1">{"'Sheet1'!$L$16"}</definedName>
    <definedName name="_____h5" localSheetId="9" hidden="1">{"'Sheet1'!$L$16"}</definedName>
    <definedName name="_____h5" localSheetId="10" hidden="1">{"'Sheet1'!$L$16"}</definedName>
    <definedName name="_____h5" localSheetId="12" hidden="1">{"'Sheet1'!$L$16"}</definedName>
    <definedName name="_____h5" localSheetId="11" hidden="1">{"'Sheet1'!$L$16"}</definedName>
    <definedName name="_____h5" localSheetId="13" hidden="1">{"'Sheet1'!$L$16"}</definedName>
    <definedName name="_____h5" localSheetId="14" hidden="1">{"'Sheet1'!$L$16"}</definedName>
    <definedName name="_____h5" hidden="1">{"'Sheet1'!$L$16"}</definedName>
    <definedName name="_____h6" localSheetId="2" hidden="1">{"'Sheet1'!$L$16"}</definedName>
    <definedName name="_____h6" localSheetId="3" hidden="1">{"'Sheet1'!$L$16"}</definedName>
    <definedName name="_____h6" localSheetId="6" hidden="1">{"'Sheet1'!$L$16"}</definedName>
    <definedName name="_____h6" localSheetId="7" hidden="1">{"'Sheet1'!$L$16"}</definedName>
    <definedName name="_____h6" localSheetId="9" hidden="1">{"'Sheet1'!$L$16"}</definedName>
    <definedName name="_____h6" localSheetId="10" hidden="1">{"'Sheet1'!$L$16"}</definedName>
    <definedName name="_____h6" localSheetId="12" hidden="1">{"'Sheet1'!$L$16"}</definedName>
    <definedName name="_____h6" localSheetId="11" hidden="1">{"'Sheet1'!$L$16"}</definedName>
    <definedName name="_____h6" localSheetId="13" hidden="1">{"'Sheet1'!$L$16"}</definedName>
    <definedName name="_____h6" localSheetId="14" hidden="1">{"'Sheet1'!$L$16"}</definedName>
    <definedName name="_____h6" hidden="1">{"'Sheet1'!$L$16"}</definedName>
    <definedName name="_____h7" localSheetId="2" hidden="1">{"'Sheet1'!$L$16"}</definedName>
    <definedName name="_____h7" localSheetId="3" hidden="1">{"'Sheet1'!$L$16"}</definedName>
    <definedName name="_____h7" localSheetId="6" hidden="1">{"'Sheet1'!$L$16"}</definedName>
    <definedName name="_____h7" localSheetId="7" hidden="1">{"'Sheet1'!$L$16"}</definedName>
    <definedName name="_____h7" localSheetId="9" hidden="1">{"'Sheet1'!$L$16"}</definedName>
    <definedName name="_____h7" localSheetId="10" hidden="1">{"'Sheet1'!$L$16"}</definedName>
    <definedName name="_____h7" localSheetId="12" hidden="1">{"'Sheet1'!$L$16"}</definedName>
    <definedName name="_____h7" localSheetId="11" hidden="1">{"'Sheet1'!$L$16"}</definedName>
    <definedName name="_____h7" localSheetId="13" hidden="1">{"'Sheet1'!$L$16"}</definedName>
    <definedName name="_____h7" localSheetId="14" hidden="1">{"'Sheet1'!$L$16"}</definedName>
    <definedName name="_____h7" hidden="1">{"'Sheet1'!$L$16"}</definedName>
    <definedName name="_____h8" localSheetId="2" hidden="1">{"'Sheet1'!$L$16"}</definedName>
    <definedName name="_____h8" localSheetId="3" hidden="1">{"'Sheet1'!$L$16"}</definedName>
    <definedName name="_____h8" localSheetId="6" hidden="1">{"'Sheet1'!$L$16"}</definedName>
    <definedName name="_____h8" localSheetId="7" hidden="1">{"'Sheet1'!$L$16"}</definedName>
    <definedName name="_____h8" localSheetId="9" hidden="1">{"'Sheet1'!$L$16"}</definedName>
    <definedName name="_____h8" localSheetId="10" hidden="1">{"'Sheet1'!$L$16"}</definedName>
    <definedName name="_____h8" localSheetId="12" hidden="1">{"'Sheet1'!$L$16"}</definedName>
    <definedName name="_____h8" localSheetId="11" hidden="1">{"'Sheet1'!$L$16"}</definedName>
    <definedName name="_____h8" localSheetId="13" hidden="1">{"'Sheet1'!$L$16"}</definedName>
    <definedName name="_____h8" localSheetId="14" hidden="1">{"'Sheet1'!$L$16"}</definedName>
    <definedName name="_____h8" hidden="1">{"'Sheet1'!$L$16"}</definedName>
    <definedName name="_____h9" localSheetId="2" hidden="1">{"'Sheet1'!$L$16"}</definedName>
    <definedName name="_____h9" localSheetId="3" hidden="1">{"'Sheet1'!$L$16"}</definedName>
    <definedName name="_____h9" localSheetId="6" hidden="1">{"'Sheet1'!$L$16"}</definedName>
    <definedName name="_____h9" localSheetId="7" hidden="1">{"'Sheet1'!$L$16"}</definedName>
    <definedName name="_____h9" localSheetId="9" hidden="1">{"'Sheet1'!$L$16"}</definedName>
    <definedName name="_____h9" localSheetId="10" hidden="1">{"'Sheet1'!$L$16"}</definedName>
    <definedName name="_____h9" localSheetId="12" hidden="1">{"'Sheet1'!$L$16"}</definedName>
    <definedName name="_____h9" localSheetId="11" hidden="1">{"'Sheet1'!$L$16"}</definedName>
    <definedName name="_____h9" localSheetId="13" hidden="1">{"'Sheet1'!$L$16"}</definedName>
    <definedName name="_____h9" localSheetId="14" hidden="1">{"'Sheet1'!$L$16"}</definedName>
    <definedName name="_____h9" hidden="1">{"'Sheet1'!$L$16"}</definedName>
    <definedName name="_____NSO2" localSheetId="2" hidden="1">{"'Sheet1'!$L$16"}</definedName>
    <definedName name="_____NSO2" localSheetId="3" hidden="1">{"'Sheet1'!$L$16"}</definedName>
    <definedName name="_____NSO2" localSheetId="6" hidden="1">{"'Sheet1'!$L$16"}</definedName>
    <definedName name="_____NSO2" localSheetId="7" hidden="1">{"'Sheet1'!$L$16"}</definedName>
    <definedName name="_____NSO2" localSheetId="9" hidden="1">{"'Sheet1'!$L$16"}</definedName>
    <definedName name="_____NSO2" localSheetId="10" hidden="1">{"'Sheet1'!$L$16"}</definedName>
    <definedName name="_____NSO2" localSheetId="12" hidden="1">{"'Sheet1'!$L$16"}</definedName>
    <definedName name="_____NSO2" localSheetId="11" hidden="1">{"'Sheet1'!$L$16"}</definedName>
    <definedName name="_____NSO2" localSheetId="13" hidden="1">{"'Sheet1'!$L$16"}</definedName>
    <definedName name="_____NSO2" localSheetId="14" hidden="1">{"'Sheet1'!$L$16"}</definedName>
    <definedName name="_____NSO2" hidden="1">{"'Sheet1'!$L$16"}</definedName>
    <definedName name="_____PA3" localSheetId="2" hidden="1">{"'Sheet1'!$L$16"}</definedName>
    <definedName name="_____PA3" localSheetId="3" hidden="1">{"'Sheet1'!$L$16"}</definedName>
    <definedName name="_____PA3" localSheetId="6" hidden="1">{"'Sheet1'!$L$16"}</definedName>
    <definedName name="_____PA3" localSheetId="7" hidden="1">{"'Sheet1'!$L$16"}</definedName>
    <definedName name="_____PA3" localSheetId="9" hidden="1">{"'Sheet1'!$L$16"}</definedName>
    <definedName name="_____PA3" localSheetId="10" hidden="1">{"'Sheet1'!$L$16"}</definedName>
    <definedName name="_____PA3" localSheetId="12" hidden="1">{"'Sheet1'!$L$16"}</definedName>
    <definedName name="_____PA3" localSheetId="11" hidden="1">{"'Sheet1'!$L$16"}</definedName>
    <definedName name="_____PA3" localSheetId="13" hidden="1">{"'Sheet1'!$L$16"}</definedName>
    <definedName name="_____PA3" localSheetId="14" hidden="1">{"'Sheet1'!$L$16"}</definedName>
    <definedName name="_____PA3" hidden="1">{"'Sheet1'!$L$16"}</definedName>
    <definedName name="_____vl2" localSheetId="2" hidden="1">{"'Sheet1'!$L$16"}</definedName>
    <definedName name="_____vl2" localSheetId="3" hidden="1">{"'Sheet1'!$L$16"}</definedName>
    <definedName name="_____vl2" localSheetId="6" hidden="1">{"'Sheet1'!$L$16"}</definedName>
    <definedName name="_____vl2" localSheetId="7" hidden="1">{"'Sheet1'!$L$16"}</definedName>
    <definedName name="_____vl2" localSheetId="9" hidden="1">{"'Sheet1'!$L$16"}</definedName>
    <definedName name="_____vl2" localSheetId="10" hidden="1">{"'Sheet1'!$L$16"}</definedName>
    <definedName name="_____vl2" localSheetId="12" hidden="1">{"'Sheet1'!$L$16"}</definedName>
    <definedName name="_____vl2" localSheetId="11" hidden="1">{"'Sheet1'!$L$16"}</definedName>
    <definedName name="_____vl2" localSheetId="13" hidden="1">{"'Sheet1'!$L$16"}</definedName>
    <definedName name="_____vl2" localSheetId="14" hidden="1">{"'Sheet1'!$L$16"}</definedName>
    <definedName name="_____vl2" hidden="1">{"'Sheet1'!$L$16"}</definedName>
    <definedName name="____ban2" localSheetId="2" hidden="1">{"'Sheet1'!$L$16"}</definedName>
    <definedName name="____ban2" localSheetId="3" hidden="1">{"'Sheet1'!$L$16"}</definedName>
    <definedName name="____ban2" localSheetId="6" hidden="1">{"'Sheet1'!$L$16"}</definedName>
    <definedName name="____ban2" localSheetId="7" hidden="1">{"'Sheet1'!$L$16"}</definedName>
    <definedName name="____ban2" localSheetId="9" hidden="1">{"'Sheet1'!$L$16"}</definedName>
    <definedName name="____ban2" localSheetId="10" hidden="1">{"'Sheet1'!$L$16"}</definedName>
    <definedName name="____ban2" localSheetId="12" hidden="1">{"'Sheet1'!$L$16"}</definedName>
    <definedName name="____ban2" localSheetId="11" hidden="1">{"'Sheet1'!$L$16"}</definedName>
    <definedName name="____ban2" localSheetId="13" hidden="1">{"'Sheet1'!$L$16"}</definedName>
    <definedName name="____ban2" localSheetId="14" hidden="1">{"'Sheet1'!$L$16"}</definedName>
    <definedName name="____ban2" hidden="1">{"'Sheet1'!$L$16"}</definedName>
    <definedName name="____cep1" localSheetId="2" hidden="1">{"'Sheet1'!$L$16"}</definedName>
    <definedName name="____cep1" localSheetId="3" hidden="1">{"'Sheet1'!$L$16"}</definedName>
    <definedName name="____cep1" localSheetId="6" hidden="1">{"'Sheet1'!$L$16"}</definedName>
    <definedName name="____cep1" localSheetId="7" hidden="1">{"'Sheet1'!$L$16"}</definedName>
    <definedName name="____cep1" localSheetId="9" hidden="1">{"'Sheet1'!$L$16"}</definedName>
    <definedName name="____cep1" localSheetId="10" hidden="1">{"'Sheet1'!$L$16"}</definedName>
    <definedName name="____cep1" localSheetId="12" hidden="1">{"'Sheet1'!$L$16"}</definedName>
    <definedName name="____cep1" localSheetId="11" hidden="1">{"'Sheet1'!$L$16"}</definedName>
    <definedName name="____cep1" localSheetId="13" hidden="1">{"'Sheet1'!$L$16"}</definedName>
    <definedName name="____cep1" localSheetId="14" hidden="1">{"'Sheet1'!$L$16"}</definedName>
    <definedName name="____cep1" hidden="1">{"'Sheet1'!$L$16"}</definedName>
    <definedName name="____Coc39" localSheetId="2" hidden="1">{"'Sheet1'!$L$16"}</definedName>
    <definedName name="____Coc39" localSheetId="3" hidden="1">{"'Sheet1'!$L$16"}</definedName>
    <definedName name="____Coc39" localSheetId="6" hidden="1">{"'Sheet1'!$L$16"}</definedName>
    <definedName name="____Coc39" localSheetId="7" hidden="1">{"'Sheet1'!$L$16"}</definedName>
    <definedName name="____Coc39" localSheetId="9" hidden="1">{"'Sheet1'!$L$16"}</definedName>
    <definedName name="____Coc39" localSheetId="10" hidden="1">{"'Sheet1'!$L$16"}</definedName>
    <definedName name="____Coc39" localSheetId="12" hidden="1">{"'Sheet1'!$L$16"}</definedName>
    <definedName name="____Coc39" localSheetId="11" hidden="1">{"'Sheet1'!$L$16"}</definedName>
    <definedName name="____Coc39" localSheetId="13" hidden="1">{"'Sheet1'!$L$16"}</definedName>
    <definedName name="____Coc39" localSheetId="14" hidden="1">{"'Sheet1'!$L$16"}</definedName>
    <definedName name="____Coc39" hidden="1">{"'Sheet1'!$L$16"}</definedName>
    <definedName name="____Goi8" localSheetId="2" hidden="1">{"'Sheet1'!$L$16"}</definedName>
    <definedName name="____Goi8" localSheetId="3" hidden="1">{"'Sheet1'!$L$16"}</definedName>
    <definedName name="____Goi8" localSheetId="6" hidden="1">{"'Sheet1'!$L$16"}</definedName>
    <definedName name="____Goi8" localSheetId="7" hidden="1">{"'Sheet1'!$L$16"}</definedName>
    <definedName name="____Goi8" localSheetId="9" hidden="1">{"'Sheet1'!$L$16"}</definedName>
    <definedName name="____Goi8" localSheetId="10" hidden="1">{"'Sheet1'!$L$16"}</definedName>
    <definedName name="____Goi8" localSheetId="12" hidden="1">{"'Sheet1'!$L$16"}</definedName>
    <definedName name="____Goi8" localSheetId="11" hidden="1">{"'Sheet1'!$L$16"}</definedName>
    <definedName name="____Goi8" localSheetId="13" hidden="1">{"'Sheet1'!$L$16"}</definedName>
    <definedName name="____Goi8" localSheetId="14" hidden="1">{"'Sheet1'!$L$16"}</definedName>
    <definedName name="____Goi8" hidden="1">{"'Sheet1'!$L$16"}</definedName>
    <definedName name="____h1" localSheetId="2" hidden="1">{"'Sheet1'!$L$16"}</definedName>
    <definedName name="____h1" localSheetId="3" hidden="1">{"'Sheet1'!$L$16"}</definedName>
    <definedName name="____h1" localSheetId="6" hidden="1">{"'Sheet1'!$L$16"}</definedName>
    <definedName name="____h1" localSheetId="7" hidden="1">{"'Sheet1'!$L$16"}</definedName>
    <definedName name="____h1" localSheetId="9" hidden="1">{"'Sheet1'!$L$16"}</definedName>
    <definedName name="____h1" localSheetId="10" hidden="1">{"'Sheet1'!$L$16"}</definedName>
    <definedName name="____h1" localSheetId="12" hidden="1">{"'Sheet1'!$L$16"}</definedName>
    <definedName name="____h1" localSheetId="11" hidden="1">{"'Sheet1'!$L$16"}</definedName>
    <definedName name="____h1" localSheetId="13" hidden="1">{"'Sheet1'!$L$16"}</definedName>
    <definedName name="____h1" localSheetId="14" hidden="1">{"'Sheet1'!$L$16"}</definedName>
    <definedName name="____h1" hidden="1">{"'Sheet1'!$L$16"}</definedName>
    <definedName name="____h10" localSheetId="2" hidden="1">{#N/A,#N/A,FALSE,"Chi tiÆt"}</definedName>
    <definedName name="____h10" localSheetId="3" hidden="1">{#N/A,#N/A,FALSE,"Chi tiÆt"}</definedName>
    <definedName name="____h10" localSheetId="6" hidden="1">{#N/A,#N/A,FALSE,"Chi tiÆt"}</definedName>
    <definedName name="____h10" localSheetId="7" hidden="1">{#N/A,#N/A,FALSE,"Chi tiÆt"}</definedName>
    <definedName name="____h10" localSheetId="9" hidden="1">{#N/A,#N/A,FALSE,"Chi tiÆt"}</definedName>
    <definedName name="____h10" localSheetId="10" hidden="1">{#N/A,#N/A,FALSE,"Chi tiÆt"}</definedName>
    <definedName name="____h10" localSheetId="12" hidden="1">{#N/A,#N/A,FALSE,"Chi tiÆt"}</definedName>
    <definedName name="____h10" localSheetId="11" hidden="1">{#N/A,#N/A,FALSE,"Chi tiÆt"}</definedName>
    <definedName name="____h10" localSheetId="13" hidden="1">{#N/A,#N/A,FALSE,"Chi tiÆt"}</definedName>
    <definedName name="____h10" localSheetId="14" hidden="1">{#N/A,#N/A,FALSE,"Chi tiÆt"}</definedName>
    <definedName name="____h10" hidden="1">{#N/A,#N/A,FALSE,"Chi tiÆt"}</definedName>
    <definedName name="____h2" localSheetId="2" hidden="1">{"'Sheet1'!$L$16"}</definedName>
    <definedName name="____h2" localSheetId="3" hidden="1">{"'Sheet1'!$L$16"}</definedName>
    <definedName name="____h2" localSheetId="6" hidden="1">{"'Sheet1'!$L$16"}</definedName>
    <definedName name="____h2" localSheetId="7" hidden="1">{"'Sheet1'!$L$16"}</definedName>
    <definedName name="____h2" localSheetId="9" hidden="1">{"'Sheet1'!$L$16"}</definedName>
    <definedName name="____h2" localSheetId="10" hidden="1">{"'Sheet1'!$L$16"}</definedName>
    <definedName name="____h2" localSheetId="12" hidden="1">{"'Sheet1'!$L$16"}</definedName>
    <definedName name="____h2" localSheetId="11" hidden="1">{"'Sheet1'!$L$16"}</definedName>
    <definedName name="____h2" localSheetId="13" hidden="1">{"'Sheet1'!$L$16"}</definedName>
    <definedName name="____h2" localSheetId="14" hidden="1">{"'Sheet1'!$L$16"}</definedName>
    <definedName name="____h2" hidden="1">{"'Sheet1'!$L$16"}</definedName>
    <definedName name="____h3" localSheetId="2" hidden="1">{"'Sheet1'!$L$16"}</definedName>
    <definedName name="____h3" localSheetId="3" hidden="1">{"'Sheet1'!$L$16"}</definedName>
    <definedName name="____h3" localSheetId="6" hidden="1">{"'Sheet1'!$L$16"}</definedName>
    <definedName name="____h3" localSheetId="7" hidden="1">{"'Sheet1'!$L$16"}</definedName>
    <definedName name="____h3" localSheetId="9" hidden="1">{"'Sheet1'!$L$16"}</definedName>
    <definedName name="____h3" localSheetId="10" hidden="1">{"'Sheet1'!$L$16"}</definedName>
    <definedName name="____h3" localSheetId="12" hidden="1">{"'Sheet1'!$L$16"}</definedName>
    <definedName name="____h3" localSheetId="11" hidden="1">{"'Sheet1'!$L$16"}</definedName>
    <definedName name="____h3" localSheetId="13" hidden="1">{"'Sheet1'!$L$16"}</definedName>
    <definedName name="____h3" localSheetId="14" hidden="1">{"'Sheet1'!$L$16"}</definedName>
    <definedName name="____h3" hidden="1">{"'Sheet1'!$L$16"}</definedName>
    <definedName name="____h5" localSheetId="2" hidden="1">{"'Sheet1'!$L$16"}</definedName>
    <definedName name="____h5" localSheetId="3" hidden="1">{"'Sheet1'!$L$16"}</definedName>
    <definedName name="____h5" localSheetId="6" hidden="1">{"'Sheet1'!$L$16"}</definedName>
    <definedName name="____h5" localSheetId="7" hidden="1">{"'Sheet1'!$L$16"}</definedName>
    <definedName name="____h5" localSheetId="9" hidden="1">{"'Sheet1'!$L$16"}</definedName>
    <definedName name="____h5" localSheetId="10" hidden="1">{"'Sheet1'!$L$16"}</definedName>
    <definedName name="____h5" localSheetId="12" hidden="1">{"'Sheet1'!$L$16"}</definedName>
    <definedName name="____h5" localSheetId="11" hidden="1">{"'Sheet1'!$L$16"}</definedName>
    <definedName name="____h5" localSheetId="13" hidden="1">{"'Sheet1'!$L$16"}</definedName>
    <definedName name="____h5" localSheetId="14" hidden="1">{"'Sheet1'!$L$16"}</definedName>
    <definedName name="____h5" hidden="1">{"'Sheet1'!$L$16"}</definedName>
    <definedName name="____h6" localSheetId="2" hidden="1">{"'Sheet1'!$L$16"}</definedName>
    <definedName name="____h6" localSheetId="3" hidden="1">{"'Sheet1'!$L$16"}</definedName>
    <definedName name="____h6" localSheetId="6" hidden="1">{"'Sheet1'!$L$16"}</definedName>
    <definedName name="____h6" localSheetId="7" hidden="1">{"'Sheet1'!$L$16"}</definedName>
    <definedName name="____h6" localSheetId="9" hidden="1">{"'Sheet1'!$L$16"}</definedName>
    <definedName name="____h6" localSheetId="10" hidden="1">{"'Sheet1'!$L$16"}</definedName>
    <definedName name="____h6" localSheetId="12" hidden="1">{"'Sheet1'!$L$16"}</definedName>
    <definedName name="____h6" localSheetId="11" hidden="1">{"'Sheet1'!$L$16"}</definedName>
    <definedName name="____h6" localSheetId="13" hidden="1">{"'Sheet1'!$L$16"}</definedName>
    <definedName name="____h6" localSheetId="14" hidden="1">{"'Sheet1'!$L$16"}</definedName>
    <definedName name="____h6" hidden="1">{"'Sheet1'!$L$16"}</definedName>
    <definedName name="____h7" localSheetId="2" hidden="1">{"'Sheet1'!$L$16"}</definedName>
    <definedName name="____h7" localSheetId="3" hidden="1">{"'Sheet1'!$L$16"}</definedName>
    <definedName name="____h7" localSheetId="6" hidden="1">{"'Sheet1'!$L$16"}</definedName>
    <definedName name="____h7" localSheetId="7" hidden="1">{"'Sheet1'!$L$16"}</definedName>
    <definedName name="____h7" localSheetId="9" hidden="1">{"'Sheet1'!$L$16"}</definedName>
    <definedName name="____h7" localSheetId="10" hidden="1">{"'Sheet1'!$L$16"}</definedName>
    <definedName name="____h7" localSheetId="12" hidden="1">{"'Sheet1'!$L$16"}</definedName>
    <definedName name="____h7" localSheetId="11" hidden="1">{"'Sheet1'!$L$16"}</definedName>
    <definedName name="____h7" localSheetId="13" hidden="1">{"'Sheet1'!$L$16"}</definedName>
    <definedName name="____h7" localSheetId="14" hidden="1">{"'Sheet1'!$L$16"}</definedName>
    <definedName name="____h7" hidden="1">{"'Sheet1'!$L$16"}</definedName>
    <definedName name="____h8" localSheetId="2" hidden="1">{"'Sheet1'!$L$16"}</definedName>
    <definedName name="____h8" localSheetId="3" hidden="1">{"'Sheet1'!$L$16"}</definedName>
    <definedName name="____h8" localSheetId="6" hidden="1">{"'Sheet1'!$L$16"}</definedName>
    <definedName name="____h8" localSheetId="7" hidden="1">{"'Sheet1'!$L$16"}</definedName>
    <definedName name="____h8" localSheetId="9" hidden="1">{"'Sheet1'!$L$16"}</definedName>
    <definedName name="____h8" localSheetId="10" hidden="1">{"'Sheet1'!$L$16"}</definedName>
    <definedName name="____h8" localSheetId="12" hidden="1">{"'Sheet1'!$L$16"}</definedName>
    <definedName name="____h8" localSheetId="11" hidden="1">{"'Sheet1'!$L$16"}</definedName>
    <definedName name="____h8" localSheetId="13" hidden="1">{"'Sheet1'!$L$16"}</definedName>
    <definedName name="____h8" localSheetId="14" hidden="1">{"'Sheet1'!$L$16"}</definedName>
    <definedName name="____h8" hidden="1">{"'Sheet1'!$L$16"}</definedName>
    <definedName name="____h9" localSheetId="2" hidden="1">{"'Sheet1'!$L$16"}</definedName>
    <definedName name="____h9" localSheetId="3" hidden="1">{"'Sheet1'!$L$16"}</definedName>
    <definedName name="____h9" localSheetId="6" hidden="1">{"'Sheet1'!$L$16"}</definedName>
    <definedName name="____h9" localSheetId="7" hidden="1">{"'Sheet1'!$L$16"}</definedName>
    <definedName name="____h9" localSheetId="9" hidden="1">{"'Sheet1'!$L$16"}</definedName>
    <definedName name="____h9" localSheetId="10" hidden="1">{"'Sheet1'!$L$16"}</definedName>
    <definedName name="____h9" localSheetId="12" hidden="1">{"'Sheet1'!$L$16"}</definedName>
    <definedName name="____h9" localSheetId="11" hidden="1">{"'Sheet1'!$L$16"}</definedName>
    <definedName name="____h9" localSheetId="13" hidden="1">{"'Sheet1'!$L$16"}</definedName>
    <definedName name="____h9" localSheetId="14" hidden="1">{"'Sheet1'!$L$16"}</definedName>
    <definedName name="____h9" hidden="1">{"'Sheet1'!$L$16"}</definedName>
    <definedName name="____HUY1" localSheetId="2" hidden="1">{"'Sheet1'!$L$16"}</definedName>
    <definedName name="____HUY1" localSheetId="3" hidden="1">{"'Sheet1'!$L$16"}</definedName>
    <definedName name="____HUY1" localSheetId="6" hidden="1">{"'Sheet1'!$L$16"}</definedName>
    <definedName name="____HUY1" localSheetId="7" hidden="1">{"'Sheet1'!$L$16"}</definedName>
    <definedName name="____HUY1" localSheetId="9" hidden="1">{"'Sheet1'!$L$16"}</definedName>
    <definedName name="____HUY1" localSheetId="10" hidden="1">{"'Sheet1'!$L$16"}</definedName>
    <definedName name="____HUY1" localSheetId="12" hidden="1">{"'Sheet1'!$L$16"}</definedName>
    <definedName name="____HUY1" localSheetId="11" hidden="1">{"'Sheet1'!$L$16"}</definedName>
    <definedName name="____HUY1" localSheetId="13" hidden="1">{"'Sheet1'!$L$16"}</definedName>
    <definedName name="____HUY1" localSheetId="14" hidden="1">{"'Sheet1'!$L$16"}</definedName>
    <definedName name="____HUY1" hidden="1">{"'Sheet1'!$L$16"}</definedName>
    <definedName name="____HUY2" localSheetId="2" hidden="1">{"'Sheet1'!$L$16"}</definedName>
    <definedName name="____HUY2" localSheetId="3" hidden="1">{"'Sheet1'!$L$16"}</definedName>
    <definedName name="____HUY2" localSheetId="6" hidden="1">{"'Sheet1'!$L$16"}</definedName>
    <definedName name="____HUY2" localSheetId="7" hidden="1">{"'Sheet1'!$L$16"}</definedName>
    <definedName name="____HUY2" localSheetId="9" hidden="1">{"'Sheet1'!$L$16"}</definedName>
    <definedName name="____HUY2" localSheetId="10" hidden="1">{"'Sheet1'!$L$16"}</definedName>
    <definedName name="____HUY2" localSheetId="12" hidden="1">{"'Sheet1'!$L$16"}</definedName>
    <definedName name="____HUY2" localSheetId="11" hidden="1">{"'Sheet1'!$L$16"}</definedName>
    <definedName name="____HUY2" localSheetId="13" hidden="1">{"'Sheet1'!$L$16"}</definedName>
    <definedName name="____HUY2" localSheetId="14" hidden="1">{"'Sheet1'!$L$16"}</definedName>
    <definedName name="____HUY2" hidden="1">{"'Sheet1'!$L$16"}</definedName>
    <definedName name="____Lan1" localSheetId="2" hidden="1">{"'Sheet1'!$L$16"}</definedName>
    <definedName name="____Lan1" localSheetId="3" hidden="1">{"'Sheet1'!$L$16"}</definedName>
    <definedName name="____Lan1" localSheetId="6" hidden="1">{"'Sheet1'!$L$16"}</definedName>
    <definedName name="____Lan1" localSheetId="7" hidden="1">{"'Sheet1'!$L$16"}</definedName>
    <definedName name="____Lan1" localSheetId="9" hidden="1">{"'Sheet1'!$L$16"}</definedName>
    <definedName name="____Lan1" localSheetId="10" hidden="1">{"'Sheet1'!$L$16"}</definedName>
    <definedName name="____Lan1" localSheetId="12" hidden="1">{"'Sheet1'!$L$16"}</definedName>
    <definedName name="____Lan1" localSheetId="11" hidden="1">{"'Sheet1'!$L$16"}</definedName>
    <definedName name="____Lan1" localSheetId="13" hidden="1">{"'Sheet1'!$L$16"}</definedName>
    <definedName name="____Lan1" localSheetId="14" hidden="1">{"'Sheet1'!$L$16"}</definedName>
    <definedName name="____Lan1" hidden="1">{"'Sheet1'!$L$16"}</definedName>
    <definedName name="____LAN3" localSheetId="2" hidden="1">{"'Sheet1'!$L$16"}</definedName>
    <definedName name="____LAN3" localSheetId="3" hidden="1">{"'Sheet1'!$L$16"}</definedName>
    <definedName name="____LAN3" localSheetId="6" hidden="1">{"'Sheet1'!$L$16"}</definedName>
    <definedName name="____LAN3" localSheetId="7" hidden="1">{"'Sheet1'!$L$16"}</definedName>
    <definedName name="____LAN3" localSheetId="9" hidden="1">{"'Sheet1'!$L$16"}</definedName>
    <definedName name="____LAN3" localSheetId="10" hidden="1">{"'Sheet1'!$L$16"}</definedName>
    <definedName name="____LAN3" localSheetId="12" hidden="1">{"'Sheet1'!$L$16"}</definedName>
    <definedName name="____LAN3" localSheetId="11" hidden="1">{"'Sheet1'!$L$16"}</definedName>
    <definedName name="____LAN3" localSheetId="13" hidden="1">{"'Sheet1'!$L$16"}</definedName>
    <definedName name="____LAN3" localSheetId="14" hidden="1">{"'Sheet1'!$L$16"}</definedName>
    <definedName name="____LAN3" hidden="1">{"'Sheet1'!$L$16"}</definedName>
    <definedName name="____lk2" localSheetId="2" hidden="1">{"'Sheet1'!$L$16"}</definedName>
    <definedName name="____lk2" localSheetId="3" hidden="1">{"'Sheet1'!$L$16"}</definedName>
    <definedName name="____lk2" localSheetId="6" hidden="1">{"'Sheet1'!$L$16"}</definedName>
    <definedName name="____lk2" localSheetId="7" hidden="1">{"'Sheet1'!$L$16"}</definedName>
    <definedName name="____lk2" localSheetId="9" hidden="1">{"'Sheet1'!$L$16"}</definedName>
    <definedName name="____lk2" localSheetId="10" hidden="1">{"'Sheet1'!$L$16"}</definedName>
    <definedName name="____lk2" localSheetId="12" hidden="1">{"'Sheet1'!$L$16"}</definedName>
    <definedName name="____lk2" localSheetId="11" hidden="1">{"'Sheet1'!$L$16"}</definedName>
    <definedName name="____lk2" localSheetId="13" hidden="1">{"'Sheet1'!$L$16"}</definedName>
    <definedName name="____lk2" localSheetId="14" hidden="1">{"'Sheet1'!$L$16"}</definedName>
    <definedName name="____lk2" hidden="1">{"'Sheet1'!$L$16"}</definedName>
    <definedName name="____NSO2" localSheetId="2" hidden="1">{"'Sheet1'!$L$16"}</definedName>
    <definedName name="____NSO2" localSheetId="3" hidden="1">{"'Sheet1'!$L$16"}</definedName>
    <definedName name="____NSO2" localSheetId="6" hidden="1">{"'Sheet1'!$L$16"}</definedName>
    <definedName name="____NSO2" localSheetId="7" hidden="1">{"'Sheet1'!$L$16"}</definedName>
    <definedName name="____NSO2" localSheetId="9" hidden="1">{"'Sheet1'!$L$16"}</definedName>
    <definedName name="____NSO2" localSheetId="10" hidden="1">{"'Sheet1'!$L$16"}</definedName>
    <definedName name="____NSO2" localSheetId="12" hidden="1">{"'Sheet1'!$L$16"}</definedName>
    <definedName name="____NSO2" localSheetId="11" hidden="1">{"'Sheet1'!$L$16"}</definedName>
    <definedName name="____NSO2" localSheetId="13" hidden="1">{"'Sheet1'!$L$16"}</definedName>
    <definedName name="____NSO2" localSheetId="14" hidden="1">{"'Sheet1'!$L$16"}</definedName>
    <definedName name="____NSO2" hidden="1">{"'Sheet1'!$L$16"}</definedName>
    <definedName name="____PA3" localSheetId="2" hidden="1">{"'Sheet1'!$L$16"}</definedName>
    <definedName name="____PA3" localSheetId="3" hidden="1">{"'Sheet1'!$L$16"}</definedName>
    <definedName name="____PA3" localSheetId="6" hidden="1">{"'Sheet1'!$L$16"}</definedName>
    <definedName name="____PA3" localSheetId="7" hidden="1">{"'Sheet1'!$L$16"}</definedName>
    <definedName name="____PA3" localSheetId="9" hidden="1">{"'Sheet1'!$L$16"}</definedName>
    <definedName name="____PA3" localSheetId="10" hidden="1">{"'Sheet1'!$L$16"}</definedName>
    <definedName name="____PA3" localSheetId="12" hidden="1">{"'Sheet1'!$L$16"}</definedName>
    <definedName name="____PA3" localSheetId="11" hidden="1">{"'Sheet1'!$L$16"}</definedName>
    <definedName name="____PA3" localSheetId="13" hidden="1">{"'Sheet1'!$L$16"}</definedName>
    <definedName name="____PA3" localSheetId="14" hidden="1">{"'Sheet1'!$L$16"}</definedName>
    <definedName name="____PA3" hidden="1">{"'Sheet1'!$L$16"}</definedName>
    <definedName name="____Pl2" localSheetId="2" hidden="1">{"'Sheet1'!$L$16"}</definedName>
    <definedName name="____Pl2" localSheetId="3" hidden="1">{"'Sheet1'!$L$16"}</definedName>
    <definedName name="____Pl2" localSheetId="6" hidden="1">{"'Sheet1'!$L$16"}</definedName>
    <definedName name="____Pl2" localSheetId="7" hidden="1">{"'Sheet1'!$L$16"}</definedName>
    <definedName name="____Pl2" localSheetId="9" hidden="1">{"'Sheet1'!$L$16"}</definedName>
    <definedName name="____Pl2" localSheetId="10" hidden="1">{"'Sheet1'!$L$16"}</definedName>
    <definedName name="____Pl2" localSheetId="12" hidden="1">{"'Sheet1'!$L$16"}</definedName>
    <definedName name="____Pl2" localSheetId="11" hidden="1">{"'Sheet1'!$L$16"}</definedName>
    <definedName name="____Pl2" localSheetId="13" hidden="1">{"'Sheet1'!$L$16"}</definedName>
    <definedName name="____Pl2" localSheetId="14" hidden="1">{"'Sheet1'!$L$16"}</definedName>
    <definedName name="____Pl2" hidden="1">{"'Sheet1'!$L$16"}</definedName>
    <definedName name="____tt3" localSheetId="2" hidden="1">{"'Sheet1'!$L$16"}</definedName>
    <definedName name="____tt3" localSheetId="3" hidden="1">{"'Sheet1'!$L$16"}</definedName>
    <definedName name="____tt3" localSheetId="6" hidden="1">{"'Sheet1'!$L$16"}</definedName>
    <definedName name="____tt3" localSheetId="7" hidden="1">{"'Sheet1'!$L$16"}</definedName>
    <definedName name="____tt3" localSheetId="9" hidden="1">{"'Sheet1'!$L$16"}</definedName>
    <definedName name="____tt3" localSheetId="10" hidden="1">{"'Sheet1'!$L$16"}</definedName>
    <definedName name="____tt3" localSheetId="12" hidden="1">{"'Sheet1'!$L$16"}</definedName>
    <definedName name="____tt3" localSheetId="11" hidden="1">{"'Sheet1'!$L$16"}</definedName>
    <definedName name="____tt3" localSheetId="13" hidden="1">{"'Sheet1'!$L$16"}</definedName>
    <definedName name="____tt3" localSheetId="14" hidden="1">{"'Sheet1'!$L$16"}</definedName>
    <definedName name="____tt3" hidden="1">{"'Sheet1'!$L$16"}</definedName>
    <definedName name="____TT31" localSheetId="2" hidden="1">{"'Sheet1'!$L$16"}</definedName>
    <definedName name="____TT31" localSheetId="3" hidden="1">{"'Sheet1'!$L$16"}</definedName>
    <definedName name="____TT31" localSheetId="6" hidden="1">{"'Sheet1'!$L$16"}</definedName>
    <definedName name="____TT31" localSheetId="7" hidden="1">{"'Sheet1'!$L$16"}</definedName>
    <definedName name="____TT31" localSheetId="9" hidden="1">{"'Sheet1'!$L$16"}</definedName>
    <definedName name="____TT31" localSheetId="10" hidden="1">{"'Sheet1'!$L$16"}</definedName>
    <definedName name="____TT31" localSheetId="12" hidden="1">{"'Sheet1'!$L$16"}</definedName>
    <definedName name="____TT31" localSheetId="11" hidden="1">{"'Sheet1'!$L$16"}</definedName>
    <definedName name="____TT31" localSheetId="13" hidden="1">{"'Sheet1'!$L$16"}</definedName>
    <definedName name="____TT31" localSheetId="14" hidden="1">{"'Sheet1'!$L$16"}</definedName>
    <definedName name="____TT31" hidden="1">{"'Sheet1'!$L$16"}</definedName>
    <definedName name="____Tru21" localSheetId="2" hidden="1">{"'Sheet1'!$L$16"}</definedName>
    <definedName name="____Tru21" localSheetId="3" hidden="1">{"'Sheet1'!$L$16"}</definedName>
    <definedName name="____Tru21" localSheetId="6" hidden="1">{"'Sheet1'!$L$16"}</definedName>
    <definedName name="____Tru21" localSheetId="7" hidden="1">{"'Sheet1'!$L$16"}</definedName>
    <definedName name="____Tru21" localSheetId="9" hidden="1">{"'Sheet1'!$L$16"}</definedName>
    <definedName name="____Tru21" localSheetId="10" hidden="1">{"'Sheet1'!$L$16"}</definedName>
    <definedName name="____Tru21" localSheetId="12" hidden="1">{"'Sheet1'!$L$16"}</definedName>
    <definedName name="____Tru21" localSheetId="11" hidden="1">{"'Sheet1'!$L$16"}</definedName>
    <definedName name="____Tru21" localSheetId="13" hidden="1">{"'Sheet1'!$L$16"}</definedName>
    <definedName name="____Tru21" localSheetId="14" hidden="1">{"'Sheet1'!$L$16"}</definedName>
    <definedName name="____Tru21" hidden="1">{"'Sheet1'!$L$16"}</definedName>
    <definedName name="____vl2" localSheetId="2" hidden="1">{"'Sheet1'!$L$16"}</definedName>
    <definedName name="____vl2" localSheetId="3" hidden="1">{"'Sheet1'!$L$16"}</definedName>
    <definedName name="____vl2" localSheetId="6" hidden="1">{"'Sheet1'!$L$16"}</definedName>
    <definedName name="____vl2" localSheetId="7" hidden="1">{"'Sheet1'!$L$16"}</definedName>
    <definedName name="____vl2" localSheetId="9" hidden="1">{"'Sheet1'!$L$16"}</definedName>
    <definedName name="____vl2" localSheetId="10" hidden="1">{"'Sheet1'!$L$16"}</definedName>
    <definedName name="____vl2" localSheetId="12" hidden="1">{"'Sheet1'!$L$16"}</definedName>
    <definedName name="____vl2" localSheetId="11" hidden="1">{"'Sheet1'!$L$16"}</definedName>
    <definedName name="____vl2" localSheetId="13" hidden="1">{"'Sheet1'!$L$16"}</definedName>
    <definedName name="____vl2" localSheetId="14" hidden="1">{"'Sheet1'!$L$16"}</definedName>
    <definedName name="____vl2" hidden="1">{"'Sheet1'!$L$16"}</definedName>
    <definedName name="____VM2" localSheetId="2" hidden="1">{"'Sheet1'!$L$16"}</definedName>
    <definedName name="____VM2" localSheetId="3" hidden="1">{"'Sheet1'!$L$16"}</definedName>
    <definedName name="____VM2" localSheetId="6" hidden="1">{"'Sheet1'!$L$16"}</definedName>
    <definedName name="____VM2" localSheetId="7" hidden="1">{"'Sheet1'!$L$16"}</definedName>
    <definedName name="____VM2" localSheetId="9" hidden="1">{"'Sheet1'!$L$16"}</definedName>
    <definedName name="____VM2" localSheetId="10" hidden="1">{"'Sheet1'!$L$16"}</definedName>
    <definedName name="____VM2" localSheetId="12" hidden="1">{"'Sheet1'!$L$16"}</definedName>
    <definedName name="____VM2" localSheetId="11" hidden="1">{"'Sheet1'!$L$16"}</definedName>
    <definedName name="____VM2" localSheetId="13" hidden="1">{"'Sheet1'!$L$16"}</definedName>
    <definedName name="____VM2" localSheetId="14" hidden="1">{"'Sheet1'!$L$16"}</definedName>
    <definedName name="____VM2" hidden="1">{"'Sheet1'!$L$16"}</definedName>
    <definedName name="___a1" localSheetId="2" hidden="1">{"'Sheet1'!$L$16"}</definedName>
    <definedName name="___a1" localSheetId="3" hidden="1">{"'Sheet1'!$L$16"}</definedName>
    <definedName name="___a1" localSheetId="6" hidden="1">{"'Sheet1'!$L$16"}</definedName>
    <definedName name="___a1" localSheetId="7" hidden="1">{"'Sheet1'!$L$16"}</definedName>
    <definedName name="___a1" localSheetId="9" hidden="1">{"'Sheet1'!$L$16"}</definedName>
    <definedName name="___a1" localSheetId="10" hidden="1">{"'Sheet1'!$L$16"}</definedName>
    <definedName name="___a1" localSheetId="12" hidden="1">{"'Sheet1'!$L$16"}</definedName>
    <definedName name="___a1" localSheetId="11" hidden="1">{"'Sheet1'!$L$16"}</definedName>
    <definedName name="___a1" localSheetId="13" hidden="1">{"'Sheet1'!$L$16"}</definedName>
    <definedName name="___a1" localSheetId="14" hidden="1">{"'Sheet1'!$L$16"}</definedName>
    <definedName name="___a1" hidden="1">{"'Sheet1'!$L$16"}</definedName>
    <definedName name="___ban2" localSheetId="2" hidden="1">{"'Sheet1'!$L$16"}</definedName>
    <definedName name="___ban2" localSheetId="3" hidden="1">{"'Sheet1'!$L$16"}</definedName>
    <definedName name="___ban2" localSheetId="6" hidden="1">{"'Sheet1'!$L$16"}</definedName>
    <definedName name="___ban2" localSheetId="7" hidden="1">{"'Sheet1'!$L$16"}</definedName>
    <definedName name="___ban2" localSheetId="9" hidden="1">{"'Sheet1'!$L$16"}</definedName>
    <definedName name="___ban2" localSheetId="10" hidden="1">{"'Sheet1'!$L$16"}</definedName>
    <definedName name="___ban2" localSheetId="12" hidden="1">{"'Sheet1'!$L$16"}</definedName>
    <definedName name="___ban2" localSheetId="11" hidden="1">{"'Sheet1'!$L$16"}</definedName>
    <definedName name="___ban2" localSheetId="13" hidden="1">{"'Sheet1'!$L$16"}</definedName>
    <definedName name="___ban2" localSheetId="14" hidden="1">{"'Sheet1'!$L$16"}</definedName>
    <definedName name="___ban2" hidden="1">{"'Sheet1'!$L$16"}</definedName>
    <definedName name="___cep1" localSheetId="2" hidden="1">{"'Sheet1'!$L$16"}</definedName>
    <definedName name="___cep1" localSheetId="3" hidden="1">{"'Sheet1'!$L$16"}</definedName>
    <definedName name="___cep1" localSheetId="6" hidden="1">{"'Sheet1'!$L$16"}</definedName>
    <definedName name="___cep1" localSheetId="7" hidden="1">{"'Sheet1'!$L$16"}</definedName>
    <definedName name="___cep1" localSheetId="9" hidden="1">{"'Sheet1'!$L$16"}</definedName>
    <definedName name="___cep1" localSheetId="10" hidden="1">{"'Sheet1'!$L$16"}</definedName>
    <definedName name="___cep1" localSheetId="12" hidden="1">{"'Sheet1'!$L$16"}</definedName>
    <definedName name="___cep1" localSheetId="11" hidden="1">{"'Sheet1'!$L$16"}</definedName>
    <definedName name="___cep1" localSheetId="13" hidden="1">{"'Sheet1'!$L$16"}</definedName>
    <definedName name="___cep1" localSheetId="14" hidden="1">{"'Sheet1'!$L$16"}</definedName>
    <definedName name="___cep1" hidden="1">{"'Sheet1'!$L$16"}</definedName>
    <definedName name="___Coc39" localSheetId="2" hidden="1">{"'Sheet1'!$L$16"}</definedName>
    <definedName name="___Coc39" localSheetId="3" hidden="1">{"'Sheet1'!$L$16"}</definedName>
    <definedName name="___Coc39" localSheetId="6" hidden="1">{"'Sheet1'!$L$16"}</definedName>
    <definedName name="___Coc39" localSheetId="7" hidden="1">{"'Sheet1'!$L$16"}</definedName>
    <definedName name="___Coc39" localSheetId="9" hidden="1">{"'Sheet1'!$L$16"}</definedName>
    <definedName name="___Coc39" localSheetId="10" hidden="1">{"'Sheet1'!$L$16"}</definedName>
    <definedName name="___Coc39" localSheetId="12" hidden="1">{"'Sheet1'!$L$16"}</definedName>
    <definedName name="___Coc39" localSheetId="11" hidden="1">{"'Sheet1'!$L$16"}</definedName>
    <definedName name="___Coc39" localSheetId="13" hidden="1">{"'Sheet1'!$L$16"}</definedName>
    <definedName name="___Coc39" localSheetId="14" hidden="1">{"'Sheet1'!$L$16"}</definedName>
    <definedName name="___Coc39" hidden="1">{"'Sheet1'!$L$16"}</definedName>
    <definedName name="___Goi8" localSheetId="2" hidden="1">{"'Sheet1'!$L$16"}</definedName>
    <definedName name="___Goi8" localSheetId="3" hidden="1">{"'Sheet1'!$L$16"}</definedName>
    <definedName name="___Goi8" localSheetId="6" hidden="1">{"'Sheet1'!$L$16"}</definedName>
    <definedName name="___Goi8" localSheetId="7" hidden="1">{"'Sheet1'!$L$16"}</definedName>
    <definedName name="___Goi8" localSheetId="9" hidden="1">{"'Sheet1'!$L$16"}</definedName>
    <definedName name="___Goi8" localSheetId="10" hidden="1">{"'Sheet1'!$L$16"}</definedName>
    <definedName name="___Goi8" localSheetId="12" hidden="1">{"'Sheet1'!$L$16"}</definedName>
    <definedName name="___Goi8" localSheetId="11" hidden="1">{"'Sheet1'!$L$16"}</definedName>
    <definedName name="___Goi8" localSheetId="13" hidden="1">{"'Sheet1'!$L$16"}</definedName>
    <definedName name="___Goi8" localSheetId="14" hidden="1">{"'Sheet1'!$L$16"}</definedName>
    <definedName name="___Goi8" hidden="1">{"'Sheet1'!$L$16"}</definedName>
    <definedName name="___h1" localSheetId="2" hidden="1">{"'Sheet1'!$L$16"}</definedName>
    <definedName name="___h1" localSheetId="3" hidden="1">{"'Sheet1'!$L$16"}</definedName>
    <definedName name="___h1" localSheetId="6" hidden="1">{"'Sheet1'!$L$16"}</definedName>
    <definedName name="___h1" localSheetId="7" hidden="1">{"'Sheet1'!$L$16"}</definedName>
    <definedName name="___h1" localSheetId="9" hidden="1">{"'Sheet1'!$L$16"}</definedName>
    <definedName name="___h1" localSheetId="10" hidden="1">{"'Sheet1'!$L$16"}</definedName>
    <definedName name="___h1" localSheetId="12" hidden="1">{"'Sheet1'!$L$16"}</definedName>
    <definedName name="___h1" localSheetId="11" hidden="1">{"'Sheet1'!$L$16"}</definedName>
    <definedName name="___h1" localSheetId="13" hidden="1">{"'Sheet1'!$L$16"}</definedName>
    <definedName name="___h1" localSheetId="14" hidden="1">{"'Sheet1'!$L$16"}</definedName>
    <definedName name="___h1" hidden="1">{"'Sheet1'!$L$16"}</definedName>
    <definedName name="___h10" localSheetId="2" hidden="1">{#N/A,#N/A,FALSE,"Chi tiÆt"}</definedName>
    <definedName name="___h10" localSheetId="3" hidden="1">{#N/A,#N/A,FALSE,"Chi tiÆt"}</definedName>
    <definedName name="___h10" localSheetId="6" hidden="1">{#N/A,#N/A,FALSE,"Chi tiÆt"}</definedName>
    <definedName name="___h10" localSheetId="7" hidden="1">{#N/A,#N/A,FALSE,"Chi tiÆt"}</definedName>
    <definedName name="___h10" localSheetId="9" hidden="1">{#N/A,#N/A,FALSE,"Chi tiÆt"}</definedName>
    <definedName name="___h10" localSheetId="10" hidden="1">{#N/A,#N/A,FALSE,"Chi tiÆt"}</definedName>
    <definedName name="___h10" localSheetId="12" hidden="1">{#N/A,#N/A,FALSE,"Chi tiÆt"}</definedName>
    <definedName name="___h10" localSheetId="11" hidden="1">{#N/A,#N/A,FALSE,"Chi tiÆt"}</definedName>
    <definedName name="___h10" localSheetId="13" hidden="1">{#N/A,#N/A,FALSE,"Chi tiÆt"}</definedName>
    <definedName name="___h10" localSheetId="14" hidden="1">{#N/A,#N/A,FALSE,"Chi tiÆt"}</definedName>
    <definedName name="___h10" hidden="1">{#N/A,#N/A,FALSE,"Chi tiÆt"}</definedName>
    <definedName name="___h2" localSheetId="2" hidden="1">{"'Sheet1'!$L$16"}</definedName>
    <definedName name="___h2" localSheetId="3" hidden="1">{"'Sheet1'!$L$16"}</definedName>
    <definedName name="___h2" localSheetId="6" hidden="1">{"'Sheet1'!$L$16"}</definedName>
    <definedName name="___h2" localSheetId="7" hidden="1">{"'Sheet1'!$L$16"}</definedName>
    <definedName name="___h2" localSheetId="9" hidden="1">{"'Sheet1'!$L$16"}</definedName>
    <definedName name="___h2" localSheetId="10" hidden="1">{"'Sheet1'!$L$16"}</definedName>
    <definedName name="___h2" localSheetId="12" hidden="1">{"'Sheet1'!$L$16"}</definedName>
    <definedName name="___h2" localSheetId="11" hidden="1">{"'Sheet1'!$L$16"}</definedName>
    <definedName name="___h2" localSheetId="13" hidden="1">{"'Sheet1'!$L$16"}</definedName>
    <definedName name="___h2" localSheetId="14" hidden="1">{"'Sheet1'!$L$16"}</definedName>
    <definedName name="___h2" hidden="1">{"'Sheet1'!$L$16"}</definedName>
    <definedName name="___h3" localSheetId="2" hidden="1">{"'Sheet1'!$L$16"}</definedName>
    <definedName name="___h3" localSheetId="3" hidden="1">{"'Sheet1'!$L$16"}</definedName>
    <definedName name="___h3" localSheetId="6" hidden="1">{"'Sheet1'!$L$16"}</definedName>
    <definedName name="___h3" localSheetId="7" hidden="1">{"'Sheet1'!$L$16"}</definedName>
    <definedName name="___h3" localSheetId="9" hidden="1">{"'Sheet1'!$L$16"}</definedName>
    <definedName name="___h3" localSheetId="10" hidden="1">{"'Sheet1'!$L$16"}</definedName>
    <definedName name="___h3" localSheetId="12" hidden="1">{"'Sheet1'!$L$16"}</definedName>
    <definedName name="___h3" localSheetId="11" hidden="1">{"'Sheet1'!$L$16"}</definedName>
    <definedName name="___h3" localSheetId="13" hidden="1">{"'Sheet1'!$L$16"}</definedName>
    <definedName name="___h3" localSheetId="14" hidden="1">{"'Sheet1'!$L$16"}</definedName>
    <definedName name="___h3" hidden="1">{"'Sheet1'!$L$16"}</definedName>
    <definedName name="___h5" localSheetId="2" hidden="1">{"'Sheet1'!$L$16"}</definedName>
    <definedName name="___h5" localSheetId="3" hidden="1">{"'Sheet1'!$L$16"}</definedName>
    <definedName name="___h5" localSheetId="6" hidden="1">{"'Sheet1'!$L$16"}</definedName>
    <definedName name="___h5" localSheetId="7" hidden="1">{"'Sheet1'!$L$16"}</definedName>
    <definedName name="___h5" localSheetId="9" hidden="1">{"'Sheet1'!$L$16"}</definedName>
    <definedName name="___h5" localSheetId="10" hidden="1">{"'Sheet1'!$L$16"}</definedName>
    <definedName name="___h5" localSheetId="12" hidden="1">{"'Sheet1'!$L$16"}</definedName>
    <definedName name="___h5" localSheetId="11" hidden="1">{"'Sheet1'!$L$16"}</definedName>
    <definedName name="___h5" localSheetId="13" hidden="1">{"'Sheet1'!$L$16"}</definedName>
    <definedName name="___h5" localSheetId="14" hidden="1">{"'Sheet1'!$L$16"}</definedName>
    <definedName name="___h5" hidden="1">{"'Sheet1'!$L$16"}</definedName>
    <definedName name="___h6" localSheetId="2" hidden="1">{"'Sheet1'!$L$16"}</definedName>
    <definedName name="___h6" localSheetId="3" hidden="1">{"'Sheet1'!$L$16"}</definedName>
    <definedName name="___h6" localSheetId="6" hidden="1">{"'Sheet1'!$L$16"}</definedName>
    <definedName name="___h6" localSheetId="7" hidden="1">{"'Sheet1'!$L$16"}</definedName>
    <definedName name="___h6" localSheetId="9" hidden="1">{"'Sheet1'!$L$16"}</definedName>
    <definedName name="___h6" localSheetId="10" hidden="1">{"'Sheet1'!$L$16"}</definedName>
    <definedName name="___h6" localSheetId="12" hidden="1">{"'Sheet1'!$L$16"}</definedName>
    <definedName name="___h6" localSheetId="11" hidden="1">{"'Sheet1'!$L$16"}</definedName>
    <definedName name="___h6" localSheetId="13" hidden="1">{"'Sheet1'!$L$16"}</definedName>
    <definedName name="___h6" localSheetId="14" hidden="1">{"'Sheet1'!$L$16"}</definedName>
    <definedName name="___h6" hidden="1">{"'Sheet1'!$L$16"}</definedName>
    <definedName name="___h7" localSheetId="2" hidden="1">{"'Sheet1'!$L$16"}</definedName>
    <definedName name="___h7" localSheetId="3" hidden="1">{"'Sheet1'!$L$16"}</definedName>
    <definedName name="___h7" localSheetId="6" hidden="1">{"'Sheet1'!$L$16"}</definedName>
    <definedName name="___h7" localSheetId="7" hidden="1">{"'Sheet1'!$L$16"}</definedName>
    <definedName name="___h7" localSheetId="9" hidden="1">{"'Sheet1'!$L$16"}</definedName>
    <definedName name="___h7" localSheetId="10" hidden="1">{"'Sheet1'!$L$16"}</definedName>
    <definedName name="___h7" localSheetId="12" hidden="1">{"'Sheet1'!$L$16"}</definedName>
    <definedName name="___h7" localSheetId="11" hidden="1">{"'Sheet1'!$L$16"}</definedName>
    <definedName name="___h7" localSheetId="13" hidden="1">{"'Sheet1'!$L$16"}</definedName>
    <definedName name="___h7" localSheetId="14" hidden="1">{"'Sheet1'!$L$16"}</definedName>
    <definedName name="___h7" hidden="1">{"'Sheet1'!$L$16"}</definedName>
    <definedName name="___h8" localSheetId="2" hidden="1">{"'Sheet1'!$L$16"}</definedName>
    <definedName name="___h8" localSheetId="3" hidden="1">{"'Sheet1'!$L$16"}</definedName>
    <definedName name="___h8" localSheetId="6" hidden="1">{"'Sheet1'!$L$16"}</definedName>
    <definedName name="___h8" localSheetId="7" hidden="1">{"'Sheet1'!$L$16"}</definedName>
    <definedName name="___h8" localSheetId="9" hidden="1">{"'Sheet1'!$L$16"}</definedName>
    <definedName name="___h8" localSheetId="10" hidden="1">{"'Sheet1'!$L$16"}</definedName>
    <definedName name="___h8" localSheetId="12" hidden="1">{"'Sheet1'!$L$16"}</definedName>
    <definedName name="___h8" localSheetId="11" hidden="1">{"'Sheet1'!$L$16"}</definedName>
    <definedName name="___h8" localSheetId="13" hidden="1">{"'Sheet1'!$L$16"}</definedName>
    <definedName name="___h8" localSheetId="14" hidden="1">{"'Sheet1'!$L$16"}</definedName>
    <definedName name="___h8" hidden="1">{"'Sheet1'!$L$16"}</definedName>
    <definedName name="___h9" localSheetId="2" hidden="1">{"'Sheet1'!$L$16"}</definedName>
    <definedName name="___h9" localSheetId="3" hidden="1">{"'Sheet1'!$L$16"}</definedName>
    <definedName name="___h9" localSheetId="6" hidden="1">{"'Sheet1'!$L$16"}</definedName>
    <definedName name="___h9" localSheetId="7" hidden="1">{"'Sheet1'!$L$16"}</definedName>
    <definedName name="___h9" localSheetId="9" hidden="1">{"'Sheet1'!$L$16"}</definedName>
    <definedName name="___h9" localSheetId="10" hidden="1">{"'Sheet1'!$L$16"}</definedName>
    <definedName name="___h9" localSheetId="12" hidden="1">{"'Sheet1'!$L$16"}</definedName>
    <definedName name="___h9" localSheetId="11" hidden="1">{"'Sheet1'!$L$16"}</definedName>
    <definedName name="___h9" localSheetId="13" hidden="1">{"'Sheet1'!$L$16"}</definedName>
    <definedName name="___h9" localSheetId="14" hidden="1">{"'Sheet1'!$L$16"}</definedName>
    <definedName name="___h9" hidden="1">{"'Sheet1'!$L$16"}</definedName>
    <definedName name="___HUY1" localSheetId="2" hidden="1">{"'Sheet1'!$L$16"}</definedName>
    <definedName name="___HUY1" localSheetId="3" hidden="1">{"'Sheet1'!$L$16"}</definedName>
    <definedName name="___HUY1" localSheetId="6" hidden="1">{"'Sheet1'!$L$16"}</definedName>
    <definedName name="___HUY1" localSheetId="7" hidden="1">{"'Sheet1'!$L$16"}</definedName>
    <definedName name="___HUY1" localSheetId="9" hidden="1">{"'Sheet1'!$L$16"}</definedName>
    <definedName name="___HUY1" localSheetId="10" hidden="1">{"'Sheet1'!$L$16"}</definedName>
    <definedName name="___HUY1" localSheetId="12" hidden="1">{"'Sheet1'!$L$16"}</definedName>
    <definedName name="___HUY1" localSheetId="11" hidden="1">{"'Sheet1'!$L$16"}</definedName>
    <definedName name="___HUY1" localSheetId="13" hidden="1">{"'Sheet1'!$L$16"}</definedName>
    <definedName name="___HUY1" localSheetId="14" hidden="1">{"'Sheet1'!$L$16"}</definedName>
    <definedName name="___HUY1" hidden="1">{"'Sheet1'!$L$16"}</definedName>
    <definedName name="___HUY2" localSheetId="2" hidden="1">{"'Sheet1'!$L$16"}</definedName>
    <definedName name="___HUY2" localSheetId="3" hidden="1">{"'Sheet1'!$L$16"}</definedName>
    <definedName name="___HUY2" localSheetId="6" hidden="1">{"'Sheet1'!$L$16"}</definedName>
    <definedName name="___HUY2" localSheetId="7" hidden="1">{"'Sheet1'!$L$16"}</definedName>
    <definedName name="___HUY2" localSheetId="9" hidden="1">{"'Sheet1'!$L$16"}</definedName>
    <definedName name="___HUY2" localSheetId="10" hidden="1">{"'Sheet1'!$L$16"}</definedName>
    <definedName name="___HUY2" localSheetId="12" hidden="1">{"'Sheet1'!$L$16"}</definedName>
    <definedName name="___HUY2" localSheetId="11" hidden="1">{"'Sheet1'!$L$16"}</definedName>
    <definedName name="___HUY2" localSheetId="13" hidden="1">{"'Sheet1'!$L$16"}</definedName>
    <definedName name="___HUY2" localSheetId="14" hidden="1">{"'Sheet1'!$L$16"}</definedName>
    <definedName name="___HUY2" hidden="1">{"'Sheet1'!$L$16"}</definedName>
    <definedName name="___Lan1" localSheetId="2" hidden="1">{"'Sheet1'!$L$16"}</definedName>
    <definedName name="___Lan1" localSheetId="3" hidden="1">{"'Sheet1'!$L$16"}</definedName>
    <definedName name="___Lan1" localSheetId="6" hidden="1">{"'Sheet1'!$L$16"}</definedName>
    <definedName name="___Lan1" localSheetId="7" hidden="1">{"'Sheet1'!$L$16"}</definedName>
    <definedName name="___Lan1" localSheetId="9" hidden="1">{"'Sheet1'!$L$16"}</definedName>
    <definedName name="___Lan1" localSheetId="10" hidden="1">{"'Sheet1'!$L$16"}</definedName>
    <definedName name="___Lan1" localSheetId="12" hidden="1">{"'Sheet1'!$L$16"}</definedName>
    <definedName name="___Lan1" localSheetId="11" hidden="1">{"'Sheet1'!$L$16"}</definedName>
    <definedName name="___Lan1" localSheetId="13" hidden="1">{"'Sheet1'!$L$16"}</definedName>
    <definedName name="___Lan1" localSheetId="14" hidden="1">{"'Sheet1'!$L$16"}</definedName>
    <definedName name="___Lan1" hidden="1">{"'Sheet1'!$L$16"}</definedName>
    <definedName name="___LAN3" localSheetId="2" hidden="1">{"'Sheet1'!$L$16"}</definedName>
    <definedName name="___LAN3" localSheetId="3" hidden="1">{"'Sheet1'!$L$16"}</definedName>
    <definedName name="___LAN3" localSheetId="6" hidden="1">{"'Sheet1'!$L$16"}</definedName>
    <definedName name="___LAN3" localSheetId="7" hidden="1">{"'Sheet1'!$L$16"}</definedName>
    <definedName name="___LAN3" localSheetId="9" hidden="1">{"'Sheet1'!$L$16"}</definedName>
    <definedName name="___LAN3" localSheetId="10" hidden="1">{"'Sheet1'!$L$16"}</definedName>
    <definedName name="___LAN3" localSheetId="12" hidden="1">{"'Sheet1'!$L$16"}</definedName>
    <definedName name="___LAN3" localSheetId="11" hidden="1">{"'Sheet1'!$L$16"}</definedName>
    <definedName name="___LAN3" localSheetId="13" hidden="1">{"'Sheet1'!$L$16"}</definedName>
    <definedName name="___LAN3" localSheetId="14" hidden="1">{"'Sheet1'!$L$16"}</definedName>
    <definedName name="___LAN3" hidden="1">{"'Sheet1'!$L$16"}</definedName>
    <definedName name="___lk2" localSheetId="2" hidden="1">{"'Sheet1'!$L$16"}</definedName>
    <definedName name="___lk2" localSheetId="3" hidden="1">{"'Sheet1'!$L$16"}</definedName>
    <definedName name="___lk2" localSheetId="6" hidden="1">{"'Sheet1'!$L$16"}</definedName>
    <definedName name="___lk2" localSheetId="7" hidden="1">{"'Sheet1'!$L$16"}</definedName>
    <definedName name="___lk2" localSheetId="9" hidden="1">{"'Sheet1'!$L$16"}</definedName>
    <definedName name="___lk2" localSheetId="10" hidden="1">{"'Sheet1'!$L$16"}</definedName>
    <definedName name="___lk2" localSheetId="12" hidden="1">{"'Sheet1'!$L$16"}</definedName>
    <definedName name="___lk2" localSheetId="11" hidden="1">{"'Sheet1'!$L$16"}</definedName>
    <definedName name="___lk2" localSheetId="13" hidden="1">{"'Sheet1'!$L$16"}</definedName>
    <definedName name="___lk2" localSheetId="14" hidden="1">{"'Sheet1'!$L$16"}</definedName>
    <definedName name="___lk2" hidden="1">{"'Sheet1'!$L$16"}</definedName>
    <definedName name="___NSO2" localSheetId="2" hidden="1">{"'Sheet1'!$L$16"}</definedName>
    <definedName name="___NSO2" localSheetId="3" hidden="1">{"'Sheet1'!$L$16"}</definedName>
    <definedName name="___NSO2" localSheetId="6" hidden="1">{"'Sheet1'!$L$16"}</definedName>
    <definedName name="___NSO2" localSheetId="7" hidden="1">{"'Sheet1'!$L$16"}</definedName>
    <definedName name="___NSO2" localSheetId="9" hidden="1">{"'Sheet1'!$L$16"}</definedName>
    <definedName name="___NSO2" localSheetId="10" hidden="1">{"'Sheet1'!$L$16"}</definedName>
    <definedName name="___NSO2" localSheetId="12" hidden="1">{"'Sheet1'!$L$16"}</definedName>
    <definedName name="___NSO2" localSheetId="11" hidden="1">{"'Sheet1'!$L$16"}</definedName>
    <definedName name="___NSO2" localSheetId="13" hidden="1">{"'Sheet1'!$L$16"}</definedName>
    <definedName name="___NSO2" localSheetId="14" hidden="1">{"'Sheet1'!$L$16"}</definedName>
    <definedName name="___NSO2" hidden="1">{"'Sheet1'!$L$16"}</definedName>
    <definedName name="___PA3" localSheetId="2" hidden="1">{"'Sheet1'!$L$16"}</definedName>
    <definedName name="___PA3" localSheetId="3" hidden="1">{"'Sheet1'!$L$16"}</definedName>
    <definedName name="___PA3" localSheetId="6" hidden="1">{"'Sheet1'!$L$16"}</definedName>
    <definedName name="___PA3" localSheetId="7" hidden="1">{"'Sheet1'!$L$16"}</definedName>
    <definedName name="___PA3" localSheetId="9" hidden="1">{"'Sheet1'!$L$16"}</definedName>
    <definedName name="___PA3" localSheetId="10" hidden="1">{"'Sheet1'!$L$16"}</definedName>
    <definedName name="___PA3" localSheetId="12" hidden="1">{"'Sheet1'!$L$16"}</definedName>
    <definedName name="___PA3" localSheetId="11" hidden="1">{"'Sheet1'!$L$16"}</definedName>
    <definedName name="___PA3" localSheetId="13" hidden="1">{"'Sheet1'!$L$16"}</definedName>
    <definedName name="___PA3" localSheetId="14" hidden="1">{"'Sheet1'!$L$16"}</definedName>
    <definedName name="___PA3" hidden="1">{"'Sheet1'!$L$16"}</definedName>
    <definedName name="___Pl2" localSheetId="2" hidden="1">{"'Sheet1'!$L$16"}</definedName>
    <definedName name="___Pl2" localSheetId="3" hidden="1">{"'Sheet1'!$L$16"}</definedName>
    <definedName name="___Pl2" localSheetId="6" hidden="1">{"'Sheet1'!$L$16"}</definedName>
    <definedName name="___Pl2" localSheetId="7" hidden="1">{"'Sheet1'!$L$16"}</definedName>
    <definedName name="___Pl2" localSheetId="9" hidden="1">{"'Sheet1'!$L$16"}</definedName>
    <definedName name="___Pl2" localSheetId="10" hidden="1">{"'Sheet1'!$L$16"}</definedName>
    <definedName name="___Pl2" localSheetId="12" hidden="1">{"'Sheet1'!$L$16"}</definedName>
    <definedName name="___Pl2" localSheetId="11" hidden="1">{"'Sheet1'!$L$16"}</definedName>
    <definedName name="___Pl2" localSheetId="13" hidden="1">{"'Sheet1'!$L$16"}</definedName>
    <definedName name="___Pl2" localSheetId="14" hidden="1">{"'Sheet1'!$L$16"}</definedName>
    <definedName name="___Pl2" hidden="1">{"'Sheet1'!$L$16"}</definedName>
    <definedName name="___tt3" localSheetId="2" hidden="1">{"'Sheet1'!$L$16"}</definedName>
    <definedName name="___tt3" localSheetId="3" hidden="1">{"'Sheet1'!$L$16"}</definedName>
    <definedName name="___tt3" localSheetId="6" hidden="1">{"'Sheet1'!$L$16"}</definedName>
    <definedName name="___tt3" localSheetId="7" hidden="1">{"'Sheet1'!$L$16"}</definedName>
    <definedName name="___tt3" localSheetId="9" hidden="1">{"'Sheet1'!$L$16"}</definedName>
    <definedName name="___tt3" localSheetId="10" hidden="1">{"'Sheet1'!$L$16"}</definedName>
    <definedName name="___tt3" localSheetId="12" hidden="1">{"'Sheet1'!$L$16"}</definedName>
    <definedName name="___tt3" localSheetId="11" hidden="1">{"'Sheet1'!$L$16"}</definedName>
    <definedName name="___tt3" localSheetId="13" hidden="1">{"'Sheet1'!$L$16"}</definedName>
    <definedName name="___tt3" localSheetId="14" hidden="1">{"'Sheet1'!$L$16"}</definedName>
    <definedName name="___tt3" hidden="1">{"'Sheet1'!$L$16"}</definedName>
    <definedName name="___TT31" localSheetId="2" hidden="1">{"'Sheet1'!$L$16"}</definedName>
    <definedName name="___TT31" localSheetId="3" hidden="1">{"'Sheet1'!$L$16"}</definedName>
    <definedName name="___TT31" localSheetId="6" hidden="1">{"'Sheet1'!$L$16"}</definedName>
    <definedName name="___TT31" localSheetId="7" hidden="1">{"'Sheet1'!$L$16"}</definedName>
    <definedName name="___TT31" localSheetId="9" hidden="1">{"'Sheet1'!$L$16"}</definedName>
    <definedName name="___TT31" localSheetId="10" hidden="1">{"'Sheet1'!$L$16"}</definedName>
    <definedName name="___TT31" localSheetId="12" hidden="1">{"'Sheet1'!$L$16"}</definedName>
    <definedName name="___TT31" localSheetId="11" hidden="1">{"'Sheet1'!$L$16"}</definedName>
    <definedName name="___TT31" localSheetId="13" hidden="1">{"'Sheet1'!$L$16"}</definedName>
    <definedName name="___TT31" localSheetId="14" hidden="1">{"'Sheet1'!$L$16"}</definedName>
    <definedName name="___TT31" hidden="1">{"'Sheet1'!$L$16"}</definedName>
    <definedName name="___Tru21" localSheetId="2" hidden="1">{"'Sheet1'!$L$16"}</definedName>
    <definedName name="___Tru21" localSheetId="3" hidden="1">{"'Sheet1'!$L$16"}</definedName>
    <definedName name="___Tru21" localSheetId="6" hidden="1">{"'Sheet1'!$L$16"}</definedName>
    <definedName name="___Tru21" localSheetId="7" hidden="1">{"'Sheet1'!$L$16"}</definedName>
    <definedName name="___Tru21" localSheetId="9" hidden="1">{"'Sheet1'!$L$16"}</definedName>
    <definedName name="___Tru21" localSheetId="10" hidden="1">{"'Sheet1'!$L$16"}</definedName>
    <definedName name="___Tru21" localSheetId="12" hidden="1">{"'Sheet1'!$L$16"}</definedName>
    <definedName name="___Tru21" localSheetId="11" hidden="1">{"'Sheet1'!$L$16"}</definedName>
    <definedName name="___Tru21" localSheetId="13" hidden="1">{"'Sheet1'!$L$16"}</definedName>
    <definedName name="___Tru21" localSheetId="14" hidden="1">{"'Sheet1'!$L$16"}</definedName>
    <definedName name="___Tru21" hidden="1">{"'Sheet1'!$L$16"}</definedName>
    <definedName name="___vl2" localSheetId="2" hidden="1">{"'Sheet1'!$L$16"}</definedName>
    <definedName name="___vl2" localSheetId="3" hidden="1">{"'Sheet1'!$L$16"}</definedName>
    <definedName name="___vl2" localSheetId="6" hidden="1">{"'Sheet1'!$L$16"}</definedName>
    <definedName name="___vl2" localSheetId="7" hidden="1">{"'Sheet1'!$L$16"}</definedName>
    <definedName name="___vl2" localSheetId="9" hidden="1">{"'Sheet1'!$L$16"}</definedName>
    <definedName name="___vl2" localSheetId="10" hidden="1">{"'Sheet1'!$L$16"}</definedName>
    <definedName name="___vl2" localSheetId="12" hidden="1">{"'Sheet1'!$L$16"}</definedName>
    <definedName name="___vl2" localSheetId="11" hidden="1">{"'Sheet1'!$L$16"}</definedName>
    <definedName name="___vl2" localSheetId="13" hidden="1">{"'Sheet1'!$L$16"}</definedName>
    <definedName name="___vl2" localSheetId="14" hidden="1">{"'Sheet1'!$L$16"}</definedName>
    <definedName name="___vl2" hidden="1">{"'Sheet1'!$L$16"}</definedName>
    <definedName name="___VM2" localSheetId="2" hidden="1">{"'Sheet1'!$L$16"}</definedName>
    <definedName name="___VM2" localSheetId="3" hidden="1">{"'Sheet1'!$L$16"}</definedName>
    <definedName name="___VM2" localSheetId="6" hidden="1">{"'Sheet1'!$L$16"}</definedName>
    <definedName name="___VM2" localSheetId="7" hidden="1">{"'Sheet1'!$L$16"}</definedName>
    <definedName name="___VM2" localSheetId="9" hidden="1">{"'Sheet1'!$L$16"}</definedName>
    <definedName name="___VM2" localSheetId="10" hidden="1">{"'Sheet1'!$L$16"}</definedName>
    <definedName name="___VM2" localSheetId="12" hidden="1">{"'Sheet1'!$L$16"}</definedName>
    <definedName name="___VM2" localSheetId="11" hidden="1">{"'Sheet1'!$L$16"}</definedName>
    <definedName name="___VM2" localSheetId="13" hidden="1">{"'Sheet1'!$L$16"}</definedName>
    <definedName name="___VM2" localSheetId="14" hidden="1">{"'Sheet1'!$L$16"}</definedName>
    <definedName name="___VM2" hidden="1">{"'Sheet1'!$L$16"}</definedName>
    <definedName name="__a1" localSheetId="2" hidden="1">{"'Sheet1'!$L$16"}</definedName>
    <definedName name="__a1" localSheetId="3" hidden="1">{"'Sheet1'!$L$16"}</definedName>
    <definedName name="__a1" localSheetId="6" hidden="1">{"'Sheet1'!$L$16"}</definedName>
    <definedName name="__a1" localSheetId="7" hidden="1">{"'Sheet1'!$L$16"}</definedName>
    <definedName name="__a1" localSheetId="9" hidden="1">{"'Sheet1'!$L$16"}</definedName>
    <definedName name="__a1" localSheetId="10" hidden="1">{"'Sheet1'!$L$16"}</definedName>
    <definedName name="__a1" localSheetId="12" hidden="1">{"'Sheet1'!$L$16"}</definedName>
    <definedName name="__a1" localSheetId="11" hidden="1">{"'Sheet1'!$L$16"}</definedName>
    <definedName name="__a1" localSheetId="13" hidden="1">{"'Sheet1'!$L$16"}</definedName>
    <definedName name="__a1" localSheetId="14" hidden="1">{"'Sheet1'!$L$16"}</definedName>
    <definedName name="__a1" hidden="1">{"'Sheet1'!$L$16"}</definedName>
    <definedName name="__ban2" localSheetId="2" hidden="1">{"'Sheet1'!$L$16"}</definedName>
    <definedName name="__ban2" localSheetId="3" hidden="1">{"'Sheet1'!$L$16"}</definedName>
    <definedName name="__ban2" localSheetId="6" hidden="1">{"'Sheet1'!$L$16"}</definedName>
    <definedName name="__ban2" localSheetId="7" hidden="1">{"'Sheet1'!$L$16"}</definedName>
    <definedName name="__ban2" localSheetId="9" hidden="1">{"'Sheet1'!$L$16"}</definedName>
    <definedName name="__ban2" localSheetId="10" hidden="1">{"'Sheet1'!$L$16"}</definedName>
    <definedName name="__ban2" localSheetId="12" hidden="1">{"'Sheet1'!$L$16"}</definedName>
    <definedName name="__ban2" localSheetId="11" hidden="1">{"'Sheet1'!$L$16"}</definedName>
    <definedName name="__ban2" localSheetId="13" hidden="1">{"'Sheet1'!$L$16"}</definedName>
    <definedName name="__ban2" localSheetId="14" hidden="1">{"'Sheet1'!$L$16"}</definedName>
    <definedName name="__ban2" hidden="1">{"'Sheet1'!$L$16"}</definedName>
    <definedName name="__cep1" localSheetId="2" hidden="1">{"'Sheet1'!$L$16"}</definedName>
    <definedName name="__cep1" localSheetId="3" hidden="1">{"'Sheet1'!$L$16"}</definedName>
    <definedName name="__cep1" localSheetId="6" hidden="1">{"'Sheet1'!$L$16"}</definedName>
    <definedName name="__cep1" localSheetId="7" hidden="1">{"'Sheet1'!$L$16"}</definedName>
    <definedName name="__cep1" localSheetId="9" hidden="1">{"'Sheet1'!$L$16"}</definedName>
    <definedName name="__cep1" localSheetId="10" hidden="1">{"'Sheet1'!$L$16"}</definedName>
    <definedName name="__cep1" localSheetId="12" hidden="1">{"'Sheet1'!$L$16"}</definedName>
    <definedName name="__cep1" localSheetId="11" hidden="1">{"'Sheet1'!$L$16"}</definedName>
    <definedName name="__cep1" localSheetId="13" hidden="1">{"'Sheet1'!$L$16"}</definedName>
    <definedName name="__cep1" localSheetId="14" hidden="1">{"'Sheet1'!$L$16"}</definedName>
    <definedName name="__cep1" hidden="1">{"'Sheet1'!$L$16"}</definedName>
    <definedName name="__Coc39" localSheetId="2" hidden="1">{"'Sheet1'!$L$16"}</definedName>
    <definedName name="__Coc39" localSheetId="3" hidden="1">{"'Sheet1'!$L$16"}</definedName>
    <definedName name="__Coc39" localSheetId="6" hidden="1">{"'Sheet1'!$L$16"}</definedName>
    <definedName name="__Coc39" localSheetId="7" hidden="1">{"'Sheet1'!$L$16"}</definedName>
    <definedName name="__Coc39" localSheetId="9" hidden="1">{"'Sheet1'!$L$16"}</definedName>
    <definedName name="__Coc39" localSheetId="10" hidden="1">{"'Sheet1'!$L$16"}</definedName>
    <definedName name="__Coc39" localSheetId="12" hidden="1">{"'Sheet1'!$L$16"}</definedName>
    <definedName name="__Coc39" localSheetId="11" hidden="1">{"'Sheet1'!$L$16"}</definedName>
    <definedName name="__Coc39" localSheetId="13" hidden="1">{"'Sheet1'!$L$16"}</definedName>
    <definedName name="__Coc39" localSheetId="14" hidden="1">{"'Sheet1'!$L$16"}</definedName>
    <definedName name="__Coc39" hidden="1">{"'Sheet1'!$L$16"}</definedName>
    <definedName name="__Goi8" localSheetId="2" hidden="1">{"'Sheet1'!$L$16"}</definedName>
    <definedName name="__Goi8" localSheetId="3" hidden="1">{"'Sheet1'!$L$16"}</definedName>
    <definedName name="__Goi8" localSheetId="6" hidden="1">{"'Sheet1'!$L$16"}</definedName>
    <definedName name="__Goi8" localSheetId="7" hidden="1">{"'Sheet1'!$L$16"}</definedName>
    <definedName name="__Goi8" localSheetId="9" hidden="1">{"'Sheet1'!$L$16"}</definedName>
    <definedName name="__Goi8" localSheetId="10" hidden="1">{"'Sheet1'!$L$16"}</definedName>
    <definedName name="__Goi8" localSheetId="12" hidden="1">{"'Sheet1'!$L$16"}</definedName>
    <definedName name="__Goi8" localSheetId="11" hidden="1">{"'Sheet1'!$L$16"}</definedName>
    <definedName name="__Goi8" localSheetId="13" hidden="1">{"'Sheet1'!$L$16"}</definedName>
    <definedName name="__Goi8" localSheetId="14" hidden="1">{"'Sheet1'!$L$16"}</definedName>
    <definedName name="__Goi8" hidden="1">{"'Sheet1'!$L$16"}</definedName>
    <definedName name="__h1" localSheetId="2" hidden="1">{"'Sheet1'!$L$16"}</definedName>
    <definedName name="__h1" localSheetId="3" hidden="1">{"'Sheet1'!$L$16"}</definedName>
    <definedName name="__h1" localSheetId="6" hidden="1">{"'Sheet1'!$L$16"}</definedName>
    <definedName name="__h1" localSheetId="7" hidden="1">{"'Sheet1'!$L$16"}</definedName>
    <definedName name="__h1" localSheetId="9" hidden="1">{"'Sheet1'!$L$16"}</definedName>
    <definedName name="__h1" localSheetId="10" hidden="1">{"'Sheet1'!$L$16"}</definedName>
    <definedName name="__h1" localSheetId="12" hidden="1">{"'Sheet1'!$L$16"}</definedName>
    <definedName name="__h1" localSheetId="11" hidden="1">{"'Sheet1'!$L$16"}</definedName>
    <definedName name="__h1" localSheetId="13" hidden="1">{"'Sheet1'!$L$16"}</definedName>
    <definedName name="__h1" localSheetId="14" hidden="1">{"'Sheet1'!$L$16"}</definedName>
    <definedName name="__h1" hidden="1">{"'Sheet1'!$L$16"}</definedName>
    <definedName name="__h10" localSheetId="2" hidden="1">{#N/A,#N/A,FALSE,"Chi tiÆt"}</definedName>
    <definedName name="__h10" localSheetId="3" hidden="1">{#N/A,#N/A,FALSE,"Chi tiÆt"}</definedName>
    <definedName name="__h10" localSheetId="6" hidden="1">{#N/A,#N/A,FALSE,"Chi tiÆt"}</definedName>
    <definedName name="__h10" localSheetId="7" hidden="1">{#N/A,#N/A,FALSE,"Chi tiÆt"}</definedName>
    <definedName name="__h10" localSheetId="9" hidden="1">{#N/A,#N/A,FALSE,"Chi tiÆt"}</definedName>
    <definedName name="__h10" localSheetId="10" hidden="1">{#N/A,#N/A,FALSE,"Chi tiÆt"}</definedName>
    <definedName name="__h10" localSheetId="12" hidden="1">{#N/A,#N/A,FALSE,"Chi tiÆt"}</definedName>
    <definedName name="__h10" localSheetId="11" hidden="1">{#N/A,#N/A,FALSE,"Chi tiÆt"}</definedName>
    <definedName name="__h10" localSheetId="13" hidden="1">{#N/A,#N/A,FALSE,"Chi tiÆt"}</definedName>
    <definedName name="__h10" localSheetId="14" hidden="1">{#N/A,#N/A,FALSE,"Chi tiÆt"}</definedName>
    <definedName name="__h10" hidden="1">{#N/A,#N/A,FALSE,"Chi tiÆt"}</definedName>
    <definedName name="__h2" localSheetId="2" hidden="1">{"'Sheet1'!$L$16"}</definedName>
    <definedName name="__h2" localSheetId="3" hidden="1">{"'Sheet1'!$L$16"}</definedName>
    <definedName name="__h2" localSheetId="6" hidden="1">{"'Sheet1'!$L$16"}</definedName>
    <definedName name="__h2" localSheetId="7" hidden="1">{"'Sheet1'!$L$16"}</definedName>
    <definedName name="__h2" localSheetId="9" hidden="1">{"'Sheet1'!$L$16"}</definedName>
    <definedName name="__h2" localSheetId="10" hidden="1">{"'Sheet1'!$L$16"}</definedName>
    <definedName name="__h2" localSheetId="12" hidden="1">{"'Sheet1'!$L$16"}</definedName>
    <definedName name="__h2" localSheetId="11" hidden="1">{"'Sheet1'!$L$16"}</definedName>
    <definedName name="__h2" localSheetId="13" hidden="1">{"'Sheet1'!$L$16"}</definedName>
    <definedName name="__h2" localSheetId="14" hidden="1">{"'Sheet1'!$L$16"}</definedName>
    <definedName name="__h2" hidden="1">{"'Sheet1'!$L$16"}</definedName>
    <definedName name="__h3" localSheetId="2" hidden="1">{"'Sheet1'!$L$16"}</definedName>
    <definedName name="__h3" localSheetId="3" hidden="1">{"'Sheet1'!$L$16"}</definedName>
    <definedName name="__h3" localSheetId="6" hidden="1">{"'Sheet1'!$L$16"}</definedName>
    <definedName name="__h3" localSheetId="7" hidden="1">{"'Sheet1'!$L$16"}</definedName>
    <definedName name="__h3" localSheetId="9" hidden="1">{"'Sheet1'!$L$16"}</definedName>
    <definedName name="__h3" localSheetId="10" hidden="1">{"'Sheet1'!$L$16"}</definedName>
    <definedName name="__h3" localSheetId="12" hidden="1">{"'Sheet1'!$L$16"}</definedName>
    <definedName name="__h3" localSheetId="11" hidden="1">{"'Sheet1'!$L$16"}</definedName>
    <definedName name="__h3" localSheetId="13" hidden="1">{"'Sheet1'!$L$16"}</definedName>
    <definedName name="__h3" localSheetId="14" hidden="1">{"'Sheet1'!$L$16"}</definedName>
    <definedName name="__h3" hidden="1">{"'Sheet1'!$L$16"}</definedName>
    <definedName name="__h5" localSheetId="2" hidden="1">{"'Sheet1'!$L$16"}</definedName>
    <definedName name="__h5" localSheetId="3" hidden="1">{"'Sheet1'!$L$16"}</definedName>
    <definedName name="__h5" localSheetId="6" hidden="1">{"'Sheet1'!$L$16"}</definedName>
    <definedName name="__h5" localSheetId="7" hidden="1">{"'Sheet1'!$L$16"}</definedName>
    <definedName name="__h5" localSheetId="9" hidden="1">{"'Sheet1'!$L$16"}</definedName>
    <definedName name="__h5" localSheetId="10" hidden="1">{"'Sheet1'!$L$16"}</definedName>
    <definedName name="__h5" localSheetId="12" hidden="1">{"'Sheet1'!$L$16"}</definedName>
    <definedName name="__h5" localSheetId="11" hidden="1">{"'Sheet1'!$L$16"}</definedName>
    <definedName name="__h5" localSheetId="13" hidden="1">{"'Sheet1'!$L$16"}</definedName>
    <definedName name="__h5" localSheetId="14" hidden="1">{"'Sheet1'!$L$16"}</definedName>
    <definedName name="__h5" hidden="1">{"'Sheet1'!$L$16"}</definedName>
    <definedName name="__h6" localSheetId="2" hidden="1">{"'Sheet1'!$L$16"}</definedName>
    <definedName name="__h6" localSheetId="3" hidden="1">{"'Sheet1'!$L$16"}</definedName>
    <definedName name="__h6" localSheetId="6" hidden="1">{"'Sheet1'!$L$16"}</definedName>
    <definedName name="__h6" localSheetId="7" hidden="1">{"'Sheet1'!$L$16"}</definedName>
    <definedName name="__h6" localSheetId="9" hidden="1">{"'Sheet1'!$L$16"}</definedName>
    <definedName name="__h6" localSheetId="10" hidden="1">{"'Sheet1'!$L$16"}</definedName>
    <definedName name="__h6" localSheetId="12" hidden="1">{"'Sheet1'!$L$16"}</definedName>
    <definedName name="__h6" localSheetId="11" hidden="1">{"'Sheet1'!$L$16"}</definedName>
    <definedName name="__h6" localSheetId="13" hidden="1">{"'Sheet1'!$L$16"}</definedName>
    <definedName name="__h6" localSheetId="14" hidden="1">{"'Sheet1'!$L$16"}</definedName>
    <definedName name="__h6" hidden="1">{"'Sheet1'!$L$16"}</definedName>
    <definedName name="__h7" localSheetId="2" hidden="1">{"'Sheet1'!$L$16"}</definedName>
    <definedName name="__h7" localSheetId="3" hidden="1">{"'Sheet1'!$L$16"}</definedName>
    <definedName name="__h7" localSheetId="6" hidden="1">{"'Sheet1'!$L$16"}</definedName>
    <definedName name="__h7" localSheetId="7" hidden="1">{"'Sheet1'!$L$16"}</definedName>
    <definedName name="__h7" localSheetId="9" hidden="1">{"'Sheet1'!$L$16"}</definedName>
    <definedName name="__h7" localSheetId="10" hidden="1">{"'Sheet1'!$L$16"}</definedName>
    <definedName name="__h7" localSheetId="12" hidden="1">{"'Sheet1'!$L$16"}</definedName>
    <definedName name="__h7" localSheetId="11" hidden="1">{"'Sheet1'!$L$16"}</definedName>
    <definedName name="__h7" localSheetId="13" hidden="1">{"'Sheet1'!$L$16"}</definedName>
    <definedName name="__h7" localSheetId="14" hidden="1">{"'Sheet1'!$L$16"}</definedName>
    <definedName name="__h7" hidden="1">{"'Sheet1'!$L$16"}</definedName>
    <definedName name="__h8" localSheetId="2" hidden="1">{"'Sheet1'!$L$16"}</definedName>
    <definedName name="__h8" localSheetId="3" hidden="1">{"'Sheet1'!$L$16"}</definedName>
    <definedName name="__h8" localSheetId="6" hidden="1">{"'Sheet1'!$L$16"}</definedName>
    <definedName name="__h8" localSheetId="7" hidden="1">{"'Sheet1'!$L$16"}</definedName>
    <definedName name="__h8" localSheetId="9" hidden="1">{"'Sheet1'!$L$16"}</definedName>
    <definedName name="__h8" localSheetId="10" hidden="1">{"'Sheet1'!$L$16"}</definedName>
    <definedName name="__h8" localSheetId="12" hidden="1">{"'Sheet1'!$L$16"}</definedName>
    <definedName name="__h8" localSheetId="11" hidden="1">{"'Sheet1'!$L$16"}</definedName>
    <definedName name="__h8" localSheetId="13" hidden="1">{"'Sheet1'!$L$16"}</definedName>
    <definedName name="__h8" localSheetId="14" hidden="1">{"'Sheet1'!$L$16"}</definedName>
    <definedName name="__h8" hidden="1">{"'Sheet1'!$L$16"}</definedName>
    <definedName name="__h9" localSheetId="2" hidden="1">{"'Sheet1'!$L$16"}</definedName>
    <definedName name="__h9" localSheetId="3" hidden="1">{"'Sheet1'!$L$16"}</definedName>
    <definedName name="__h9" localSheetId="6" hidden="1">{"'Sheet1'!$L$16"}</definedName>
    <definedName name="__h9" localSheetId="7" hidden="1">{"'Sheet1'!$L$16"}</definedName>
    <definedName name="__h9" localSheetId="9" hidden="1">{"'Sheet1'!$L$16"}</definedName>
    <definedName name="__h9" localSheetId="10" hidden="1">{"'Sheet1'!$L$16"}</definedName>
    <definedName name="__h9" localSheetId="12" hidden="1">{"'Sheet1'!$L$16"}</definedName>
    <definedName name="__h9" localSheetId="11" hidden="1">{"'Sheet1'!$L$16"}</definedName>
    <definedName name="__h9" localSheetId="13" hidden="1">{"'Sheet1'!$L$16"}</definedName>
    <definedName name="__h9" localSheetId="14" hidden="1">{"'Sheet1'!$L$16"}</definedName>
    <definedName name="__h9" hidden="1">{"'Sheet1'!$L$16"}</definedName>
    <definedName name="__HUY1" localSheetId="2" hidden="1">{"'Sheet1'!$L$16"}</definedName>
    <definedName name="__HUY1" localSheetId="3" hidden="1">{"'Sheet1'!$L$16"}</definedName>
    <definedName name="__HUY1" localSheetId="6" hidden="1">{"'Sheet1'!$L$16"}</definedName>
    <definedName name="__HUY1" localSheetId="7" hidden="1">{"'Sheet1'!$L$16"}</definedName>
    <definedName name="__HUY1" localSheetId="9" hidden="1">{"'Sheet1'!$L$16"}</definedName>
    <definedName name="__HUY1" localSheetId="10" hidden="1">{"'Sheet1'!$L$16"}</definedName>
    <definedName name="__HUY1" localSheetId="12" hidden="1">{"'Sheet1'!$L$16"}</definedName>
    <definedName name="__HUY1" localSheetId="11" hidden="1">{"'Sheet1'!$L$16"}</definedName>
    <definedName name="__HUY1" localSheetId="13" hidden="1">{"'Sheet1'!$L$16"}</definedName>
    <definedName name="__HUY1" localSheetId="14" hidden="1">{"'Sheet1'!$L$16"}</definedName>
    <definedName name="__HUY1" hidden="1">{"'Sheet1'!$L$16"}</definedName>
    <definedName name="__HUY2" localSheetId="2" hidden="1">{"'Sheet1'!$L$16"}</definedName>
    <definedName name="__HUY2" localSheetId="3" hidden="1">{"'Sheet1'!$L$16"}</definedName>
    <definedName name="__HUY2" localSheetId="6" hidden="1">{"'Sheet1'!$L$16"}</definedName>
    <definedName name="__HUY2" localSheetId="7" hidden="1">{"'Sheet1'!$L$16"}</definedName>
    <definedName name="__HUY2" localSheetId="9" hidden="1">{"'Sheet1'!$L$16"}</definedName>
    <definedName name="__HUY2" localSheetId="10" hidden="1">{"'Sheet1'!$L$16"}</definedName>
    <definedName name="__HUY2" localSheetId="12" hidden="1">{"'Sheet1'!$L$16"}</definedName>
    <definedName name="__HUY2" localSheetId="11" hidden="1">{"'Sheet1'!$L$16"}</definedName>
    <definedName name="__HUY2" localSheetId="13" hidden="1">{"'Sheet1'!$L$16"}</definedName>
    <definedName name="__HUY2" localSheetId="14" hidden="1">{"'Sheet1'!$L$16"}</definedName>
    <definedName name="__HUY2" hidden="1">{"'Sheet1'!$L$16"}</definedName>
    <definedName name="__Lan1" localSheetId="2" hidden="1">{"'Sheet1'!$L$16"}</definedName>
    <definedName name="__Lan1" localSheetId="3" hidden="1">{"'Sheet1'!$L$16"}</definedName>
    <definedName name="__Lan1" localSheetId="6" hidden="1">{"'Sheet1'!$L$16"}</definedName>
    <definedName name="__Lan1" localSheetId="7" hidden="1">{"'Sheet1'!$L$16"}</definedName>
    <definedName name="__Lan1" localSheetId="9" hidden="1">{"'Sheet1'!$L$16"}</definedName>
    <definedName name="__Lan1" localSheetId="10" hidden="1">{"'Sheet1'!$L$16"}</definedName>
    <definedName name="__Lan1" localSheetId="12" hidden="1">{"'Sheet1'!$L$16"}</definedName>
    <definedName name="__Lan1" localSheetId="11" hidden="1">{"'Sheet1'!$L$16"}</definedName>
    <definedName name="__Lan1" localSheetId="13" hidden="1">{"'Sheet1'!$L$16"}</definedName>
    <definedName name="__Lan1" localSheetId="14" hidden="1">{"'Sheet1'!$L$16"}</definedName>
    <definedName name="__Lan1" hidden="1">{"'Sheet1'!$L$16"}</definedName>
    <definedName name="__LAN3" localSheetId="2" hidden="1">{"'Sheet1'!$L$16"}</definedName>
    <definedName name="__LAN3" localSheetId="3" hidden="1">{"'Sheet1'!$L$16"}</definedName>
    <definedName name="__LAN3" localSheetId="6" hidden="1">{"'Sheet1'!$L$16"}</definedName>
    <definedName name="__LAN3" localSheetId="7" hidden="1">{"'Sheet1'!$L$16"}</definedName>
    <definedName name="__LAN3" localSheetId="9" hidden="1">{"'Sheet1'!$L$16"}</definedName>
    <definedName name="__LAN3" localSheetId="10" hidden="1">{"'Sheet1'!$L$16"}</definedName>
    <definedName name="__LAN3" localSheetId="12" hidden="1">{"'Sheet1'!$L$16"}</definedName>
    <definedName name="__LAN3" localSheetId="11" hidden="1">{"'Sheet1'!$L$16"}</definedName>
    <definedName name="__LAN3" localSheetId="13" hidden="1">{"'Sheet1'!$L$16"}</definedName>
    <definedName name="__LAN3" localSheetId="14" hidden="1">{"'Sheet1'!$L$16"}</definedName>
    <definedName name="__LAN3" hidden="1">{"'Sheet1'!$L$16"}</definedName>
    <definedName name="__lk2" localSheetId="2" hidden="1">{"'Sheet1'!$L$16"}</definedName>
    <definedName name="__lk2" localSheetId="3" hidden="1">{"'Sheet1'!$L$16"}</definedName>
    <definedName name="__lk2" localSheetId="6" hidden="1">{"'Sheet1'!$L$16"}</definedName>
    <definedName name="__lk2" localSheetId="7" hidden="1">{"'Sheet1'!$L$16"}</definedName>
    <definedName name="__lk2" localSheetId="9" hidden="1">{"'Sheet1'!$L$16"}</definedName>
    <definedName name="__lk2" localSheetId="10" hidden="1">{"'Sheet1'!$L$16"}</definedName>
    <definedName name="__lk2" localSheetId="12" hidden="1">{"'Sheet1'!$L$16"}</definedName>
    <definedName name="__lk2" localSheetId="11" hidden="1">{"'Sheet1'!$L$16"}</definedName>
    <definedName name="__lk2" localSheetId="13" hidden="1">{"'Sheet1'!$L$16"}</definedName>
    <definedName name="__lk2" localSheetId="14" hidden="1">{"'Sheet1'!$L$16"}</definedName>
    <definedName name="__lk2" hidden="1">{"'Sheet1'!$L$16"}</definedName>
    <definedName name="__NSO2" localSheetId="2" hidden="1">{"'Sheet1'!$L$16"}</definedName>
    <definedName name="__NSO2" localSheetId="3" hidden="1">{"'Sheet1'!$L$16"}</definedName>
    <definedName name="__NSO2" localSheetId="6" hidden="1">{"'Sheet1'!$L$16"}</definedName>
    <definedName name="__NSO2" localSheetId="7" hidden="1">{"'Sheet1'!$L$16"}</definedName>
    <definedName name="__NSO2" localSheetId="9" hidden="1">{"'Sheet1'!$L$16"}</definedName>
    <definedName name="__NSO2" localSheetId="10" hidden="1">{"'Sheet1'!$L$16"}</definedName>
    <definedName name="__NSO2" localSheetId="12" hidden="1">{"'Sheet1'!$L$16"}</definedName>
    <definedName name="__NSO2" localSheetId="11" hidden="1">{"'Sheet1'!$L$16"}</definedName>
    <definedName name="__NSO2" localSheetId="13" hidden="1">{"'Sheet1'!$L$16"}</definedName>
    <definedName name="__NSO2" localSheetId="14" hidden="1">{"'Sheet1'!$L$16"}</definedName>
    <definedName name="__NSO2" hidden="1">{"'Sheet1'!$L$16"}</definedName>
    <definedName name="__PA3" localSheetId="2" hidden="1">{"'Sheet1'!$L$16"}</definedName>
    <definedName name="__PA3" localSheetId="3" hidden="1">{"'Sheet1'!$L$16"}</definedName>
    <definedName name="__PA3" localSheetId="6" hidden="1">{"'Sheet1'!$L$16"}</definedName>
    <definedName name="__PA3" localSheetId="7" hidden="1">{"'Sheet1'!$L$16"}</definedName>
    <definedName name="__PA3" localSheetId="9" hidden="1">{"'Sheet1'!$L$16"}</definedName>
    <definedName name="__PA3" localSheetId="10" hidden="1">{"'Sheet1'!$L$16"}</definedName>
    <definedName name="__PA3" localSheetId="12" hidden="1">{"'Sheet1'!$L$16"}</definedName>
    <definedName name="__PA3" localSheetId="11" hidden="1">{"'Sheet1'!$L$16"}</definedName>
    <definedName name="__PA3" localSheetId="13" hidden="1">{"'Sheet1'!$L$16"}</definedName>
    <definedName name="__PA3" localSheetId="14" hidden="1">{"'Sheet1'!$L$16"}</definedName>
    <definedName name="__PA3" hidden="1">{"'Sheet1'!$L$16"}</definedName>
    <definedName name="__Pl2" localSheetId="2" hidden="1">{"'Sheet1'!$L$16"}</definedName>
    <definedName name="__Pl2" localSheetId="3" hidden="1">{"'Sheet1'!$L$16"}</definedName>
    <definedName name="__Pl2" localSheetId="6" hidden="1">{"'Sheet1'!$L$16"}</definedName>
    <definedName name="__Pl2" localSheetId="7" hidden="1">{"'Sheet1'!$L$16"}</definedName>
    <definedName name="__Pl2" localSheetId="9" hidden="1">{"'Sheet1'!$L$16"}</definedName>
    <definedName name="__Pl2" localSheetId="10" hidden="1">{"'Sheet1'!$L$16"}</definedName>
    <definedName name="__Pl2" localSheetId="12" hidden="1">{"'Sheet1'!$L$16"}</definedName>
    <definedName name="__Pl2" localSheetId="11" hidden="1">{"'Sheet1'!$L$16"}</definedName>
    <definedName name="__Pl2" localSheetId="13" hidden="1">{"'Sheet1'!$L$16"}</definedName>
    <definedName name="__Pl2" localSheetId="14" hidden="1">{"'Sheet1'!$L$16"}</definedName>
    <definedName name="__Pl2" hidden="1">{"'Sheet1'!$L$16"}</definedName>
    <definedName name="__tt3" localSheetId="2" hidden="1">{"'Sheet1'!$L$16"}</definedName>
    <definedName name="__tt3" localSheetId="3" hidden="1">{"'Sheet1'!$L$16"}</definedName>
    <definedName name="__tt3" localSheetId="6" hidden="1">{"'Sheet1'!$L$16"}</definedName>
    <definedName name="__tt3" localSheetId="7" hidden="1">{"'Sheet1'!$L$16"}</definedName>
    <definedName name="__tt3" localSheetId="9" hidden="1">{"'Sheet1'!$L$16"}</definedName>
    <definedName name="__tt3" localSheetId="10" hidden="1">{"'Sheet1'!$L$16"}</definedName>
    <definedName name="__tt3" localSheetId="12" hidden="1">{"'Sheet1'!$L$16"}</definedName>
    <definedName name="__tt3" localSheetId="11" hidden="1">{"'Sheet1'!$L$16"}</definedName>
    <definedName name="__tt3" localSheetId="13" hidden="1">{"'Sheet1'!$L$16"}</definedName>
    <definedName name="__tt3" localSheetId="14" hidden="1">{"'Sheet1'!$L$16"}</definedName>
    <definedName name="__tt3" hidden="1">{"'Sheet1'!$L$16"}</definedName>
    <definedName name="__TT31" localSheetId="2" hidden="1">{"'Sheet1'!$L$16"}</definedName>
    <definedName name="__TT31" localSheetId="3" hidden="1">{"'Sheet1'!$L$16"}</definedName>
    <definedName name="__TT31" localSheetId="6" hidden="1">{"'Sheet1'!$L$16"}</definedName>
    <definedName name="__TT31" localSheetId="7" hidden="1">{"'Sheet1'!$L$16"}</definedName>
    <definedName name="__TT31" localSheetId="9" hidden="1">{"'Sheet1'!$L$16"}</definedName>
    <definedName name="__TT31" localSheetId="10" hidden="1">{"'Sheet1'!$L$16"}</definedName>
    <definedName name="__TT31" localSheetId="12" hidden="1">{"'Sheet1'!$L$16"}</definedName>
    <definedName name="__TT31" localSheetId="11" hidden="1">{"'Sheet1'!$L$16"}</definedName>
    <definedName name="__TT31" localSheetId="13" hidden="1">{"'Sheet1'!$L$16"}</definedName>
    <definedName name="__TT31" localSheetId="14" hidden="1">{"'Sheet1'!$L$16"}</definedName>
    <definedName name="__TT31" hidden="1">{"'Sheet1'!$L$16"}</definedName>
    <definedName name="__Tru21" localSheetId="2" hidden="1">{"'Sheet1'!$L$16"}</definedName>
    <definedName name="__Tru21" localSheetId="3" hidden="1">{"'Sheet1'!$L$16"}</definedName>
    <definedName name="__Tru21" localSheetId="6" hidden="1">{"'Sheet1'!$L$16"}</definedName>
    <definedName name="__Tru21" localSheetId="7" hidden="1">{"'Sheet1'!$L$16"}</definedName>
    <definedName name="__Tru21" localSheetId="9" hidden="1">{"'Sheet1'!$L$16"}</definedName>
    <definedName name="__Tru21" localSheetId="10" hidden="1">{"'Sheet1'!$L$16"}</definedName>
    <definedName name="__Tru21" localSheetId="12" hidden="1">{"'Sheet1'!$L$16"}</definedName>
    <definedName name="__Tru21" localSheetId="11" hidden="1">{"'Sheet1'!$L$16"}</definedName>
    <definedName name="__Tru21" localSheetId="13" hidden="1">{"'Sheet1'!$L$16"}</definedName>
    <definedName name="__Tru21" localSheetId="14" hidden="1">{"'Sheet1'!$L$16"}</definedName>
    <definedName name="__Tru21" hidden="1">{"'Sheet1'!$L$16"}</definedName>
    <definedName name="__vl2" localSheetId="2" hidden="1">{"'Sheet1'!$L$16"}</definedName>
    <definedName name="__vl2" localSheetId="3" hidden="1">{"'Sheet1'!$L$16"}</definedName>
    <definedName name="__vl2" localSheetId="6" hidden="1">{"'Sheet1'!$L$16"}</definedName>
    <definedName name="__vl2" localSheetId="7" hidden="1">{"'Sheet1'!$L$16"}</definedName>
    <definedName name="__vl2" localSheetId="9" hidden="1">{"'Sheet1'!$L$16"}</definedName>
    <definedName name="__vl2" localSheetId="10" hidden="1">{"'Sheet1'!$L$16"}</definedName>
    <definedName name="__vl2" localSheetId="12" hidden="1">{"'Sheet1'!$L$16"}</definedName>
    <definedName name="__vl2" localSheetId="11" hidden="1">{"'Sheet1'!$L$16"}</definedName>
    <definedName name="__vl2" localSheetId="13" hidden="1">{"'Sheet1'!$L$16"}</definedName>
    <definedName name="__vl2" localSheetId="14" hidden="1">{"'Sheet1'!$L$16"}</definedName>
    <definedName name="__vl2" hidden="1">{"'Sheet1'!$L$16"}</definedName>
    <definedName name="__VM2" localSheetId="2" hidden="1">{"'Sheet1'!$L$16"}</definedName>
    <definedName name="__VM2" localSheetId="3" hidden="1">{"'Sheet1'!$L$16"}</definedName>
    <definedName name="__VM2" localSheetId="6" hidden="1">{"'Sheet1'!$L$16"}</definedName>
    <definedName name="__VM2" localSheetId="7" hidden="1">{"'Sheet1'!$L$16"}</definedName>
    <definedName name="__VM2" localSheetId="9" hidden="1">{"'Sheet1'!$L$16"}</definedName>
    <definedName name="__VM2" localSheetId="10" hidden="1">{"'Sheet1'!$L$16"}</definedName>
    <definedName name="__VM2" localSheetId="12" hidden="1">{"'Sheet1'!$L$16"}</definedName>
    <definedName name="__VM2" localSheetId="11" hidden="1">{"'Sheet1'!$L$16"}</definedName>
    <definedName name="__VM2" localSheetId="13" hidden="1">{"'Sheet1'!$L$16"}</definedName>
    <definedName name="__VM2" localSheetId="14" hidden="1">{"'Sheet1'!$L$16"}</definedName>
    <definedName name="__VM2" hidden="1">{"'Sheet1'!$L$16"}</definedName>
    <definedName name="_ban2" localSheetId="2" hidden="1">{"'Sheet1'!$L$16"}</definedName>
    <definedName name="_ban2" localSheetId="3" hidden="1">{"'Sheet1'!$L$16"}</definedName>
    <definedName name="_ban2" localSheetId="6" hidden="1">{"'Sheet1'!$L$16"}</definedName>
    <definedName name="_ban2" localSheetId="7" hidden="1">{"'Sheet1'!$L$16"}</definedName>
    <definedName name="_ban2" localSheetId="9" hidden="1">{"'Sheet1'!$L$16"}</definedName>
    <definedName name="_ban2" localSheetId="10" hidden="1">{"'Sheet1'!$L$16"}</definedName>
    <definedName name="_ban2" localSheetId="12" hidden="1">{"'Sheet1'!$L$16"}</definedName>
    <definedName name="_ban2" localSheetId="11" hidden="1">{"'Sheet1'!$L$16"}</definedName>
    <definedName name="_ban2" localSheetId="13" hidden="1">{"'Sheet1'!$L$16"}</definedName>
    <definedName name="_ban2" localSheetId="14" hidden="1">{"'Sheet1'!$L$16"}</definedName>
    <definedName name="_ban2" hidden="1">{"'Sheet1'!$L$16"}</definedName>
    <definedName name="_cep1" localSheetId="2" hidden="1">{"'Sheet1'!$L$16"}</definedName>
    <definedName name="_cep1" localSheetId="3" hidden="1">{"'Sheet1'!$L$16"}</definedName>
    <definedName name="_cep1" localSheetId="6" hidden="1">{"'Sheet1'!$L$16"}</definedName>
    <definedName name="_cep1" localSheetId="7" hidden="1">{"'Sheet1'!$L$16"}</definedName>
    <definedName name="_cep1" localSheetId="9" hidden="1">{"'Sheet1'!$L$16"}</definedName>
    <definedName name="_cep1" localSheetId="10" hidden="1">{"'Sheet1'!$L$16"}</definedName>
    <definedName name="_cep1" localSheetId="12" hidden="1">{"'Sheet1'!$L$16"}</definedName>
    <definedName name="_cep1" localSheetId="11" hidden="1">{"'Sheet1'!$L$16"}</definedName>
    <definedName name="_cep1" localSheetId="13" hidden="1">{"'Sheet1'!$L$16"}</definedName>
    <definedName name="_cep1" localSheetId="14" hidden="1">{"'Sheet1'!$L$16"}</definedName>
    <definedName name="_cep1" hidden="1">{"'Sheet1'!$L$16"}</definedName>
    <definedName name="_Coc39" localSheetId="2" hidden="1">{"'Sheet1'!$L$16"}</definedName>
    <definedName name="_Coc39" localSheetId="3" hidden="1">{"'Sheet1'!$L$16"}</definedName>
    <definedName name="_Coc39" localSheetId="6" hidden="1">{"'Sheet1'!$L$16"}</definedName>
    <definedName name="_Coc39" localSheetId="7" hidden="1">{"'Sheet1'!$L$16"}</definedName>
    <definedName name="_Coc39" localSheetId="9" hidden="1">{"'Sheet1'!$L$16"}</definedName>
    <definedName name="_Coc39" localSheetId="10" hidden="1">{"'Sheet1'!$L$16"}</definedName>
    <definedName name="_Coc39" localSheetId="12" hidden="1">{"'Sheet1'!$L$16"}</definedName>
    <definedName name="_Coc39" localSheetId="11" hidden="1">{"'Sheet1'!$L$16"}</definedName>
    <definedName name="_Coc39" localSheetId="13" hidden="1">{"'Sheet1'!$L$16"}</definedName>
    <definedName name="_Coc39" localSheetId="14" hidden="1">{"'Sheet1'!$L$16"}</definedName>
    <definedName name="_Coc39" hidden="1">{"'Sheet1'!$L$16"}</definedName>
    <definedName name="_xlnm._FilterDatabase" localSheetId="8" hidden="1">'Bieu 54'!$A$13:$AC$161</definedName>
    <definedName name="_xlnm._FilterDatabase" localSheetId="7" hidden="1">'Bieu 54_'!$A$14:$AE$90</definedName>
    <definedName name="_Goi8" localSheetId="2" hidden="1">{"'Sheet1'!$L$16"}</definedName>
    <definedName name="_Goi8" localSheetId="3" hidden="1">{"'Sheet1'!$L$16"}</definedName>
    <definedName name="_Goi8" localSheetId="6" hidden="1">{"'Sheet1'!$L$16"}</definedName>
    <definedName name="_Goi8" localSheetId="7" hidden="1">{"'Sheet1'!$L$16"}</definedName>
    <definedName name="_Goi8" localSheetId="9" hidden="1">{"'Sheet1'!$L$16"}</definedName>
    <definedName name="_Goi8" localSheetId="10" hidden="1">{"'Sheet1'!$L$16"}</definedName>
    <definedName name="_Goi8" localSheetId="12" hidden="1">{"'Sheet1'!$L$16"}</definedName>
    <definedName name="_Goi8" localSheetId="11" hidden="1">{"'Sheet1'!$L$16"}</definedName>
    <definedName name="_Goi8" localSheetId="13" hidden="1">{"'Sheet1'!$L$16"}</definedName>
    <definedName name="_Goi8" localSheetId="14" hidden="1">{"'Sheet1'!$L$16"}</definedName>
    <definedName name="_Goi8" hidden="1">{"'Sheet1'!$L$16"}</definedName>
    <definedName name="_h1" localSheetId="2" hidden="1">{"'Sheet1'!$L$16"}</definedName>
    <definedName name="_h1" localSheetId="3" hidden="1">{"'Sheet1'!$L$16"}</definedName>
    <definedName name="_h1" localSheetId="6" hidden="1">{"'Sheet1'!$L$16"}</definedName>
    <definedName name="_h1" localSheetId="7" hidden="1">{"'Sheet1'!$L$16"}</definedName>
    <definedName name="_h1" localSheetId="9" hidden="1">{"'Sheet1'!$L$16"}</definedName>
    <definedName name="_h1" localSheetId="10" hidden="1">{"'Sheet1'!$L$16"}</definedName>
    <definedName name="_h1" localSheetId="12" hidden="1">{"'Sheet1'!$L$16"}</definedName>
    <definedName name="_h1" localSheetId="11" hidden="1">{"'Sheet1'!$L$16"}</definedName>
    <definedName name="_h1" localSheetId="13" hidden="1">{"'Sheet1'!$L$16"}</definedName>
    <definedName name="_h1" localSheetId="14" hidden="1">{"'Sheet1'!$L$16"}</definedName>
    <definedName name="_h1" hidden="1">{"'Sheet1'!$L$16"}</definedName>
    <definedName name="_h10" localSheetId="2" hidden="1">{#N/A,#N/A,FALSE,"Chi tiÆt"}</definedName>
    <definedName name="_h10" localSheetId="3" hidden="1">{#N/A,#N/A,FALSE,"Chi tiÆt"}</definedName>
    <definedName name="_h10" localSheetId="6" hidden="1">{#N/A,#N/A,FALSE,"Chi tiÆt"}</definedName>
    <definedName name="_h10" localSheetId="7" hidden="1">{#N/A,#N/A,FALSE,"Chi tiÆt"}</definedName>
    <definedName name="_h10" localSheetId="9" hidden="1">{#N/A,#N/A,FALSE,"Chi tiÆt"}</definedName>
    <definedName name="_h10" localSheetId="10" hidden="1">{#N/A,#N/A,FALSE,"Chi tiÆt"}</definedName>
    <definedName name="_h10" localSheetId="12" hidden="1">{#N/A,#N/A,FALSE,"Chi tiÆt"}</definedName>
    <definedName name="_h10" localSheetId="11" hidden="1">{#N/A,#N/A,FALSE,"Chi tiÆt"}</definedName>
    <definedName name="_h10" localSheetId="13" hidden="1">{#N/A,#N/A,FALSE,"Chi tiÆt"}</definedName>
    <definedName name="_h10" localSheetId="14" hidden="1">{#N/A,#N/A,FALSE,"Chi tiÆt"}</definedName>
    <definedName name="_h10" hidden="1">{#N/A,#N/A,FALSE,"Chi tiÆt"}</definedName>
    <definedName name="_h2" localSheetId="2" hidden="1">{"'Sheet1'!$L$16"}</definedName>
    <definedName name="_h2" localSheetId="3" hidden="1">{"'Sheet1'!$L$16"}</definedName>
    <definedName name="_h2" localSheetId="6" hidden="1">{"'Sheet1'!$L$16"}</definedName>
    <definedName name="_h2" localSheetId="7" hidden="1">{"'Sheet1'!$L$16"}</definedName>
    <definedName name="_h2" localSheetId="9" hidden="1">{"'Sheet1'!$L$16"}</definedName>
    <definedName name="_h2" localSheetId="10" hidden="1">{"'Sheet1'!$L$16"}</definedName>
    <definedName name="_h2" localSheetId="12" hidden="1">{"'Sheet1'!$L$16"}</definedName>
    <definedName name="_h2" localSheetId="11" hidden="1">{"'Sheet1'!$L$16"}</definedName>
    <definedName name="_h2" localSheetId="13" hidden="1">{"'Sheet1'!$L$16"}</definedName>
    <definedName name="_h2" localSheetId="14" hidden="1">{"'Sheet1'!$L$16"}</definedName>
    <definedName name="_h2" hidden="1">{"'Sheet1'!$L$16"}</definedName>
    <definedName name="_h3" localSheetId="2" hidden="1">{"'Sheet1'!$L$16"}</definedName>
    <definedName name="_h3" localSheetId="3" hidden="1">{"'Sheet1'!$L$16"}</definedName>
    <definedName name="_h3" localSheetId="6" hidden="1">{"'Sheet1'!$L$16"}</definedName>
    <definedName name="_h3" localSheetId="7" hidden="1">{"'Sheet1'!$L$16"}</definedName>
    <definedName name="_h3" localSheetId="9" hidden="1">{"'Sheet1'!$L$16"}</definedName>
    <definedName name="_h3" localSheetId="10" hidden="1">{"'Sheet1'!$L$16"}</definedName>
    <definedName name="_h3" localSheetId="12" hidden="1">{"'Sheet1'!$L$16"}</definedName>
    <definedName name="_h3" localSheetId="11" hidden="1">{"'Sheet1'!$L$16"}</definedName>
    <definedName name="_h3" localSheetId="13" hidden="1">{"'Sheet1'!$L$16"}</definedName>
    <definedName name="_h3" localSheetId="14" hidden="1">{"'Sheet1'!$L$16"}</definedName>
    <definedName name="_h3" hidden="1">{"'Sheet1'!$L$16"}</definedName>
    <definedName name="_h5" localSheetId="2" hidden="1">{"'Sheet1'!$L$16"}</definedName>
    <definedName name="_h5" localSheetId="3" hidden="1">{"'Sheet1'!$L$16"}</definedName>
    <definedName name="_h5" localSheetId="6" hidden="1">{"'Sheet1'!$L$16"}</definedName>
    <definedName name="_h5" localSheetId="7" hidden="1">{"'Sheet1'!$L$16"}</definedName>
    <definedName name="_h5" localSheetId="9" hidden="1">{"'Sheet1'!$L$16"}</definedName>
    <definedName name="_h5" localSheetId="10" hidden="1">{"'Sheet1'!$L$16"}</definedName>
    <definedName name="_h5" localSheetId="12" hidden="1">{"'Sheet1'!$L$16"}</definedName>
    <definedName name="_h5" localSheetId="11" hidden="1">{"'Sheet1'!$L$16"}</definedName>
    <definedName name="_h5" localSheetId="13" hidden="1">{"'Sheet1'!$L$16"}</definedName>
    <definedName name="_h5" localSheetId="14" hidden="1">{"'Sheet1'!$L$16"}</definedName>
    <definedName name="_h5" hidden="1">{"'Sheet1'!$L$16"}</definedName>
    <definedName name="_h6" localSheetId="2" hidden="1">{"'Sheet1'!$L$16"}</definedName>
    <definedName name="_h6" localSheetId="3" hidden="1">{"'Sheet1'!$L$16"}</definedName>
    <definedName name="_h6" localSheetId="6" hidden="1">{"'Sheet1'!$L$16"}</definedName>
    <definedName name="_h6" localSheetId="7" hidden="1">{"'Sheet1'!$L$16"}</definedName>
    <definedName name="_h6" localSheetId="9" hidden="1">{"'Sheet1'!$L$16"}</definedName>
    <definedName name="_h6" localSheetId="10" hidden="1">{"'Sheet1'!$L$16"}</definedName>
    <definedName name="_h6" localSheetId="12" hidden="1">{"'Sheet1'!$L$16"}</definedName>
    <definedName name="_h6" localSheetId="11" hidden="1">{"'Sheet1'!$L$16"}</definedName>
    <definedName name="_h6" localSheetId="13" hidden="1">{"'Sheet1'!$L$16"}</definedName>
    <definedName name="_h6" localSheetId="14" hidden="1">{"'Sheet1'!$L$16"}</definedName>
    <definedName name="_h6" hidden="1">{"'Sheet1'!$L$16"}</definedName>
    <definedName name="_h7" localSheetId="2" hidden="1">{"'Sheet1'!$L$16"}</definedName>
    <definedName name="_h7" localSheetId="3" hidden="1">{"'Sheet1'!$L$16"}</definedName>
    <definedName name="_h7" localSheetId="6" hidden="1">{"'Sheet1'!$L$16"}</definedName>
    <definedName name="_h7" localSheetId="7" hidden="1">{"'Sheet1'!$L$16"}</definedName>
    <definedName name="_h7" localSheetId="9" hidden="1">{"'Sheet1'!$L$16"}</definedName>
    <definedName name="_h7" localSheetId="10" hidden="1">{"'Sheet1'!$L$16"}</definedName>
    <definedName name="_h7" localSheetId="12" hidden="1">{"'Sheet1'!$L$16"}</definedName>
    <definedName name="_h7" localSheetId="11" hidden="1">{"'Sheet1'!$L$16"}</definedName>
    <definedName name="_h7" localSheetId="13" hidden="1">{"'Sheet1'!$L$16"}</definedName>
    <definedName name="_h7" localSheetId="14" hidden="1">{"'Sheet1'!$L$16"}</definedName>
    <definedName name="_h7" hidden="1">{"'Sheet1'!$L$16"}</definedName>
    <definedName name="_h8" localSheetId="2" hidden="1">{"'Sheet1'!$L$16"}</definedName>
    <definedName name="_h8" localSheetId="3" hidden="1">{"'Sheet1'!$L$16"}</definedName>
    <definedName name="_h8" localSheetId="6" hidden="1">{"'Sheet1'!$L$16"}</definedName>
    <definedName name="_h8" localSheetId="7" hidden="1">{"'Sheet1'!$L$16"}</definedName>
    <definedName name="_h8" localSheetId="9" hidden="1">{"'Sheet1'!$L$16"}</definedName>
    <definedName name="_h8" localSheetId="10" hidden="1">{"'Sheet1'!$L$16"}</definedName>
    <definedName name="_h8" localSheetId="12" hidden="1">{"'Sheet1'!$L$16"}</definedName>
    <definedName name="_h8" localSheetId="11" hidden="1">{"'Sheet1'!$L$16"}</definedName>
    <definedName name="_h8" localSheetId="13" hidden="1">{"'Sheet1'!$L$16"}</definedName>
    <definedName name="_h8" localSheetId="14" hidden="1">{"'Sheet1'!$L$16"}</definedName>
    <definedName name="_h8" hidden="1">{"'Sheet1'!$L$16"}</definedName>
    <definedName name="_h9" localSheetId="2" hidden="1">{"'Sheet1'!$L$16"}</definedName>
    <definedName name="_h9" localSheetId="3" hidden="1">{"'Sheet1'!$L$16"}</definedName>
    <definedName name="_h9" localSheetId="6" hidden="1">{"'Sheet1'!$L$16"}</definedName>
    <definedName name="_h9" localSheetId="7" hidden="1">{"'Sheet1'!$L$16"}</definedName>
    <definedName name="_h9" localSheetId="9" hidden="1">{"'Sheet1'!$L$16"}</definedName>
    <definedName name="_h9" localSheetId="10" hidden="1">{"'Sheet1'!$L$16"}</definedName>
    <definedName name="_h9" localSheetId="12" hidden="1">{"'Sheet1'!$L$16"}</definedName>
    <definedName name="_h9" localSheetId="11" hidden="1">{"'Sheet1'!$L$16"}</definedName>
    <definedName name="_h9" localSheetId="13" hidden="1">{"'Sheet1'!$L$16"}</definedName>
    <definedName name="_h9" localSheetId="14" hidden="1">{"'Sheet1'!$L$16"}</definedName>
    <definedName name="_h9" hidden="1">{"'Sheet1'!$L$16"}</definedName>
    <definedName name="_HUY1" localSheetId="2" hidden="1">{"'Sheet1'!$L$16"}</definedName>
    <definedName name="_HUY1" localSheetId="3" hidden="1">{"'Sheet1'!$L$16"}</definedName>
    <definedName name="_HUY1" localSheetId="6" hidden="1">{"'Sheet1'!$L$16"}</definedName>
    <definedName name="_HUY1" localSheetId="7" hidden="1">{"'Sheet1'!$L$16"}</definedName>
    <definedName name="_HUY1" localSheetId="9" hidden="1">{"'Sheet1'!$L$16"}</definedName>
    <definedName name="_HUY1" localSheetId="10" hidden="1">{"'Sheet1'!$L$16"}</definedName>
    <definedName name="_HUY1" localSheetId="12" hidden="1">{"'Sheet1'!$L$16"}</definedName>
    <definedName name="_HUY1" localSheetId="11" hidden="1">{"'Sheet1'!$L$16"}</definedName>
    <definedName name="_HUY1" localSheetId="13" hidden="1">{"'Sheet1'!$L$16"}</definedName>
    <definedName name="_HUY1" localSheetId="14" hidden="1">{"'Sheet1'!$L$16"}</definedName>
    <definedName name="_HUY1" hidden="1">{"'Sheet1'!$L$16"}</definedName>
    <definedName name="_HUY2" localSheetId="2" hidden="1">{"'Sheet1'!$L$16"}</definedName>
    <definedName name="_HUY2" localSheetId="3" hidden="1">{"'Sheet1'!$L$16"}</definedName>
    <definedName name="_HUY2" localSheetId="6" hidden="1">{"'Sheet1'!$L$16"}</definedName>
    <definedName name="_HUY2" localSheetId="7" hidden="1">{"'Sheet1'!$L$16"}</definedName>
    <definedName name="_HUY2" localSheetId="9" hidden="1">{"'Sheet1'!$L$16"}</definedName>
    <definedName name="_HUY2" localSheetId="10" hidden="1">{"'Sheet1'!$L$16"}</definedName>
    <definedName name="_HUY2" localSheetId="12" hidden="1">{"'Sheet1'!$L$16"}</definedName>
    <definedName name="_HUY2" localSheetId="11" hidden="1">{"'Sheet1'!$L$16"}</definedName>
    <definedName name="_HUY2" localSheetId="13" hidden="1">{"'Sheet1'!$L$16"}</definedName>
    <definedName name="_HUY2" localSheetId="14" hidden="1">{"'Sheet1'!$L$16"}</definedName>
    <definedName name="_HUY2" hidden="1">{"'Sheet1'!$L$16"}</definedName>
    <definedName name="_Key1" localSheetId="6" hidden="1">#REF!</definedName>
    <definedName name="_Key1" localSheetId="7" hidden="1">#REF!</definedName>
    <definedName name="_Key1" localSheetId="9" hidden="1">#REF!</definedName>
    <definedName name="_Key1" localSheetId="10" hidden="1">#REF!</definedName>
    <definedName name="_Key1" localSheetId="12" hidden="1">#REF!</definedName>
    <definedName name="_Key1" localSheetId="11" hidden="1">#REF!</definedName>
    <definedName name="_Key1" hidden="1">#REF!</definedName>
    <definedName name="_Key2" localSheetId="6" hidden="1">#REF!</definedName>
    <definedName name="_Key2" localSheetId="7" hidden="1">#REF!</definedName>
    <definedName name="_Key2" localSheetId="9" hidden="1">#REF!</definedName>
    <definedName name="_Key2" localSheetId="10" hidden="1">#REF!</definedName>
    <definedName name="_Key2" localSheetId="12" hidden="1">#REF!</definedName>
    <definedName name="_Key2" localSheetId="11" hidden="1">#REF!</definedName>
    <definedName name="_Key2" hidden="1">#REF!</definedName>
    <definedName name="_Lan1" localSheetId="2" hidden="1">{"'Sheet1'!$L$16"}</definedName>
    <definedName name="_Lan1" localSheetId="3" hidden="1">{"'Sheet1'!$L$16"}</definedName>
    <definedName name="_Lan1" localSheetId="6" hidden="1">{"'Sheet1'!$L$16"}</definedName>
    <definedName name="_Lan1" localSheetId="7" hidden="1">{"'Sheet1'!$L$16"}</definedName>
    <definedName name="_Lan1" localSheetId="9" hidden="1">{"'Sheet1'!$L$16"}</definedName>
    <definedName name="_Lan1" localSheetId="10" hidden="1">{"'Sheet1'!$L$16"}</definedName>
    <definedName name="_Lan1" localSheetId="12" hidden="1">{"'Sheet1'!$L$16"}</definedName>
    <definedName name="_Lan1" localSheetId="11" hidden="1">{"'Sheet1'!$L$16"}</definedName>
    <definedName name="_Lan1" localSheetId="13" hidden="1">{"'Sheet1'!$L$16"}</definedName>
    <definedName name="_Lan1" localSheetId="14" hidden="1">{"'Sheet1'!$L$16"}</definedName>
    <definedName name="_Lan1" hidden="1">{"'Sheet1'!$L$16"}</definedName>
    <definedName name="_LAN3" localSheetId="2" hidden="1">{"'Sheet1'!$L$16"}</definedName>
    <definedName name="_LAN3" localSheetId="3" hidden="1">{"'Sheet1'!$L$16"}</definedName>
    <definedName name="_LAN3" localSheetId="6" hidden="1">{"'Sheet1'!$L$16"}</definedName>
    <definedName name="_LAN3" localSheetId="7" hidden="1">{"'Sheet1'!$L$16"}</definedName>
    <definedName name="_LAN3" localSheetId="9" hidden="1">{"'Sheet1'!$L$16"}</definedName>
    <definedName name="_LAN3" localSheetId="10" hidden="1">{"'Sheet1'!$L$16"}</definedName>
    <definedName name="_LAN3" localSheetId="12" hidden="1">{"'Sheet1'!$L$16"}</definedName>
    <definedName name="_LAN3" localSheetId="11" hidden="1">{"'Sheet1'!$L$16"}</definedName>
    <definedName name="_LAN3" localSheetId="13" hidden="1">{"'Sheet1'!$L$16"}</definedName>
    <definedName name="_LAN3" localSheetId="14" hidden="1">{"'Sheet1'!$L$16"}</definedName>
    <definedName name="_LAN3" hidden="1">{"'Sheet1'!$L$16"}</definedName>
    <definedName name="_lk2" localSheetId="2" hidden="1">{"'Sheet1'!$L$16"}</definedName>
    <definedName name="_lk2" localSheetId="3" hidden="1">{"'Sheet1'!$L$16"}</definedName>
    <definedName name="_lk2" localSheetId="6" hidden="1">{"'Sheet1'!$L$16"}</definedName>
    <definedName name="_lk2" localSheetId="7" hidden="1">{"'Sheet1'!$L$16"}</definedName>
    <definedName name="_lk2" localSheetId="9" hidden="1">{"'Sheet1'!$L$16"}</definedName>
    <definedName name="_lk2" localSheetId="10" hidden="1">{"'Sheet1'!$L$16"}</definedName>
    <definedName name="_lk2" localSheetId="12" hidden="1">{"'Sheet1'!$L$16"}</definedName>
    <definedName name="_lk2" localSheetId="11" hidden="1">{"'Sheet1'!$L$16"}</definedName>
    <definedName name="_lk2" localSheetId="13" hidden="1">{"'Sheet1'!$L$16"}</definedName>
    <definedName name="_lk2" localSheetId="14" hidden="1">{"'Sheet1'!$L$16"}</definedName>
    <definedName name="_lk2" hidden="1">{"'Sheet1'!$L$16"}</definedName>
    <definedName name="_NSO2" localSheetId="2" hidden="1">{"'Sheet1'!$L$16"}</definedName>
    <definedName name="_NSO2" localSheetId="3" hidden="1">{"'Sheet1'!$L$16"}</definedName>
    <definedName name="_NSO2" localSheetId="6" hidden="1">{"'Sheet1'!$L$16"}</definedName>
    <definedName name="_NSO2" localSheetId="7" hidden="1">{"'Sheet1'!$L$16"}</definedName>
    <definedName name="_NSO2" localSheetId="9" hidden="1">{"'Sheet1'!$L$16"}</definedName>
    <definedName name="_NSO2" localSheetId="10" hidden="1">{"'Sheet1'!$L$16"}</definedName>
    <definedName name="_NSO2" localSheetId="12" hidden="1">{"'Sheet1'!$L$16"}</definedName>
    <definedName name="_NSO2" localSheetId="11" hidden="1">{"'Sheet1'!$L$16"}</definedName>
    <definedName name="_NSO2" localSheetId="13" hidden="1">{"'Sheet1'!$L$16"}</definedName>
    <definedName name="_NSO2" localSheetId="14" hidden="1">{"'Sheet1'!$L$16"}</definedName>
    <definedName name="_NSO2" hidden="1">{"'Sheet1'!$L$16"}</definedName>
    <definedName name="_Order1" hidden="1">255</definedName>
    <definedName name="_Order2" hidden="1">255</definedName>
    <definedName name="_PA3" localSheetId="2" hidden="1">{"'Sheet1'!$L$16"}</definedName>
    <definedName name="_PA3" localSheetId="3" hidden="1">{"'Sheet1'!$L$16"}</definedName>
    <definedName name="_PA3" localSheetId="6" hidden="1">{"'Sheet1'!$L$16"}</definedName>
    <definedName name="_PA3" localSheetId="7" hidden="1">{"'Sheet1'!$L$16"}</definedName>
    <definedName name="_PA3" localSheetId="9" hidden="1">{"'Sheet1'!$L$16"}</definedName>
    <definedName name="_PA3" localSheetId="10" hidden="1">{"'Sheet1'!$L$16"}</definedName>
    <definedName name="_PA3" localSheetId="12" hidden="1">{"'Sheet1'!$L$16"}</definedName>
    <definedName name="_PA3" localSheetId="11" hidden="1">{"'Sheet1'!$L$16"}</definedName>
    <definedName name="_PA3" localSheetId="13" hidden="1">{"'Sheet1'!$L$16"}</definedName>
    <definedName name="_PA3" localSheetId="14" hidden="1">{"'Sheet1'!$L$16"}</definedName>
    <definedName name="_PA3" hidden="1">{"'Sheet1'!$L$16"}</definedName>
    <definedName name="_Pl2" localSheetId="2" hidden="1">{"'Sheet1'!$L$16"}</definedName>
    <definedName name="_Pl2" localSheetId="3" hidden="1">{"'Sheet1'!$L$16"}</definedName>
    <definedName name="_Pl2" localSheetId="6" hidden="1">{"'Sheet1'!$L$16"}</definedName>
    <definedName name="_Pl2" localSheetId="7" hidden="1">{"'Sheet1'!$L$16"}</definedName>
    <definedName name="_Pl2" localSheetId="9" hidden="1">{"'Sheet1'!$L$16"}</definedName>
    <definedName name="_Pl2" localSheetId="10" hidden="1">{"'Sheet1'!$L$16"}</definedName>
    <definedName name="_Pl2" localSheetId="12" hidden="1">{"'Sheet1'!$L$16"}</definedName>
    <definedName name="_Pl2" localSheetId="11" hidden="1">{"'Sheet1'!$L$16"}</definedName>
    <definedName name="_Pl2" localSheetId="13" hidden="1">{"'Sheet1'!$L$16"}</definedName>
    <definedName name="_Pl2" localSheetId="14" hidden="1">{"'Sheet1'!$L$16"}</definedName>
    <definedName name="_Pl2" hidden="1">{"'Sheet1'!$L$16"}</definedName>
    <definedName name="_Sort" localSheetId="6" hidden="1">#REF!</definedName>
    <definedName name="_Sort" localSheetId="7" hidden="1">#REF!</definedName>
    <definedName name="_Sort" localSheetId="9" hidden="1">#REF!</definedName>
    <definedName name="_Sort" localSheetId="10" hidden="1">#REF!</definedName>
    <definedName name="_Sort" localSheetId="12" hidden="1">#REF!</definedName>
    <definedName name="_Sort" localSheetId="11" hidden="1">#REF!</definedName>
    <definedName name="_Sort" hidden="1">#REF!</definedName>
    <definedName name="_tt3" localSheetId="2" hidden="1">{"'Sheet1'!$L$16"}</definedName>
    <definedName name="_tt3" localSheetId="3" hidden="1">{"'Sheet1'!$L$16"}</definedName>
    <definedName name="_tt3" localSheetId="6" hidden="1">{"'Sheet1'!$L$16"}</definedName>
    <definedName name="_tt3" localSheetId="7" hidden="1">{"'Sheet1'!$L$16"}</definedName>
    <definedName name="_tt3" localSheetId="9" hidden="1">{"'Sheet1'!$L$16"}</definedName>
    <definedName name="_tt3" localSheetId="10" hidden="1">{"'Sheet1'!$L$16"}</definedName>
    <definedName name="_tt3" localSheetId="12" hidden="1">{"'Sheet1'!$L$16"}</definedName>
    <definedName name="_tt3" localSheetId="11" hidden="1">{"'Sheet1'!$L$16"}</definedName>
    <definedName name="_tt3" localSheetId="13" hidden="1">{"'Sheet1'!$L$16"}</definedName>
    <definedName name="_tt3" localSheetId="14" hidden="1">{"'Sheet1'!$L$16"}</definedName>
    <definedName name="_tt3" hidden="1">{"'Sheet1'!$L$16"}</definedName>
    <definedName name="_TT31" localSheetId="2" hidden="1">{"'Sheet1'!$L$16"}</definedName>
    <definedName name="_TT31" localSheetId="3" hidden="1">{"'Sheet1'!$L$16"}</definedName>
    <definedName name="_TT31" localSheetId="6" hidden="1">{"'Sheet1'!$L$16"}</definedName>
    <definedName name="_TT31" localSheetId="7" hidden="1">{"'Sheet1'!$L$16"}</definedName>
    <definedName name="_TT31" localSheetId="9" hidden="1">{"'Sheet1'!$L$16"}</definedName>
    <definedName name="_TT31" localSheetId="10" hidden="1">{"'Sheet1'!$L$16"}</definedName>
    <definedName name="_TT31" localSheetId="12" hidden="1">{"'Sheet1'!$L$16"}</definedName>
    <definedName name="_TT31" localSheetId="11" hidden="1">{"'Sheet1'!$L$16"}</definedName>
    <definedName name="_TT31" localSheetId="13" hidden="1">{"'Sheet1'!$L$16"}</definedName>
    <definedName name="_TT31" localSheetId="14" hidden="1">{"'Sheet1'!$L$16"}</definedName>
    <definedName name="_TT31" hidden="1">{"'Sheet1'!$L$16"}</definedName>
    <definedName name="_Tru21" localSheetId="2" hidden="1">{"'Sheet1'!$L$16"}</definedName>
    <definedName name="_Tru21" localSheetId="3" hidden="1">{"'Sheet1'!$L$16"}</definedName>
    <definedName name="_Tru21" localSheetId="6" hidden="1">{"'Sheet1'!$L$16"}</definedName>
    <definedName name="_Tru21" localSheetId="7" hidden="1">{"'Sheet1'!$L$16"}</definedName>
    <definedName name="_Tru21" localSheetId="9" hidden="1">{"'Sheet1'!$L$16"}</definedName>
    <definedName name="_Tru21" localSheetId="10" hidden="1">{"'Sheet1'!$L$16"}</definedName>
    <definedName name="_Tru21" localSheetId="12" hidden="1">{"'Sheet1'!$L$16"}</definedName>
    <definedName name="_Tru21" localSheetId="11" hidden="1">{"'Sheet1'!$L$16"}</definedName>
    <definedName name="_Tru21" localSheetId="13" hidden="1">{"'Sheet1'!$L$16"}</definedName>
    <definedName name="_Tru21" localSheetId="14" hidden="1">{"'Sheet1'!$L$16"}</definedName>
    <definedName name="_Tru21" hidden="1">{"'Sheet1'!$L$16"}</definedName>
    <definedName name="_vl2" localSheetId="2" hidden="1">{"'Sheet1'!$L$16"}</definedName>
    <definedName name="_vl2" localSheetId="3" hidden="1">{"'Sheet1'!$L$16"}</definedName>
    <definedName name="_vl2" localSheetId="6" hidden="1">{"'Sheet1'!$L$16"}</definedName>
    <definedName name="_vl2" localSheetId="7" hidden="1">{"'Sheet1'!$L$16"}</definedName>
    <definedName name="_vl2" localSheetId="9" hidden="1">{"'Sheet1'!$L$16"}</definedName>
    <definedName name="_vl2" localSheetId="10" hidden="1">{"'Sheet1'!$L$16"}</definedName>
    <definedName name="_vl2" localSheetId="12" hidden="1">{"'Sheet1'!$L$16"}</definedName>
    <definedName name="_vl2" localSheetId="11" hidden="1">{"'Sheet1'!$L$16"}</definedName>
    <definedName name="_vl2" localSheetId="13" hidden="1">{"'Sheet1'!$L$16"}</definedName>
    <definedName name="_vl2" localSheetId="14" hidden="1">{"'Sheet1'!$L$16"}</definedName>
    <definedName name="_vl2" hidden="1">{"'Sheet1'!$L$16"}</definedName>
    <definedName name="_VM2" localSheetId="2" hidden="1">{"'Sheet1'!$L$16"}</definedName>
    <definedName name="_VM2" localSheetId="3" hidden="1">{"'Sheet1'!$L$16"}</definedName>
    <definedName name="_VM2" localSheetId="6" hidden="1">{"'Sheet1'!$L$16"}</definedName>
    <definedName name="_VM2" localSheetId="7" hidden="1">{"'Sheet1'!$L$16"}</definedName>
    <definedName name="_VM2" localSheetId="9" hidden="1">{"'Sheet1'!$L$16"}</definedName>
    <definedName name="_VM2" localSheetId="10" hidden="1">{"'Sheet1'!$L$16"}</definedName>
    <definedName name="_VM2" localSheetId="12" hidden="1">{"'Sheet1'!$L$16"}</definedName>
    <definedName name="_VM2" localSheetId="11" hidden="1">{"'Sheet1'!$L$16"}</definedName>
    <definedName name="_VM2" localSheetId="13" hidden="1">{"'Sheet1'!$L$16"}</definedName>
    <definedName name="_VM2" localSheetId="14" hidden="1">{"'Sheet1'!$L$16"}</definedName>
    <definedName name="_VM2" hidden="1">{"'Sheet1'!$L$16"}</definedName>
    <definedName name="AccessDatabase" hidden="1">"C:\My Documents\LeBinh\Xls\VP Cong ty\FORM.mdb"</definedName>
    <definedName name="ADADADD" localSheetId="2" hidden="1">{"'Sheet1'!$L$16"}</definedName>
    <definedName name="ADADADD" localSheetId="3" hidden="1">{"'Sheet1'!$L$16"}</definedName>
    <definedName name="ADADADD" localSheetId="6" hidden="1">{"'Sheet1'!$L$16"}</definedName>
    <definedName name="ADADADD" localSheetId="7" hidden="1">{"'Sheet1'!$L$16"}</definedName>
    <definedName name="ADADADD" localSheetId="9" hidden="1">{"'Sheet1'!$L$16"}</definedName>
    <definedName name="ADADADD" localSheetId="10" hidden="1">{"'Sheet1'!$L$16"}</definedName>
    <definedName name="ADADADD" localSheetId="12" hidden="1">{"'Sheet1'!$L$16"}</definedName>
    <definedName name="ADADADD" localSheetId="11" hidden="1">{"'Sheet1'!$L$16"}</definedName>
    <definedName name="ADADADD" localSheetId="13" hidden="1">{"'Sheet1'!$L$16"}</definedName>
    <definedName name="ADADADD" localSheetId="14" hidden="1">{"'Sheet1'!$L$16"}</definedName>
    <definedName name="ADADADD" hidden="1">{"'Sheet1'!$L$16"}</definedName>
    <definedName name="anscount" hidden="1">6</definedName>
    <definedName name="ATGT" localSheetId="2" hidden="1">{"'Sheet1'!$L$16"}</definedName>
    <definedName name="ATGT" localSheetId="3" hidden="1">{"'Sheet1'!$L$16"}</definedName>
    <definedName name="ATGT" localSheetId="6" hidden="1">{"'Sheet1'!$L$16"}</definedName>
    <definedName name="ATGT" localSheetId="7" hidden="1">{"'Sheet1'!$L$16"}</definedName>
    <definedName name="ATGT" localSheetId="9" hidden="1">{"'Sheet1'!$L$16"}</definedName>
    <definedName name="ATGT" localSheetId="10" hidden="1">{"'Sheet1'!$L$16"}</definedName>
    <definedName name="ATGT" localSheetId="12" hidden="1">{"'Sheet1'!$L$16"}</definedName>
    <definedName name="ATGT" localSheetId="11" hidden="1">{"'Sheet1'!$L$16"}</definedName>
    <definedName name="ATGT" localSheetId="13" hidden="1">{"'Sheet1'!$L$16"}</definedName>
    <definedName name="ATGT" localSheetId="14" hidden="1">{"'Sheet1'!$L$16"}</definedName>
    <definedName name="ATGT" hidden="1">{"'Sheet1'!$L$16"}</definedName>
    <definedName name="â" localSheetId="2" hidden="1">{"'Sheet1'!$L$16"}</definedName>
    <definedName name="â" localSheetId="3" hidden="1">{"'Sheet1'!$L$16"}</definedName>
    <definedName name="â" localSheetId="6" hidden="1">{"'Sheet1'!$L$16"}</definedName>
    <definedName name="â" localSheetId="7" hidden="1">{"'Sheet1'!$L$16"}</definedName>
    <definedName name="â" localSheetId="9" hidden="1">{"'Sheet1'!$L$16"}</definedName>
    <definedName name="â" localSheetId="10" hidden="1">{"'Sheet1'!$L$16"}</definedName>
    <definedName name="â" localSheetId="12" hidden="1">{"'Sheet1'!$L$16"}</definedName>
    <definedName name="â" localSheetId="11" hidden="1">{"'Sheet1'!$L$16"}</definedName>
    <definedName name="â" localSheetId="13" hidden="1">{"'Sheet1'!$L$16"}</definedName>
    <definedName name="â" localSheetId="14" hidden="1">{"'Sheet1'!$L$16"}</definedName>
    <definedName name="â" hidden="1">{"'Sheet1'!$L$16"}</definedName>
    <definedName name="b" localSheetId="2" hidden="1">{"'Sheet1'!$L$16"}</definedName>
    <definedName name="b" localSheetId="3" hidden="1">{"'Sheet1'!$L$16"}</definedName>
    <definedName name="b" localSheetId="6" hidden="1">{"'Sheet1'!$L$16"}</definedName>
    <definedName name="b" localSheetId="7" hidden="1">{"'Sheet1'!$L$16"}</definedName>
    <definedName name="b" localSheetId="9" hidden="1">{"'Sheet1'!$L$16"}</definedName>
    <definedName name="b" localSheetId="10" hidden="1">{"'Sheet1'!$L$16"}</definedName>
    <definedName name="b" localSheetId="12" hidden="1">{"'Sheet1'!$L$16"}</definedName>
    <definedName name="b" localSheetId="11" hidden="1">{"'Sheet1'!$L$16"}</definedName>
    <definedName name="b" localSheetId="13" hidden="1">{"'Sheet1'!$L$16"}</definedName>
    <definedName name="b" localSheetId="14" hidden="1">{"'Sheet1'!$L$16"}</definedName>
    <definedName name="b" hidden="1">{"'Sheet1'!$L$16"}</definedName>
    <definedName name="BCBo" localSheetId="2" hidden="1">{"'Sheet1'!$L$16"}</definedName>
    <definedName name="BCBo" localSheetId="3" hidden="1">{"'Sheet1'!$L$16"}</definedName>
    <definedName name="BCBo" localSheetId="6" hidden="1">{"'Sheet1'!$L$16"}</definedName>
    <definedName name="BCBo" localSheetId="7" hidden="1">{"'Sheet1'!$L$16"}</definedName>
    <definedName name="BCBo" localSheetId="9" hidden="1">{"'Sheet1'!$L$16"}</definedName>
    <definedName name="BCBo" localSheetId="10" hidden="1">{"'Sheet1'!$L$16"}</definedName>
    <definedName name="BCBo" localSheetId="12" hidden="1">{"'Sheet1'!$L$16"}</definedName>
    <definedName name="BCBo" localSheetId="11" hidden="1">{"'Sheet1'!$L$16"}</definedName>
    <definedName name="BCBo" localSheetId="13" hidden="1">{"'Sheet1'!$L$16"}</definedName>
    <definedName name="BCBo" localSheetId="14" hidden="1">{"'Sheet1'!$L$16"}</definedName>
    <definedName name="BCBo" hidden="1">{"'Sheet1'!$L$16"}</definedName>
    <definedName name="btnm3" localSheetId="2" hidden="1">{"'Sheet1'!$L$16"}</definedName>
    <definedName name="btnm3" localSheetId="3" hidden="1">{"'Sheet1'!$L$16"}</definedName>
    <definedName name="btnm3" localSheetId="6" hidden="1">{"'Sheet1'!$L$16"}</definedName>
    <definedName name="btnm3" localSheetId="7" hidden="1">{"'Sheet1'!$L$16"}</definedName>
    <definedName name="btnm3" localSheetId="9" hidden="1">{"'Sheet1'!$L$16"}</definedName>
    <definedName name="btnm3" localSheetId="10" hidden="1">{"'Sheet1'!$L$16"}</definedName>
    <definedName name="btnm3" localSheetId="12" hidden="1">{"'Sheet1'!$L$16"}</definedName>
    <definedName name="btnm3" localSheetId="11" hidden="1">{"'Sheet1'!$L$16"}</definedName>
    <definedName name="btnm3" localSheetId="13" hidden="1">{"'Sheet1'!$L$16"}</definedName>
    <definedName name="btnm3" localSheetId="14" hidden="1">{"'Sheet1'!$L$16"}</definedName>
    <definedName name="btnm3" hidden="1">{"'Sheet1'!$L$16"}</definedName>
    <definedName name="Coc_60" localSheetId="2" hidden="1">{"'Sheet1'!$L$16"}</definedName>
    <definedName name="Coc_60" localSheetId="3" hidden="1">{"'Sheet1'!$L$16"}</definedName>
    <definedName name="Coc_60" localSheetId="6" hidden="1">{"'Sheet1'!$L$16"}</definedName>
    <definedName name="Coc_60" localSheetId="7" hidden="1">{"'Sheet1'!$L$16"}</definedName>
    <definedName name="Coc_60" localSheetId="9" hidden="1">{"'Sheet1'!$L$16"}</definedName>
    <definedName name="Coc_60" localSheetId="10" hidden="1">{"'Sheet1'!$L$16"}</definedName>
    <definedName name="Coc_60" localSheetId="12" hidden="1">{"'Sheet1'!$L$16"}</definedName>
    <definedName name="Coc_60" localSheetId="11" hidden="1">{"'Sheet1'!$L$16"}</definedName>
    <definedName name="Coc_60" localSheetId="13" hidden="1">{"'Sheet1'!$L$16"}</definedName>
    <definedName name="Coc_60" localSheetId="14" hidden="1">{"'Sheet1'!$L$16"}</definedName>
    <definedName name="Coc_60" hidden="1">{"'Sheet1'!$L$16"}</definedName>
    <definedName name="Code" localSheetId="6" hidden="1">#REF!</definedName>
    <definedName name="Code" localSheetId="7" hidden="1">#REF!</definedName>
    <definedName name="Code" localSheetId="9" hidden="1">#REF!</definedName>
    <definedName name="Code" localSheetId="10" hidden="1">#REF!</definedName>
    <definedName name="Code" localSheetId="12" hidden="1">#REF!</definedName>
    <definedName name="Code" localSheetId="11" hidden="1">#REF!</definedName>
    <definedName name="Code" hidden="1">#REF!</definedName>
    <definedName name="CTCT1" localSheetId="2" hidden="1">{"'Sheet1'!$L$16"}</definedName>
    <definedName name="CTCT1" localSheetId="3" hidden="1">{"'Sheet1'!$L$16"}</definedName>
    <definedName name="CTCT1" localSheetId="6" hidden="1">{"'Sheet1'!$L$16"}</definedName>
    <definedName name="CTCT1" localSheetId="7" hidden="1">{"'Sheet1'!$L$16"}</definedName>
    <definedName name="CTCT1" localSheetId="9" hidden="1">{"'Sheet1'!$L$16"}</definedName>
    <definedName name="CTCT1" localSheetId="10" hidden="1">{"'Sheet1'!$L$16"}</definedName>
    <definedName name="CTCT1" localSheetId="12" hidden="1">{"'Sheet1'!$L$16"}</definedName>
    <definedName name="CTCT1" localSheetId="11" hidden="1">{"'Sheet1'!$L$16"}</definedName>
    <definedName name="CTCT1" localSheetId="13" hidden="1">{"'Sheet1'!$L$16"}</definedName>
    <definedName name="CTCT1" localSheetId="14" hidden="1">{"'Sheet1'!$L$16"}</definedName>
    <definedName name="CTCT1" hidden="1">{"'Sheet1'!$L$16"}</definedName>
    <definedName name="chitietbgiang2" localSheetId="2" hidden="1">{"'Sheet1'!$L$16"}</definedName>
    <definedName name="chitietbgiang2" localSheetId="3" hidden="1">{"'Sheet1'!$L$16"}</definedName>
    <definedName name="chitietbgiang2" localSheetId="6" hidden="1">{"'Sheet1'!$L$16"}</definedName>
    <definedName name="chitietbgiang2" localSheetId="7" hidden="1">{"'Sheet1'!$L$16"}</definedName>
    <definedName name="chitietbgiang2" localSheetId="9" hidden="1">{"'Sheet1'!$L$16"}</definedName>
    <definedName name="chitietbgiang2" localSheetId="10" hidden="1">{"'Sheet1'!$L$16"}</definedName>
    <definedName name="chitietbgiang2" localSheetId="12" hidden="1">{"'Sheet1'!$L$16"}</definedName>
    <definedName name="chitietbgiang2" localSheetId="11" hidden="1">{"'Sheet1'!$L$16"}</definedName>
    <definedName name="chitietbgiang2" localSheetId="13" hidden="1">{"'Sheet1'!$L$16"}</definedName>
    <definedName name="chitietbgiang2" localSheetId="14" hidden="1">{"'Sheet1'!$L$16"}</definedName>
    <definedName name="chitietbgiang2" hidden="1">{"'Sheet1'!$L$16"}</definedName>
    <definedName name="chuong_phuluc_48_name" localSheetId="2">'Bieu 48'!$B$2</definedName>
    <definedName name="chuong_phuluc_50_name" localSheetId="3">'Bieu 50_'!$B$2</definedName>
    <definedName name="chuong_phuluc_51_name" localSheetId="4">'Bieu 51_'!$B$2</definedName>
    <definedName name="chuong_phuluc_52_name" localSheetId="5">'bieu 52_'!$A$2</definedName>
    <definedName name="chuong_phuluc_53_name" localSheetId="6">'bieu 53_'!$A$2</definedName>
    <definedName name="chuong_phuluc_58_name" localSheetId="9">'Bieu 58'!$A$2</definedName>
    <definedName name="chuong_phuluc_59_name" localSheetId="10">'Bieu 59'!$A$2</definedName>
    <definedName name="d" localSheetId="2" hidden="1">{"'Sheet1'!$L$16"}</definedName>
    <definedName name="d" localSheetId="3" hidden="1">{"'Sheet1'!$L$16"}</definedName>
    <definedName name="d" localSheetId="6" hidden="1">{"'Sheet1'!$L$16"}</definedName>
    <definedName name="d" localSheetId="7" hidden="1">{"'Sheet1'!$L$16"}</definedName>
    <definedName name="d" localSheetId="9" hidden="1">{"'Sheet1'!$L$16"}</definedName>
    <definedName name="d" localSheetId="10" hidden="1">{"'Sheet1'!$L$16"}</definedName>
    <definedName name="d" localSheetId="12" hidden="1">{"'Sheet1'!$L$16"}</definedName>
    <definedName name="d" localSheetId="11" hidden="1">{"'Sheet1'!$L$16"}</definedName>
    <definedName name="d" localSheetId="13" hidden="1">{"'Sheet1'!$L$16"}</definedName>
    <definedName name="d" localSheetId="14" hidden="1">{"'Sheet1'!$L$16"}</definedName>
    <definedName name="d" hidden="1">{"'Sheet1'!$L$16"}</definedName>
    <definedName name="data1" localSheetId="6" hidden="1">#REF!</definedName>
    <definedName name="data1" localSheetId="7" hidden="1">#REF!</definedName>
    <definedName name="data1" localSheetId="9" hidden="1">#REF!</definedName>
    <definedName name="data1" localSheetId="10" hidden="1">#REF!</definedName>
    <definedName name="data1" localSheetId="12" hidden="1">#REF!</definedName>
    <definedName name="data1" localSheetId="11" hidden="1">#REF!</definedName>
    <definedName name="data1" hidden="1">#REF!</definedName>
    <definedName name="data2" localSheetId="6" hidden="1">#REF!</definedName>
    <definedName name="data2" localSheetId="7" hidden="1">#REF!</definedName>
    <definedName name="data2" localSheetId="9" hidden="1">#REF!</definedName>
    <definedName name="data2" localSheetId="10" hidden="1">#REF!</definedName>
    <definedName name="data2" localSheetId="12" hidden="1">#REF!</definedName>
    <definedName name="data2" localSheetId="11" hidden="1">#REF!</definedName>
    <definedName name="data2" hidden="1">#REF!</definedName>
    <definedName name="data3" localSheetId="6" hidden="1">#REF!</definedName>
    <definedName name="data3" localSheetId="7" hidden="1">#REF!</definedName>
    <definedName name="data3" localSheetId="9" hidden="1">#REF!</definedName>
    <definedName name="data3" localSheetId="10" hidden="1">#REF!</definedName>
    <definedName name="data3" localSheetId="12" hidden="1">#REF!</definedName>
    <definedName name="data3" localSheetId="11" hidden="1">#REF!</definedName>
    <definedName name="data3" hidden="1">#REF!</definedName>
    <definedName name="DenDK" localSheetId="2" hidden="1">{"'Sheet1'!$L$16"}</definedName>
    <definedName name="DenDK" localSheetId="3" hidden="1">{"'Sheet1'!$L$16"}</definedName>
    <definedName name="DenDK" localSheetId="6" hidden="1">{"'Sheet1'!$L$16"}</definedName>
    <definedName name="DenDK" localSheetId="7" hidden="1">{"'Sheet1'!$L$16"}</definedName>
    <definedName name="DenDK" localSheetId="9" hidden="1">{"'Sheet1'!$L$16"}</definedName>
    <definedName name="DenDK" localSheetId="10" hidden="1">{"'Sheet1'!$L$16"}</definedName>
    <definedName name="DenDK" localSheetId="12" hidden="1">{"'Sheet1'!$L$16"}</definedName>
    <definedName name="DenDK" localSheetId="11" hidden="1">{"'Sheet1'!$L$16"}</definedName>
    <definedName name="DenDK" localSheetId="13" hidden="1">{"'Sheet1'!$L$16"}</definedName>
    <definedName name="DenDK" localSheetId="14" hidden="1">{"'Sheet1'!$L$16"}</definedName>
    <definedName name="DenDK" hidden="1">{"'Sheet1'!$L$16"}</definedName>
    <definedName name="dfg" localSheetId="2" hidden="1">{"'Sheet1'!$L$16"}</definedName>
    <definedName name="dfg" localSheetId="3" hidden="1">{"'Sheet1'!$L$16"}</definedName>
    <definedName name="dfg" localSheetId="6" hidden="1">{"'Sheet1'!$L$16"}</definedName>
    <definedName name="dfg" localSheetId="7" hidden="1">{"'Sheet1'!$L$16"}</definedName>
    <definedName name="dfg" localSheetId="9" hidden="1">{"'Sheet1'!$L$16"}</definedName>
    <definedName name="dfg" localSheetId="10" hidden="1">{"'Sheet1'!$L$16"}</definedName>
    <definedName name="dfg" localSheetId="12" hidden="1">{"'Sheet1'!$L$16"}</definedName>
    <definedName name="dfg" localSheetId="11" hidden="1">{"'Sheet1'!$L$16"}</definedName>
    <definedName name="dfg" localSheetId="13" hidden="1">{"'Sheet1'!$L$16"}</definedName>
    <definedName name="dfg" localSheetId="14" hidden="1">{"'Sheet1'!$L$16"}</definedName>
    <definedName name="dfg" hidden="1">{"'Sheet1'!$L$16"}</definedName>
    <definedName name="dgctp2" localSheetId="2" hidden="1">{"'Sheet1'!$L$16"}</definedName>
    <definedName name="dgctp2" localSheetId="3" hidden="1">{"'Sheet1'!$L$16"}</definedName>
    <definedName name="dgctp2" localSheetId="6" hidden="1">{"'Sheet1'!$L$16"}</definedName>
    <definedName name="dgctp2" localSheetId="7" hidden="1">{"'Sheet1'!$L$16"}</definedName>
    <definedName name="dgctp2" localSheetId="9" hidden="1">{"'Sheet1'!$L$16"}</definedName>
    <definedName name="dgctp2" localSheetId="10" hidden="1">{"'Sheet1'!$L$16"}</definedName>
    <definedName name="dgctp2" localSheetId="12" hidden="1">{"'Sheet1'!$L$16"}</definedName>
    <definedName name="dgctp2" localSheetId="11" hidden="1">{"'Sheet1'!$L$16"}</definedName>
    <definedName name="dgctp2" localSheetId="13" hidden="1">{"'Sheet1'!$L$16"}</definedName>
    <definedName name="dgctp2" localSheetId="14" hidden="1">{"'Sheet1'!$L$16"}</definedName>
    <definedName name="dgctp2" hidden="1">{"'Sheet1'!$L$16"}</definedName>
    <definedName name="Discount" localSheetId="6" hidden="1">#REF!</definedName>
    <definedName name="Discount" localSheetId="7" hidden="1">#REF!</definedName>
    <definedName name="Discount" localSheetId="9" hidden="1">#REF!</definedName>
    <definedName name="Discount" localSheetId="10" hidden="1">#REF!</definedName>
    <definedName name="Discount" localSheetId="12" hidden="1">#REF!</definedName>
    <definedName name="Discount" localSheetId="11" hidden="1">#REF!</definedName>
    <definedName name="Discount" hidden="1">#REF!</definedName>
    <definedName name="display_area_2" localSheetId="6" hidden="1">#REF!</definedName>
    <definedName name="display_area_2" localSheetId="7" hidden="1">#REF!</definedName>
    <definedName name="display_area_2" localSheetId="9" hidden="1">#REF!</definedName>
    <definedName name="display_area_2" localSheetId="10" hidden="1">#REF!</definedName>
    <definedName name="display_area_2" localSheetId="12" hidden="1">#REF!</definedName>
    <definedName name="display_area_2" localSheetId="11" hidden="1">#REF!</definedName>
    <definedName name="display_area_2" hidden="1">#REF!</definedName>
    <definedName name="dsh" localSheetId="6" hidden="1">#REF!</definedName>
    <definedName name="dsh" localSheetId="7" hidden="1">#REF!</definedName>
    <definedName name="dsh" localSheetId="9" hidden="1">#REF!</definedName>
    <definedName name="dsh" localSheetId="10" hidden="1">#REF!</definedName>
    <definedName name="dsh" localSheetId="12" hidden="1">#REF!</definedName>
    <definedName name="dsh" localSheetId="11" hidden="1">#REF!</definedName>
    <definedName name="dsh" hidden="1">#REF!</definedName>
    <definedName name="DUCANH" localSheetId="2" hidden="1">{"'Sheet1'!$L$16"}</definedName>
    <definedName name="DUCANH" localSheetId="3" hidden="1">{"'Sheet1'!$L$16"}</definedName>
    <definedName name="DUCANH" localSheetId="6" hidden="1">{"'Sheet1'!$L$16"}</definedName>
    <definedName name="DUCANH" localSheetId="7" hidden="1">{"'Sheet1'!$L$16"}</definedName>
    <definedName name="DUCANH" localSheetId="9" hidden="1">{"'Sheet1'!$L$16"}</definedName>
    <definedName name="DUCANH" localSheetId="10" hidden="1">{"'Sheet1'!$L$16"}</definedName>
    <definedName name="DUCANH" localSheetId="12" hidden="1">{"'Sheet1'!$L$16"}</definedName>
    <definedName name="DUCANH" localSheetId="11" hidden="1">{"'Sheet1'!$L$16"}</definedName>
    <definedName name="DUCANH" localSheetId="13" hidden="1">{"'Sheet1'!$L$16"}</definedName>
    <definedName name="DUCANH" localSheetId="14" hidden="1">{"'Sheet1'!$L$16"}</definedName>
    <definedName name="DUCANH" hidden="1">{"'Sheet1'!$L$16"}</definedName>
    <definedName name="E" localSheetId="2" hidden="1">{#N/A,#N/A,FALSE,"BN (2)"}</definedName>
    <definedName name="E" localSheetId="3" hidden="1">{#N/A,#N/A,FALSE,"BN (2)"}</definedName>
    <definedName name="E" localSheetId="6" hidden="1">{#N/A,#N/A,FALSE,"BN (2)"}</definedName>
    <definedName name="E" localSheetId="7" hidden="1">{#N/A,#N/A,FALSE,"BN (2)"}</definedName>
    <definedName name="E" localSheetId="9" hidden="1">{#N/A,#N/A,FALSE,"BN (2)"}</definedName>
    <definedName name="E" localSheetId="10" hidden="1">{#N/A,#N/A,FALSE,"BN (2)"}</definedName>
    <definedName name="E" localSheetId="12" hidden="1">{#N/A,#N/A,FALSE,"BN (2)"}</definedName>
    <definedName name="E" localSheetId="11" hidden="1">{#N/A,#N/A,FALSE,"BN (2)"}</definedName>
    <definedName name="E" localSheetId="13" hidden="1">{#N/A,#N/A,FALSE,"BN (2)"}</definedName>
    <definedName name="E" localSheetId="14" hidden="1">{#N/A,#N/A,FALSE,"BN (2)"}</definedName>
    <definedName name="E" hidden="1">{#N/A,#N/A,FALSE,"BN (2)"}</definedName>
    <definedName name="f" localSheetId="2" hidden="1">{"'Sheet1'!$L$16"}</definedName>
    <definedName name="f" localSheetId="3" hidden="1">{"'Sheet1'!$L$16"}</definedName>
    <definedName name="f" localSheetId="6" hidden="1">{"'Sheet1'!$L$16"}</definedName>
    <definedName name="f" localSheetId="7" hidden="1">{"'Sheet1'!$L$16"}</definedName>
    <definedName name="f" localSheetId="9" hidden="1">{"'Sheet1'!$L$16"}</definedName>
    <definedName name="f" localSheetId="10" hidden="1">{"'Sheet1'!$L$16"}</definedName>
    <definedName name="f" localSheetId="12" hidden="1">{"'Sheet1'!$L$16"}</definedName>
    <definedName name="f" localSheetId="11" hidden="1">{"'Sheet1'!$L$16"}</definedName>
    <definedName name="f" localSheetId="13" hidden="1">{"'Sheet1'!$L$16"}</definedName>
    <definedName name="f" localSheetId="14" hidden="1">{"'Sheet1'!$L$16"}</definedName>
    <definedName name="f" hidden="1">{"'Sheet1'!$L$16"}</definedName>
    <definedName name="FCode" localSheetId="6" hidden="1">#REF!</definedName>
    <definedName name="FCode" localSheetId="7" hidden="1">#REF!</definedName>
    <definedName name="FCode" localSheetId="9" hidden="1">#REF!</definedName>
    <definedName name="FCode" localSheetId="10" hidden="1">#REF!</definedName>
    <definedName name="FCode" localSheetId="12" hidden="1">#REF!</definedName>
    <definedName name="FCode" localSheetId="11" hidden="1">#REF!</definedName>
    <definedName name="FCode" hidden="1">#REF!</definedName>
    <definedName name="fsdfdsf" localSheetId="2" hidden="1">{"'Sheet1'!$L$16"}</definedName>
    <definedName name="fsdfdsf" localSheetId="3" hidden="1">{"'Sheet1'!$L$16"}</definedName>
    <definedName name="fsdfdsf" localSheetId="6" hidden="1">{"'Sheet1'!$L$16"}</definedName>
    <definedName name="fsdfdsf" localSheetId="7" hidden="1">{"'Sheet1'!$L$16"}</definedName>
    <definedName name="fsdfdsf" localSheetId="9" hidden="1">{"'Sheet1'!$L$16"}</definedName>
    <definedName name="fsdfdsf" localSheetId="10" hidden="1">{"'Sheet1'!$L$16"}</definedName>
    <definedName name="fsdfdsf" localSheetId="12" hidden="1">{"'Sheet1'!$L$16"}</definedName>
    <definedName name="fsdfdsf" localSheetId="11" hidden="1">{"'Sheet1'!$L$16"}</definedName>
    <definedName name="fsdfdsf" localSheetId="13" hidden="1">{"'Sheet1'!$L$16"}</definedName>
    <definedName name="fsdfdsf" localSheetId="14" hidden="1">{"'Sheet1'!$L$16"}</definedName>
    <definedName name="fsdfdsf" hidden="1">{"'Sheet1'!$L$16"}</definedName>
    <definedName name="g" localSheetId="2" hidden="1">{"'Sheet1'!$L$16"}</definedName>
    <definedName name="g" localSheetId="3" hidden="1">{"'Sheet1'!$L$16"}</definedName>
    <definedName name="g" localSheetId="6" hidden="1">{"'Sheet1'!$L$16"}</definedName>
    <definedName name="g" localSheetId="7" hidden="1">{"'Sheet1'!$L$16"}</definedName>
    <definedName name="g" localSheetId="9" hidden="1">{"'Sheet1'!$L$16"}</definedName>
    <definedName name="g" localSheetId="10" hidden="1">{"'Sheet1'!$L$16"}</definedName>
    <definedName name="g" localSheetId="12" hidden="1">{"'Sheet1'!$L$16"}</definedName>
    <definedName name="g" localSheetId="11" hidden="1">{"'Sheet1'!$L$16"}</definedName>
    <definedName name="g" localSheetId="13" hidden="1">{"'Sheet1'!$L$16"}</definedName>
    <definedName name="g" localSheetId="14" hidden="1">{"'Sheet1'!$L$16"}</definedName>
    <definedName name="g" hidden="1">{"'Sheet1'!$L$16"}</definedName>
    <definedName name="h" localSheetId="2" hidden="1">{"'Sheet1'!$L$16"}</definedName>
    <definedName name="h" localSheetId="3" hidden="1">{"'Sheet1'!$L$16"}</definedName>
    <definedName name="h" localSheetId="6" hidden="1">{"'Sheet1'!$L$16"}</definedName>
    <definedName name="h" localSheetId="7" hidden="1">{"'Sheet1'!$L$16"}</definedName>
    <definedName name="h" localSheetId="9" hidden="1">{"'Sheet1'!$L$16"}</definedName>
    <definedName name="h" localSheetId="10" hidden="1">{"'Sheet1'!$L$16"}</definedName>
    <definedName name="h" localSheetId="12" hidden="1">{"'Sheet1'!$L$16"}</definedName>
    <definedName name="h" localSheetId="11" hidden="1">{"'Sheet1'!$L$16"}</definedName>
    <definedName name="h" localSheetId="13" hidden="1">{"'Sheet1'!$L$16"}</definedName>
    <definedName name="h" localSheetId="14" hidden="1">{"'Sheet1'!$L$16"}</definedName>
    <definedName name="h" hidden="1">{"'Sheet1'!$L$16"}</definedName>
    <definedName name="HANG" localSheetId="2" hidden="1">{#N/A,#N/A,FALSE,"Chi tiÆt"}</definedName>
    <definedName name="HANG" localSheetId="3" hidden="1">{#N/A,#N/A,FALSE,"Chi tiÆt"}</definedName>
    <definedName name="HANG" localSheetId="6" hidden="1">{#N/A,#N/A,FALSE,"Chi tiÆt"}</definedName>
    <definedName name="HANG" localSheetId="7" hidden="1">{#N/A,#N/A,FALSE,"Chi tiÆt"}</definedName>
    <definedName name="HANG" localSheetId="9" hidden="1">{#N/A,#N/A,FALSE,"Chi tiÆt"}</definedName>
    <definedName name="HANG" localSheetId="10" hidden="1">{#N/A,#N/A,FALSE,"Chi tiÆt"}</definedName>
    <definedName name="HANG" localSheetId="12" hidden="1">{#N/A,#N/A,FALSE,"Chi tiÆt"}</definedName>
    <definedName name="HANG" localSheetId="11" hidden="1">{#N/A,#N/A,FALSE,"Chi tiÆt"}</definedName>
    <definedName name="HANG" localSheetId="13" hidden="1">{#N/A,#N/A,FALSE,"Chi tiÆt"}</definedName>
    <definedName name="HANG" localSheetId="14" hidden="1">{#N/A,#N/A,FALSE,"Chi tiÆt"}</definedName>
    <definedName name="HANG" hidden="1">{#N/A,#N/A,FALSE,"Chi tiÆt"}</definedName>
    <definedName name="hhh" localSheetId="2" hidden="1">{"'Sheet1'!$L$16"}</definedName>
    <definedName name="hhh" localSheetId="3" hidden="1">{"'Sheet1'!$L$16"}</definedName>
    <definedName name="hhh" localSheetId="6" hidden="1">{"'Sheet1'!$L$16"}</definedName>
    <definedName name="hhh" localSheetId="7" hidden="1">{"'Sheet1'!$L$16"}</definedName>
    <definedName name="hhh" localSheetId="9" hidden="1">{"'Sheet1'!$L$16"}</definedName>
    <definedName name="hhh" localSheetId="10" hidden="1">{"'Sheet1'!$L$16"}</definedName>
    <definedName name="hhh" localSheetId="12" hidden="1">{"'Sheet1'!$L$16"}</definedName>
    <definedName name="hhh" localSheetId="11" hidden="1">{"'Sheet1'!$L$16"}</definedName>
    <definedName name="hhh" localSheetId="13" hidden="1">{"'Sheet1'!$L$16"}</definedName>
    <definedName name="hhh" localSheetId="14" hidden="1">{"'Sheet1'!$L$16"}</definedName>
    <definedName name="hhh" hidden="1">{"'Sheet1'!$L$16"}</definedName>
    <definedName name="HiddenRows" localSheetId="6" hidden="1">#REF!</definedName>
    <definedName name="HiddenRows" localSheetId="7" hidden="1">#REF!</definedName>
    <definedName name="HiddenRows" localSheetId="9" hidden="1">#REF!</definedName>
    <definedName name="HiddenRows" localSheetId="10" hidden="1">#REF!</definedName>
    <definedName name="HiddenRows" localSheetId="12" hidden="1">#REF!</definedName>
    <definedName name="HiddenRows" localSheetId="11" hidden="1">#REF!</definedName>
    <definedName name="HiddenRows" hidden="1">#REF!</definedName>
    <definedName name="HIHIHIHOI" localSheetId="2" hidden="1">{"'Sheet1'!$L$16"}</definedName>
    <definedName name="HIHIHIHOI" localSheetId="3" hidden="1">{"'Sheet1'!$L$16"}</definedName>
    <definedName name="HIHIHIHOI" localSheetId="6" hidden="1">{"'Sheet1'!$L$16"}</definedName>
    <definedName name="HIHIHIHOI" localSheetId="7" hidden="1">{"'Sheet1'!$L$16"}</definedName>
    <definedName name="HIHIHIHOI" localSheetId="9" hidden="1">{"'Sheet1'!$L$16"}</definedName>
    <definedName name="HIHIHIHOI" localSheetId="10" hidden="1">{"'Sheet1'!$L$16"}</definedName>
    <definedName name="HIHIHIHOI" localSheetId="12" hidden="1">{"'Sheet1'!$L$16"}</definedName>
    <definedName name="HIHIHIHOI" localSheetId="11" hidden="1">{"'Sheet1'!$L$16"}</definedName>
    <definedName name="HIHIHIHOI" localSheetId="13" hidden="1">{"'Sheet1'!$L$16"}</definedName>
    <definedName name="HIHIHIHOI" localSheetId="14" hidden="1">{"'Sheet1'!$L$16"}</definedName>
    <definedName name="HIHIHIHOI" hidden="1">{"'Sheet1'!$L$16"}</definedName>
    <definedName name="hj" localSheetId="2" hidden="1">{"'Sheet1'!$L$16"}</definedName>
    <definedName name="hj" localSheetId="3" hidden="1">{"'Sheet1'!$L$16"}</definedName>
    <definedName name="hj" localSheetId="6" hidden="1">{"'Sheet1'!$L$16"}</definedName>
    <definedName name="hj" localSheetId="7" hidden="1">{"'Sheet1'!$L$16"}</definedName>
    <definedName name="hj" localSheetId="9" hidden="1">{"'Sheet1'!$L$16"}</definedName>
    <definedName name="hj" localSheetId="10" hidden="1">{"'Sheet1'!$L$16"}</definedName>
    <definedName name="hj" localSheetId="12" hidden="1">{"'Sheet1'!$L$16"}</definedName>
    <definedName name="hj" localSheetId="11" hidden="1">{"'Sheet1'!$L$16"}</definedName>
    <definedName name="hj" localSheetId="13" hidden="1">{"'Sheet1'!$L$16"}</definedName>
    <definedName name="hj" localSheetId="14" hidden="1">{"'Sheet1'!$L$16"}</definedName>
    <definedName name="hj" hidden="1">{"'Sheet1'!$L$16"}</definedName>
    <definedName name="HJKL" localSheetId="2" hidden="1">{"'Sheet1'!$L$16"}</definedName>
    <definedName name="HJKL" localSheetId="3" hidden="1">{"'Sheet1'!$L$16"}</definedName>
    <definedName name="HJKL" localSheetId="6" hidden="1">{"'Sheet1'!$L$16"}</definedName>
    <definedName name="HJKL" localSheetId="7" hidden="1">{"'Sheet1'!$L$16"}</definedName>
    <definedName name="HJKL" localSheetId="9" hidden="1">{"'Sheet1'!$L$16"}</definedName>
    <definedName name="HJKL" localSheetId="10" hidden="1">{"'Sheet1'!$L$16"}</definedName>
    <definedName name="HJKL" localSheetId="12" hidden="1">{"'Sheet1'!$L$16"}</definedName>
    <definedName name="HJKL" localSheetId="11" hidden="1">{"'Sheet1'!$L$16"}</definedName>
    <definedName name="HJKL" localSheetId="13" hidden="1">{"'Sheet1'!$L$16"}</definedName>
    <definedName name="HJKL" localSheetId="14" hidden="1">{"'Sheet1'!$L$16"}</definedName>
    <definedName name="HJKL" hidden="1">{"'Sheet1'!$L$16"}</definedName>
    <definedName name="htlm" localSheetId="2" hidden="1">{"'Sheet1'!$L$16"}</definedName>
    <definedName name="htlm" localSheetId="3" hidden="1">{"'Sheet1'!$L$16"}</definedName>
    <definedName name="htlm" localSheetId="6" hidden="1">{"'Sheet1'!$L$16"}</definedName>
    <definedName name="htlm" localSheetId="7" hidden="1">{"'Sheet1'!$L$16"}</definedName>
    <definedName name="htlm" localSheetId="9" hidden="1">{"'Sheet1'!$L$16"}</definedName>
    <definedName name="htlm" localSheetId="10" hidden="1">{"'Sheet1'!$L$16"}</definedName>
    <definedName name="htlm" localSheetId="12" hidden="1">{"'Sheet1'!$L$16"}</definedName>
    <definedName name="htlm" localSheetId="11" hidden="1">{"'Sheet1'!$L$16"}</definedName>
    <definedName name="htlm" localSheetId="13" hidden="1">{"'Sheet1'!$L$16"}</definedName>
    <definedName name="htlm" localSheetId="14" hidden="1">{"'Sheet1'!$L$16"}</definedName>
    <definedName name="htlm" hidden="1">{"'Sheet1'!$L$16"}</definedName>
    <definedName name="HTML_CodePage" hidden="1">950</definedName>
    <definedName name="HTML_Control" localSheetId="2" hidden="1">{"'Sheet1'!$L$16"}</definedName>
    <definedName name="HTML_Control" localSheetId="3" hidden="1">{"'Sheet1'!$L$16"}</definedName>
    <definedName name="HTML_Control" localSheetId="6" hidden="1">{"'Sheet1'!$L$16"}</definedName>
    <definedName name="HTML_Control" localSheetId="7" hidden="1">{"'Sheet1'!$L$16"}</definedName>
    <definedName name="HTML_Control" localSheetId="9" hidden="1">{"'Sheet1'!$L$16"}</definedName>
    <definedName name="HTML_Control" localSheetId="10" hidden="1">{"'Sheet1'!$L$16"}</definedName>
    <definedName name="HTML_Control" localSheetId="12" hidden="1">{"'Sheet1'!$L$16"}</definedName>
    <definedName name="HTML_Control" localSheetId="11" hidden="1">{"'Sheet1'!$L$16"}</definedName>
    <definedName name="HTML_Control" localSheetId="13" hidden="1">{"'Sheet1'!$L$16"}</definedName>
    <definedName name="HTML_Control" localSheetId="1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localSheetId="2" hidden="1">{"'Sheet1'!$L$16"}</definedName>
    <definedName name="htrhrt" localSheetId="3" hidden="1">{"'Sheet1'!$L$16"}</definedName>
    <definedName name="htrhrt" localSheetId="6" hidden="1">{"'Sheet1'!$L$16"}</definedName>
    <definedName name="htrhrt" localSheetId="7" hidden="1">{"'Sheet1'!$L$16"}</definedName>
    <definedName name="htrhrt" localSheetId="9" hidden="1">{"'Sheet1'!$L$16"}</definedName>
    <definedName name="htrhrt" localSheetId="10" hidden="1">{"'Sheet1'!$L$16"}</definedName>
    <definedName name="htrhrt" localSheetId="12" hidden="1">{"'Sheet1'!$L$16"}</definedName>
    <definedName name="htrhrt" localSheetId="11" hidden="1">{"'Sheet1'!$L$16"}</definedName>
    <definedName name="htrhrt" localSheetId="13" hidden="1">{"'Sheet1'!$L$16"}</definedName>
    <definedName name="htrhrt" localSheetId="14" hidden="1">{"'Sheet1'!$L$16"}</definedName>
    <definedName name="htrhrt" hidden="1">{"'Sheet1'!$L$16"}</definedName>
    <definedName name="hu" localSheetId="2" hidden="1">{"'Sheet1'!$L$16"}</definedName>
    <definedName name="hu" localSheetId="3" hidden="1">{"'Sheet1'!$L$16"}</definedName>
    <definedName name="hu" localSheetId="6" hidden="1">{"'Sheet1'!$L$16"}</definedName>
    <definedName name="hu" localSheetId="7" hidden="1">{"'Sheet1'!$L$16"}</definedName>
    <definedName name="hu" localSheetId="9" hidden="1">{"'Sheet1'!$L$16"}</definedName>
    <definedName name="hu" localSheetId="10" hidden="1">{"'Sheet1'!$L$16"}</definedName>
    <definedName name="hu" localSheetId="12" hidden="1">{"'Sheet1'!$L$16"}</definedName>
    <definedName name="hu" localSheetId="11" hidden="1">{"'Sheet1'!$L$16"}</definedName>
    <definedName name="hu" localSheetId="13" hidden="1">{"'Sheet1'!$L$16"}</definedName>
    <definedName name="hu" localSheetId="14" hidden="1">{"'Sheet1'!$L$16"}</definedName>
    <definedName name="hu" hidden="1">{"'Sheet1'!$L$16"}</definedName>
    <definedName name="huy" localSheetId="2" hidden="1">{"'Sheet1'!$L$16"}</definedName>
    <definedName name="huy" localSheetId="3" hidden="1">{"'Sheet1'!$L$16"}</definedName>
    <definedName name="huy" localSheetId="6" hidden="1">{"'Sheet1'!$L$16"}</definedName>
    <definedName name="huy" localSheetId="7" hidden="1">{"'Sheet1'!$L$16"}</definedName>
    <definedName name="huy" localSheetId="9" hidden="1">{"'Sheet1'!$L$16"}</definedName>
    <definedName name="huy" localSheetId="10" hidden="1">{"'Sheet1'!$L$16"}</definedName>
    <definedName name="huy" localSheetId="12" hidden="1">{"'Sheet1'!$L$16"}</definedName>
    <definedName name="huy" localSheetId="11" hidden="1">{"'Sheet1'!$L$16"}</definedName>
    <definedName name="huy" localSheetId="13" hidden="1">{"'Sheet1'!$L$16"}</definedName>
    <definedName name="huy" localSheetId="14" hidden="1">{"'Sheet1'!$L$16"}</definedName>
    <definedName name="huy" hidden="1">{"'Sheet1'!$L$16"}</definedName>
    <definedName name="KLduonggiaods" localSheetId="2" hidden="1">{"'Sheet1'!$L$16"}</definedName>
    <definedName name="KLduonggiaods" localSheetId="3" hidden="1">{"'Sheet1'!$L$16"}</definedName>
    <definedName name="KLduonggiaods" localSheetId="6" hidden="1">{"'Sheet1'!$L$16"}</definedName>
    <definedName name="KLduonggiaods" localSheetId="7" hidden="1">{"'Sheet1'!$L$16"}</definedName>
    <definedName name="KLduonggiaods" localSheetId="9" hidden="1">{"'Sheet1'!$L$16"}</definedName>
    <definedName name="KLduonggiaods" localSheetId="10" hidden="1">{"'Sheet1'!$L$16"}</definedName>
    <definedName name="KLduonggiaods" localSheetId="12" hidden="1">{"'Sheet1'!$L$16"}</definedName>
    <definedName name="KLduonggiaods" localSheetId="11" hidden="1">{"'Sheet1'!$L$16"}</definedName>
    <definedName name="KLduonggiaods" localSheetId="13" hidden="1">{"'Sheet1'!$L$16"}</definedName>
    <definedName name="KLduonggiaods" localSheetId="14" hidden="1">{"'Sheet1'!$L$16"}</definedName>
    <definedName name="KLduonggiaods" hidden="1">{"'Sheet1'!$L$16"}</definedName>
    <definedName name="komtun" localSheetId="2" hidden="1">{"'Sheet1'!$L$16"}</definedName>
    <definedName name="komtun" localSheetId="3" hidden="1">{"'Sheet1'!$L$16"}</definedName>
    <definedName name="komtun" localSheetId="6" hidden="1">{"'Sheet1'!$L$16"}</definedName>
    <definedName name="komtun" localSheetId="7" hidden="1">{"'Sheet1'!$L$16"}</definedName>
    <definedName name="komtun" localSheetId="9" hidden="1">{"'Sheet1'!$L$16"}</definedName>
    <definedName name="komtun" localSheetId="10" hidden="1">{"'Sheet1'!$L$16"}</definedName>
    <definedName name="komtun" localSheetId="12" hidden="1">{"'Sheet1'!$L$16"}</definedName>
    <definedName name="komtun" localSheetId="11" hidden="1">{"'Sheet1'!$L$16"}</definedName>
    <definedName name="komtun" localSheetId="13" hidden="1">{"'Sheet1'!$L$16"}</definedName>
    <definedName name="komtun" localSheetId="14" hidden="1">{"'Sheet1'!$L$16"}</definedName>
    <definedName name="komtun" hidden="1">{"'Sheet1'!$L$16"}</definedName>
    <definedName name="kontum" localSheetId="2" hidden="1">{#N/A,#N/A,TRUE,"BT M200 da 10x20"}</definedName>
    <definedName name="kontum" localSheetId="3" hidden="1">{#N/A,#N/A,TRUE,"BT M200 da 10x20"}</definedName>
    <definedName name="kontum" localSheetId="6" hidden="1">{#N/A,#N/A,TRUE,"BT M200 da 10x20"}</definedName>
    <definedName name="kontum" localSheetId="7" hidden="1">{#N/A,#N/A,TRUE,"BT M200 da 10x20"}</definedName>
    <definedName name="kontum" localSheetId="9" hidden="1">{#N/A,#N/A,TRUE,"BT M200 da 10x20"}</definedName>
    <definedName name="kontum" localSheetId="10" hidden="1">{#N/A,#N/A,TRUE,"BT M200 da 10x20"}</definedName>
    <definedName name="kontum" localSheetId="12" hidden="1">{#N/A,#N/A,TRUE,"BT M200 da 10x20"}</definedName>
    <definedName name="kontum" localSheetId="11" hidden="1">{#N/A,#N/A,TRUE,"BT M200 da 10x20"}</definedName>
    <definedName name="kontum" localSheetId="13" hidden="1">{#N/A,#N/A,TRUE,"BT M200 da 10x20"}</definedName>
    <definedName name="kontum" localSheetId="14" hidden="1">{#N/A,#N/A,TRUE,"BT M200 da 10x20"}</definedName>
    <definedName name="kontum" hidden="1">{#N/A,#N/A,TRUE,"BT M200 da 10x20"}</definedName>
    <definedName name="ksbn" localSheetId="2" hidden="1">{"'Sheet1'!$L$16"}</definedName>
    <definedName name="ksbn" localSheetId="3" hidden="1">{"'Sheet1'!$L$16"}</definedName>
    <definedName name="ksbn" localSheetId="6" hidden="1">{"'Sheet1'!$L$16"}</definedName>
    <definedName name="ksbn" localSheetId="7" hidden="1">{"'Sheet1'!$L$16"}</definedName>
    <definedName name="ksbn" localSheetId="9" hidden="1">{"'Sheet1'!$L$16"}</definedName>
    <definedName name="ksbn" localSheetId="10" hidden="1">{"'Sheet1'!$L$16"}</definedName>
    <definedName name="ksbn" localSheetId="12" hidden="1">{"'Sheet1'!$L$16"}</definedName>
    <definedName name="ksbn" localSheetId="11" hidden="1">{"'Sheet1'!$L$16"}</definedName>
    <definedName name="ksbn" localSheetId="13" hidden="1">{"'Sheet1'!$L$16"}</definedName>
    <definedName name="ksbn" localSheetId="14" hidden="1">{"'Sheet1'!$L$16"}</definedName>
    <definedName name="ksbn" hidden="1">{"'Sheet1'!$L$16"}</definedName>
    <definedName name="kshn" localSheetId="2" hidden="1">{"'Sheet1'!$L$16"}</definedName>
    <definedName name="kshn" localSheetId="3" hidden="1">{"'Sheet1'!$L$16"}</definedName>
    <definedName name="kshn" localSheetId="6" hidden="1">{"'Sheet1'!$L$16"}</definedName>
    <definedName name="kshn" localSheetId="7" hidden="1">{"'Sheet1'!$L$16"}</definedName>
    <definedName name="kshn" localSheetId="9" hidden="1">{"'Sheet1'!$L$16"}</definedName>
    <definedName name="kshn" localSheetId="10" hidden="1">{"'Sheet1'!$L$16"}</definedName>
    <definedName name="kshn" localSheetId="12" hidden="1">{"'Sheet1'!$L$16"}</definedName>
    <definedName name="kshn" localSheetId="11" hidden="1">{"'Sheet1'!$L$16"}</definedName>
    <definedName name="kshn" localSheetId="13" hidden="1">{"'Sheet1'!$L$16"}</definedName>
    <definedName name="kshn" localSheetId="14" hidden="1">{"'Sheet1'!$L$16"}</definedName>
    <definedName name="kshn" hidden="1">{"'Sheet1'!$L$16"}</definedName>
    <definedName name="ksls" localSheetId="2" hidden="1">{"'Sheet1'!$L$16"}</definedName>
    <definedName name="ksls" localSheetId="3" hidden="1">{"'Sheet1'!$L$16"}</definedName>
    <definedName name="ksls" localSheetId="6" hidden="1">{"'Sheet1'!$L$16"}</definedName>
    <definedName name="ksls" localSheetId="7" hidden="1">{"'Sheet1'!$L$16"}</definedName>
    <definedName name="ksls" localSheetId="9" hidden="1">{"'Sheet1'!$L$16"}</definedName>
    <definedName name="ksls" localSheetId="10" hidden="1">{"'Sheet1'!$L$16"}</definedName>
    <definedName name="ksls" localSheetId="12" hidden="1">{"'Sheet1'!$L$16"}</definedName>
    <definedName name="ksls" localSheetId="11" hidden="1">{"'Sheet1'!$L$16"}</definedName>
    <definedName name="ksls" localSheetId="13" hidden="1">{"'Sheet1'!$L$16"}</definedName>
    <definedName name="ksls" localSheetId="14" hidden="1">{"'Sheet1'!$L$16"}</definedName>
    <definedName name="ksls" hidden="1">{"'Sheet1'!$L$16"}</definedName>
    <definedName name="KHANHKHUNG" localSheetId="2" hidden="1">{"'Sheet1'!$L$16"}</definedName>
    <definedName name="KHANHKHUNG" localSheetId="3" hidden="1">{"'Sheet1'!$L$16"}</definedName>
    <definedName name="KHANHKHUNG" localSheetId="6" hidden="1">{"'Sheet1'!$L$16"}</definedName>
    <definedName name="KHANHKHUNG" localSheetId="7" hidden="1">{"'Sheet1'!$L$16"}</definedName>
    <definedName name="KHANHKHUNG" localSheetId="9" hidden="1">{"'Sheet1'!$L$16"}</definedName>
    <definedName name="KHANHKHUNG" localSheetId="10" hidden="1">{"'Sheet1'!$L$16"}</definedName>
    <definedName name="KHANHKHUNG" localSheetId="12" hidden="1">{"'Sheet1'!$L$16"}</definedName>
    <definedName name="KHANHKHUNG" localSheetId="11" hidden="1">{"'Sheet1'!$L$16"}</definedName>
    <definedName name="KHANHKHUNG" localSheetId="13" hidden="1">{"'Sheet1'!$L$16"}</definedName>
    <definedName name="KHANHKHUNG" localSheetId="14" hidden="1">{"'Sheet1'!$L$16"}</definedName>
    <definedName name="KHANHKHUNG" hidden="1">{"'Sheet1'!$L$16"}</definedName>
    <definedName name="khla09" localSheetId="2" hidden="1">{"'Sheet1'!$L$16"}</definedName>
    <definedName name="khla09" localSheetId="3" hidden="1">{"'Sheet1'!$L$16"}</definedName>
    <definedName name="khla09" localSheetId="6" hidden="1">{"'Sheet1'!$L$16"}</definedName>
    <definedName name="khla09" localSheetId="7" hidden="1">{"'Sheet1'!$L$16"}</definedName>
    <definedName name="khla09" localSheetId="9" hidden="1">{"'Sheet1'!$L$16"}</definedName>
    <definedName name="khla09" localSheetId="10" hidden="1">{"'Sheet1'!$L$16"}</definedName>
    <definedName name="khla09" localSheetId="12" hidden="1">{"'Sheet1'!$L$16"}</definedName>
    <definedName name="khla09" localSheetId="11" hidden="1">{"'Sheet1'!$L$16"}</definedName>
    <definedName name="khla09" localSheetId="13" hidden="1">{"'Sheet1'!$L$16"}</definedName>
    <definedName name="khla09" localSheetId="14" hidden="1">{"'Sheet1'!$L$16"}</definedName>
    <definedName name="khla09" hidden="1">{"'Sheet1'!$L$16"}</definedName>
    <definedName name="khongtruotgia" localSheetId="2" hidden="1">{"'Sheet1'!$L$16"}</definedName>
    <definedName name="khongtruotgia" localSheetId="3" hidden="1">{"'Sheet1'!$L$16"}</definedName>
    <definedName name="khongtruotgia" localSheetId="6" hidden="1">{"'Sheet1'!$L$16"}</definedName>
    <definedName name="khongtruotgia" localSheetId="7" hidden="1">{"'Sheet1'!$L$16"}</definedName>
    <definedName name="khongtruotgia" localSheetId="9" hidden="1">{"'Sheet1'!$L$16"}</definedName>
    <definedName name="khongtruotgia" localSheetId="10" hidden="1">{"'Sheet1'!$L$16"}</definedName>
    <definedName name="khongtruotgia" localSheetId="12" hidden="1">{"'Sheet1'!$L$16"}</definedName>
    <definedName name="khongtruotgia" localSheetId="11" hidden="1">{"'Sheet1'!$L$16"}</definedName>
    <definedName name="khongtruotgia" localSheetId="13" hidden="1">{"'Sheet1'!$L$16"}</definedName>
    <definedName name="khongtruotgia" localSheetId="14" hidden="1">{"'Sheet1'!$L$16"}</definedName>
    <definedName name="khongtruotgia" hidden="1">{"'Sheet1'!$L$16"}</definedName>
    <definedName name="khvh09" localSheetId="2" hidden="1">{"'Sheet1'!$L$16"}</definedName>
    <definedName name="khvh09" localSheetId="3" hidden="1">{"'Sheet1'!$L$16"}</definedName>
    <definedName name="khvh09" localSheetId="6" hidden="1">{"'Sheet1'!$L$16"}</definedName>
    <definedName name="khvh09" localSheetId="7" hidden="1">{"'Sheet1'!$L$16"}</definedName>
    <definedName name="khvh09" localSheetId="9" hidden="1">{"'Sheet1'!$L$16"}</definedName>
    <definedName name="khvh09" localSheetId="10" hidden="1">{"'Sheet1'!$L$16"}</definedName>
    <definedName name="khvh09" localSheetId="12" hidden="1">{"'Sheet1'!$L$16"}</definedName>
    <definedName name="khvh09" localSheetId="11" hidden="1">{"'Sheet1'!$L$16"}</definedName>
    <definedName name="khvh09" localSheetId="13" hidden="1">{"'Sheet1'!$L$16"}</definedName>
    <definedName name="khvh09" localSheetId="14" hidden="1">{"'Sheet1'!$L$16"}</definedName>
    <definedName name="khvh09" hidden="1">{"'Sheet1'!$L$16"}</definedName>
    <definedName name="KHYt09" localSheetId="2" hidden="1">{"'Sheet1'!$L$16"}</definedName>
    <definedName name="KHYt09" localSheetId="3" hidden="1">{"'Sheet1'!$L$16"}</definedName>
    <definedName name="KHYt09" localSheetId="6" hidden="1">{"'Sheet1'!$L$16"}</definedName>
    <definedName name="KHYt09" localSheetId="7" hidden="1">{"'Sheet1'!$L$16"}</definedName>
    <definedName name="KHYt09" localSheetId="9" hidden="1">{"'Sheet1'!$L$16"}</definedName>
    <definedName name="KHYt09" localSheetId="10" hidden="1">{"'Sheet1'!$L$16"}</definedName>
    <definedName name="KHYt09" localSheetId="12" hidden="1">{"'Sheet1'!$L$16"}</definedName>
    <definedName name="KHYt09" localSheetId="11" hidden="1">{"'Sheet1'!$L$16"}</definedName>
    <definedName name="KHYt09" localSheetId="13" hidden="1">{"'Sheet1'!$L$16"}</definedName>
    <definedName name="KHYt09" localSheetId="14" hidden="1">{"'Sheet1'!$L$16"}</definedName>
    <definedName name="KHYt09" hidden="1">{"'Sheet1'!$L$16"}</definedName>
    <definedName name="lan" localSheetId="2" hidden="1">{#N/A,#N/A,TRUE,"BT M200 da 10x20"}</definedName>
    <definedName name="lan" localSheetId="3" hidden="1">{#N/A,#N/A,TRUE,"BT M200 da 10x20"}</definedName>
    <definedName name="lan" localSheetId="6" hidden="1">{#N/A,#N/A,TRUE,"BT M200 da 10x20"}</definedName>
    <definedName name="lan" localSheetId="7" hidden="1">{#N/A,#N/A,TRUE,"BT M200 da 10x20"}</definedName>
    <definedName name="lan" localSheetId="9" hidden="1">{#N/A,#N/A,TRUE,"BT M200 da 10x20"}</definedName>
    <definedName name="lan" localSheetId="10" hidden="1">{#N/A,#N/A,TRUE,"BT M200 da 10x20"}</definedName>
    <definedName name="lan" localSheetId="12" hidden="1">{#N/A,#N/A,TRUE,"BT M200 da 10x20"}</definedName>
    <definedName name="lan" localSheetId="11" hidden="1">{#N/A,#N/A,TRUE,"BT M200 da 10x20"}</definedName>
    <definedName name="lan" localSheetId="13" hidden="1">{#N/A,#N/A,TRUE,"BT M200 da 10x20"}</definedName>
    <definedName name="lan" localSheetId="14" hidden="1">{#N/A,#N/A,TRUE,"BT M200 da 10x20"}</definedName>
    <definedName name="lan" hidden="1">{#N/A,#N/A,TRUE,"BT M200 da 10x20"}</definedName>
    <definedName name="langson" localSheetId="2" hidden="1">{"'Sheet1'!$L$16"}</definedName>
    <definedName name="langson" localSheetId="3" hidden="1">{"'Sheet1'!$L$16"}</definedName>
    <definedName name="langson" localSheetId="6" hidden="1">{"'Sheet1'!$L$16"}</definedName>
    <definedName name="langson" localSheetId="7" hidden="1">{"'Sheet1'!$L$16"}</definedName>
    <definedName name="langson" localSheetId="9" hidden="1">{"'Sheet1'!$L$16"}</definedName>
    <definedName name="langson" localSheetId="10" hidden="1">{"'Sheet1'!$L$16"}</definedName>
    <definedName name="langson" localSheetId="12" hidden="1">{"'Sheet1'!$L$16"}</definedName>
    <definedName name="langson" localSheetId="11" hidden="1">{"'Sheet1'!$L$16"}</definedName>
    <definedName name="langson" localSheetId="13" hidden="1">{"'Sheet1'!$L$16"}</definedName>
    <definedName name="langson" localSheetId="14" hidden="1">{"'Sheet1'!$L$16"}</definedName>
    <definedName name="langson" hidden="1">{"'Sheet1'!$L$16"}</definedName>
    <definedName name="mo" localSheetId="2" hidden="1">{"'Sheet1'!$L$16"}</definedName>
    <definedName name="mo" localSheetId="3" hidden="1">{"'Sheet1'!$L$16"}</definedName>
    <definedName name="mo" localSheetId="6" hidden="1">{"'Sheet1'!$L$16"}</definedName>
    <definedName name="mo" localSheetId="7" hidden="1">{"'Sheet1'!$L$16"}</definedName>
    <definedName name="mo" localSheetId="9" hidden="1">{"'Sheet1'!$L$16"}</definedName>
    <definedName name="mo" localSheetId="10" hidden="1">{"'Sheet1'!$L$16"}</definedName>
    <definedName name="mo" localSheetId="12" hidden="1">{"'Sheet1'!$L$16"}</definedName>
    <definedName name="mo" localSheetId="11" hidden="1">{"'Sheet1'!$L$16"}</definedName>
    <definedName name="mo" localSheetId="13" hidden="1">{"'Sheet1'!$L$16"}</definedName>
    <definedName name="mo" localSheetId="14" hidden="1">{"'Sheet1'!$L$16"}</definedName>
    <definedName name="mo" hidden="1">{"'Sheet1'!$L$16"}</definedName>
    <definedName name="NHANH2_CG4" localSheetId="2" hidden="1">{"'Sheet1'!$L$16"}</definedName>
    <definedName name="NHANH2_CG4" localSheetId="3" hidden="1">{"'Sheet1'!$L$16"}</definedName>
    <definedName name="NHANH2_CG4" localSheetId="6" hidden="1">{"'Sheet1'!$L$16"}</definedName>
    <definedName name="NHANH2_CG4" localSheetId="7" hidden="1">{"'Sheet1'!$L$16"}</definedName>
    <definedName name="NHANH2_CG4" localSheetId="9" hidden="1">{"'Sheet1'!$L$16"}</definedName>
    <definedName name="NHANH2_CG4" localSheetId="10" hidden="1">{"'Sheet1'!$L$16"}</definedName>
    <definedName name="NHANH2_CG4" localSheetId="12" hidden="1">{"'Sheet1'!$L$16"}</definedName>
    <definedName name="NHANH2_CG4" localSheetId="11" hidden="1">{"'Sheet1'!$L$16"}</definedName>
    <definedName name="NHANH2_CG4" localSheetId="13" hidden="1">{"'Sheet1'!$L$16"}</definedName>
    <definedName name="NHANH2_CG4" localSheetId="14" hidden="1">{"'Sheet1'!$L$16"}</definedName>
    <definedName name="NHANH2_CG4" hidden="1">{"'Sheet1'!$L$16"}</definedName>
    <definedName name="OrderTable" localSheetId="6" hidden="1">#REF!</definedName>
    <definedName name="OrderTable" localSheetId="7" hidden="1">#REF!</definedName>
    <definedName name="OrderTable" localSheetId="9" hidden="1">#REF!</definedName>
    <definedName name="OrderTable" localSheetId="10" hidden="1">#REF!</definedName>
    <definedName name="OrderTable" localSheetId="12" hidden="1">#REF!</definedName>
    <definedName name="OrderTable" localSheetId="11" hidden="1">#REF!</definedName>
    <definedName name="OrderTable" hidden="1">#REF!</definedName>
    <definedName name="PAIII_" localSheetId="2" hidden="1">{"'Sheet1'!$L$16"}</definedName>
    <definedName name="PAIII_" localSheetId="3" hidden="1">{"'Sheet1'!$L$16"}</definedName>
    <definedName name="PAIII_" localSheetId="6" hidden="1">{"'Sheet1'!$L$16"}</definedName>
    <definedName name="PAIII_" localSheetId="7" hidden="1">{"'Sheet1'!$L$16"}</definedName>
    <definedName name="PAIII_" localSheetId="9" hidden="1">{"'Sheet1'!$L$16"}</definedName>
    <definedName name="PAIII_" localSheetId="10" hidden="1">{"'Sheet1'!$L$16"}</definedName>
    <definedName name="PAIII_" localSheetId="12" hidden="1">{"'Sheet1'!$L$16"}</definedName>
    <definedName name="PAIII_" localSheetId="11" hidden="1">{"'Sheet1'!$L$16"}</definedName>
    <definedName name="PAIII_" localSheetId="13" hidden="1">{"'Sheet1'!$L$16"}</definedName>
    <definedName name="PAIII_" localSheetId="14" hidden="1">{"'Sheet1'!$L$16"}</definedName>
    <definedName name="PAIII_" hidden="1">{"'Sheet1'!$L$16"}</definedName>
    <definedName name="PMS" localSheetId="2" hidden="1">{"'Sheet1'!$L$16"}</definedName>
    <definedName name="PMS" localSheetId="3" hidden="1">{"'Sheet1'!$L$16"}</definedName>
    <definedName name="PMS" localSheetId="6" hidden="1">{"'Sheet1'!$L$16"}</definedName>
    <definedName name="PMS" localSheetId="7" hidden="1">{"'Sheet1'!$L$16"}</definedName>
    <definedName name="PMS" localSheetId="9" hidden="1">{"'Sheet1'!$L$16"}</definedName>
    <definedName name="PMS" localSheetId="10" hidden="1">{"'Sheet1'!$L$16"}</definedName>
    <definedName name="PMS" localSheetId="12" hidden="1">{"'Sheet1'!$L$16"}</definedName>
    <definedName name="PMS" localSheetId="11" hidden="1">{"'Sheet1'!$L$16"}</definedName>
    <definedName name="PMS" localSheetId="13" hidden="1">{"'Sheet1'!$L$16"}</definedName>
    <definedName name="PMS" localSheetId="14" hidden="1">{"'Sheet1'!$L$16"}</definedName>
    <definedName name="PMS" hidden="1">{"'Sheet1'!$L$16"}</definedName>
    <definedName name="_xlnm.Print_Area" localSheetId="4">'Bieu 51_'!$B$36:$F$67</definedName>
    <definedName name="_xlnm.Print_Area" localSheetId="5">'bieu 52_'!$A$1:$F$53</definedName>
    <definedName name="_xlnm.Print_Area" localSheetId="6">'bieu 53_'!$A$1:$K$110</definedName>
    <definedName name="_xlnm.Print_Area" localSheetId="7">'Bieu 54_'!$A$1:$Z$117</definedName>
    <definedName name="_xlnm.Print_Area" localSheetId="9">'Bieu 58'!$A$1:$Z$25</definedName>
    <definedName name="_xlnm.Print_Area" localSheetId="12">'Bieu 61'!$A$1:$AK$29</definedName>
    <definedName name="_xlnm.Print_Area" localSheetId="11">'Bieu 61_Hien'!$A$1:$AK$45</definedName>
    <definedName name="_xlnm.Print_Titles" localSheetId="2">'Bieu 48'!$5:$7</definedName>
    <definedName name="_xlnm.Print_Titles" localSheetId="6">'bieu 53_'!$5:$7</definedName>
    <definedName name="_xlnm.Print_Titles" localSheetId="8">'Bieu 54'!$6:$11</definedName>
    <definedName name="ProdForm" localSheetId="6" hidden="1">#REF!</definedName>
    <definedName name="ProdForm" localSheetId="7" hidden="1">#REF!</definedName>
    <definedName name="ProdForm" localSheetId="9" hidden="1">#REF!</definedName>
    <definedName name="ProdForm" localSheetId="10" hidden="1">#REF!</definedName>
    <definedName name="ProdForm" localSheetId="12" hidden="1">#REF!</definedName>
    <definedName name="ProdForm" localSheetId="11" hidden="1">#REF!</definedName>
    <definedName name="ProdForm" hidden="1">#REF!</definedName>
    <definedName name="Product" localSheetId="6" hidden="1">#REF!</definedName>
    <definedName name="Product" localSheetId="7" hidden="1">#REF!</definedName>
    <definedName name="Product" localSheetId="9" hidden="1">#REF!</definedName>
    <definedName name="Product" localSheetId="10" hidden="1">#REF!</definedName>
    <definedName name="Product" localSheetId="12" hidden="1">#REF!</definedName>
    <definedName name="Product" localSheetId="11" hidden="1">#REF!</definedName>
    <definedName name="Product" hidden="1">#REF!</definedName>
    <definedName name="RCArea" localSheetId="6" hidden="1">#REF!</definedName>
    <definedName name="RCArea" localSheetId="7" hidden="1">#REF!</definedName>
    <definedName name="RCArea" localSheetId="9" hidden="1">#REF!</definedName>
    <definedName name="RCArea" localSheetId="10" hidden="1">#REF!</definedName>
    <definedName name="RCArea" localSheetId="12" hidden="1">#REF!</definedName>
    <definedName name="RCArea" localSheetId="11" hidden="1">#REF!</definedName>
    <definedName name="RCArea" hidden="1">#REF!</definedName>
    <definedName name="re" localSheetId="2" hidden="1">{"'Sheet1'!$L$16"}</definedName>
    <definedName name="re" localSheetId="3" hidden="1">{"'Sheet1'!$L$16"}</definedName>
    <definedName name="re" localSheetId="6" hidden="1">{"'Sheet1'!$L$16"}</definedName>
    <definedName name="re" localSheetId="7" hidden="1">{"'Sheet1'!$L$16"}</definedName>
    <definedName name="re" localSheetId="9" hidden="1">{"'Sheet1'!$L$16"}</definedName>
    <definedName name="re" localSheetId="10" hidden="1">{"'Sheet1'!$L$16"}</definedName>
    <definedName name="re" localSheetId="12" hidden="1">{"'Sheet1'!$L$16"}</definedName>
    <definedName name="re" localSheetId="11" hidden="1">{"'Sheet1'!$L$16"}</definedName>
    <definedName name="re" localSheetId="13" hidden="1">{"'Sheet1'!$L$16"}</definedName>
    <definedName name="re" localSheetId="14" hidden="1">{"'Sheet1'!$L$16"}</definedName>
    <definedName name="re" hidden="1">{"'Sheet1'!$L$16"}</definedName>
    <definedName name="RGHGSD" localSheetId="2" hidden="1">{"'Sheet1'!$L$16"}</definedName>
    <definedName name="RGHGSD" localSheetId="3" hidden="1">{"'Sheet1'!$L$16"}</definedName>
    <definedName name="RGHGSD" localSheetId="6" hidden="1">{"'Sheet1'!$L$16"}</definedName>
    <definedName name="RGHGSD" localSheetId="7" hidden="1">{"'Sheet1'!$L$16"}</definedName>
    <definedName name="RGHGSD" localSheetId="9" hidden="1">{"'Sheet1'!$L$16"}</definedName>
    <definedName name="RGHGSD" localSheetId="10" hidden="1">{"'Sheet1'!$L$16"}</definedName>
    <definedName name="RGHGSD" localSheetId="12" hidden="1">{"'Sheet1'!$L$16"}</definedName>
    <definedName name="RGHGSD" localSheetId="11" hidden="1">{"'Sheet1'!$L$16"}</definedName>
    <definedName name="RGHGSD" localSheetId="13" hidden="1">{"'Sheet1'!$L$16"}</definedName>
    <definedName name="RGHGSD" localSheetId="14" hidden="1">{"'Sheet1'!$L$16"}</definedName>
    <definedName name="RGHGSD" hidden="1">{"'Sheet1'!$L$16"}</definedName>
    <definedName name="rr" localSheetId="2" hidden="1">{"'Sheet1'!$L$16"}</definedName>
    <definedName name="rr" localSheetId="3" hidden="1">{"'Sheet1'!$L$16"}</definedName>
    <definedName name="rr" localSheetId="6" hidden="1">{"'Sheet1'!$L$16"}</definedName>
    <definedName name="rr" localSheetId="7" hidden="1">{"'Sheet1'!$L$16"}</definedName>
    <definedName name="rr" localSheetId="9" hidden="1">{"'Sheet1'!$L$16"}</definedName>
    <definedName name="rr" localSheetId="10" hidden="1">{"'Sheet1'!$L$16"}</definedName>
    <definedName name="rr" localSheetId="12" hidden="1">{"'Sheet1'!$L$16"}</definedName>
    <definedName name="rr" localSheetId="11" hidden="1">{"'Sheet1'!$L$16"}</definedName>
    <definedName name="rr" localSheetId="13" hidden="1">{"'Sheet1'!$L$16"}</definedName>
    <definedName name="rr" localSheetId="14" hidden="1">{"'Sheet1'!$L$16"}</definedName>
    <definedName name="rr" hidden="1">{"'Sheet1'!$L$16"}</definedName>
    <definedName name="sdbv" localSheetId="2" hidden="1">{"'Sheet1'!$L$16"}</definedName>
    <definedName name="sdbv" localSheetId="3" hidden="1">{"'Sheet1'!$L$16"}</definedName>
    <definedName name="sdbv" localSheetId="6" hidden="1">{"'Sheet1'!$L$16"}</definedName>
    <definedName name="sdbv" localSheetId="7" hidden="1">{"'Sheet1'!$L$16"}</definedName>
    <definedName name="sdbv" localSheetId="9" hidden="1">{"'Sheet1'!$L$16"}</definedName>
    <definedName name="sdbv" localSheetId="10" hidden="1">{"'Sheet1'!$L$16"}</definedName>
    <definedName name="sdbv" localSheetId="12" hidden="1">{"'Sheet1'!$L$16"}</definedName>
    <definedName name="sdbv" localSheetId="11" hidden="1">{"'Sheet1'!$L$16"}</definedName>
    <definedName name="sdbv" localSheetId="13" hidden="1">{"'Sheet1'!$L$16"}</definedName>
    <definedName name="sdbv" localSheetId="14" hidden="1">{"'Sheet1'!$L$16"}</definedName>
    <definedName name="sdbv" hidden="1">{"'Sheet1'!$L$16"}</definedName>
    <definedName name="Sosanh2" localSheetId="2" hidden="1">{"'Sheet1'!$L$16"}</definedName>
    <definedName name="Sosanh2" localSheetId="3" hidden="1">{"'Sheet1'!$L$16"}</definedName>
    <definedName name="Sosanh2" localSheetId="6" hidden="1">{"'Sheet1'!$L$16"}</definedName>
    <definedName name="Sosanh2" localSheetId="7" hidden="1">{"'Sheet1'!$L$16"}</definedName>
    <definedName name="Sosanh2" localSheetId="9" hidden="1">{"'Sheet1'!$L$16"}</definedName>
    <definedName name="Sosanh2" localSheetId="10" hidden="1">{"'Sheet1'!$L$16"}</definedName>
    <definedName name="Sosanh2" localSheetId="12" hidden="1">{"'Sheet1'!$L$16"}</definedName>
    <definedName name="Sosanh2" localSheetId="11" hidden="1">{"'Sheet1'!$L$16"}</definedName>
    <definedName name="Sosanh2" localSheetId="13" hidden="1">{"'Sheet1'!$L$16"}</definedName>
    <definedName name="Sosanh2" localSheetId="14" hidden="1">{"'Sheet1'!$L$16"}</definedName>
    <definedName name="Sosanh2" hidden="1">{"'Sheet1'!$L$16"}</definedName>
    <definedName name="SpecialPrice" localSheetId="6" hidden="1">#REF!</definedName>
    <definedName name="SpecialPrice" localSheetId="7" hidden="1">#REF!</definedName>
    <definedName name="SpecialPrice" localSheetId="9" hidden="1">#REF!</definedName>
    <definedName name="SpecialPrice" localSheetId="10" hidden="1">#REF!</definedName>
    <definedName name="SpecialPrice" localSheetId="12" hidden="1">#REF!</definedName>
    <definedName name="SpecialPrice" localSheetId="11" hidden="1">#REF!</definedName>
    <definedName name="SpecialPrice" hidden="1">#REF!</definedName>
    <definedName name="T.3" localSheetId="2" hidden="1">{"'Sheet1'!$L$16"}</definedName>
    <definedName name="T.3" localSheetId="3" hidden="1">{"'Sheet1'!$L$16"}</definedName>
    <definedName name="T.3" localSheetId="6" hidden="1">{"'Sheet1'!$L$16"}</definedName>
    <definedName name="T.3" localSheetId="7" hidden="1">{"'Sheet1'!$L$16"}</definedName>
    <definedName name="T.3" localSheetId="9" hidden="1">{"'Sheet1'!$L$16"}</definedName>
    <definedName name="T.3" localSheetId="10" hidden="1">{"'Sheet1'!$L$16"}</definedName>
    <definedName name="T.3" localSheetId="12" hidden="1">{"'Sheet1'!$L$16"}</definedName>
    <definedName name="T.3" localSheetId="11" hidden="1">{"'Sheet1'!$L$16"}</definedName>
    <definedName name="T.3" localSheetId="13" hidden="1">{"'Sheet1'!$L$16"}</definedName>
    <definedName name="T.3" localSheetId="14" hidden="1">{"'Sheet1'!$L$16"}</definedName>
    <definedName name="T.3" hidden="1">{"'Sheet1'!$L$16"}</definedName>
    <definedName name="tbl_ProdInfo" localSheetId="6" hidden="1">#REF!</definedName>
    <definedName name="tbl_ProdInfo" localSheetId="7" hidden="1">#REF!</definedName>
    <definedName name="tbl_ProdInfo" localSheetId="9" hidden="1">#REF!</definedName>
    <definedName name="tbl_ProdInfo" localSheetId="10" hidden="1">#REF!</definedName>
    <definedName name="tbl_ProdInfo" localSheetId="12" hidden="1">#REF!</definedName>
    <definedName name="tbl_ProdInfo" localSheetId="11" hidden="1">#REF!</definedName>
    <definedName name="tbl_ProdInfo" hidden="1">#REF!</definedName>
    <definedName name="ttttt" localSheetId="2" hidden="1">{"'Sheet1'!$L$16"}</definedName>
    <definedName name="ttttt" localSheetId="3" hidden="1">{"'Sheet1'!$L$16"}</definedName>
    <definedName name="ttttt" localSheetId="6" hidden="1">{"'Sheet1'!$L$16"}</definedName>
    <definedName name="ttttt" localSheetId="7" hidden="1">{"'Sheet1'!$L$16"}</definedName>
    <definedName name="ttttt" localSheetId="9" hidden="1">{"'Sheet1'!$L$16"}</definedName>
    <definedName name="ttttt" localSheetId="10" hidden="1">{"'Sheet1'!$L$16"}</definedName>
    <definedName name="ttttt" localSheetId="12" hidden="1">{"'Sheet1'!$L$16"}</definedName>
    <definedName name="ttttt" localSheetId="11" hidden="1">{"'Sheet1'!$L$16"}</definedName>
    <definedName name="ttttt" localSheetId="13" hidden="1">{"'Sheet1'!$L$16"}</definedName>
    <definedName name="ttttt" localSheetId="14" hidden="1">{"'Sheet1'!$L$16"}</definedName>
    <definedName name="ttttt" hidden="1">{"'Sheet1'!$L$16"}</definedName>
    <definedName name="ttttttttttt" localSheetId="2" hidden="1">{"'Sheet1'!$L$16"}</definedName>
    <definedName name="ttttttttttt" localSheetId="3" hidden="1">{"'Sheet1'!$L$16"}</definedName>
    <definedName name="ttttttttttt" localSheetId="6" hidden="1">{"'Sheet1'!$L$16"}</definedName>
    <definedName name="ttttttttttt" localSheetId="7" hidden="1">{"'Sheet1'!$L$16"}</definedName>
    <definedName name="ttttttttttt" localSheetId="9" hidden="1">{"'Sheet1'!$L$16"}</definedName>
    <definedName name="ttttttttttt" localSheetId="10" hidden="1">{"'Sheet1'!$L$16"}</definedName>
    <definedName name="ttttttttttt" localSheetId="12" hidden="1">{"'Sheet1'!$L$16"}</definedName>
    <definedName name="ttttttttttt" localSheetId="11" hidden="1">{"'Sheet1'!$L$16"}</definedName>
    <definedName name="ttttttttttt" localSheetId="13" hidden="1">{"'Sheet1'!$L$16"}</definedName>
    <definedName name="ttttttttttt" localSheetId="14" hidden="1">{"'Sheet1'!$L$16"}</definedName>
    <definedName name="ttttttttttt" hidden="1">{"'Sheet1'!$L$16"}</definedName>
    <definedName name="tuyennhanh" localSheetId="2" hidden="1">{"'Sheet1'!$L$16"}</definedName>
    <definedName name="tuyennhanh" localSheetId="3" hidden="1">{"'Sheet1'!$L$16"}</definedName>
    <definedName name="tuyennhanh" localSheetId="6" hidden="1">{"'Sheet1'!$L$16"}</definedName>
    <definedName name="tuyennhanh" localSheetId="7" hidden="1">{"'Sheet1'!$L$16"}</definedName>
    <definedName name="tuyennhanh" localSheetId="9" hidden="1">{"'Sheet1'!$L$16"}</definedName>
    <definedName name="tuyennhanh" localSheetId="10" hidden="1">{"'Sheet1'!$L$16"}</definedName>
    <definedName name="tuyennhanh" localSheetId="12" hidden="1">{"'Sheet1'!$L$16"}</definedName>
    <definedName name="tuyennhanh" localSheetId="11" hidden="1">{"'Sheet1'!$L$16"}</definedName>
    <definedName name="tuyennhanh" localSheetId="13" hidden="1">{"'Sheet1'!$L$16"}</definedName>
    <definedName name="tuyennhanh" localSheetId="14" hidden="1">{"'Sheet1'!$L$16"}</definedName>
    <definedName name="tuyennhanh" hidden="1">{"'Sheet1'!$L$16"}</definedName>
    <definedName name="tha" localSheetId="2" hidden="1">{"'Sheet1'!$L$16"}</definedName>
    <definedName name="tha" localSheetId="3" hidden="1">{"'Sheet1'!$L$16"}</definedName>
    <definedName name="tha" localSheetId="6" hidden="1">{"'Sheet1'!$L$16"}</definedName>
    <definedName name="tha" localSheetId="7" hidden="1">{"'Sheet1'!$L$16"}</definedName>
    <definedName name="tha" localSheetId="9" hidden="1">{"'Sheet1'!$L$16"}</definedName>
    <definedName name="tha" localSheetId="10" hidden="1">{"'Sheet1'!$L$16"}</definedName>
    <definedName name="tha" localSheetId="12" hidden="1">{"'Sheet1'!$L$16"}</definedName>
    <definedName name="tha" localSheetId="11" hidden="1">{"'Sheet1'!$L$16"}</definedName>
    <definedName name="tha" localSheetId="13" hidden="1">{"'Sheet1'!$L$16"}</definedName>
    <definedName name="tha" localSheetId="14" hidden="1">{"'Sheet1'!$L$16"}</definedName>
    <definedName name="tha" hidden="1">{"'Sheet1'!$L$16"}</definedName>
    <definedName name="trong" localSheetId="2" hidden="1">{"'Sheet1'!$L$16"}</definedName>
    <definedName name="trong" localSheetId="3" hidden="1">{"'Sheet1'!$L$16"}</definedName>
    <definedName name="trong" localSheetId="6" hidden="1">{"'Sheet1'!$L$16"}</definedName>
    <definedName name="trong" localSheetId="7" hidden="1">{"'Sheet1'!$L$16"}</definedName>
    <definedName name="trong" localSheetId="9" hidden="1">{"'Sheet1'!$L$16"}</definedName>
    <definedName name="trong" localSheetId="10" hidden="1">{"'Sheet1'!$L$16"}</definedName>
    <definedName name="trong" localSheetId="12" hidden="1">{"'Sheet1'!$L$16"}</definedName>
    <definedName name="trong" localSheetId="11" hidden="1">{"'Sheet1'!$L$16"}</definedName>
    <definedName name="trong" localSheetId="13" hidden="1">{"'Sheet1'!$L$16"}</definedName>
    <definedName name="trong" localSheetId="14" hidden="1">{"'Sheet1'!$L$16"}</definedName>
    <definedName name="trong" hidden="1">{"'Sheet1'!$L$16"}</definedName>
    <definedName name="uu" localSheetId="2" hidden="1">{"'Sheet1'!$L$16"}</definedName>
    <definedName name="uu" localSheetId="3" hidden="1">{"'Sheet1'!$L$16"}</definedName>
    <definedName name="uu" localSheetId="6" hidden="1">{"'Sheet1'!$L$16"}</definedName>
    <definedName name="uu" localSheetId="7" hidden="1">{"'Sheet1'!$L$16"}</definedName>
    <definedName name="uu" localSheetId="9" hidden="1">{"'Sheet1'!$L$16"}</definedName>
    <definedName name="uu" localSheetId="10" hidden="1">{"'Sheet1'!$L$16"}</definedName>
    <definedName name="uu" localSheetId="12" hidden="1">{"'Sheet1'!$L$16"}</definedName>
    <definedName name="uu" localSheetId="11" hidden="1">{"'Sheet1'!$L$16"}</definedName>
    <definedName name="uu" localSheetId="13" hidden="1">{"'Sheet1'!$L$16"}</definedName>
    <definedName name="uu" localSheetId="14" hidden="1">{"'Sheet1'!$L$16"}</definedName>
    <definedName name="uu" hidden="1">{"'Sheet1'!$L$16"}</definedName>
    <definedName name="VATM" localSheetId="2" hidden="1">{"'Sheet1'!$L$16"}</definedName>
    <definedName name="VATM" localSheetId="3" hidden="1">{"'Sheet1'!$L$16"}</definedName>
    <definedName name="VATM" localSheetId="6" hidden="1">{"'Sheet1'!$L$16"}</definedName>
    <definedName name="VATM" localSheetId="7" hidden="1">{"'Sheet1'!$L$16"}</definedName>
    <definedName name="VATM" localSheetId="9" hidden="1">{"'Sheet1'!$L$16"}</definedName>
    <definedName name="VATM" localSheetId="10" hidden="1">{"'Sheet1'!$L$16"}</definedName>
    <definedName name="VATM" localSheetId="12" hidden="1">{"'Sheet1'!$L$16"}</definedName>
    <definedName name="VATM" localSheetId="11" hidden="1">{"'Sheet1'!$L$16"}</definedName>
    <definedName name="VATM" localSheetId="13" hidden="1">{"'Sheet1'!$L$16"}</definedName>
    <definedName name="VATM" localSheetId="14" hidden="1">{"'Sheet1'!$L$16"}</definedName>
    <definedName name="VATM" hidden="1">{"'Sheet1'!$L$16"}</definedName>
    <definedName name="vcoto" localSheetId="2" hidden="1">{"'Sheet1'!$L$16"}</definedName>
    <definedName name="vcoto" localSheetId="3" hidden="1">{"'Sheet1'!$L$16"}</definedName>
    <definedName name="vcoto" localSheetId="6" hidden="1">{"'Sheet1'!$L$16"}</definedName>
    <definedName name="vcoto" localSheetId="7" hidden="1">{"'Sheet1'!$L$16"}</definedName>
    <definedName name="vcoto" localSheetId="9" hidden="1">{"'Sheet1'!$L$16"}</definedName>
    <definedName name="vcoto" localSheetId="10" hidden="1">{"'Sheet1'!$L$16"}</definedName>
    <definedName name="vcoto" localSheetId="12" hidden="1">{"'Sheet1'!$L$16"}</definedName>
    <definedName name="vcoto" localSheetId="11" hidden="1">{"'Sheet1'!$L$16"}</definedName>
    <definedName name="vcoto" localSheetId="13" hidden="1">{"'Sheet1'!$L$16"}</definedName>
    <definedName name="vcoto" localSheetId="14" hidden="1">{"'Sheet1'!$L$16"}</definedName>
    <definedName name="vcoto" hidden="1">{"'Sheet1'!$L$16"}</definedName>
    <definedName name="VH" localSheetId="2" hidden="1">{"'Sheet1'!$L$16"}</definedName>
    <definedName name="VH" localSheetId="3" hidden="1">{"'Sheet1'!$L$16"}</definedName>
    <definedName name="VH" localSheetId="6" hidden="1">{"'Sheet1'!$L$16"}</definedName>
    <definedName name="VH" localSheetId="7" hidden="1">{"'Sheet1'!$L$16"}</definedName>
    <definedName name="VH" localSheetId="9" hidden="1">{"'Sheet1'!$L$16"}</definedName>
    <definedName name="VH" localSheetId="10" hidden="1">{"'Sheet1'!$L$16"}</definedName>
    <definedName name="VH" localSheetId="12" hidden="1">{"'Sheet1'!$L$16"}</definedName>
    <definedName name="VH" localSheetId="11" hidden="1">{"'Sheet1'!$L$16"}</definedName>
    <definedName name="VH" localSheetId="13" hidden="1">{"'Sheet1'!$L$16"}</definedName>
    <definedName name="VH" localSheetId="14" hidden="1">{"'Sheet1'!$L$16"}</definedName>
    <definedName name="VH" hidden="1">{"'Sheet1'!$L$16"}</definedName>
    <definedName name="Viet" localSheetId="2" hidden="1">{"'Sheet1'!$L$16"}</definedName>
    <definedName name="Viet" localSheetId="3" hidden="1">{"'Sheet1'!$L$16"}</definedName>
    <definedName name="Viet" localSheetId="6" hidden="1">{"'Sheet1'!$L$16"}</definedName>
    <definedName name="Viet" localSheetId="7" hidden="1">{"'Sheet1'!$L$16"}</definedName>
    <definedName name="Viet" localSheetId="9" hidden="1">{"'Sheet1'!$L$16"}</definedName>
    <definedName name="Viet" localSheetId="10" hidden="1">{"'Sheet1'!$L$16"}</definedName>
    <definedName name="Viet" localSheetId="12" hidden="1">{"'Sheet1'!$L$16"}</definedName>
    <definedName name="Viet" localSheetId="11" hidden="1">{"'Sheet1'!$L$16"}</definedName>
    <definedName name="Viet" localSheetId="13" hidden="1">{"'Sheet1'!$L$16"}</definedName>
    <definedName name="Viet" localSheetId="14" hidden="1">{"'Sheet1'!$L$16"}</definedName>
    <definedName name="Viet" hidden="1">{"'Sheet1'!$L$16"}</definedName>
    <definedName name="vlct" localSheetId="2" hidden="1">{"'Sheet1'!$L$16"}</definedName>
    <definedName name="vlct" localSheetId="3" hidden="1">{"'Sheet1'!$L$16"}</definedName>
    <definedName name="vlct" localSheetId="6" hidden="1">{"'Sheet1'!$L$16"}</definedName>
    <definedName name="vlct" localSheetId="7" hidden="1">{"'Sheet1'!$L$16"}</definedName>
    <definedName name="vlct" localSheetId="9" hidden="1">{"'Sheet1'!$L$16"}</definedName>
    <definedName name="vlct" localSheetId="10" hidden="1">{"'Sheet1'!$L$16"}</definedName>
    <definedName name="vlct" localSheetId="12" hidden="1">{"'Sheet1'!$L$16"}</definedName>
    <definedName name="vlct" localSheetId="11" hidden="1">{"'Sheet1'!$L$16"}</definedName>
    <definedName name="vlct" localSheetId="13" hidden="1">{"'Sheet1'!$L$16"}</definedName>
    <definedName name="vlct" localSheetId="14" hidden="1">{"'Sheet1'!$L$16"}</definedName>
    <definedName name="vlct" hidden="1">{"'Sheet1'!$L$16"}</definedName>
    <definedName name="wrn.Bang._.ke._.nhan._.hang." localSheetId="2" hidden="1">{#N/A,#N/A,FALSE,"Ke khai NH"}</definedName>
    <definedName name="wrn.Bang._.ke._.nhan._.hang." localSheetId="3" hidden="1">{#N/A,#N/A,FALSE,"Ke khai NH"}</definedName>
    <definedName name="wrn.Bang._.ke._.nhan._.hang." localSheetId="6" hidden="1">{#N/A,#N/A,FALSE,"Ke khai NH"}</definedName>
    <definedName name="wrn.Bang._.ke._.nhan._.hang." localSheetId="7" hidden="1">{#N/A,#N/A,FALSE,"Ke khai NH"}</definedName>
    <definedName name="wrn.Bang._.ke._.nhan._.hang." localSheetId="9" hidden="1">{#N/A,#N/A,FALSE,"Ke khai NH"}</definedName>
    <definedName name="wrn.Bang._.ke._.nhan._.hang." localSheetId="10" hidden="1">{#N/A,#N/A,FALSE,"Ke khai NH"}</definedName>
    <definedName name="wrn.Bang._.ke._.nhan._.hang." localSheetId="12" hidden="1">{#N/A,#N/A,FALSE,"Ke khai NH"}</definedName>
    <definedName name="wrn.Bang._.ke._.nhan._.hang." localSheetId="11" hidden="1">{#N/A,#N/A,FALSE,"Ke khai NH"}</definedName>
    <definedName name="wrn.Bang._.ke._.nhan._.hang." localSheetId="13" hidden="1">{#N/A,#N/A,FALSE,"Ke khai NH"}</definedName>
    <definedName name="wrn.Bang._.ke._.nhan._.hang." localSheetId="14" hidden="1">{#N/A,#N/A,FALSE,"Ke khai NH"}</definedName>
    <definedName name="wrn.Bang._.ke._.nhan._.hang." hidden="1">{#N/A,#N/A,FALSE,"Ke khai NH"}</definedName>
    <definedName name="wrn.Che._.do._.duoc._.huong." localSheetId="2" hidden="1">{#N/A,#N/A,FALSE,"BN (2)"}</definedName>
    <definedName name="wrn.Che._.do._.duoc._.huong." localSheetId="3" hidden="1">{#N/A,#N/A,FALSE,"BN (2)"}</definedName>
    <definedName name="wrn.Che._.do._.duoc._.huong." localSheetId="6" hidden="1">{#N/A,#N/A,FALSE,"BN (2)"}</definedName>
    <definedName name="wrn.Che._.do._.duoc._.huong." localSheetId="7" hidden="1">{#N/A,#N/A,FALSE,"BN (2)"}</definedName>
    <definedName name="wrn.Che._.do._.duoc._.huong." localSheetId="9" hidden="1">{#N/A,#N/A,FALSE,"BN (2)"}</definedName>
    <definedName name="wrn.Che._.do._.duoc._.huong." localSheetId="10" hidden="1">{#N/A,#N/A,FALSE,"BN (2)"}</definedName>
    <definedName name="wrn.Che._.do._.duoc._.huong." localSheetId="12" hidden="1">{#N/A,#N/A,FALSE,"BN (2)"}</definedName>
    <definedName name="wrn.Che._.do._.duoc._.huong." localSheetId="11" hidden="1">{#N/A,#N/A,FALSE,"BN (2)"}</definedName>
    <definedName name="wrn.Che._.do._.duoc._.huong." localSheetId="13" hidden="1">{#N/A,#N/A,FALSE,"BN (2)"}</definedName>
    <definedName name="wrn.Che._.do._.duoc._.huong." localSheetId="14" hidden="1">{#N/A,#N/A,FALSE,"BN (2)"}</definedName>
    <definedName name="wrn.Che._.do._.duoc._.huong." hidden="1">{#N/A,#N/A,FALSE,"BN (2)"}</definedName>
    <definedName name="wrn.chi._.tiÆt." localSheetId="2" hidden="1">{#N/A,#N/A,FALSE,"Chi tiÆt"}</definedName>
    <definedName name="wrn.chi._.tiÆt." localSheetId="3" hidden="1">{#N/A,#N/A,FALSE,"Chi tiÆt"}</definedName>
    <definedName name="wrn.chi._.tiÆt." localSheetId="6" hidden="1">{#N/A,#N/A,FALSE,"Chi tiÆt"}</definedName>
    <definedName name="wrn.chi._.tiÆt." localSheetId="7" hidden="1">{#N/A,#N/A,FALSE,"Chi tiÆt"}</definedName>
    <definedName name="wrn.chi._.tiÆt." localSheetId="9" hidden="1">{#N/A,#N/A,FALSE,"Chi tiÆt"}</definedName>
    <definedName name="wrn.chi._.tiÆt." localSheetId="10" hidden="1">{#N/A,#N/A,FALSE,"Chi tiÆt"}</definedName>
    <definedName name="wrn.chi._.tiÆt." localSheetId="12" hidden="1">{#N/A,#N/A,FALSE,"Chi tiÆt"}</definedName>
    <definedName name="wrn.chi._.tiÆt." localSheetId="11" hidden="1">{#N/A,#N/A,FALSE,"Chi tiÆt"}</definedName>
    <definedName name="wrn.chi._.tiÆt." localSheetId="13" hidden="1">{#N/A,#N/A,FALSE,"Chi tiÆt"}</definedName>
    <definedName name="wrn.chi._.tiÆt." localSheetId="14" hidden="1">{#N/A,#N/A,FALSE,"Chi tiÆt"}</definedName>
    <definedName name="wrn.chi._.tiÆt." hidden="1">{#N/A,#N/A,FALSE,"Chi tiÆt"}</definedName>
    <definedName name="wrn.Giáy._.bao._.no." localSheetId="2" hidden="1">{#N/A,#N/A,FALSE,"BN"}</definedName>
    <definedName name="wrn.Giáy._.bao._.no." localSheetId="3" hidden="1">{#N/A,#N/A,FALSE,"BN"}</definedName>
    <definedName name="wrn.Giáy._.bao._.no." localSheetId="6" hidden="1">{#N/A,#N/A,FALSE,"BN"}</definedName>
    <definedName name="wrn.Giáy._.bao._.no." localSheetId="7" hidden="1">{#N/A,#N/A,FALSE,"BN"}</definedName>
    <definedName name="wrn.Giáy._.bao._.no." localSheetId="9" hidden="1">{#N/A,#N/A,FALSE,"BN"}</definedName>
    <definedName name="wrn.Giáy._.bao._.no." localSheetId="10" hidden="1">{#N/A,#N/A,FALSE,"BN"}</definedName>
    <definedName name="wrn.Giáy._.bao._.no." localSheetId="12" hidden="1">{#N/A,#N/A,FALSE,"BN"}</definedName>
    <definedName name="wrn.Giáy._.bao._.no." localSheetId="11" hidden="1">{#N/A,#N/A,FALSE,"BN"}</definedName>
    <definedName name="wrn.Giáy._.bao._.no." localSheetId="13" hidden="1">{#N/A,#N/A,FALSE,"BN"}</definedName>
    <definedName name="wrn.Giáy._.bao._.no." localSheetId="14" hidden="1">{#N/A,#N/A,FALSE,"BN"}</definedName>
    <definedName name="wrn.Giáy._.bao._.no." hidden="1">{#N/A,#N/A,FALSE,"BN"}</definedName>
    <definedName name="wrn.vd." localSheetId="2" hidden="1">{#N/A,#N/A,TRUE,"BT M200 da 10x20"}</definedName>
    <definedName name="wrn.vd." localSheetId="3" hidden="1">{#N/A,#N/A,TRUE,"BT M200 da 10x20"}</definedName>
    <definedName name="wrn.vd." localSheetId="6" hidden="1">{#N/A,#N/A,TRUE,"BT M200 da 10x20"}</definedName>
    <definedName name="wrn.vd." localSheetId="7" hidden="1">{#N/A,#N/A,TRUE,"BT M200 da 10x20"}</definedName>
    <definedName name="wrn.vd." localSheetId="9" hidden="1">{#N/A,#N/A,TRUE,"BT M200 da 10x20"}</definedName>
    <definedName name="wrn.vd." localSheetId="10" hidden="1">{#N/A,#N/A,TRUE,"BT M200 da 10x20"}</definedName>
    <definedName name="wrn.vd." localSheetId="12" hidden="1">{#N/A,#N/A,TRUE,"BT M200 da 10x20"}</definedName>
    <definedName name="wrn.vd." localSheetId="11" hidden="1">{#N/A,#N/A,TRUE,"BT M200 da 10x20"}</definedName>
    <definedName name="wrn.vd." localSheetId="13" hidden="1">{#N/A,#N/A,TRUE,"BT M200 da 10x20"}</definedName>
    <definedName name="wrn.vd." localSheetId="14" hidden="1">{#N/A,#N/A,TRUE,"BT M200 da 10x20"}</definedName>
    <definedName name="wrn.vd." hidden="1">{#N/A,#N/A,TRUE,"BT M200 da 10x20"}</definedName>
    <definedName name="xls" localSheetId="2" hidden="1">{"'Sheet1'!$L$16"}</definedName>
    <definedName name="xls" localSheetId="3" hidden="1">{"'Sheet1'!$L$16"}</definedName>
    <definedName name="xls" localSheetId="6" hidden="1">{"'Sheet1'!$L$16"}</definedName>
    <definedName name="xls" localSheetId="7" hidden="1">{"'Sheet1'!$L$16"}</definedName>
    <definedName name="xls" localSheetId="9" hidden="1">{"'Sheet1'!$L$16"}</definedName>
    <definedName name="xls" localSheetId="10" hidden="1">{"'Sheet1'!$L$16"}</definedName>
    <definedName name="xls" localSheetId="12" hidden="1">{"'Sheet1'!$L$16"}</definedName>
    <definedName name="xls" localSheetId="11" hidden="1">{"'Sheet1'!$L$16"}</definedName>
    <definedName name="xls" localSheetId="13" hidden="1">{"'Sheet1'!$L$16"}</definedName>
    <definedName name="xls" localSheetId="14" hidden="1">{"'Sheet1'!$L$16"}</definedName>
    <definedName name="xls" hidden="1">{"'Sheet1'!$L$16"}</definedName>
    <definedName name="xlttbninh" localSheetId="2" hidden="1">{"'Sheet1'!$L$16"}</definedName>
    <definedName name="xlttbninh" localSheetId="3" hidden="1">{"'Sheet1'!$L$16"}</definedName>
    <definedName name="xlttbninh" localSheetId="6" hidden="1">{"'Sheet1'!$L$16"}</definedName>
    <definedName name="xlttbninh" localSheetId="7" hidden="1">{"'Sheet1'!$L$16"}</definedName>
    <definedName name="xlttbninh" localSheetId="9" hidden="1">{"'Sheet1'!$L$16"}</definedName>
    <definedName name="xlttbninh" localSheetId="10" hidden="1">{"'Sheet1'!$L$16"}</definedName>
    <definedName name="xlttbninh" localSheetId="12" hidden="1">{"'Sheet1'!$L$16"}</definedName>
    <definedName name="xlttbninh" localSheetId="11" hidden="1">{"'Sheet1'!$L$16"}</definedName>
    <definedName name="xlttbninh" localSheetId="13" hidden="1">{"'Sheet1'!$L$16"}</definedName>
    <definedName name="xlttbninh" localSheetId="14" hidden="1">{"'Sheet1'!$L$16"}</definedName>
    <definedName name="xlttbninh" hidden="1">{"'Sheet1'!$L$16"}</definedName>
  </definedNames>
  <calcPr calcId="162913"/>
</workbook>
</file>

<file path=xl/calcChain.xml><?xml version="1.0" encoding="utf-8"?>
<calcChain xmlns="http://schemas.openxmlformats.org/spreadsheetml/2006/main">
  <c r="D15" i="24" l="1"/>
  <c r="D14" i="24"/>
  <c r="G14" i="24"/>
  <c r="G4" i="24" l="1"/>
  <c r="G12" i="24"/>
  <c r="G28" i="24" l="1"/>
  <c r="N6" i="18"/>
  <c r="D13" i="7" l="1"/>
  <c r="D21" i="7"/>
  <c r="D45" i="7"/>
  <c r="E16" i="6"/>
  <c r="E27" i="6"/>
  <c r="C89" i="27" l="1"/>
  <c r="C88" i="27" s="1"/>
  <c r="D88" i="27"/>
  <c r="E87" i="27"/>
  <c r="E85" i="27"/>
  <c r="E84" i="27"/>
  <c r="D83" i="27"/>
  <c r="C83" i="27"/>
  <c r="E81" i="27"/>
  <c r="E80" i="27"/>
  <c r="E79" i="27" s="1"/>
  <c r="D79" i="27"/>
  <c r="D78" i="27" s="1"/>
  <c r="C79" i="27"/>
  <c r="C78" i="27"/>
  <c r="E77" i="27"/>
  <c r="E71" i="27"/>
  <c r="E70" i="27"/>
  <c r="D69" i="27"/>
  <c r="D68" i="27" s="1"/>
  <c r="C69" i="27"/>
  <c r="C68" i="27" s="1"/>
  <c r="E67" i="27"/>
  <c r="E66" i="27"/>
  <c r="E65" i="27"/>
  <c r="E64" i="27"/>
  <c r="D64" i="27"/>
  <c r="C64" i="27"/>
  <c r="D63" i="27"/>
  <c r="C63" i="27"/>
  <c r="E62" i="27"/>
  <c r="E61" i="27"/>
  <c r="D60" i="27"/>
  <c r="C60" i="27"/>
  <c r="C57" i="27" s="1"/>
  <c r="E59" i="27"/>
  <c r="E58" i="27"/>
  <c r="E55" i="27"/>
  <c r="D54" i="27"/>
  <c r="E54" i="27" s="1"/>
  <c r="E53" i="27" s="1"/>
  <c r="C54" i="27"/>
  <c r="C53" i="27" s="1"/>
  <c r="D53" i="27"/>
  <c r="E52" i="27"/>
  <c r="E49" i="27"/>
  <c r="E45" i="27"/>
  <c r="D44" i="27"/>
  <c r="D43" i="27" s="1"/>
  <c r="C44" i="27"/>
  <c r="C43" i="27" s="1"/>
  <c r="D40" i="27"/>
  <c r="C40" i="27"/>
  <c r="D36" i="27"/>
  <c r="C36" i="27"/>
  <c r="D32" i="27"/>
  <c r="C32" i="27"/>
  <c r="E31" i="27"/>
  <c r="D30" i="27"/>
  <c r="C30" i="27"/>
  <c r="E29" i="27"/>
  <c r="E27" i="27"/>
  <c r="E25" i="27"/>
  <c r="E21" i="27"/>
  <c r="E18" i="27"/>
  <c r="D17" i="27"/>
  <c r="C17" i="27"/>
  <c r="E17" i="27" s="1"/>
  <c r="E16" i="27"/>
  <c r="E15" i="27"/>
  <c r="E14" i="27"/>
  <c r="E13" i="27"/>
  <c r="E12" i="27"/>
  <c r="D11" i="27"/>
  <c r="C11" i="27"/>
  <c r="E30" i="27" l="1"/>
  <c r="C23" i="27"/>
  <c r="C10" i="27" s="1"/>
  <c r="C9" i="27" s="1"/>
  <c r="E78" i="27"/>
  <c r="E11" i="27"/>
  <c r="E63" i="27"/>
  <c r="E60" i="27"/>
  <c r="D57" i="27"/>
  <c r="E57" i="27" s="1"/>
  <c r="E83" i="27"/>
  <c r="E88" i="27"/>
  <c r="C42" i="27"/>
  <c r="D42" i="27"/>
  <c r="E42" i="27" s="1"/>
  <c r="E43" i="27"/>
  <c r="E68" i="27"/>
  <c r="E44" i="27"/>
  <c r="D23" i="27"/>
  <c r="E69" i="27"/>
  <c r="G21" i="24"/>
  <c r="E105" i="6"/>
  <c r="E9" i="31"/>
  <c r="E8" i="31" s="1"/>
  <c r="D10" i="27" l="1"/>
  <c r="E23" i="27"/>
  <c r="I20" i="22"/>
  <c r="I19" i="22"/>
  <c r="I18" i="22"/>
  <c r="I17" i="22"/>
  <c r="I16" i="22"/>
  <c r="I15" i="22"/>
  <c r="I14" i="22"/>
  <c r="I13" i="22"/>
  <c r="I12" i="22"/>
  <c r="I11" i="22"/>
  <c r="G25" i="24"/>
  <c r="D41" i="7"/>
  <c r="E24" i="6"/>
  <c r="D9" i="27" l="1"/>
  <c r="E9" i="27" s="1"/>
  <c r="E10" i="27"/>
  <c r="AH29" i="32"/>
  <c r="AE29" i="32"/>
  <c r="AD29" i="32" s="1"/>
  <c r="AA29" i="32"/>
  <c r="X29" i="32"/>
  <c r="W29" i="32" s="1"/>
  <c r="V29" i="32"/>
  <c r="U29" i="32"/>
  <c r="Q29" i="32"/>
  <c r="N29" i="32"/>
  <c r="M29" i="32" s="1"/>
  <c r="J29" i="32"/>
  <c r="E29" i="32" s="1"/>
  <c r="G29" i="32"/>
  <c r="F29" i="32" s="1"/>
  <c r="AZ28" i="32"/>
  <c r="AH28" i="32"/>
  <c r="AE28" i="32"/>
  <c r="AA28" i="32"/>
  <c r="V28" i="32" s="1"/>
  <c r="X28" i="32"/>
  <c r="W28" i="32" s="1"/>
  <c r="Q28" i="32"/>
  <c r="N28" i="32"/>
  <c r="M28" i="32"/>
  <c r="J28" i="32"/>
  <c r="E28" i="32" s="1"/>
  <c r="G28" i="32"/>
  <c r="D28" i="32" s="1"/>
  <c r="C28" i="32" s="1"/>
  <c r="AZ27" i="32"/>
  <c r="AH27" i="32"/>
  <c r="AY27" i="32" s="1"/>
  <c r="AE27" i="32"/>
  <c r="AD27" i="32" s="1"/>
  <c r="AU27" i="32" s="1"/>
  <c r="AA27" i="32"/>
  <c r="X27" i="32"/>
  <c r="Q27" i="32"/>
  <c r="N27" i="32"/>
  <c r="M27" i="32"/>
  <c r="J27" i="32"/>
  <c r="G27" i="32"/>
  <c r="F27" i="32"/>
  <c r="E27" i="32"/>
  <c r="D27" i="32"/>
  <c r="C27" i="32" s="1"/>
  <c r="AZ26" i="32"/>
  <c r="AH26" i="32"/>
  <c r="AD26" i="32" s="1"/>
  <c r="AE26" i="32"/>
  <c r="AA26" i="32"/>
  <c r="X26" i="32"/>
  <c r="U26" i="32" s="1"/>
  <c r="W26" i="32"/>
  <c r="Q26" i="32"/>
  <c r="N26" i="32"/>
  <c r="M26" i="32" s="1"/>
  <c r="J26" i="32"/>
  <c r="E26" i="32" s="1"/>
  <c r="G26" i="32"/>
  <c r="D26" i="32" s="1"/>
  <c r="C26" i="32" s="1"/>
  <c r="AZ25" i="32"/>
  <c r="AH25" i="32"/>
  <c r="AY25" i="32" s="1"/>
  <c r="AE25" i="32"/>
  <c r="AA25" i="32"/>
  <c r="X25" i="32"/>
  <c r="U25" i="32" s="1"/>
  <c r="W25" i="32"/>
  <c r="Q25" i="32"/>
  <c r="N25" i="32"/>
  <c r="M25" i="32" s="1"/>
  <c r="J25" i="32"/>
  <c r="G25" i="32"/>
  <c r="F25" i="32"/>
  <c r="E25" i="32"/>
  <c r="D25" i="32"/>
  <c r="C25" i="32" s="1"/>
  <c r="AH24" i="32"/>
  <c r="AE24" i="32"/>
  <c r="U24" i="32" s="1"/>
  <c r="AA24" i="32"/>
  <c r="X24" i="32"/>
  <c r="Q24" i="32"/>
  <c r="N24" i="32"/>
  <c r="M24" i="32" s="1"/>
  <c r="J24" i="32"/>
  <c r="E24" i="32" s="1"/>
  <c r="G24" i="32"/>
  <c r="D24" i="32" s="1"/>
  <c r="AZ23" i="32"/>
  <c r="AH23" i="32"/>
  <c r="AY23" i="32" s="1"/>
  <c r="AE23" i="32"/>
  <c r="AD23" i="32" s="1"/>
  <c r="AU23" i="32" s="1"/>
  <c r="AA23" i="32"/>
  <c r="X23" i="32"/>
  <c r="Q23" i="32"/>
  <c r="N23" i="32"/>
  <c r="M23" i="32"/>
  <c r="J23" i="32"/>
  <c r="G23" i="32"/>
  <c r="F23" i="32"/>
  <c r="E23" i="32"/>
  <c r="D23" i="32"/>
  <c r="AZ22" i="32"/>
  <c r="AH22" i="32"/>
  <c r="AE22" i="32"/>
  <c r="AA22" i="32"/>
  <c r="X22" i="32"/>
  <c r="W22" i="32" s="1"/>
  <c r="Q22" i="32"/>
  <c r="N22" i="32"/>
  <c r="M22" i="32" s="1"/>
  <c r="J22" i="32"/>
  <c r="G22" i="32"/>
  <c r="F22" i="32"/>
  <c r="D22" i="32"/>
  <c r="AZ21" i="32"/>
  <c r="AH21" i="32"/>
  <c r="AE21" i="32"/>
  <c r="AD21" i="32" s="1"/>
  <c r="AA21" i="32"/>
  <c r="V21" i="32" s="1"/>
  <c r="X21" i="32"/>
  <c r="W21" i="32" s="1"/>
  <c r="U21" i="32"/>
  <c r="Q21" i="32"/>
  <c r="Q19" i="32" s="1"/>
  <c r="N21" i="32"/>
  <c r="M21" i="32" s="1"/>
  <c r="J21" i="32"/>
  <c r="E21" i="32" s="1"/>
  <c r="G21" i="32"/>
  <c r="AZ20" i="32"/>
  <c r="AH20" i="32"/>
  <c r="AE20" i="32"/>
  <c r="AA20" i="32"/>
  <c r="V20" i="32" s="1"/>
  <c r="X20" i="32"/>
  <c r="Q20" i="32"/>
  <c r="N20" i="32"/>
  <c r="M20" i="32" s="1"/>
  <c r="J20" i="32"/>
  <c r="G20" i="32"/>
  <c r="D20" i="32" s="1"/>
  <c r="AJ19" i="32"/>
  <c r="AI19" i="32"/>
  <c r="AZ19" i="32" s="1"/>
  <c r="AG19" i="32"/>
  <c r="AF19" i="32"/>
  <c r="AC19" i="32"/>
  <c r="AB19" i="32"/>
  <c r="Z19" i="32"/>
  <c r="Y19" i="32"/>
  <c r="S19" i="32"/>
  <c r="R19" i="32"/>
  <c r="P19" i="32"/>
  <c r="O19" i="32"/>
  <c r="L19" i="32"/>
  <c r="K19" i="32"/>
  <c r="I19" i="32"/>
  <c r="H19" i="32"/>
  <c r="AH18" i="32"/>
  <c r="V18" i="32" s="1"/>
  <c r="AE18" i="32"/>
  <c r="AD18" i="32" s="1"/>
  <c r="X18" i="32"/>
  <c r="U18" i="32" s="1"/>
  <c r="Q18" i="32"/>
  <c r="N18" i="32"/>
  <c r="M18" i="32" s="1"/>
  <c r="J18" i="32"/>
  <c r="E18" i="32" s="1"/>
  <c r="G18" i="32"/>
  <c r="F18" i="32" s="1"/>
  <c r="AH17" i="32"/>
  <c r="V17" i="32" s="1"/>
  <c r="AE17" i="32"/>
  <c r="X17" i="32"/>
  <c r="W17" i="32" s="1"/>
  <c r="Q17" i="32"/>
  <c r="N17" i="32"/>
  <c r="M17" i="32"/>
  <c r="J17" i="32"/>
  <c r="E17" i="32" s="1"/>
  <c r="G17" i="32"/>
  <c r="AH16" i="32"/>
  <c r="AE16" i="32"/>
  <c r="AD16" i="32" s="1"/>
  <c r="X16" i="32"/>
  <c r="W16" i="32" s="1"/>
  <c r="V16" i="32"/>
  <c r="Q16" i="32"/>
  <c r="N16" i="32"/>
  <c r="M16" i="32" s="1"/>
  <c r="J16" i="32"/>
  <c r="G16" i="32"/>
  <c r="AH15" i="32"/>
  <c r="V15" i="32" s="1"/>
  <c r="AE15" i="32"/>
  <c r="X15" i="32"/>
  <c r="U15" i="32" s="1"/>
  <c r="Q15" i="32"/>
  <c r="N15" i="32"/>
  <c r="M15" i="32" s="1"/>
  <c r="J15" i="32"/>
  <c r="G15" i="32"/>
  <c r="F15" i="32" s="1"/>
  <c r="E15" i="32"/>
  <c r="D15" i="32"/>
  <c r="C15" i="32" s="1"/>
  <c r="AZ14" i="32"/>
  <c r="AH14" i="32"/>
  <c r="AE14" i="32"/>
  <c r="AD14" i="32" s="1"/>
  <c r="AA14" i="32"/>
  <c r="AA13" i="32" s="1"/>
  <c r="X14" i="32"/>
  <c r="U14" i="32" s="1"/>
  <c r="Q14" i="32"/>
  <c r="N14" i="32"/>
  <c r="M14" i="32"/>
  <c r="J14" i="32"/>
  <c r="G14" i="32"/>
  <c r="AJ13" i="32"/>
  <c r="AI13" i="32"/>
  <c r="AG13" i="32"/>
  <c r="AF13" i="32"/>
  <c r="AC13" i="32"/>
  <c r="AC12" i="32" s="1"/>
  <c r="AB13" i="32"/>
  <c r="AB12" i="32" s="1"/>
  <c r="Z13" i="32"/>
  <c r="Z12" i="32" s="1"/>
  <c r="Y13" i="32"/>
  <c r="S13" i="32"/>
  <c r="R13" i="32"/>
  <c r="R12" i="32" s="1"/>
  <c r="P13" i="32"/>
  <c r="O13" i="32"/>
  <c r="L13" i="32"/>
  <c r="K13" i="32"/>
  <c r="K12" i="32" s="1"/>
  <c r="I13" i="32"/>
  <c r="H13" i="32"/>
  <c r="AI12" i="32"/>
  <c r="Y12" i="32"/>
  <c r="S12" i="32"/>
  <c r="Y20" i="22"/>
  <c r="X20" i="22"/>
  <c r="O20" i="22"/>
  <c r="W20" i="22" s="1"/>
  <c r="M20" i="22"/>
  <c r="L20" i="22"/>
  <c r="T20" i="22" s="1"/>
  <c r="K20" i="22"/>
  <c r="E20" i="22"/>
  <c r="C20" i="22"/>
  <c r="Y19" i="22"/>
  <c r="X19" i="22"/>
  <c r="O19" i="22"/>
  <c r="W19" i="22" s="1"/>
  <c r="M19" i="22"/>
  <c r="L19" i="22"/>
  <c r="T19" i="22" s="1"/>
  <c r="K19" i="22"/>
  <c r="E19" i="22"/>
  <c r="C19" i="22" s="1"/>
  <c r="Y18" i="22"/>
  <c r="X18" i="22"/>
  <c r="O18" i="22"/>
  <c r="W18" i="22" s="1"/>
  <c r="M18" i="22"/>
  <c r="U18" i="22" s="1"/>
  <c r="L18" i="22"/>
  <c r="T18" i="22" s="1"/>
  <c r="K18" i="22"/>
  <c r="E18" i="22"/>
  <c r="C18" i="22" s="1"/>
  <c r="Y17" i="22"/>
  <c r="X17" i="22"/>
  <c r="O17" i="22"/>
  <c r="W17" i="22" s="1"/>
  <c r="M17" i="22"/>
  <c r="L17" i="22"/>
  <c r="T17" i="22" s="1"/>
  <c r="K17" i="22"/>
  <c r="E17" i="22"/>
  <c r="C17" i="22"/>
  <c r="Y16" i="22"/>
  <c r="X16" i="22"/>
  <c r="O16" i="22"/>
  <c r="W16" i="22" s="1"/>
  <c r="M16" i="22"/>
  <c r="L16" i="22"/>
  <c r="T16" i="22" s="1"/>
  <c r="K16" i="22"/>
  <c r="E16" i="22"/>
  <c r="C16" i="22"/>
  <c r="Y15" i="22"/>
  <c r="X15" i="22"/>
  <c r="O15" i="22"/>
  <c r="W15" i="22" s="1"/>
  <c r="M15" i="22"/>
  <c r="U15" i="22" s="1"/>
  <c r="L15" i="22"/>
  <c r="T15" i="22" s="1"/>
  <c r="K15" i="22"/>
  <c r="E15" i="22"/>
  <c r="C15" i="22" s="1"/>
  <c r="Y14" i="22"/>
  <c r="X14" i="22"/>
  <c r="O14" i="22"/>
  <c r="W14" i="22" s="1"/>
  <c r="M14" i="22"/>
  <c r="L14" i="22"/>
  <c r="T14" i="22" s="1"/>
  <c r="K14" i="22"/>
  <c r="E14" i="22"/>
  <c r="C14" i="22" s="1"/>
  <c r="Y13" i="22"/>
  <c r="X13" i="22"/>
  <c r="O13" i="22"/>
  <c r="W13" i="22" s="1"/>
  <c r="M13" i="22"/>
  <c r="L13" i="22"/>
  <c r="T13" i="22" s="1"/>
  <c r="K13" i="22"/>
  <c r="E13" i="22"/>
  <c r="C13" i="22"/>
  <c r="Y12" i="22"/>
  <c r="X12" i="22"/>
  <c r="O12" i="22"/>
  <c r="W12" i="22" s="1"/>
  <c r="M12" i="22"/>
  <c r="U12" i="22" s="1"/>
  <c r="L12" i="22"/>
  <c r="T12" i="22" s="1"/>
  <c r="K12" i="22"/>
  <c r="E12" i="22"/>
  <c r="C12" i="22" s="1"/>
  <c r="Y11" i="22"/>
  <c r="X11" i="22"/>
  <c r="O11" i="22"/>
  <c r="W11" i="22" s="1"/>
  <c r="M11" i="22"/>
  <c r="L11" i="22"/>
  <c r="L10" i="22" s="1"/>
  <c r="T10" i="22" s="1"/>
  <c r="K11" i="22"/>
  <c r="K10" i="22" s="1"/>
  <c r="E11" i="22"/>
  <c r="C11" i="22"/>
  <c r="R10" i="22"/>
  <c r="Q10" i="22"/>
  <c r="P10" i="22"/>
  <c r="X10" i="22" s="1"/>
  <c r="O10" i="22"/>
  <c r="W10" i="22" s="1"/>
  <c r="N10" i="22"/>
  <c r="M10" i="22"/>
  <c r="J10" i="22"/>
  <c r="I10" i="22"/>
  <c r="H10" i="22"/>
  <c r="G10" i="22"/>
  <c r="F10" i="22"/>
  <c r="D10" i="22"/>
  <c r="AD22" i="21"/>
  <c r="AC22" i="21"/>
  <c r="AA22" i="21"/>
  <c r="W22" i="21"/>
  <c r="P22" i="21" s="1"/>
  <c r="AB22" i="21" s="1"/>
  <c r="K22" i="21"/>
  <c r="C22" i="21"/>
  <c r="AD21" i="21"/>
  <c r="AC21" i="21"/>
  <c r="W21" i="21"/>
  <c r="P21" i="21" s="1"/>
  <c r="AB21" i="21" s="1"/>
  <c r="K21" i="21"/>
  <c r="C21" i="21"/>
  <c r="AD20" i="21"/>
  <c r="AC20" i="21"/>
  <c r="W20" i="21"/>
  <c r="P20" i="21"/>
  <c r="K20" i="21"/>
  <c r="C20" i="21" s="1"/>
  <c r="AB20" i="21" s="1"/>
  <c r="AD19" i="21"/>
  <c r="AC19" i="21"/>
  <c r="W19" i="21"/>
  <c r="Q19" i="21"/>
  <c r="P19" i="21" s="1"/>
  <c r="AB19" i="21" s="1"/>
  <c r="K19" i="21"/>
  <c r="C19" i="21"/>
  <c r="AD18" i="21"/>
  <c r="AC18" i="21"/>
  <c r="AA18" i="21"/>
  <c r="AA12" i="21" s="1"/>
  <c r="X18" i="21"/>
  <c r="W18" i="21" s="1"/>
  <c r="Q18" i="21"/>
  <c r="K18" i="21"/>
  <c r="C18" i="21"/>
  <c r="AD17" i="21"/>
  <c r="AC17" i="21"/>
  <c r="W17" i="21"/>
  <c r="P17" i="21"/>
  <c r="K17" i="21"/>
  <c r="C17" i="21" s="1"/>
  <c r="AC16" i="21"/>
  <c r="Y16" i="21"/>
  <c r="W16" i="21"/>
  <c r="T16" i="21"/>
  <c r="AD16" i="21" s="1"/>
  <c r="P16" i="21"/>
  <c r="K16" i="21"/>
  <c r="C16" i="21" s="1"/>
  <c r="AD15" i="21"/>
  <c r="AC15" i="21"/>
  <c r="W15" i="21"/>
  <c r="P15" i="21" s="1"/>
  <c r="AB15" i="21" s="1"/>
  <c r="K15" i="21"/>
  <c r="C15" i="21"/>
  <c r="Y14" i="21"/>
  <c r="X14" i="21"/>
  <c r="W14" i="21"/>
  <c r="T14" i="21"/>
  <c r="AD14" i="21" s="1"/>
  <c r="Q14" i="21"/>
  <c r="AC14" i="21" s="1"/>
  <c r="K14" i="21"/>
  <c r="C14" i="21"/>
  <c r="AA13" i="21"/>
  <c r="Y13" i="21"/>
  <c r="X13" i="21"/>
  <c r="W13" i="21"/>
  <c r="T13" i="21"/>
  <c r="T12" i="21" s="1"/>
  <c r="AD12" i="21" s="1"/>
  <c r="Q13" i="21"/>
  <c r="AC13" i="21" s="1"/>
  <c r="K13" i="21"/>
  <c r="C13" i="21"/>
  <c r="Z12" i="21"/>
  <c r="Y12" i="21"/>
  <c r="X12" i="21"/>
  <c r="V12" i="21"/>
  <c r="U12" i="21"/>
  <c r="S12" i="21"/>
  <c r="R12" i="21"/>
  <c r="O12" i="21"/>
  <c r="N12" i="21"/>
  <c r="M12" i="21"/>
  <c r="L12" i="21"/>
  <c r="K12" i="21"/>
  <c r="J12" i="21"/>
  <c r="I12" i="21"/>
  <c r="H12" i="21"/>
  <c r="G12" i="21"/>
  <c r="F12" i="21"/>
  <c r="E12" i="21"/>
  <c r="D12" i="21"/>
  <c r="S20" i="22" l="1"/>
  <c r="U20" i="22"/>
  <c r="S19" i="22"/>
  <c r="U19" i="22"/>
  <c r="S18" i="22"/>
  <c r="S17" i="22"/>
  <c r="U17" i="22"/>
  <c r="S16" i="22"/>
  <c r="U16" i="22"/>
  <c r="S15" i="22"/>
  <c r="E10" i="22"/>
  <c r="C10" i="22" s="1"/>
  <c r="S10" i="22" s="1"/>
  <c r="S14" i="22"/>
  <c r="U14" i="22"/>
  <c r="S13" i="22"/>
  <c r="U13" i="22"/>
  <c r="S12" i="22"/>
  <c r="U11" i="22"/>
  <c r="Y10" i="22"/>
  <c r="AJ12" i="32"/>
  <c r="D14" i="32"/>
  <c r="V26" i="32"/>
  <c r="V25" i="32"/>
  <c r="AM25" i="32" s="1"/>
  <c r="W20" i="32"/>
  <c r="H12" i="32"/>
  <c r="AF12" i="32"/>
  <c r="U23" i="32"/>
  <c r="T23" i="32" s="1"/>
  <c r="AK23" i="32" s="1"/>
  <c r="T25" i="32"/>
  <c r="AK25" i="32" s="1"/>
  <c r="I12" i="32"/>
  <c r="AG12" i="32"/>
  <c r="U22" i="32"/>
  <c r="T22" i="32" s="1"/>
  <c r="V23" i="32"/>
  <c r="AM23" i="32" s="1"/>
  <c r="AZ13" i="32"/>
  <c r="F16" i="32"/>
  <c r="AY21" i="32"/>
  <c r="V22" i="32"/>
  <c r="AD25" i="32"/>
  <c r="AU25" i="32" s="1"/>
  <c r="J13" i="32"/>
  <c r="AR13" i="32" s="1"/>
  <c r="N13" i="32"/>
  <c r="F17" i="32"/>
  <c r="F21" i="32"/>
  <c r="AD22" i="32"/>
  <c r="AU22" i="32" s="1"/>
  <c r="V24" i="32"/>
  <c r="T24" i="32" s="1"/>
  <c r="F26" i="32"/>
  <c r="AS12" i="32"/>
  <c r="J19" i="32"/>
  <c r="E16" i="32"/>
  <c r="T21" i="32"/>
  <c r="C23" i="32"/>
  <c r="U16" i="32"/>
  <c r="T16" i="32" s="1"/>
  <c r="U17" i="32"/>
  <c r="T17" i="32" s="1"/>
  <c r="AM26" i="32"/>
  <c r="AU14" i="32"/>
  <c r="T18" i="32"/>
  <c r="AY22" i="32"/>
  <c r="L12" i="32"/>
  <c r="AD17" i="32"/>
  <c r="T26" i="32"/>
  <c r="AK26" i="32" s="1"/>
  <c r="O12" i="32"/>
  <c r="AY14" i="32"/>
  <c r="P12" i="32"/>
  <c r="E14" i="32"/>
  <c r="C14" i="32" s="1"/>
  <c r="D18" i="32"/>
  <c r="C18" i="32" s="1"/>
  <c r="AE19" i="32"/>
  <c r="U27" i="32"/>
  <c r="AZ12" i="32"/>
  <c r="F14" i="32"/>
  <c r="F13" i="32" s="1"/>
  <c r="AE13" i="32"/>
  <c r="AD15" i="32"/>
  <c r="AH19" i="32"/>
  <c r="V27" i="32"/>
  <c r="AM27" i="32" s="1"/>
  <c r="U28" i="32"/>
  <c r="T28" i="32" s="1"/>
  <c r="AK28" i="32" s="1"/>
  <c r="G13" i="32"/>
  <c r="AH13" i="32"/>
  <c r="AH12" i="32" s="1"/>
  <c r="AD13" i="32"/>
  <c r="W24" i="32"/>
  <c r="W19" i="32" s="1"/>
  <c r="AY26" i="32"/>
  <c r="AY28" i="32"/>
  <c r="AM21" i="32"/>
  <c r="AM20" i="32"/>
  <c r="T15" i="32"/>
  <c r="AU21" i="32"/>
  <c r="AU26" i="32"/>
  <c r="AM28" i="32"/>
  <c r="AY19" i="32"/>
  <c r="M13" i="32"/>
  <c r="V14" i="32"/>
  <c r="W15" i="32"/>
  <c r="AA19" i="32"/>
  <c r="AA12" i="32" s="1"/>
  <c r="E20" i="32"/>
  <c r="C20" i="32" s="1"/>
  <c r="W23" i="32"/>
  <c r="F24" i="32"/>
  <c r="AD24" i="32"/>
  <c r="AD28" i="32"/>
  <c r="AU28" i="32" s="1"/>
  <c r="W14" i="32"/>
  <c r="W18" i="32"/>
  <c r="N19" i="32"/>
  <c r="N12" i="32" s="1"/>
  <c r="F20" i="32"/>
  <c r="AD20" i="32"/>
  <c r="W27" i="32"/>
  <c r="F28" i="32"/>
  <c r="D16" i="32"/>
  <c r="E22" i="32"/>
  <c r="C22" i="32" s="1"/>
  <c r="G19" i="32"/>
  <c r="U20" i="32"/>
  <c r="D21" i="32"/>
  <c r="C21" i="32" s="1"/>
  <c r="AK21" i="32" s="1"/>
  <c r="D29" i="32"/>
  <c r="C29" i="32" s="1"/>
  <c r="Q13" i="32"/>
  <c r="Q12" i="32" s="1"/>
  <c r="M19" i="32"/>
  <c r="AY20" i="32"/>
  <c r="AS13" i="32"/>
  <c r="D17" i="32"/>
  <c r="C17" i="32" s="1"/>
  <c r="X19" i="32"/>
  <c r="X13" i="32"/>
  <c r="X12" i="32" s="1"/>
  <c r="T29" i="32"/>
  <c r="V19" i="32"/>
  <c r="AU20" i="32"/>
  <c r="C24" i="32"/>
  <c r="S11" i="22"/>
  <c r="T11" i="22"/>
  <c r="AB17" i="21"/>
  <c r="AB16" i="21"/>
  <c r="C12" i="21"/>
  <c r="P18" i="21"/>
  <c r="AB18" i="21" s="1"/>
  <c r="W12" i="21"/>
  <c r="P13" i="21"/>
  <c r="P14" i="21"/>
  <c r="AB14" i="21" s="1"/>
  <c r="Q12" i="21"/>
  <c r="AC12" i="21" s="1"/>
  <c r="AD13" i="21"/>
  <c r="U10" i="22" l="1"/>
  <c r="AY12" i="32"/>
  <c r="E13" i="32"/>
  <c r="J12" i="32"/>
  <c r="G12" i="32"/>
  <c r="AK22" i="32"/>
  <c r="AU13" i="32"/>
  <c r="T27" i="32"/>
  <c r="AK27" i="32" s="1"/>
  <c r="AK18" i="32"/>
  <c r="C16" i="32"/>
  <c r="C13" i="32" s="1"/>
  <c r="AY13" i="32"/>
  <c r="W13" i="32"/>
  <c r="AN13" i="32" s="1"/>
  <c r="AE12" i="32"/>
  <c r="D13" i="32"/>
  <c r="AR12" i="32"/>
  <c r="AM14" i="32"/>
  <c r="V13" i="32"/>
  <c r="AM13" i="32" s="1"/>
  <c r="M12" i="32"/>
  <c r="C19" i="32"/>
  <c r="T20" i="32"/>
  <c r="U19" i="32"/>
  <c r="AD19" i="32"/>
  <c r="D19" i="32"/>
  <c r="U13" i="32"/>
  <c r="AM22" i="32"/>
  <c r="F19" i="32"/>
  <c r="F12" i="32" s="1"/>
  <c r="E19" i="32"/>
  <c r="AM19" i="32" s="1"/>
  <c r="T14" i="32"/>
  <c r="AB13" i="21"/>
  <c r="P12" i="21"/>
  <c r="AB12" i="21" s="1"/>
  <c r="U11" i="18"/>
  <c r="V11" i="18"/>
  <c r="W11" i="18"/>
  <c r="X11" i="18"/>
  <c r="Y11" i="18"/>
  <c r="Z11" i="18"/>
  <c r="AA11" i="18"/>
  <c r="O11" i="18"/>
  <c r="P11" i="18"/>
  <c r="Q11" i="18"/>
  <c r="R11" i="18"/>
  <c r="T11" i="18"/>
  <c r="O90" i="18"/>
  <c r="W12" i="32" l="1"/>
  <c r="AN12" i="32" s="1"/>
  <c r="U12" i="32"/>
  <c r="D12" i="32"/>
  <c r="V12" i="32"/>
  <c r="E12" i="32"/>
  <c r="AK20" i="32"/>
  <c r="T19" i="32"/>
  <c r="AK19" i="32" s="1"/>
  <c r="C12" i="32"/>
  <c r="T13" i="32"/>
  <c r="AK14" i="32"/>
  <c r="AU19" i="32"/>
  <c r="AD12" i="32"/>
  <c r="AU12" i="32" s="1"/>
  <c r="AB15" i="18"/>
  <c r="AC15" i="18"/>
  <c r="AD15" i="18"/>
  <c r="AB16" i="18"/>
  <c r="AD16" i="18"/>
  <c r="AB17" i="18"/>
  <c r="AC17" i="18"/>
  <c r="AD17" i="18"/>
  <c r="AB18" i="18"/>
  <c r="AC18" i="18"/>
  <c r="AD18" i="18"/>
  <c r="AB19" i="18"/>
  <c r="AC19" i="18"/>
  <c r="AD19" i="18"/>
  <c r="AB20" i="18"/>
  <c r="AC20" i="18"/>
  <c r="AD20" i="18"/>
  <c r="AB21" i="18"/>
  <c r="AC21" i="18"/>
  <c r="AD21" i="18"/>
  <c r="AB22" i="18"/>
  <c r="AC22" i="18"/>
  <c r="AD22" i="18"/>
  <c r="AB23" i="18"/>
  <c r="AD23" i="18"/>
  <c r="AB24" i="18"/>
  <c r="AC24" i="18"/>
  <c r="AD24" i="18"/>
  <c r="AB25" i="18"/>
  <c r="AC25" i="18"/>
  <c r="AD25" i="18"/>
  <c r="AB26" i="18"/>
  <c r="AC26" i="18"/>
  <c r="AD26" i="18"/>
  <c r="AB27" i="18"/>
  <c r="AD27" i="18"/>
  <c r="AB28" i="18"/>
  <c r="AC28" i="18"/>
  <c r="AD28" i="18"/>
  <c r="AB29" i="18"/>
  <c r="AC29" i="18"/>
  <c r="AD29" i="18"/>
  <c r="AB30" i="18"/>
  <c r="AC30" i="18"/>
  <c r="AD30" i="18"/>
  <c r="AB31" i="18"/>
  <c r="AD31" i="18"/>
  <c r="AB32" i="18"/>
  <c r="AD32" i="18"/>
  <c r="AB33" i="18"/>
  <c r="AD33" i="18"/>
  <c r="AB34" i="18"/>
  <c r="AD34" i="18"/>
  <c r="AB35" i="18"/>
  <c r="AD35" i="18"/>
  <c r="AB36" i="18"/>
  <c r="AC36" i="18"/>
  <c r="AD36" i="18"/>
  <c r="AB37" i="18"/>
  <c r="AD37" i="18"/>
  <c r="AB38" i="18"/>
  <c r="AC38" i="18"/>
  <c r="AD38" i="18"/>
  <c r="AB39" i="18"/>
  <c r="AD39" i="18"/>
  <c r="AB40" i="18"/>
  <c r="AD40" i="18"/>
  <c r="AB41" i="18"/>
  <c r="AD41" i="18"/>
  <c r="AB42" i="18"/>
  <c r="AD42" i="18"/>
  <c r="AB43" i="18"/>
  <c r="AC43" i="18"/>
  <c r="AD43" i="18"/>
  <c r="AB44" i="18"/>
  <c r="AC44" i="18"/>
  <c r="AD44" i="18"/>
  <c r="AB45" i="18"/>
  <c r="AD45" i="18"/>
  <c r="AB46" i="18"/>
  <c r="AD46" i="18"/>
  <c r="AB47" i="18"/>
  <c r="AD47" i="18"/>
  <c r="AB48" i="18"/>
  <c r="AD48" i="18"/>
  <c r="AB49" i="18"/>
  <c r="AD49" i="18"/>
  <c r="AB50" i="18"/>
  <c r="AD50" i="18"/>
  <c r="AB51" i="18"/>
  <c r="AD51" i="18"/>
  <c r="AB52" i="18"/>
  <c r="AD52" i="18"/>
  <c r="AB53" i="18"/>
  <c r="AD53" i="18"/>
  <c r="AB54" i="18"/>
  <c r="AD54" i="18"/>
  <c r="AB55" i="18"/>
  <c r="AD55" i="18"/>
  <c r="AB56" i="18"/>
  <c r="AD56" i="18"/>
  <c r="AB57" i="18"/>
  <c r="AD57" i="18"/>
  <c r="AB58" i="18"/>
  <c r="AD58" i="18"/>
  <c r="AB59" i="18"/>
  <c r="AD59" i="18"/>
  <c r="AB60" i="18"/>
  <c r="AD60" i="18"/>
  <c r="AB61" i="18"/>
  <c r="AD61" i="18"/>
  <c r="AB62" i="18"/>
  <c r="AD62" i="18"/>
  <c r="AB63" i="18"/>
  <c r="AD63" i="18"/>
  <c r="AB64" i="18"/>
  <c r="AD64" i="18"/>
  <c r="AB65" i="18"/>
  <c r="AD65" i="18"/>
  <c r="AB66" i="18"/>
  <c r="AD66" i="18"/>
  <c r="AB67" i="18"/>
  <c r="AC67" i="18"/>
  <c r="AB68" i="18"/>
  <c r="AC68" i="18"/>
  <c r="AB69" i="18"/>
  <c r="AC69" i="18"/>
  <c r="AD69" i="18"/>
  <c r="AB70" i="18"/>
  <c r="AC70" i="18"/>
  <c r="AD70" i="18"/>
  <c r="AB71" i="18"/>
  <c r="AC71" i="18"/>
  <c r="AB72" i="18"/>
  <c r="AC72" i="18"/>
  <c r="AD72" i="18"/>
  <c r="AB73" i="18"/>
  <c r="AC73" i="18"/>
  <c r="AB74" i="18"/>
  <c r="AC74" i="18"/>
  <c r="AB75" i="18"/>
  <c r="AC75" i="18"/>
  <c r="AB76" i="18"/>
  <c r="AC76" i="18"/>
  <c r="AB77" i="18"/>
  <c r="AC77" i="18"/>
  <c r="AB78" i="18"/>
  <c r="AC78" i="18"/>
  <c r="AB79" i="18"/>
  <c r="AC79" i="18"/>
  <c r="AB80" i="18"/>
  <c r="AD80" i="18"/>
  <c r="AB83" i="18"/>
  <c r="AD83" i="18"/>
  <c r="AD88" i="18"/>
  <c r="AD89" i="18"/>
  <c r="AC90" i="18"/>
  <c r="AB91" i="18"/>
  <c r="AC91" i="18"/>
  <c r="AB92" i="18"/>
  <c r="AC92" i="18"/>
  <c r="AB93" i="18"/>
  <c r="AC93" i="18"/>
  <c r="AB94" i="18"/>
  <c r="AC94" i="18"/>
  <c r="AB95" i="18"/>
  <c r="AC95" i="18"/>
  <c r="AB96" i="18"/>
  <c r="AC96" i="18"/>
  <c r="AB97" i="18"/>
  <c r="AC97" i="18"/>
  <c r="AB98" i="18"/>
  <c r="AC98" i="18"/>
  <c r="AB99" i="18"/>
  <c r="AC99" i="18"/>
  <c r="AB100" i="18"/>
  <c r="AC100" i="18"/>
  <c r="AB101" i="18"/>
  <c r="AC101" i="18"/>
  <c r="AD103" i="18"/>
  <c r="AD104" i="18"/>
  <c r="AD105" i="18"/>
  <c r="AD106" i="18"/>
  <c r="AD107" i="18"/>
  <c r="AD108" i="18"/>
  <c r="AD109" i="18"/>
  <c r="AB110" i="18"/>
  <c r="AC110" i="18"/>
  <c r="AD110" i="18"/>
  <c r="AB112" i="18"/>
  <c r="AB113" i="18"/>
  <c r="AB114" i="18"/>
  <c r="N118" i="18"/>
  <c r="N113" i="18"/>
  <c r="N114" i="18"/>
  <c r="N115" i="18"/>
  <c r="N116" i="18"/>
  <c r="N117" i="18"/>
  <c r="C115" i="18"/>
  <c r="C116" i="18"/>
  <c r="C117" i="18"/>
  <c r="C118" i="18"/>
  <c r="T112" i="18"/>
  <c r="N112" i="18" s="1"/>
  <c r="AA118" i="18"/>
  <c r="X117" i="18"/>
  <c r="U118" i="18"/>
  <c r="K118" i="18"/>
  <c r="U117" i="18"/>
  <c r="K117" i="18"/>
  <c r="U116" i="18"/>
  <c r="K116" i="18"/>
  <c r="C114" i="18"/>
  <c r="X113" i="18"/>
  <c r="U113" i="18"/>
  <c r="K113" i="18"/>
  <c r="C113" i="18"/>
  <c r="X112" i="18"/>
  <c r="U112" i="18"/>
  <c r="P112" i="18"/>
  <c r="K112" i="18"/>
  <c r="C112" i="18" s="1"/>
  <c r="X111" i="18"/>
  <c r="U111" i="18"/>
  <c r="K111" i="18"/>
  <c r="C111" i="18"/>
  <c r="E110" i="18"/>
  <c r="C110" i="18"/>
  <c r="F109" i="18"/>
  <c r="E109" i="18" s="1"/>
  <c r="E108" i="18"/>
  <c r="C108" i="18"/>
  <c r="E107" i="18"/>
  <c r="E106" i="18"/>
  <c r="C106" i="18"/>
  <c r="E105" i="18"/>
  <c r="C105" i="18"/>
  <c r="E104" i="18"/>
  <c r="K102" i="18"/>
  <c r="C102" i="18"/>
  <c r="X101" i="18"/>
  <c r="U101" i="18"/>
  <c r="N101" i="18"/>
  <c r="K101" i="18"/>
  <c r="C101" i="18" s="1"/>
  <c r="X100" i="18"/>
  <c r="U100" i="18"/>
  <c r="N100" i="18" s="1"/>
  <c r="K100" i="18"/>
  <c r="C100" i="18" s="1"/>
  <c r="X99" i="18"/>
  <c r="U99" i="18"/>
  <c r="N99" i="18"/>
  <c r="K99" i="18"/>
  <c r="C99" i="18"/>
  <c r="X98" i="18"/>
  <c r="U98" i="18"/>
  <c r="N98" i="18" s="1"/>
  <c r="K98" i="18"/>
  <c r="C98" i="18"/>
  <c r="X97" i="18"/>
  <c r="U97" i="18"/>
  <c r="N97" i="18"/>
  <c r="K97" i="18"/>
  <c r="C97" i="18"/>
  <c r="X96" i="18"/>
  <c r="U96" i="18"/>
  <c r="N96" i="18" s="1"/>
  <c r="K96" i="18"/>
  <c r="C96" i="18" s="1"/>
  <c r="X95" i="18"/>
  <c r="U95" i="18"/>
  <c r="N95" i="18"/>
  <c r="K95" i="18"/>
  <c r="C95" i="18" s="1"/>
  <c r="X94" i="18"/>
  <c r="U94" i="18"/>
  <c r="N94" i="18" s="1"/>
  <c r="K94" i="18"/>
  <c r="C94" i="18"/>
  <c r="X93" i="18"/>
  <c r="U93" i="18"/>
  <c r="N93" i="18"/>
  <c r="K93" i="18"/>
  <c r="C93" i="18"/>
  <c r="X92" i="18"/>
  <c r="U92" i="18"/>
  <c r="N92" i="18" s="1"/>
  <c r="K92" i="18"/>
  <c r="C92" i="18"/>
  <c r="Z91" i="18"/>
  <c r="Y91" i="18"/>
  <c r="X91" i="18"/>
  <c r="V91" i="18"/>
  <c r="U91" i="18"/>
  <c r="O91" i="18"/>
  <c r="N91" i="18" s="1"/>
  <c r="M91" i="18"/>
  <c r="L91" i="18"/>
  <c r="K91" i="18" s="1"/>
  <c r="C91" i="18" s="1"/>
  <c r="J91" i="18"/>
  <c r="I91" i="18"/>
  <c r="E91" i="18"/>
  <c r="D91" i="18"/>
  <c r="U90" i="18"/>
  <c r="R90" i="18"/>
  <c r="P90" i="18"/>
  <c r="K90" i="18"/>
  <c r="E90" i="18"/>
  <c r="C90" i="18"/>
  <c r="P89" i="18"/>
  <c r="E89" i="18"/>
  <c r="C89" i="18"/>
  <c r="U88" i="18"/>
  <c r="P88" i="18"/>
  <c r="K88" i="18"/>
  <c r="C88" i="18" s="1"/>
  <c r="E88" i="18"/>
  <c r="U87" i="18"/>
  <c r="N87" i="18" s="1"/>
  <c r="P87" i="18"/>
  <c r="K87" i="18"/>
  <c r="E87" i="18"/>
  <c r="U86" i="18"/>
  <c r="P86" i="18"/>
  <c r="K86" i="18"/>
  <c r="C86" i="18" s="1"/>
  <c r="E86" i="18"/>
  <c r="U85" i="18"/>
  <c r="P85" i="18"/>
  <c r="N85" i="18" s="1"/>
  <c r="K85" i="18"/>
  <c r="C85" i="18" s="1"/>
  <c r="E85" i="18"/>
  <c r="U84" i="18"/>
  <c r="P84" i="18"/>
  <c r="K84" i="18"/>
  <c r="C84" i="18" s="1"/>
  <c r="E84" i="18"/>
  <c r="U83" i="18"/>
  <c r="P83" i="18"/>
  <c r="N83" i="18" s="1"/>
  <c r="K83" i="18"/>
  <c r="H83" i="18"/>
  <c r="E83" i="18"/>
  <c r="C83" i="18"/>
  <c r="U82" i="18"/>
  <c r="P82" i="18"/>
  <c r="N82" i="18"/>
  <c r="K82" i="18"/>
  <c r="E82" i="18"/>
  <c r="U81" i="18"/>
  <c r="P81" i="18"/>
  <c r="N81" i="18" s="1"/>
  <c r="K81" i="18"/>
  <c r="E81" i="18"/>
  <c r="C81" i="18" s="1"/>
  <c r="U80" i="18"/>
  <c r="R80" i="18"/>
  <c r="P80" i="18"/>
  <c r="K80" i="18"/>
  <c r="E80" i="18"/>
  <c r="C80" i="18" s="1"/>
  <c r="U79" i="18"/>
  <c r="P79" i="18"/>
  <c r="N79" i="18" s="1"/>
  <c r="K79" i="18"/>
  <c r="E79" i="18"/>
  <c r="U78" i="18"/>
  <c r="N78" i="18" s="1"/>
  <c r="P78" i="18"/>
  <c r="K78" i="18"/>
  <c r="C78" i="18" s="1"/>
  <c r="E78" i="18"/>
  <c r="U77" i="18"/>
  <c r="P77" i="18"/>
  <c r="N77" i="18"/>
  <c r="K77" i="18"/>
  <c r="C77" i="18" s="1"/>
  <c r="E77" i="18"/>
  <c r="U76" i="18"/>
  <c r="P76" i="18"/>
  <c r="K76" i="18"/>
  <c r="E76" i="18"/>
  <c r="C76" i="18" s="1"/>
  <c r="U75" i="18"/>
  <c r="P75" i="18"/>
  <c r="N75" i="18" s="1"/>
  <c r="K75" i="18"/>
  <c r="E75" i="18"/>
  <c r="C75" i="18" s="1"/>
  <c r="U74" i="18"/>
  <c r="N74" i="18" s="1"/>
  <c r="P74" i="18"/>
  <c r="K74" i="18"/>
  <c r="E74" i="18"/>
  <c r="C74" i="18" s="1"/>
  <c r="U73" i="18"/>
  <c r="P73" i="18"/>
  <c r="N73" i="18" s="1"/>
  <c r="K73" i="18"/>
  <c r="E73" i="18"/>
  <c r="C73" i="18" s="1"/>
  <c r="U72" i="18"/>
  <c r="P72" i="18"/>
  <c r="N72" i="18"/>
  <c r="K72" i="18"/>
  <c r="C72" i="18" s="1"/>
  <c r="E72" i="18"/>
  <c r="U71" i="18"/>
  <c r="P71" i="18"/>
  <c r="K71" i="18"/>
  <c r="E71" i="18"/>
  <c r="U70" i="18"/>
  <c r="P70" i="18"/>
  <c r="N70" i="18"/>
  <c r="K70" i="18"/>
  <c r="C70" i="18" s="1"/>
  <c r="E70" i="18"/>
  <c r="U69" i="18"/>
  <c r="P69" i="18"/>
  <c r="K69" i="18"/>
  <c r="E69" i="18"/>
  <c r="U68" i="18"/>
  <c r="P68" i="18"/>
  <c r="N68" i="18" s="1"/>
  <c r="K68" i="18"/>
  <c r="E68" i="18"/>
  <c r="C68" i="18"/>
  <c r="U67" i="18"/>
  <c r="P67" i="18"/>
  <c r="N67" i="18" s="1"/>
  <c r="K67" i="18"/>
  <c r="E67" i="18"/>
  <c r="C67" i="18" s="1"/>
  <c r="U66" i="18"/>
  <c r="P66" i="18"/>
  <c r="K66" i="18"/>
  <c r="E66" i="18"/>
  <c r="U65" i="18"/>
  <c r="P65" i="18"/>
  <c r="N65" i="18" s="1"/>
  <c r="K65" i="18"/>
  <c r="E65" i="18"/>
  <c r="U64" i="18"/>
  <c r="P64" i="18"/>
  <c r="N64" i="18" s="1"/>
  <c r="K64" i="18"/>
  <c r="E64" i="18"/>
  <c r="C64" i="18" s="1"/>
  <c r="U63" i="18"/>
  <c r="P63" i="18"/>
  <c r="N63" i="18" s="1"/>
  <c r="K63" i="18"/>
  <c r="E63" i="18"/>
  <c r="C63" i="18"/>
  <c r="U62" i="18"/>
  <c r="P62" i="18"/>
  <c r="N62" i="18"/>
  <c r="K62" i="18"/>
  <c r="C62" i="18" s="1"/>
  <c r="E62" i="18"/>
  <c r="U61" i="18"/>
  <c r="N61" i="18" s="1"/>
  <c r="P61" i="18"/>
  <c r="K61" i="18"/>
  <c r="C61" i="18" s="1"/>
  <c r="E61" i="18"/>
  <c r="U60" i="18"/>
  <c r="P60" i="18"/>
  <c r="N60" i="18" s="1"/>
  <c r="K60" i="18"/>
  <c r="E60" i="18"/>
  <c r="U59" i="18"/>
  <c r="P59" i="18"/>
  <c r="K59" i="18"/>
  <c r="E59" i="18"/>
  <c r="C59" i="18" s="1"/>
  <c r="U58" i="18"/>
  <c r="N58" i="18" s="1"/>
  <c r="P58" i="18"/>
  <c r="K58" i="18"/>
  <c r="E58" i="18"/>
  <c r="U57" i="18"/>
  <c r="P57" i="18"/>
  <c r="K57" i="18"/>
  <c r="E57" i="18"/>
  <c r="C57" i="18" s="1"/>
  <c r="U56" i="18"/>
  <c r="P56" i="18"/>
  <c r="N56" i="18"/>
  <c r="K56" i="18"/>
  <c r="E56" i="18"/>
  <c r="C56" i="18" s="1"/>
  <c r="U55" i="18"/>
  <c r="Q55" i="18"/>
  <c r="P55" i="18"/>
  <c r="N55" i="18" s="1"/>
  <c r="K55" i="18"/>
  <c r="E55" i="18"/>
  <c r="C55" i="18" s="1"/>
  <c r="U54" i="18"/>
  <c r="N54" i="18" s="1"/>
  <c r="P54" i="18"/>
  <c r="K54" i="18"/>
  <c r="C54" i="18" s="1"/>
  <c r="E54" i="18"/>
  <c r="U53" i="18"/>
  <c r="P53" i="18"/>
  <c r="K53" i="18"/>
  <c r="E53" i="18"/>
  <c r="U52" i="18"/>
  <c r="P52" i="18"/>
  <c r="N52" i="18" s="1"/>
  <c r="K52" i="18"/>
  <c r="E52" i="18"/>
  <c r="U51" i="18"/>
  <c r="P51" i="18"/>
  <c r="K51" i="18"/>
  <c r="E51" i="18"/>
  <c r="U50" i="18"/>
  <c r="P50" i="18"/>
  <c r="K50" i="18"/>
  <c r="E50" i="18"/>
  <c r="U49" i="18"/>
  <c r="P49" i="18"/>
  <c r="N49" i="18" s="1"/>
  <c r="K49" i="18"/>
  <c r="C49" i="18" s="1"/>
  <c r="E49" i="18"/>
  <c r="U48" i="18"/>
  <c r="P48" i="18"/>
  <c r="K48" i="18"/>
  <c r="E48" i="18"/>
  <c r="C48" i="18" s="1"/>
  <c r="U47" i="18"/>
  <c r="P47" i="18"/>
  <c r="K47" i="18"/>
  <c r="E47" i="18"/>
  <c r="C47" i="18" s="1"/>
  <c r="U46" i="18"/>
  <c r="P46" i="18"/>
  <c r="N46" i="18" s="1"/>
  <c r="K46" i="18"/>
  <c r="E46" i="18"/>
  <c r="C46" i="18"/>
  <c r="U45" i="18"/>
  <c r="P45" i="18"/>
  <c r="K45" i="18"/>
  <c r="E45" i="18"/>
  <c r="U44" i="18"/>
  <c r="P44" i="18"/>
  <c r="K44" i="18"/>
  <c r="H44" i="18"/>
  <c r="E44" i="18" s="1"/>
  <c r="C44" i="18" s="1"/>
  <c r="U43" i="18"/>
  <c r="Q43" i="18"/>
  <c r="P43" i="18"/>
  <c r="N43" i="18" s="1"/>
  <c r="K43" i="18"/>
  <c r="H43" i="18"/>
  <c r="F43" i="18"/>
  <c r="E43" i="18" s="1"/>
  <c r="U42" i="18"/>
  <c r="P42" i="18"/>
  <c r="K42" i="18"/>
  <c r="E42" i="18"/>
  <c r="C42" i="18" s="1"/>
  <c r="U41" i="18"/>
  <c r="Q41" i="18"/>
  <c r="P41" i="18"/>
  <c r="N41" i="18" s="1"/>
  <c r="K41" i="18"/>
  <c r="E41" i="18"/>
  <c r="C41" i="18" s="1"/>
  <c r="U40" i="18"/>
  <c r="Q40" i="18"/>
  <c r="P40" i="18"/>
  <c r="K40" i="18"/>
  <c r="E40" i="18"/>
  <c r="U39" i="18"/>
  <c r="P39" i="18"/>
  <c r="N39" i="18"/>
  <c r="K39" i="18"/>
  <c r="E39" i="18"/>
  <c r="C39" i="18" s="1"/>
  <c r="U38" i="18"/>
  <c r="Q38" i="18"/>
  <c r="P38" i="18"/>
  <c r="K38" i="18"/>
  <c r="E38" i="18"/>
  <c r="U37" i="18"/>
  <c r="P37" i="18"/>
  <c r="N37" i="18"/>
  <c r="K37" i="18"/>
  <c r="E37" i="18"/>
  <c r="C37" i="18"/>
  <c r="Q36" i="18"/>
  <c r="P36" i="18"/>
  <c r="K36" i="18"/>
  <c r="C36" i="18" s="1"/>
  <c r="E36" i="18"/>
  <c r="U35" i="18"/>
  <c r="N35" i="18" s="1"/>
  <c r="P35" i="18"/>
  <c r="K35" i="18"/>
  <c r="E35" i="18"/>
  <c r="U34" i="18"/>
  <c r="P34" i="18"/>
  <c r="N34" i="18" s="1"/>
  <c r="K34" i="18"/>
  <c r="F34" i="18"/>
  <c r="E34" i="18" s="1"/>
  <c r="U33" i="18"/>
  <c r="P33" i="18"/>
  <c r="K33" i="18"/>
  <c r="E33" i="18"/>
  <c r="C33" i="18" s="1"/>
  <c r="U32" i="18"/>
  <c r="Q32" i="18"/>
  <c r="P32" i="18"/>
  <c r="K32" i="18"/>
  <c r="E32" i="18"/>
  <c r="U31" i="18"/>
  <c r="P31" i="18"/>
  <c r="N31" i="18" s="1"/>
  <c r="K31" i="18"/>
  <c r="H31" i="18"/>
  <c r="E31" i="18"/>
  <c r="U30" i="18"/>
  <c r="Q30" i="18"/>
  <c r="P30" i="18" s="1"/>
  <c r="K30" i="18"/>
  <c r="E30" i="18"/>
  <c r="U29" i="18"/>
  <c r="Q29" i="18"/>
  <c r="P29" i="18" s="1"/>
  <c r="K29" i="18"/>
  <c r="E29" i="18"/>
  <c r="U28" i="18"/>
  <c r="Q28" i="18"/>
  <c r="P28" i="18"/>
  <c r="O28" i="18"/>
  <c r="N28" i="18" s="1"/>
  <c r="K28" i="18"/>
  <c r="E28" i="18"/>
  <c r="D28" i="18"/>
  <c r="C28" i="18" s="1"/>
  <c r="U27" i="18"/>
  <c r="Q27" i="18"/>
  <c r="P27" i="18" s="1"/>
  <c r="K27" i="18"/>
  <c r="C27" i="18" s="1"/>
  <c r="E27" i="18"/>
  <c r="U26" i="18"/>
  <c r="Q26" i="18"/>
  <c r="P26" i="18" s="1"/>
  <c r="K26" i="18"/>
  <c r="E26" i="18"/>
  <c r="U25" i="18"/>
  <c r="Q25" i="18"/>
  <c r="P25" i="18" s="1"/>
  <c r="K25" i="18"/>
  <c r="C25" i="18" s="1"/>
  <c r="E25" i="18"/>
  <c r="U24" i="18"/>
  <c r="P24" i="18"/>
  <c r="O24" i="18"/>
  <c r="K24" i="18"/>
  <c r="E24" i="18"/>
  <c r="C24" i="18"/>
  <c r="U23" i="18"/>
  <c r="Q23" i="18"/>
  <c r="P23" i="18"/>
  <c r="K23" i="18"/>
  <c r="E23" i="18"/>
  <c r="C23" i="18" s="1"/>
  <c r="U22" i="18"/>
  <c r="N22" i="18" s="1"/>
  <c r="Q22" i="18"/>
  <c r="P22" i="18"/>
  <c r="K22" i="18"/>
  <c r="H22" i="18"/>
  <c r="E22" i="18"/>
  <c r="C22" i="18" s="1"/>
  <c r="U21" i="18"/>
  <c r="Q21" i="18"/>
  <c r="P21" i="18" s="1"/>
  <c r="K21" i="18"/>
  <c r="C21" i="18" s="1"/>
  <c r="E21" i="18"/>
  <c r="U20" i="18"/>
  <c r="R20" i="18"/>
  <c r="Q20" i="18"/>
  <c r="P20" i="18"/>
  <c r="K20" i="18"/>
  <c r="G20" i="18"/>
  <c r="E20" i="18" s="1"/>
  <c r="D20" i="18"/>
  <c r="U19" i="18"/>
  <c r="Q19" i="18"/>
  <c r="P19" i="18"/>
  <c r="K19" i="18"/>
  <c r="H19" i="18"/>
  <c r="E19" i="18" s="1"/>
  <c r="C19" i="18" s="1"/>
  <c r="U18" i="18"/>
  <c r="Q18" i="18"/>
  <c r="P18" i="18" s="1"/>
  <c r="K18" i="18"/>
  <c r="E18" i="18"/>
  <c r="C18" i="18"/>
  <c r="U17" i="18"/>
  <c r="N17" i="18" s="1"/>
  <c r="Q17" i="18"/>
  <c r="P17" i="18"/>
  <c r="K17" i="18"/>
  <c r="C17" i="18" s="1"/>
  <c r="E17" i="18"/>
  <c r="U16" i="18"/>
  <c r="Q16" i="18"/>
  <c r="P16" i="18"/>
  <c r="N16" i="18"/>
  <c r="K16" i="18"/>
  <c r="E16" i="18"/>
  <c r="C16" i="18"/>
  <c r="U15" i="18"/>
  <c r="Q15" i="18"/>
  <c r="P15" i="18"/>
  <c r="K15" i="18"/>
  <c r="H15" i="18"/>
  <c r="E15" i="18" s="1"/>
  <c r="AC14" i="18"/>
  <c r="U14" i="18"/>
  <c r="Q14" i="18"/>
  <c r="Q13" i="18" s="1"/>
  <c r="Q12" i="18" s="1"/>
  <c r="P14" i="18"/>
  <c r="N14" i="18"/>
  <c r="K14" i="18"/>
  <c r="E14" i="18"/>
  <c r="Z13" i="18"/>
  <c r="Z12" i="18" s="1"/>
  <c r="Y13" i="18"/>
  <c r="X13" i="18"/>
  <c r="W13" i="18"/>
  <c r="V13" i="18"/>
  <c r="T13" i="18"/>
  <c r="T12" i="18" s="1"/>
  <c r="S13" i="18"/>
  <c r="S12" i="18" s="1"/>
  <c r="R13" i="18"/>
  <c r="R12" i="18" s="1"/>
  <c r="M13" i="18"/>
  <c r="L13" i="18"/>
  <c r="J13" i="18"/>
  <c r="I13" i="18"/>
  <c r="F13" i="18"/>
  <c r="F12" i="18" s="1"/>
  <c r="Y12" i="18"/>
  <c r="X12" i="18"/>
  <c r="W12" i="18"/>
  <c r="V12" i="18"/>
  <c r="M12" i="18"/>
  <c r="L12" i="18"/>
  <c r="L11" i="18" s="1"/>
  <c r="J12" i="18"/>
  <c r="J11" i="18" s="1"/>
  <c r="I12" i="18"/>
  <c r="I11" i="18" s="1"/>
  <c r="M11" i="18"/>
  <c r="AM12" i="32" l="1"/>
  <c r="AK13" i="32"/>
  <c r="T12" i="32"/>
  <c r="AK12" i="32" s="1"/>
  <c r="AB116" i="18"/>
  <c r="N69" i="18"/>
  <c r="P13" i="18"/>
  <c r="AD13" i="18" s="1"/>
  <c r="N45" i="18"/>
  <c r="C53" i="18"/>
  <c r="N57" i="18"/>
  <c r="C60" i="18"/>
  <c r="C65" i="18"/>
  <c r="C82" i="18"/>
  <c r="N86" i="18"/>
  <c r="C35" i="18"/>
  <c r="N48" i="18"/>
  <c r="C51" i="18"/>
  <c r="C87" i="18"/>
  <c r="K13" i="18"/>
  <c r="K12" i="18" s="1"/>
  <c r="K11" i="18" s="1"/>
  <c r="C30" i="18"/>
  <c r="N20" i="18"/>
  <c r="C26" i="18"/>
  <c r="C58" i="18"/>
  <c r="N80" i="18"/>
  <c r="N84" i="18"/>
  <c r="C15" i="18"/>
  <c r="N33" i="18"/>
  <c r="N51" i="18"/>
  <c r="C66" i="18"/>
  <c r="N90" i="18"/>
  <c r="AB90" i="18" s="1"/>
  <c r="N24" i="18"/>
  <c r="C29" i="18"/>
  <c r="N36" i="18"/>
  <c r="C38" i="18"/>
  <c r="C40" i="18"/>
  <c r="C52" i="18"/>
  <c r="N66" i="18"/>
  <c r="C71" i="18"/>
  <c r="N76" i="18"/>
  <c r="C14" i="18"/>
  <c r="N40" i="18"/>
  <c r="N71" i="18"/>
  <c r="N23" i="18"/>
  <c r="C32" i="18"/>
  <c r="C45" i="18"/>
  <c r="C50" i="18"/>
  <c r="N59" i="18"/>
  <c r="C69" i="18"/>
  <c r="C79" i="18"/>
  <c r="N88" i="18"/>
  <c r="C34" i="18"/>
  <c r="N21" i="18"/>
  <c r="N27" i="18"/>
  <c r="N29" i="18"/>
  <c r="N25" i="18"/>
  <c r="C20" i="18"/>
  <c r="P12" i="18"/>
  <c r="C109" i="18"/>
  <c r="N30" i="18"/>
  <c r="E13" i="18"/>
  <c r="E12" i="18" s="1"/>
  <c r="C43" i="18"/>
  <c r="N18" i="18"/>
  <c r="N26" i="18"/>
  <c r="E103" i="18"/>
  <c r="G13" i="18"/>
  <c r="G12" i="18" s="1"/>
  <c r="G11" i="18" s="1"/>
  <c r="H13" i="18"/>
  <c r="H12" i="18" s="1"/>
  <c r="H11" i="18" s="1"/>
  <c r="N15" i="18"/>
  <c r="C31" i="18"/>
  <c r="N32" i="18"/>
  <c r="N44" i="18"/>
  <c r="N47" i="18"/>
  <c r="N50" i="18"/>
  <c r="N53" i="18"/>
  <c r="C104" i="18"/>
  <c r="C107" i="18"/>
  <c r="N19" i="18"/>
  <c r="N38" i="18"/>
  <c r="N42" i="18"/>
  <c r="U13" i="18"/>
  <c r="U12" i="18" s="1"/>
  <c r="AB14" i="18"/>
  <c r="O13" i="18"/>
  <c r="AD14" i="18"/>
  <c r="D13" i="18"/>
  <c r="F103" i="18"/>
  <c r="F11" i="18" s="1"/>
  <c r="N13" i="18" l="1"/>
  <c r="C13" i="18"/>
  <c r="D12" i="18"/>
  <c r="AC13" i="18"/>
  <c r="O12" i="18"/>
  <c r="AD12" i="18"/>
  <c r="E11" i="18"/>
  <c r="C103" i="18"/>
  <c r="AD11" i="18" l="1"/>
  <c r="AC12" i="18"/>
  <c r="C12" i="18"/>
  <c r="D11" i="18"/>
  <c r="C11" i="18" s="1"/>
  <c r="AB13" i="18"/>
  <c r="N12" i="18"/>
  <c r="AB12" i="18" l="1"/>
  <c r="AC11" i="18"/>
  <c r="E22" i="6" l="1"/>
  <c r="H23" i="24"/>
  <c r="G23" i="24"/>
  <c r="D17" i="24" l="1"/>
  <c r="C19" i="24"/>
  <c r="C17" i="24" s="1"/>
  <c r="D42" i="24"/>
  <c r="D38" i="24" s="1"/>
  <c r="C37" i="7" l="1"/>
  <c r="C40" i="7"/>
  <c r="H37" i="6" l="1"/>
  <c r="F72" i="6" l="1"/>
  <c r="E39" i="31"/>
  <c r="E34" i="31"/>
  <c r="D25" i="31" l="1"/>
  <c r="D24" i="31"/>
  <c r="D35" i="31"/>
  <c r="D10" i="7" l="1"/>
  <c r="C13" i="7" l="1"/>
  <c r="C12" i="7" s="1"/>
  <c r="J16" i="7" s="1"/>
  <c r="E24" i="7"/>
  <c r="F24" i="7"/>
  <c r="D36" i="6"/>
  <c r="J15" i="7" l="1"/>
  <c r="D22" i="6"/>
  <c r="E13" i="6"/>
  <c r="D13" i="6"/>
  <c r="E46" i="7" l="1"/>
  <c r="F38" i="31" l="1"/>
  <c r="G38" i="31"/>
  <c r="E31" i="31"/>
  <c r="D31" i="31"/>
  <c r="G31" i="31" s="1"/>
  <c r="E30" i="31"/>
  <c r="D30" i="31"/>
  <c r="G30" i="31" l="1"/>
  <c r="F30" i="31"/>
  <c r="F31" i="31"/>
  <c r="E42" i="31" l="1"/>
  <c r="E36" i="31"/>
  <c r="E37" i="31"/>
  <c r="D37" i="31"/>
  <c r="D36" i="31"/>
  <c r="E32" i="31"/>
  <c r="E26" i="31"/>
  <c r="E27" i="31"/>
  <c r="E28" i="31"/>
  <c r="E29" i="31"/>
  <c r="D34" i="31"/>
  <c r="D32" i="31"/>
  <c r="D29" i="31"/>
  <c r="D28" i="31"/>
  <c r="D27" i="31"/>
  <c r="D26" i="31"/>
  <c r="D23" i="31" l="1"/>
  <c r="D22" i="31" s="1"/>
  <c r="G45" i="31"/>
  <c r="F45" i="31"/>
  <c r="G44" i="31"/>
  <c r="F44" i="31"/>
  <c r="G43" i="31"/>
  <c r="F43" i="31"/>
  <c r="G42" i="31"/>
  <c r="G41" i="31"/>
  <c r="F41" i="31"/>
  <c r="G40" i="31"/>
  <c r="F40" i="31"/>
  <c r="D39" i="31"/>
  <c r="G39" i="31" s="1"/>
  <c r="G37" i="31"/>
  <c r="F37" i="31"/>
  <c r="G36" i="31"/>
  <c r="F36" i="31"/>
  <c r="G34" i="31"/>
  <c r="F34" i="31"/>
  <c r="D33" i="31"/>
  <c r="D21" i="31" s="1"/>
  <c r="G32" i="31"/>
  <c r="F32" i="31"/>
  <c r="G29" i="31"/>
  <c r="F29" i="31"/>
  <c r="G28" i="31"/>
  <c r="F28" i="31"/>
  <c r="G27" i="31"/>
  <c r="F27" i="31"/>
  <c r="G26" i="31"/>
  <c r="F26" i="31"/>
  <c r="G20" i="31"/>
  <c r="F20" i="31"/>
  <c r="G19" i="31"/>
  <c r="F19" i="31"/>
  <c r="G18" i="31"/>
  <c r="F18" i="31"/>
  <c r="G17" i="31"/>
  <c r="F17" i="31"/>
  <c r="G16" i="31"/>
  <c r="F16" i="31"/>
  <c r="G15" i="31"/>
  <c r="F15" i="31"/>
  <c r="G14" i="31"/>
  <c r="F14" i="31"/>
  <c r="G13" i="31"/>
  <c r="F13" i="31"/>
  <c r="E12" i="31"/>
  <c r="D12" i="31"/>
  <c r="G11" i="31"/>
  <c r="F11" i="31"/>
  <c r="G10" i="31"/>
  <c r="F10" i="31"/>
  <c r="D9" i="31"/>
  <c r="F9" i="31" s="1"/>
  <c r="D8" i="31"/>
  <c r="G80" i="30"/>
  <c r="I80" i="30" s="1"/>
  <c r="G79" i="30"/>
  <c r="I79" i="30" s="1"/>
  <c r="G78" i="30"/>
  <c r="I76" i="30"/>
  <c r="H76" i="30"/>
  <c r="I75" i="30"/>
  <c r="H75" i="30"/>
  <c r="I74" i="30"/>
  <c r="H74" i="30"/>
  <c r="I73" i="30"/>
  <c r="H73" i="30"/>
  <c r="I72" i="30"/>
  <c r="H72" i="30"/>
  <c r="I71" i="30"/>
  <c r="H71" i="30"/>
  <c r="I70" i="30"/>
  <c r="H70" i="30"/>
  <c r="I69" i="30"/>
  <c r="H69" i="30"/>
  <c r="G68" i="30"/>
  <c r="I68" i="30" s="1"/>
  <c r="E68" i="30"/>
  <c r="D68" i="30"/>
  <c r="I67" i="30"/>
  <c r="H67" i="30"/>
  <c r="H66" i="30"/>
  <c r="E66" i="30"/>
  <c r="I66" i="30" s="1"/>
  <c r="G65" i="30"/>
  <c r="G64" i="30"/>
  <c r="G63" i="30"/>
  <c r="G62" i="30"/>
  <c r="G61" i="30"/>
  <c r="G60" i="30"/>
  <c r="G59" i="30"/>
  <c r="G57" i="30"/>
  <c r="I57" i="30" s="1"/>
  <c r="F57" i="30"/>
  <c r="H57" i="30" s="1"/>
  <c r="E57" i="30"/>
  <c r="I56" i="30"/>
  <c r="H56" i="30"/>
  <c r="I55" i="30"/>
  <c r="H55" i="30"/>
  <c r="G54" i="30"/>
  <c r="I54" i="30" s="1"/>
  <c r="E54" i="30"/>
  <c r="H53" i="30"/>
  <c r="E53" i="30"/>
  <c r="I52" i="30"/>
  <c r="H52" i="30"/>
  <c r="I51" i="30"/>
  <c r="H51" i="30"/>
  <c r="H50" i="30"/>
  <c r="G50" i="30"/>
  <c r="I50" i="30" s="1"/>
  <c r="E50" i="30"/>
  <c r="G49" i="30"/>
  <c r="I49" i="30" s="1"/>
  <c r="E49" i="30"/>
  <c r="H48" i="30"/>
  <c r="H47" i="30"/>
  <c r="E47" i="30"/>
  <c r="H46" i="30"/>
  <c r="E46" i="30"/>
  <c r="H45" i="30"/>
  <c r="E45" i="30"/>
  <c r="H44" i="30"/>
  <c r="E44" i="30"/>
  <c r="H43" i="30"/>
  <c r="H42" i="30"/>
  <c r="E42" i="30"/>
  <c r="H41" i="30"/>
  <c r="I40" i="30"/>
  <c r="H40" i="30"/>
  <c r="E39" i="30"/>
  <c r="H38" i="30"/>
  <c r="E38" i="30"/>
  <c r="I37" i="30"/>
  <c r="H37" i="30"/>
  <c r="H36" i="30"/>
  <c r="E36" i="30"/>
  <c r="I35" i="30"/>
  <c r="H35" i="30"/>
  <c r="E35" i="30"/>
  <c r="D35" i="30"/>
  <c r="G34" i="30"/>
  <c r="I34" i="30" s="1"/>
  <c r="H34" i="30"/>
  <c r="E34" i="30"/>
  <c r="H33" i="30"/>
  <c r="G33" i="30"/>
  <c r="I33" i="30" s="1"/>
  <c r="E33" i="30"/>
  <c r="H32" i="30"/>
  <c r="G32" i="30"/>
  <c r="I32" i="30" s="1"/>
  <c r="E32" i="30"/>
  <c r="H31" i="30"/>
  <c r="E31" i="30"/>
  <c r="H30" i="30"/>
  <c r="E30" i="30"/>
  <c r="H29" i="30"/>
  <c r="E29" i="30"/>
  <c r="H28" i="30"/>
  <c r="E28" i="30"/>
  <c r="E27" i="30" s="1"/>
  <c r="D27" i="30"/>
  <c r="H26" i="30"/>
  <c r="E26" i="30"/>
  <c r="H25" i="30"/>
  <c r="E25" i="30"/>
  <c r="E24" i="30" s="1"/>
  <c r="D24" i="30"/>
  <c r="H23" i="30"/>
  <c r="E23" i="30"/>
  <c r="I23" i="30" s="1"/>
  <c r="H22" i="30"/>
  <c r="E22" i="30"/>
  <c r="I22" i="30" s="1"/>
  <c r="H21" i="30"/>
  <c r="E21" i="30"/>
  <c r="H20" i="30"/>
  <c r="E20" i="30"/>
  <c r="H19" i="30"/>
  <c r="E19" i="30"/>
  <c r="E18" i="30"/>
  <c r="D18" i="30"/>
  <c r="H17" i="30"/>
  <c r="E17" i="30"/>
  <c r="I17" i="30" s="1"/>
  <c r="H16" i="30"/>
  <c r="E16" i="30"/>
  <c r="I16" i="30" s="1"/>
  <c r="H15" i="30"/>
  <c r="E15" i="30"/>
  <c r="G14" i="30"/>
  <c r="I14" i="30" s="1"/>
  <c r="E14" i="30"/>
  <c r="H13" i="30"/>
  <c r="E13" i="30"/>
  <c r="E12" i="30" s="1"/>
  <c r="D12" i="30"/>
  <c r="D11" i="30"/>
  <c r="D10" i="30" s="1"/>
  <c r="D9" i="30" s="1"/>
  <c r="G15" i="30" l="1"/>
  <c r="I15" i="30" s="1"/>
  <c r="G44" i="30"/>
  <c r="I44" i="30" s="1"/>
  <c r="G20" i="30"/>
  <c r="I20" i="30" s="1"/>
  <c r="G46" i="30"/>
  <c r="I46" i="30" s="1"/>
  <c r="F77" i="30"/>
  <c r="G77" i="30" s="1"/>
  <c r="I77" i="30" s="1"/>
  <c r="F68" i="30"/>
  <c r="H68" i="30" s="1"/>
  <c r="G28" i="30"/>
  <c r="I28" i="30" s="1"/>
  <c r="G41" i="30"/>
  <c r="I41" i="30" s="1"/>
  <c r="G53" i="30"/>
  <c r="I53" i="30" s="1"/>
  <c r="F12" i="30"/>
  <c r="H12" i="30" s="1"/>
  <c r="G13" i="30"/>
  <c r="G12" i="30" s="1"/>
  <c r="I12" i="30" s="1"/>
  <c r="F24" i="30"/>
  <c r="H24" i="30" s="1"/>
  <c r="F39" i="30"/>
  <c r="H39" i="30" s="1"/>
  <c r="F27" i="30"/>
  <c r="H27" i="30" s="1"/>
  <c r="G25" i="30"/>
  <c r="I25" i="30" s="1"/>
  <c r="G30" i="30"/>
  <c r="I30" i="30" s="1"/>
  <c r="G8" i="31"/>
  <c r="F12" i="31"/>
  <c r="F42" i="31"/>
  <c r="F8" i="31"/>
  <c r="G9" i="31"/>
  <c r="G12" i="31"/>
  <c r="F39" i="31"/>
  <c r="E11" i="30"/>
  <c r="E10" i="30" s="1"/>
  <c r="E9" i="30" s="1"/>
  <c r="H14" i="30"/>
  <c r="F18" i="30"/>
  <c r="G19" i="30"/>
  <c r="G21" i="30"/>
  <c r="I21" i="30" s="1"/>
  <c r="G26" i="30"/>
  <c r="I26" i="30" s="1"/>
  <c r="G29" i="30"/>
  <c r="I29" i="30" s="1"/>
  <c r="G31" i="30"/>
  <c r="I31" i="30" s="1"/>
  <c r="G36" i="30"/>
  <c r="I36" i="30" s="1"/>
  <c r="G38" i="30"/>
  <c r="I38" i="30" s="1"/>
  <c r="G42" i="30"/>
  <c r="G43" i="30"/>
  <c r="I43" i="30" s="1"/>
  <c r="G45" i="30"/>
  <c r="I45" i="30" s="1"/>
  <c r="G47" i="30"/>
  <c r="I47" i="30" s="1"/>
  <c r="G48" i="30"/>
  <c r="I48" i="30" s="1"/>
  <c r="H49" i="30"/>
  <c r="H54" i="30"/>
  <c r="H77" i="30"/>
  <c r="H79" i="30"/>
  <c r="H80" i="30"/>
  <c r="I13" i="30" l="1"/>
  <c r="G39" i="30"/>
  <c r="I39" i="30" s="1"/>
  <c r="I42" i="30"/>
  <c r="F11" i="30"/>
  <c r="F10" i="30" s="1"/>
  <c r="F9" i="30" s="1"/>
  <c r="H18" i="30"/>
  <c r="G27" i="30"/>
  <c r="I27" i="30" s="1"/>
  <c r="G24" i="30"/>
  <c r="I24" i="30" s="1"/>
  <c r="G18" i="30"/>
  <c r="I19" i="30"/>
  <c r="I18" i="30" l="1"/>
  <c r="G11" i="30"/>
  <c r="G10" i="30" s="1"/>
  <c r="H11" i="30"/>
  <c r="I11" i="30" l="1"/>
  <c r="H10" i="30"/>
  <c r="H9" i="30"/>
  <c r="I10" i="30" l="1"/>
  <c r="G9" i="30"/>
  <c r="I9" i="30" s="1"/>
  <c r="F107" i="24" l="1"/>
  <c r="F106" i="24"/>
  <c r="H107" i="24"/>
  <c r="H106" i="24"/>
  <c r="G11" i="24"/>
  <c r="D12" i="7"/>
  <c r="G70" i="24" l="1"/>
  <c r="H70" i="24"/>
  <c r="F105" i="24"/>
  <c r="F104" i="24"/>
  <c r="F103" i="24"/>
  <c r="F102" i="24"/>
  <c r="F101" i="24"/>
  <c r="F100" i="24"/>
  <c r="F99" i="24"/>
  <c r="F98" i="24"/>
  <c r="F97" i="24"/>
  <c r="F96" i="24"/>
  <c r="H95" i="24"/>
  <c r="G95" i="24"/>
  <c r="F94" i="24"/>
  <c r="F93" i="24"/>
  <c r="F92" i="24"/>
  <c r="F91" i="24"/>
  <c r="H90" i="24"/>
  <c r="G90" i="24"/>
  <c r="F89" i="24"/>
  <c r="F88" i="24"/>
  <c r="F87" i="24"/>
  <c r="F86" i="24"/>
  <c r="H85" i="24"/>
  <c r="G85" i="24"/>
  <c r="H84" i="24"/>
  <c r="F84" i="24" s="1"/>
  <c r="F83" i="24"/>
  <c r="F82" i="24"/>
  <c r="G81" i="24"/>
  <c r="F80" i="24"/>
  <c r="F79" i="24"/>
  <c r="H78" i="24"/>
  <c r="G78" i="24"/>
  <c r="G75" i="24" s="1"/>
  <c r="G69" i="24" s="1"/>
  <c r="F77" i="24"/>
  <c r="F76" i="24"/>
  <c r="F72" i="24"/>
  <c r="F71" i="24"/>
  <c r="F78" i="24" l="1"/>
  <c r="F81" i="24"/>
  <c r="F95" i="24"/>
  <c r="H81" i="24"/>
  <c r="H75" i="24" s="1"/>
  <c r="H69" i="24" s="1"/>
  <c r="F85" i="24"/>
  <c r="F90" i="24"/>
  <c r="H20" i="24"/>
  <c r="H19" i="24"/>
  <c r="H18" i="24"/>
  <c r="G66" i="24"/>
  <c r="G52" i="24"/>
  <c r="G47" i="24"/>
  <c r="G39" i="24"/>
  <c r="G42" i="24"/>
  <c r="F37" i="24"/>
  <c r="F38" i="24"/>
  <c r="F39" i="24"/>
  <c r="F40" i="24"/>
  <c r="F41" i="24"/>
  <c r="F42" i="24"/>
  <c r="F43" i="24"/>
  <c r="F44" i="24"/>
  <c r="F45" i="24"/>
  <c r="F46" i="24"/>
  <c r="F47" i="24"/>
  <c r="F48" i="24"/>
  <c r="F49" i="24"/>
  <c r="F50" i="24"/>
  <c r="F51" i="24"/>
  <c r="F52" i="24"/>
  <c r="F53" i="24"/>
  <c r="F54" i="24"/>
  <c r="F55" i="24"/>
  <c r="F56" i="24"/>
  <c r="F57" i="24"/>
  <c r="F58" i="24"/>
  <c r="F59" i="24"/>
  <c r="F60" i="24"/>
  <c r="F61" i="24"/>
  <c r="F62" i="24"/>
  <c r="F63" i="24"/>
  <c r="F64" i="24"/>
  <c r="F65" i="24"/>
  <c r="F66" i="24"/>
  <c r="F67" i="24"/>
  <c r="F68" i="24"/>
  <c r="F30" i="24"/>
  <c r="C30" i="24"/>
  <c r="E30" i="24"/>
  <c r="I30" i="24"/>
  <c r="F29" i="24"/>
  <c r="G29" i="24"/>
  <c r="F31" i="24"/>
  <c r="H31" i="24" s="1"/>
  <c r="F28" i="24"/>
  <c r="H28" i="24" s="1"/>
  <c r="H26" i="24"/>
  <c r="F26" i="24"/>
  <c r="F25" i="24"/>
  <c r="H25" i="24" s="1"/>
  <c r="F18" i="24"/>
  <c r="F17" i="24"/>
  <c r="H17" i="24" s="1"/>
  <c r="F15" i="24"/>
  <c r="F14" i="24"/>
  <c r="H14" i="24" s="1"/>
  <c r="D11" i="6"/>
  <c r="D52" i="24"/>
  <c r="D51" i="24" s="1"/>
  <c r="C67" i="24"/>
  <c r="C54" i="24"/>
  <c r="C55" i="24"/>
  <c r="C56" i="24"/>
  <c r="C57" i="24"/>
  <c r="C58" i="24"/>
  <c r="C59" i="24"/>
  <c r="C60" i="24"/>
  <c r="C61" i="24"/>
  <c r="C62" i="24"/>
  <c r="C63" i="24"/>
  <c r="C64" i="24"/>
  <c r="C65" i="24"/>
  <c r="C53" i="24"/>
  <c r="C49" i="24"/>
  <c r="C50" i="24"/>
  <c r="C48" i="24"/>
  <c r="C44" i="24"/>
  <c r="C45" i="24"/>
  <c r="C46" i="24"/>
  <c r="C43" i="24"/>
  <c r="C41" i="24"/>
  <c r="C40" i="24"/>
  <c r="D37" i="6"/>
  <c r="I8" i="6"/>
  <c r="H29" i="24" l="1"/>
  <c r="F23" i="24"/>
  <c r="S111" i="18"/>
  <c r="G10" i="24"/>
  <c r="G9" i="24" s="1"/>
  <c r="F75" i="24"/>
  <c r="G38" i="24"/>
  <c r="G51" i="24"/>
  <c r="H30" i="24"/>
  <c r="J30" i="24"/>
  <c r="S11" i="18" l="1"/>
  <c r="N111" i="18"/>
  <c r="K30" i="24"/>
  <c r="G37" i="24"/>
  <c r="F29" i="6"/>
  <c r="AG10" i="18" l="1"/>
  <c r="AB111" i="18"/>
  <c r="N11" i="18"/>
  <c r="D39" i="7"/>
  <c r="AB11" i="18" l="1"/>
  <c r="AH45" i="29"/>
  <c r="AE45" i="29"/>
  <c r="AD45" i="29" s="1"/>
  <c r="AA45" i="29"/>
  <c r="X45" i="29"/>
  <c r="W45" i="29"/>
  <c r="U45" i="29"/>
  <c r="Q45" i="29"/>
  <c r="N45" i="29"/>
  <c r="M45" i="29"/>
  <c r="J45" i="29"/>
  <c r="G45" i="29"/>
  <c r="E45" i="29"/>
  <c r="AH44" i="29"/>
  <c r="AE44" i="29"/>
  <c r="AD44" i="29" s="1"/>
  <c r="AA44" i="29"/>
  <c r="X44" i="29"/>
  <c r="W44" i="29"/>
  <c r="U44" i="29"/>
  <c r="Q44" i="29"/>
  <c r="N44" i="29"/>
  <c r="M44" i="29"/>
  <c r="J44" i="29"/>
  <c r="G44" i="29"/>
  <c r="E44" i="29"/>
  <c r="AH43" i="29"/>
  <c r="AE43" i="29"/>
  <c r="AD43" i="29" s="1"/>
  <c r="AA43" i="29"/>
  <c r="X43" i="29"/>
  <c r="W43" i="29"/>
  <c r="U43" i="29"/>
  <c r="Q43" i="29"/>
  <c r="N43" i="29"/>
  <c r="M43" i="29"/>
  <c r="J43" i="29"/>
  <c r="G43" i="29"/>
  <c r="E43" i="29"/>
  <c r="AH42" i="29"/>
  <c r="AE42" i="29"/>
  <c r="AD42" i="29" s="1"/>
  <c r="AA42" i="29"/>
  <c r="X42" i="29"/>
  <c r="W42" i="29"/>
  <c r="U42" i="29"/>
  <c r="Q42" i="29"/>
  <c r="N42" i="29"/>
  <c r="M42" i="29"/>
  <c r="J42" i="29"/>
  <c r="G42" i="29"/>
  <c r="E42" i="29"/>
  <c r="AH41" i="29"/>
  <c r="AE41" i="29"/>
  <c r="AD41" i="29" s="1"/>
  <c r="AA41" i="29"/>
  <c r="X41" i="29"/>
  <c r="W41" i="29"/>
  <c r="U41" i="29"/>
  <c r="Q41" i="29"/>
  <c r="N41" i="29"/>
  <c r="M41" i="29"/>
  <c r="J41" i="29"/>
  <c r="G41" i="29"/>
  <c r="E41" i="29"/>
  <c r="AH40" i="29"/>
  <c r="AE40" i="29"/>
  <c r="AD40" i="29" s="1"/>
  <c r="AA40" i="29"/>
  <c r="X40" i="29"/>
  <c r="W40" i="29"/>
  <c r="U40" i="29"/>
  <c r="Q40" i="29"/>
  <c r="N40" i="29"/>
  <c r="M40" i="29"/>
  <c r="J40" i="29"/>
  <c r="G40" i="29"/>
  <c r="E40" i="29"/>
  <c r="AH39" i="29"/>
  <c r="AE39" i="29"/>
  <c r="AD39" i="29" s="1"/>
  <c r="AA39" i="29"/>
  <c r="X39" i="29"/>
  <c r="W39" i="29"/>
  <c r="U39" i="29"/>
  <c r="Q39" i="29"/>
  <c r="N39" i="29"/>
  <c r="M39" i="29"/>
  <c r="J39" i="29"/>
  <c r="G39" i="29"/>
  <c r="E39" i="29"/>
  <c r="AH38" i="29"/>
  <c r="AE38" i="29"/>
  <c r="AD38" i="29" s="1"/>
  <c r="AA38" i="29"/>
  <c r="X38" i="29"/>
  <c r="W38" i="29"/>
  <c r="U38" i="29"/>
  <c r="Q38" i="29"/>
  <c r="N38" i="29"/>
  <c r="M38" i="29"/>
  <c r="J38" i="29"/>
  <c r="G38" i="29"/>
  <c r="AH37" i="29"/>
  <c r="AE37" i="29"/>
  <c r="AD37" i="29" s="1"/>
  <c r="AA37" i="29"/>
  <c r="X37" i="29"/>
  <c r="W37" i="29"/>
  <c r="U37" i="29"/>
  <c r="Q37" i="29"/>
  <c r="N37" i="29"/>
  <c r="M37" i="29"/>
  <c r="J37" i="29"/>
  <c r="G37" i="29"/>
  <c r="E37" i="29"/>
  <c r="AH36" i="29"/>
  <c r="AE36" i="29"/>
  <c r="AD36" i="29"/>
  <c r="AA36" i="29"/>
  <c r="X36" i="29"/>
  <c r="V36" i="29"/>
  <c r="Q36" i="29"/>
  <c r="N36" i="29"/>
  <c r="M36" i="29" s="1"/>
  <c r="M35" i="29" s="1"/>
  <c r="J36" i="29"/>
  <c r="E36" i="29" s="1"/>
  <c r="G36" i="29"/>
  <c r="F36" i="29"/>
  <c r="D36" i="29"/>
  <c r="C36" i="29" s="1"/>
  <c r="AJ35" i="29"/>
  <c r="AI35" i="29"/>
  <c r="AH35" i="29"/>
  <c r="AG35" i="29"/>
  <c r="AF35" i="29"/>
  <c r="AE35" i="29"/>
  <c r="AD35" i="29"/>
  <c r="AC35" i="29"/>
  <c r="AB35" i="29"/>
  <c r="AA35" i="29"/>
  <c r="Z35" i="29"/>
  <c r="Y35" i="29"/>
  <c r="X35" i="29"/>
  <c r="S35" i="29"/>
  <c r="R35" i="29"/>
  <c r="Q35" i="29"/>
  <c r="P35" i="29"/>
  <c r="O35" i="29"/>
  <c r="N35" i="29"/>
  <c r="L35" i="29"/>
  <c r="K35" i="29"/>
  <c r="J35" i="29"/>
  <c r="I35" i="29"/>
  <c r="H35" i="29"/>
  <c r="G35" i="29"/>
  <c r="AH34" i="29"/>
  <c r="V34" i="29" s="1"/>
  <c r="AE34" i="29"/>
  <c r="AD34" i="29"/>
  <c r="X34" i="29"/>
  <c r="W34" i="29"/>
  <c r="U34" i="29"/>
  <c r="Q34" i="29"/>
  <c r="N34" i="29"/>
  <c r="M34" i="29"/>
  <c r="J34" i="29"/>
  <c r="G34" i="29"/>
  <c r="F34" i="29" s="1"/>
  <c r="E34" i="29"/>
  <c r="AH33" i="29"/>
  <c r="V33" i="29" s="1"/>
  <c r="AE33" i="29"/>
  <c r="AD33" i="29"/>
  <c r="X33" i="29"/>
  <c r="W33" i="29"/>
  <c r="U33" i="29"/>
  <c r="T33" i="29" s="1"/>
  <c r="Q33" i="29"/>
  <c r="N33" i="29"/>
  <c r="M33" i="29"/>
  <c r="J33" i="29"/>
  <c r="G33" i="29"/>
  <c r="F33" i="29" s="1"/>
  <c r="E33" i="29"/>
  <c r="AH32" i="29"/>
  <c r="V32" i="29" s="1"/>
  <c r="AE32" i="29"/>
  <c r="AD32" i="29"/>
  <c r="X32" i="29"/>
  <c r="W32" i="29"/>
  <c r="U32" i="29"/>
  <c r="Q32" i="29"/>
  <c r="N32" i="29"/>
  <c r="M32" i="29"/>
  <c r="J32" i="29"/>
  <c r="G32" i="29"/>
  <c r="F32" i="29" s="1"/>
  <c r="E32" i="29"/>
  <c r="AH31" i="29"/>
  <c r="V31" i="29" s="1"/>
  <c r="AE31" i="29"/>
  <c r="AD31" i="29"/>
  <c r="X31" i="29"/>
  <c r="W31" i="29"/>
  <c r="U31" i="29"/>
  <c r="T31" i="29" s="1"/>
  <c r="Q31" i="29"/>
  <c r="N31" i="29"/>
  <c r="M31" i="29"/>
  <c r="J31" i="29"/>
  <c r="G31" i="29"/>
  <c r="F31" i="29" s="1"/>
  <c r="E31" i="29"/>
  <c r="AH30" i="29"/>
  <c r="V30" i="29" s="1"/>
  <c r="AE30" i="29"/>
  <c r="AD30" i="29"/>
  <c r="X30" i="29"/>
  <c r="W30" i="29"/>
  <c r="U30" i="29"/>
  <c r="Q30" i="29"/>
  <c r="N30" i="29"/>
  <c r="M30" i="29"/>
  <c r="J30" i="29"/>
  <c r="G30" i="29"/>
  <c r="F30" i="29" s="1"/>
  <c r="E30" i="29"/>
  <c r="AH29" i="29"/>
  <c r="V29" i="29" s="1"/>
  <c r="AE29" i="29"/>
  <c r="AD29" i="29"/>
  <c r="X29" i="29"/>
  <c r="W29" i="29"/>
  <c r="U29" i="29"/>
  <c r="Q29" i="29"/>
  <c r="N29" i="29"/>
  <c r="M29" i="29"/>
  <c r="J29" i="29"/>
  <c r="G29" i="29"/>
  <c r="F29" i="29" s="1"/>
  <c r="E29" i="29"/>
  <c r="AH28" i="29"/>
  <c r="V28" i="29" s="1"/>
  <c r="AE28" i="29"/>
  <c r="AD28" i="29"/>
  <c r="X28" i="29"/>
  <c r="W28" i="29"/>
  <c r="U28" i="29"/>
  <c r="Q28" i="29"/>
  <c r="N28" i="29"/>
  <c r="M28" i="29"/>
  <c r="J28" i="29"/>
  <c r="G28" i="29"/>
  <c r="F28" i="29" s="1"/>
  <c r="E28" i="29"/>
  <c r="AH27" i="29"/>
  <c r="AE27" i="29"/>
  <c r="AD27" i="29" s="1"/>
  <c r="X27" i="29"/>
  <c r="W27" i="29" s="1"/>
  <c r="V27" i="29"/>
  <c r="Q27" i="29"/>
  <c r="N27" i="29"/>
  <c r="M27" i="29" s="1"/>
  <c r="J27" i="29"/>
  <c r="E27" i="29" s="1"/>
  <c r="G27" i="29"/>
  <c r="F27" i="29"/>
  <c r="D27" i="29"/>
  <c r="AH26" i="29"/>
  <c r="V26" i="29" s="1"/>
  <c r="AE26" i="29"/>
  <c r="AD26" i="29"/>
  <c r="X26" i="29"/>
  <c r="W26" i="29"/>
  <c r="U26" i="29"/>
  <c r="Q26" i="29"/>
  <c r="N26" i="29"/>
  <c r="M26" i="29"/>
  <c r="J26" i="29"/>
  <c r="G26" i="29"/>
  <c r="F26" i="29" s="1"/>
  <c r="E26" i="29"/>
  <c r="AH25" i="29"/>
  <c r="AE25" i="29"/>
  <c r="AD25" i="29" s="1"/>
  <c r="X25" i="29"/>
  <c r="W25" i="29" s="1"/>
  <c r="V25" i="29"/>
  <c r="Q25" i="29"/>
  <c r="N25" i="29"/>
  <c r="M25" i="29" s="1"/>
  <c r="J25" i="29"/>
  <c r="E25" i="29" s="1"/>
  <c r="G25" i="29"/>
  <c r="F25" i="29"/>
  <c r="D25" i="29"/>
  <c r="AH24" i="29"/>
  <c r="V24" i="29" s="1"/>
  <c r="AE24" i="29"/>
  <c r="AD24" i="29"/>
  <c r="X24" i="29"/>
  <c r="W24" i="29"/>
  <c r="U24" i="29"/>
  <c r="Q24" i="29"/>
  <c r="N24" i="29"/>
  <c r="M24" i="29"/>
  <c r="J24" i="29"/>
  <c r="G24" i="29"/>
  <c r="F24" i="29" s="1"/>
  <c r="E24" i="29"/>
  <c r="AH23" i="29"/>
  <c r="AE23" i="29"/>
  <c r="AD23" i="29"/>
  <c r="AA23" i="29"/>
  <c r="X23" i="29"/>
  <c r="W23" i="29" s="1"/>
  <c r="V23" i="29"/>
  <c r="Q23" i="29"/>
  <c r="N23" i="29"/>
  <c r="M23" i="29" s="1"/>
  <c r="J23" i="29"/>
  <c r="E23" i="29" s="1"/>
  <c r="G23" i="29"/>
  <c r="F23" i="29"/>
  <c r="D23" i="29"/>
  <c r="C23" i="29" s="1"/>
  <c r="AH22" i="29"/>
  <c r="AE22" i="29"/>
  <c r="AD22" i="29" s="1"/>
  <c r="AA22" i="29"/>
  <c r="X22" i="29"/>
  <c r="W22" i="29"/>
  <c r="U22" i="29"/>
  <c r="Q22" i="29"/>
  <c r="E22" i="29" s="1"/>
  <c r="N22" i="29"/>
  <c r="M22" i="29"/>
  <c r="J22" i="29"/>
  <c r="G22" i="29"/>
  <c r="AH21" i="29"/>
  <c r="V21" i="29" s="1"/>
  <c r="AE21" i="29"/>
  <c r="AD21" i="29"/>
  <c r="AA21" i="29"/>
  <c r="X21" i="29"/>
  <c r="Q21" i="29"/>
  <c r="N21" i="29"/>
  <c r="M21" i="29" s="1"/>
  <c r="J21" i="29"/>
  <c r="E21" i="29" s="1"/>
  <c r="G21" i="29"/>
  <c r="F21" i="29"/>
  <c r="D21" i="29"/>
  <c r="C21" i="29" s="1"/>
  <c r="AH20" i="29"/>
  <c r="AE20" i="29"/>
  <c r="AD20" i="29" s="1"/>
  <c r="AA20" i="29"/>
  <c r="V20" i="29" s="1"/>
  <c r="X20" i="29"/>
  <c r="W20" i="29"/>
  <c r="U20" i="29"/>
  <c r="Q20" i="29"/>
  <c r="E20" i="29" s="1"/>
  <c r="N20" i="29"/>
  <c r="M20" i="29"/>
  <c r="J20" i="29"/>
  <c r="G20" i="29"/>
  <c r="AH19" i="29"/>
  <c r="V19" i="29" s="1"/>
  <c r="AE19" i="29"/>
  <c r="AD19" i="29"/>
  <c r="AA19" i="29"/>
  <c r="X19" i="29"/>
  <c r="Q19" i="29"/>
  <c r="N19" i="29"/>
  <c r="M19" i="29" s="1"/>
  <c r="J19" i="29"/>
  <c r="E19" i="29" s="1"/>
  <c r="G19" i="29"/>
  <c r="F19" i="29"/>
  <c r="D19" i="29"/>
  <c r="C19" i="29" s="1"/>
  <c r="AH18" i="29"/>
  <c r="AE18" i="29"/>
  <c r="AD18" i="29" s="1"/>
  <c r="AA18" i="29"/>
  <c r="V18" i="29" s="1"/>
  <c r="X18" i="29"/>
  <c r="W18" i="29"/>
  <c r="U18" i="29"/>
  <c r="Q18" i="29"/>
  <c r="E18" i="29" s="1"/>
  <c r="E13" i="29" s="1"/>
  <c r="N18" i="29"/>
  <c r="M18" i="29"/>
  <c r="J18" i="29"/>
  <c r="G18" i="29"/>
  <c r="AH17" i="29"/>
  <c r="V17" i="29" s="1"/>
  <c r="AE17" i="29"/>
  <c r="AD17" i="29"/>
  <c r="AA17" i="29"/>
  <c r="X17" i="29"/>
  <c r="Q17" i="29"/>
  <c r="N17" i="29"/>
  <c r="M17" i="29" s="1"/>
  <c r="J17" i="29"/>
  <c r="E17" i="29" s="1"/>
  <c r="G17" i="29"/>
  <c r="F17" i="29"/>
  <c r="D17" i="29"/>
  <c r="C17" i="29" s="1"/>
  <c r="AH16" i="29"/>
  <c r="AE16" i="29"/>
  <c r="AD16" i="29" s="1"/>
  <c r="AA16" i="29"/>
  <c r="V16" i="29" s="1"/>
  <c r="X16" i="29"/>
  <c r="W16" i="29"/>
  <c r="U16" i="29"/>
  <c r="Q16" i="29"/>
  <c r="N16" i="29"/>
  <c r="M16" i="29"/>
  <c r="J16" i="29"/>
  <c r="G16" i="29"/>
  <c r="F16" i="29" s="1"/>
  <c r="E16" i="29"/>
  <c r="AH15" i="29"/>
  <c r="AE15" i="29"/>
  <c r="AD15" i="29" s="1"/>
  <c r="AA15" i="29"/>
  <c r="X15" i="29"/>
  <c r="W15" i="29"/>
  <c r="U15" i="29"/>
  <c r="Q15" i="29"/>
  <c r="N15" i="29"/>
  <c r="M15" i="29"/>
  <c r="J15" i="29"/>
  <c r="G15" i="29"/>
  <c r="F15" i="29" s="1"/>
  <c r="E15" i="29"/>
  <c r="AH14" i="29"/>
  <c r="AE14" i="29"/>
  <c r="AD14" i="29" s="1"/>
  <c r="AA14" i="29"/>
  <c r="X14" i="29"/>
  <c r="W14" i="29"/>
  <c r="U14" i="29"/>
  <c r="Q14" i="29"/>
  <c r="N14" i="29"/>
  <c r="M14" i="29"/>
  <c r="J14" i="29"/>
  <c r="G14" i="29"/>
  <c r="F14" i="29" s="1"/>
  <c r="E14" i="29"/>
  <c r="AJ13" i="29"/>
  <c r="AI13" i="29"/>
  <c r="AH13" i="29"/>
  <c r="AG13" i="29"/>
  <c r="AF13" i="29"/>
  <c r="AE13" i="29"/>
  <c r="AC13" i="29"/>
  <c r="AB13" i="29"/>
  <c r="AA13" i="29"/>
  <c r="Z13" i="29"/>
  <c r="Y13" i="29"/>
  <c r="X13" i="29"/>
  <c r="S13" i="29"/>
  <c r="R13" i="29"/>
  <c r="Q13" i="29"/>
  <c r="P13" i="29"/>
  <c r="O13" i="29"/>
  <c r="N13" i="29"/>
  <c r="M13" i="29"/>
  <c r="L13" i="29"/>
  <c r="K13" i="29"/>
  <c r="J13" i="29"/>
  <c r="I13" i="29"/>
  <c r="H13" i="29"/>
  <c r="G13" i="29"/>
  <c r="AJ12" i="29"/>
  <c r="AI12" i="29"/>
  <c r="AH12" i="29"/>
  <c r="AG12" i="29"/>
  <c r="AF12" i="29"/>
  <c r="AE12" i="29"/>
  <c r="AC12" i="29"/>
  <c r="AB12" i="29"/>
  <c r="AA12" i="29"/>
  <c r="Z12" i="29"/>
  <c r="Y12" i="29"/>
  <c r="X12" i="29"/>
  <c r="S12" i="29"/>
  <c r="R12" i="29"/>
  <c r="Q12" i="29"/>
  <c r="P12" i="29"/>
  <c r="O12" i="29"/>
  <c r="N12" i="29"/>
  <c r="M12" i="29"/>
  <c r="L12" i="29"/>
  <c r="K12" i="29"/>
  <c r="J12" i="29"/>
  <c r="I12" i="29"/>
  <c r="H12" i="29"/>
  <c r="G12" i="29"/>
  <c r="AD13" i="29" l="1"/>
  <c r="T16" i="29"/>
  <c r="W17" i="29"/>
  <c r="U17" i="29"/>
  <c r="F18" i="29"/>
  <c r="F13" i="29" s="1"/>
  <c r="D18" i="29"/>
  <c r="C18" i="29" s="1"/>
  <c r="W19" i="29"/>
  <c r="U19" i="29"/>
  <c r="T19" i="29" s="1"/>
  <c r="F20" i="29"/>
  <c r="D20" i="29"/>
  <c r="C20" i="29" s="1"/>
  <c r="W21" i="29"/>
  <c r="U21" i="29"/>
  <c r="T21" i="29" s="1"/>
  <c r="F22" i="29"/>
  <c r="D22" i="29"/>
  <c r="C22" i="29" s="1"/>
  <c r="V22" i="29"/>
  <c r="T32" i="29"/>
  <c r="T34" i="29"/>
  <c r="D14" i="29"/>
  <c r="V14" i="29"/>
  <c r="D15" i="29"/>
  <c r="C15" i="29" s="1"/>
  <c r="V15" i="29"/>
  <c r="D16" i="29"/>
  <c r="C16" i="29" s="1"/>
  <c r="T18" i="29"/>
  <c r="T20" i="29"/>
  <c r="T22" i="29"/>
  <c r="T24" i="29"/>
  <c r="C25" i="29"/>
  <c r="T26" i="29"/>
  <c r="C27" i="29"/>
  <c r="F38" i="29"/>
  <c r="D38" i="29"/>
  <c r="V38" i="29"/>
  <c r="F40" i="29"/>
  <c r="D40" i="29"/>
  <c r="C40" i="29" s="1"/>
  <c r="V40" i="29"/>
  <c r="F42" i="29"/>
  <c r="D42" i="29"/>
  <c r="C42" i="29" s="1"/>
  <c r="V42" i="29"/>
  <c r="F44" i="29"/>
  <c r="D44" i="29"/>
  <c r="C44" i="29" s="1"/>
  <c r="V44" i="29"/>
  <c r="U23" i="29"/>
  <c r="T23" i="29" s="1"/>
  <c r="D24" i="29"/>
  <c r="C24" i="29" s="1"/>
  <c r="U25" i="29"/>
  <c r="T25" i="29" s="1"/>
  <c r="D26" i="29"/>
  <c r="C26" i="29" s="1"/>
  <c r="U27" i="29"/>
  <c r="T27" i="29" s="1"/>
  <c r="D28" i="29"/>
  <c r="C28" i="29" s="1"/>
  <c r="T28" i="29"/>
  <c r="D29" i="29"/>
  <c r="C29" i="29" s="1"/>
  <c r="T29" i="29"/>
  <c r="D30" i="29"/>
  <c r="C30" i="29" s="1"/>
  <c r="T30" i="29"/>
  <c r="D31" i="29"/>
  <c r="C31" i="29" s="1"/>
  <c r="D32" i="29"/>
  <c r="C32" i="29" s="1"/>
  <c r="D33" i="29"/>
  <c r="C33" i="29" s="1"/>
  <c r="D34" i="29"/>
  <c r="C34" i="29" s="1"/>
  <c r="U36" i="29"/>
  <c r="W36" i="29"/>
  <c r="F37" i="29"/>
  <c r="D37" i="29"/>
  <c r="V37" i="29"/>
  <c r="T37" i="29" s="1"/>
  <c r="E38" i="29"/>
  <c r="E35" i="29" s="1"/>
  <c r="E12" i="29" s="1"/>
  <c r="T38" i="29"/>
  <c r="F39" i="29"/>
  <c r="D39" i="29"/>
  <c r="C39" i="29" s="1"/>
  <c r="V39" i="29"/>
  <c r="T40" i="29"/>
  <c r="F41" i="29"/>
  <c r="D41" i="29"/>
  <c r="C41" i="29" s="1"/>
  <c r="V41" i="29"/>
  <c r="T42" i="29"/>
  <c r="F43" i="29"/>
  <c r="D43" i="29"/>
  <c r="C43" i="29" s="1"/>
  <c r="V43" i="29"/>
  <c r="T44" i="29"/>
  <c r="F45" i="29"/>
  <c r="D45" i="29"/>
  <c r="C45" i="29" s="1"/>
  <c r="V45" i="29"/>
  <c r="C37" i="29" l="1"/>
  <c r="D35" i="29"/>
  <c r="T36" i="29"/>
  <c r="U35" i="29"/>
  <c r="T45" i="29"/>
  <c r="T41" i="29"/>
  <c r="T39" i="29"/>
  <c r="V13" i="29"/>
  <c r="W13" i="29"/>
  <c r="AD12" i="29"/>
  <c r="T14" i="29"/>
  <c r="V35" i="29"/>
  <c r="F35" i="29"/>
  <c r="F12" i="29" s="1"/>
  <c r="W35" i="29"/>
  <c r="T43" i="29"/>
  <c r="C38" i="29"/>
  <c r="D13" i="29"/>
  <c r="D12" i="29" s="1"/>
  <c r="C14" i="29"/>
  <c r="C13" i="29" s="1"/>
  <c r="T17" i="29"/>
  <c r="U13" i="29"/>
  <c r="U12" i="29" s="1"/>
  <c r="T15" i="29"/>
  <c r="T13" i="29" l="1"/>
  <c r="W12" i="29"/>
  <c r="C35" i="29"/>
  <c r="C12" i="29" s="1"/>
  <c r="V12" i="29"/>
  <c r="T35" i="29"/>
  <c r="T12" i="29" l="1"/>
  <c r="L29" i="28"/>
  <c r="K29" i="28"/>
  <c r="G29" i="28"/>
  <c r="L28" i="28"/>
  <c r="K28" i="28"/>
  <c r="G28" i="28"/>
  <c r="L27" i="28"/>
  <c r="K27" i="28"/>
  <c r="G27" i="28"/>
  <c r="L26" i="28"/>
  <c r="K26" i="28"/>
  <c r="G26" i="28"/>
  <c r="L25" i="28"/>
  <c r="K25" i="28"/>
  <c r="G25" i="28"/>
  <c r="L24" i="28"/>
  <c r="K24" i="28"/>
  <c r="G24" i="28"/>
  <c r="L23" i="28"/>
  <c r="K23" i="28"/>
  <c r="G23" i="28"/>
  <c r="L22" i="28"/>
  <c r="K22" i="28"/>
  <c r="G22" i="28"/>
  <c r="L21" i="28"/>
  <c r="K21" i="28"/>
  <c r="G21" i="28"/>
  <c r="L20" i="28"/>
  <c r="K20" i="28"/>
  <c r="G20" i="28"/>
  <c r="L19" i="28"/>
  <c r="K19" i="28"/>
  <c r="G19" i="28"/>
  <c r="L18" i="28"/>
  <c r="K18" i="28"/>
  <c r="G18" i="28"/>
  <c r="L17" i="28"/>
  <c r="K17" i="28"/>
  <c r="G17" i="28"/>
  <c r="L16" i="28"/>
  <c r="K16" i="28"/>
  <c r="G16" i="28"/>
  <c r="L15" i="28"/>
  <c r="K15" i="28"/>
  <c r="G15" i="28"/>
  <c r="L14" i="28"/>
  <c r="K14" i="28"/>
  <c r="G14" i="28"/>
  <c r="G12" i="28" s="1"/>
  <c r="L13" i="28"/>
  <c r="K13" i="28"/>
  <c r="K12" i="28" s="1"/>
  <c r="G13" i="28"/>
  <c r="L12" i="28"/>
  <c r="J12" i="28"/>
  <c r="I12" i="28"/>
  <c r="H12" i="28"/>
  <c r="F12" i="28"/>
  <c r="E12" i="28"/>
  <c r="D12" i="28"/>
  <c r="C12" i="28"/>
  <c r="J11" i="28"/>
  <c r="I11" i="28"/>
  <c r="D11" i="28"/>
  <c r="E11" i="28" s="1"/>
  <c r="F11" i="28" s="1"/>
  <c r="E74" i="6" l="1"/>
  <c r="D95" i="24"/>
  <c r="D90" i="24"/>
  <c r="D85" i="24"/>
  <c r="D81" i="24"/>
  <c r="D70" i="24"/>
  <c r="J28" i="24"/>
  <c r="D10" i="24"/>
  <c r="D75" i="24" l="1"/>
  <c r="D69" i="24" s="1"/>
  <c r="C107" i="24"/>
  <c r="C106" i="24"/>
  <c r="C105" i="24"/>
  <c r="E105" i="24" s="1"/>
  <c r="C104" i="24"/>
  <c r="E104" i="24" s="1"/>
  <c r="C103" i="24"/>
  <c r="E103" i="24" s="1"/>
  <c r="C102" i="24"/>
  <c r="E102" i="24" s="1"/>
  <c r="C101" i="24"/>
  <c r="E101" i="24" s="1"/>
  <c r="C100" i="24"/>
  <c r="E100" i="24" s="1"/>
  <c r="C99" i="24"/>
  <c r="E99" i="24" s="1"/>
  <c r="C98" i="24"/>
  <c r="E98" i="24" s="1"/>
  <c r="C97" i="24"/>
  <c r="E97" i="24" s="1"/>
  <c r="C96" i="24"/>
  <c r="E96" i="24" s="1"/>
  <c r="C94" i="24"/>
  <c r="E94" i="24" s="1"/>
  <c r="C93" i="24"/>
  <c r="E93" i="24" s="1"/>
  <c r="C92" i="24"/>
  <c r="E92" i="24" s="1"/>
  <c r="C91" i="24"/>
  <c r="E91" i="24" s="1"/>
  <c r="C89" i="24"/>
  <c r="E89" i="24" s="1"/>
  <c r="C88" i="24"/>
  <c r="E88" i="24" s="1"/>
  <c r="C87" i="24"/>
  <c r="E87" i="24" s="1"/>
  <c r="C86" i="24"/>
  <c r="E86" i="24" s="1"/>
  <c r="C84" i="24"/>
  <c r="E84" i="24" s="1"/>
  <c r="C83" i="24"/>
  <c r="E83" i="24" s="1"/>
  <c r="C82" i="24"/>
  <c r="E82" i="24" s="1"/>
  <c r="C80" i="24"/>
  <c r="E80" i="24" s="1"/>
  <c r="C79" i="24"/>
  <c r="E79" i="24" s="1"/>
  <c r="C77" i="24"/>
  <c r="E77" i="24" s="1"/>
  <c r="K77" i="24" s="1"/>
  <c r="C76" i="24"/>
  <c r="E76" i="24" s="1"/>
  <c r="C74" i="24"/>
  <c r="E74" i="24" s="1"/>
  <c r="C73" i="24"/>
  <c r="E73" i="24" s="1"/>
  <c r="C72" i="24"/>
  <c r="E72" i="24" s="1"/>
  <c r="C71" i="24"/>
  <c r="E71" i="24" s="1"/>
  <c r="C68" i="24"/>
  <c r="E67" i="24"/>
  <c r="E65" i="24"/>
  <c r="E64" i="24"/>
  <c r="E63" i="24"/>
  <c r="E62" i="24"/>
  <c r="E61" i="24"/>
  <c r="E60" i="24"/>
  <c r="E59" i="24"/>
  <c r="E58" i="24"/>
  <c r="E57" i="24"/>
  <c r="E56" i="24"/>
  <c r="E55" i="24"/>
  <c r="E54" i="24"/>
  <c r="E53" i="24"/>
  <c r="E46" i="24"/>
  <c r="E45" i="24"/>
  <c r="E44" i="24"/>
  <c r="E43" i="24"/>
  <c r="E41" i="24"/>
  <c r="E40" i="24"/>
  <c r="C37" i="24"/>
  <c r="C35" i="24"/>
  <c r="C34" i="24"/>
  <c r="C31" i="24"/>
  <c r="E31" i="24" s="1"/>
  <c r="C29" i="24"/>
  <c r="E29" i="24" s="1"/>
  <c r="C28" i="24"/>
  <c r="E28" i="24" s="1"/>
  <c r="C27" i="24"/>
  <c r="E27" i="24" s="1"/>
  <c r="C26" i="24"/>
  <c r="C25" i="24"/>
  <c r="C24" i="24"/>
  <c r="E24" i="24" s="1"/>
  <c r="C23" i="24"/>
  <c r="E23" i="24" s="1"/>
  <c r="C22" i="24"/>
  <c r="C21" i="24"/>
  <c r="E21" i="24" s="1"/>
  <c r="C20" i="24"/>
  <c r="E20" i="24" s="1"/>
  <c r="C18" i="24"/>
  <c r="E18" i="24" s="1"/>
  <c r="E17" i="24"/>
  <c r="C16" i="24"/>
  <c r="E16" i="24" s="1"/>
  <c r="C15" i="24"/>
  <c r="E15" i="24" s="1"/>
  <c r="C14" i="24"/>
  <c r="E14" i="24" s="1"/>
  <c r="C13" i="24"/>
  <c r="E13" i="24" s="1"/>
  <c r="H37" i="24"/>
  <c r="J77" i="24"/>
  <c r="C36" i="7"/>
  <c r="C30" i="7"/>
  <c r="C39" i="7"/>
  <c r="E39" i="7" s="1"/>
  <c r="C38" i="7"/>
  <c r="C31" i="7"/>
  <c r="C29" i="7"/>
  <c r="F44" i="7"/>
  <c r="E44" i="7"/>
  <c r="D11" i="7" l="1"/>
  <c r="D9" i="7" s="1"/>
  <c r="E68" i="24"/>
  <c r="C66" i="24"/>
  <c r="F39" i="7"/>
  <c r="C28" i="7"/>
  <c r="C11" i="7" s="1"/>
  <c r="I77" i="24"/>
  <c r="E37" i="24"/>
  <c r="F46" i="7"/>
  <c r="H9" i="7" l="1"/>
  <c r="H8" i="7"/>
  <c r="H11" i="7"/>
  <c r="H12" i="7"/>
  <c r="I12" i="7" s="1"/>
  <c r="D84" i="6"/>
  <c r="C85" i="24" s="1"/>
  <c r="E85" i="24" s="1"/>
  <c r="D77" i="6"/>
  <c r="E69" i="6"/>
  <c r="D69" i="6"/>
  <c r="C70" i="24" s="1"/>
  <c r="E70" i="24" s="1"/>
  <c r="F73" i="6"/>
  <c r="D10" i="6" l="1"/>
  <c r="C11" i="24" s="1"/>
  <c r="E11" i="24" s="1"/>
  <c r="C12" i="24"/>
  <c r="E12" i="24" s="1"/>
  <c r="F77" i="6"/>
  <c r="C78" i="24"/>
  <c r="E78" i="24" s="1"/>
  <c r="D28" i="7" l="1"/>
  <c r="I107" i="24" l="1"/>
  <c r="J107" i="24"/>
  <c r="K107" i="24"/>
  <c r="E19" i="24" l="1"/>
  <c r="E49" i="7" l="1"/>
  <c r="F49" i="7"/>
  <c r="I13" i="24" l="1"/>
  <c r="J13" i="24"/>
  <c r="K13" i="24"/>
  <c r="J14" i="24"/>
  <c r="J15" i="24"/>
  <c r="I16" i="24"/>
  <c r="J16" i="24"/>
  <c r="K16" i="24"/>
  <c r="J17" i="24"/>
  <c r="J18" i="24"/>
  <c r="K18" i="24"/>
  <c r="J19" i="24"/>
  <c r="I20" i="24"/>
  <c r="J20" i="24"/>
  <c r="I22" i="24"/>
  <c r="J22" i="24"/>
  <c r="K22" i="24"/>
  <c r="J24" i="24"/>
  <c r="J25" i="24"/>
  <c r="J26" i="24"/>
  <c r="I27" i="24"/>
  <c r="J27" i="24"/>
  <c r="J29" i="24"/>
  <c r="J31" i="24"/>
  <c r="K31" i="24"/>
  <c r="J71" i="24"/>
  <c r="K71" i="24"/>
  <c r="J72" i="24"/>
  <c r="K72" i="24"/>
  <c r="J73" i="24"/>
  <c r="K73" i="24"/>
  <c r="J74" i="24"/>
  <c r="K74" i="24"/>
  <c r="J75" i="24"/>
  <c r="J76" i="24"/>
  <c r="K76" i="24"/>
  <c r="J78" i="24"/>
  <c r="J79" i="24"/>
  <c r="K79" i="24"/>
  <c r="J80" i="24"/>
  <c r="J82" i="24"/>
  <c r="K82" i="24"/>
  <c r="J83" i="24"/>
  <c r="K83" i="24"/>
  <c r="J85" i="24"/>
  <c r="K85" i="24"/>
  <c r="J86" i="24"/>
  <c r="K86" i="24"/>
  <c r="J87" i="24"/>
  <c r="K87" i="24"/>
  <c r="J89" i="24"/>
  <c r="J90" i="24"/>
  <c r="J91" i="24"/>
  <c r="J92" i="24"/>
  <c r="J93" i="24"/>
  <c r="J95" i="24"/>
  <c r="J96" i="24"/>
  <c r="J97" i="24"/>
  <c r="J98" i="24"/>
  <c r="J100" i="24"/>
  <c r="J101" i="24"/>
  <c r="J102" i="24"/>
  <c r="J103" i="24"/>
  <c r="J104" i="24"/>
  <c r="J105" i="24"/>
  <c r="I106" i="24"/>
  <c r="J106" i="24"/>
  <c r="K106" i="24"/>
  <c r="H24" i="24" l="1"/>
  <c r="H15" i="24"/>
  <c r="K15" i="24" l="1"/>
  <c r="I26" i="24"/>
  <c r="J35" i="24" l="1"/>
  <c r="J12" i="24" l="1"/>
  <c r="F24" i="24"/>
  <c r="I15" i="24" l="1"/>
  <c r="I18" i="24"/>
  <c r="I24" i="24"/>
  <c r="I29" i="24" l="1"/>
  <c r="D9" i="24"/>
  <c r="I31" i="24" l="1"/>
  <c r="J11" i="24"/>
  <c r="F48" i="7" l="1"/>
  <c r="E48" i="7"/>
  <c r="F45" i="7"/>
  <c r="E45" i="7"/>
  <c r="F43" i="7"/>
  <c r="E43" i="7"/>
  <c r="F42" i="7"/>
  <c r="E42" i="7"/>
  <c r="F41" i="7"/>
  <c r="E41" i="7"/>
  <c r="E30" i="7"/>
  <c r="F30" i="7"/>
  <c r="E31" i="7"/>
  <c r="F31" i="7"/>
  <c r="E32" i="7"/>
  <c r="F32" i="7"/>
  <c r="E33" i="7"/>
  <c r="F33" i="7"/>
  <c r="E34" i="7"/>
  <c r="F34" i="7"/>
  <c r="E35" i="7"/>
  <c r="F35" i="7"/>
  <c r="E36" i="7"/>
  <c r="F36" i="7"/>
  <c r="E37" i="7"/>
  <c r="F37" i="7"/>
  <c r="E38" i="7"/>
  <c r="F38" i="7"/>
  <c r="E40" i="7"/>
  <c r="F40" i="7"/>
  <c r="F29" i="7"/>
  <c r="E29" i="7"/>
  <c r="F27" i="7"/>
  <c r="E27" i="7"/>
  <c r="F26" i="7"/>
  <c r="E26" i="7"/>
  <c r="F10" i="7"/>
  <c r="E10" i="7"/>
  <c r="F25" i="7"/>
  <c r="E25" i="7"/>
  <c r="E23" i="7"/>
  <c r="F22" i="7"/>
  <c r="E22" i="7"/>
  <c r="F21" i="7"/>
  <c r="E21" i="7"/>
  <c r="F20" i="7"/>
  <c r="E20" i="7"/>
  <c r="F19" i="7"/>
  <c r="E19" i="7"/>
  <c r="F18" i="7"/>
  <c r="E18" i="7"/>
  <c r="F17" i="7"/>
  <c r="E17" i="7"/>
  <c r="F16" i="7"/>
  <c r="E16" i="7"/>
  <c r="F15" i="7"/>
  <c r="E15" i="7"/>
  <c r="F14" i="7"/>
  <c r="E14" i="7"/>
  <c r="F39" i="6"/>
  <c r="F40" i="6"/>
  <c r="F42" i="6"/>
  <c r="F43" i="6"/>
  <c r="F44" i="6"/>
  <c r="F45" i="6"/>
  <c r="F52" i="6"/>
  <c r="F53" i="6"/>
  <c r="F54" i="6"/>
  <c r="F55" i="6"/>
  <c r="F56" i="6"/>
  <c r="F57" i="6"/>
  <c r="F58" i="6"/>
  <c r="F59" i="6"/>
  <c r="F60" i="6"/>
  <c r="F61" i="6"/>
  <c r="F62" i="6"/>
  <c r="F63" i="6"/>
  <c r="F64" i="6"/>
  <c r="F66" i="6"/>
  <c r="F67" i="6"/>
  <c r="E65" i="6"/>
  <c r="D65" i="6"/>
  <c r="E51" i="6"/>
  <c r="D51" i="6"/>
  <c r="D49" i="6"/>
  <c r="D48" i="6"/>
  <c r="E49" i="24" s="1"/>
  <c r="D47" i="6"/>
  <c r="E46" i="6"/>
  <c r="E41" i="6"/>
  <c r="D41" i="6"/>
  <c r="C42" i="24" s="1"/>
  <c r="E42" i="24" s="1"/>
  <c r="E38" i="6"/>
  <c r="E37" i="6" s="1"/>
  <c r="D38" i="6"/>
  <c r="C39" i="24" l="1"/>
  <c r="E39" i="24" s="1"/>
  <c r="D50" i="6"/>
  <c r="C51" i="24" s="1"/>
  <c r="E51" i="24" s="1"/>
  <c r="C52" i="24"/>
  <c r="E52" i="24" s="1"/>
  <c r="F65" i="6"/>
  <c r="E66" i="24"/>
  <c r="F47" i="6"/>
  <c r="E48" i="24"/>
  <c r="F49" i="6"/>
  <c r="E50" i="24"/>
  <c r="E28" i="7"/>
  <c r="E50" i="6"/>
  <c r="F38" i="6"/>
  <c r="F41" i="6"/>
  <c r="D46" i="6"/>
  <c r="F51" i="6"/>
  <c r="F48" i="6"/>
  <c r="F23" i="7"/>
  <c r="F46" i="6" l="1"/>
  <c r="C47" i="24"/>
  <c r="E47" i="24" s="1"/>
  <c r="C38" i="24"/>
  <c r="E38" i="24" s="1"/>
  <c r="F50" i="6"/>
  <c r="E36" i="6"/>
  <c r="E11" i="6" s="1"/>
  <c r="E10" i="6" s="1"/>
  <c r="F12" i="6"/>
  <c r="F14" i="6"/>
  <c r="F15" i="6"/>
  <c r="F16" i="6"/>
  <c r="F17" i="6"/>
  <c r="F18" i="6"/>
  <c r="F19" i="6"/>
  <c r="F21" i="6"/>
  <c r="F23" i="6"/>
  <c r="F24" i="6"/>
  <c r="F25" i="6"/>
  <c r="F26" i="6"/>
  <c r="F27" i="6"/>
  <c r="F28" i="6"/>
  <c r="F30" i="6"/>
  <c r="F70" i="6"/>
  <c r="F71" i="6"/>
  <c r="F105" i="6"/>
  <c r="F106" i="6"/>
  <c r="E9" i="6" l="1"/>
  <c r="E24" i="31"/>
  <c r="G10" i="6"/>
  <c r="I10" i="6"/>
  <c r="F11" i="24"/>
  <c r="F10" i="24" s="1"/>
  <c r="F9" i="24" s="1"/>
  <c r="D94" i="6"/>
  <c r="C95" i="24" s="1"/>
  <c r="E95" i="24" s="1"/>
  <c r="D80" i="6"/>
  <c r="G24" i="31" l="1"/>
  <c r="F24" i="31"/>
  <c r="C81" i="24"/>
  <c r="E81" i="24" s="1"/>
  <c r="I105" i="24"/>
  <c r="K105" i="24"/>
  <c r="I104" i="24"/>
  <c r="K104" i="24"/>
  <c r="I103" i="24"/>
  <c r="K103" i="24"/>
  <c r="I102" i="24"/>
  <c r="K102" i="24"/>
  <c r="I101" i="24"/>
  <c r="K101" i="24"/>
  <c r="K100" i="24"/>
  <c r="I98" i="24"/>
  <c r="K98" i="24"/>
  <c r="I97" i="24"/>
  <c r="K97" i="24"/>
  <c r="I96" i="24"/>
  <c r="K96" i="24"/>
  <c r="I95" i="24"/>
  <c r="K95" i="24"/>
  <c r="I93" i="24"/>
  <c r="K93" i="24"/>
  <c r="I92" i="24"/>
  <c r="K92" i="24"/>
  <c r="I91" i="24"/>
  <c r="K91" i="24"/>
  <c r="I89" i="24"/>
  <c r="K89" i="24"/>
  <c r="J88" i="24"/>
  <c r="K88" i="24"/>
  <c r="I80" i="24"/>
  <c r="K80" i="24"/>
  <c r="K78" i="24"/>
  <c r="F74" i="24"/>
  <c r="F73" i="24"/>
  <c r="F69" i="6"/>
  <c r="K70" i="24"/>
  <c r="K29" i="24"/>
  <c r="K27" i="24"/>
  <c r="E26" i="24"/>
  <c r="K26" i="24" s="1"/>
  <c r="E25" i="24"/>
  <c r="K25" i="24" s="1"/>
  <c r="K24" i="24"/>
  <c r="K20" i="24"/>
  <c r="F70" i="24" l="1"/>
  <c r="I100" i="24"/>
  <c r="F75" i="6"/>
  <c r="J70" i="24"/>
  <c r="I84" i="24"/>
  <c r="I88" i="24"/>
  <c r="J23" i="24"/>
  <c r="K81" i="24"/>
  <c r="I82" i="24"/>
  <c r="I83" i="24"/>
  <c r="J84" i="24"/>
  <c r="J94" i="24"/>
  <c r="J99" i="24"/>
  <c r="I71" i="24"/>
  <c r="I72" i="24"/>
  <c r="I73" i="24"/>
  <c r="I74" i="24"/>
  <c r="I76" i="24"/>
  <c r="I25" i="24"/>
  <c r="I78" i="24"/>
  <c r="I79" i="24"/>
  <c r="J81" i="24"/>
  <c r="K84" i="24"/>
  <c r="I85" i="24"/>
  <c r="I86" i="24"/>
  <c r="I87" i="24"/>
  <c r="F82" i="6"/>
  <c r="F86" i="6"/>
  <c r="F90" i="6"/>
  <c r="F91" i="6"/>
  <c r="F93" i="6"/>
  <c r="F96" i="6"/>
  <c r="F97" i="6"/>
  <c r="F101" i="6"/>
  <c r="F102" i="6"/>
  <c r="F104" i="6"/>
  <c r="F76" i="6"/>
  <c r="F83" i="6"/>
  <c r="F87" i="6"/>
  <c r="F88" i="6"/>
  <c r="F92" i="6"/>
  <c r="F95" i="6"/>
  <c r="F98" i="6"/>
  <c r="F99" i="6"/>
  <c r="F100" i="6"/>
  <c r="F103" i="6"/>
  <c r="I99" i="24"/>
  <c r="K94" i="24"/>
  <c r="I94" i="24"/>
  <c r="K99" i="24"/>
  <c r="I81" i="24"/>
  <c r="F69" i="24" l="1"/>
  <c r="J21" i="24"/>
  <c r="G36" i="24"/>
  <c r="F85" i="6"/>
  <c r="I70" i="24"/>
  <c r="F94" i="6"/>
  <c r="K37" i="24"/>
  <c r="F80" i="6"/>
  <c r="F81" i="6"/>
  <c r="H36" i="24"/>
  <c r="D36" i="24" l="1"/>
  <c r="E68" i="6"/>
  <c r="E20" i="6" s="1"/>
  <c r="J69" i="24"/>
  <c r="J10" i="24"/>
  <c r="E25" i="31" l="1"/>
  <c r="G20" i="6"/>
  <c r="F21" i="24"/>
  <c r="H21" i="24" s="1"/>
  <c r="D32" i="24"/>
  <c r="D8" i="24" s="1"/>
  <c r="F22" i="6"/>
  <c r="E35" i="6"/>
  <c r="F36" i="24" s="1"/>
  <c r="E23" i="31" l="1"/>
  <c r="G25" i="31"/>
  <c r="F25" i="31"/>
  <c r="F23" i="31" s="1"/>
  <c r="K23" i="24"/>
  <c r="J9" i="24"/>
  <c r="E22" i="31" l="1"/>
  <c r="G23" i="31"/>
  <c r="I23" i="24"/>
  <c r="G22" i="31" l="1"/>
  <c r="F22" i="31"/>
  <c r="J34" i="24"/>
  <c r="F12" i="24" l="1"/>
  <c r="H12" i="24" s="1"/>
  <c r="G33" i="24"/>
  <c r="F34" i="24"/>
  <c r="J33" i="24" l="1"/>
  <c r="F20" i="6"/>
  <c r="F33" i="6"/>
  <c r="F35" i="24"/>
  <c r="H33" i="24"/>
  <c r="K21" i="24" l="1"/>
  <c r="F34" i="6"/>
  <c r="H32" i="24"/>
  <c r="F33" i="24"/>
  <c r="I21" i="24" l="1"/>
  <c r="E32" i="6" l="1"/>
  <c r="E31" i="6" s="1"/>
  <c r="E35" i="31" s="1"/>
  <c r="F35" i="31" l="1"/>
  <c r="G35" i="31"/>
  <c r="E33" i="31"/>
  <c r="G33" i="31" l="1"/>
  <c r="F33" i="31"/>
  <c r="E21" i="31"/>
  <c r="G21" i="31" l="1"/>
  <c r="F21" i="31"/>
  <c r="K14" i="24" l="1"/>
  <c r="F13" i="6" l="1"/>
  <c r="I14" i="24"/>
  <c r="F24" i="13" l="1"/>
  <c r="D301" i="13"/>
  <c r="D274" i="13"/>
  <c r="U275" i="13"/>
  <c r="H292" i="13"/>
  <c r="Y300" i="13"/>
  <c r="F17" i="13" l="1"/>
  <c r="F21" i="13"/>
  <c r="F28" i="7" l="1"/>
  <c r="F13" i="7" l="1"/>
  <c r="E13" i="7"/>
  <c r="C9" i="7" l="1"/>
  <c r="F12" i="7"/>
  <c r="E12" i="7"/>
  <c r="AZ366" i="13"/>
  <c r="AX366" i="13"/>
  <c r="AS366" i="13"/>
  <c r="AF366" i="13"/>
  <c r="AD365" i="13"/>
  <c r="AD364" i="13"/>
  <c r="AD363" i="13"/>
  <c r="AZ362" i="13"/>
  <c r="AF362" i="13"/>
  <c r="AZ361" i="13"/>
  <c r="AF361" i="13"/>
  <c r="AZ360" i="13"/>
  <c r="AF360" i="13"/>
  <c r="AZ359" i="13"/>
  <c r="AF359" i="13"/>
  <c r="AZ358" i="13"/>
  <c r="AF358" i="13"/>
  <c r="AZ357" i="13"/>
  <c r="AF357" i="13"/>
  <c r="AZ356" i="13"/>
  <c r="AF356" i="13"/>
  <c r="AD355" i="13"/>
  <c r="AD354" i="13"/>
  <c r="AZ353" i="13"/>
  <c r="AF353" i="13"/>
  <c r="AZ352" i="13"/>
  <c r="AF352" i="13"/>
  <c r="AZ351" i="13"/>
  <c r="AF351" i="13"/>
  <c r="AZ350" i="13"/>
  <c r="AF350" i="13"/>
  <c r="AZ349" i="13"/>
  <c r="AF349" i="13"/>
  <c r="AZ348" i="13"/>
  <c r="AF348" i="13"/>
  <c r="AD347" i="13"/>
  <c r="AZ346" i="13"/>
  <c r="AF346" i="13"/>
  <c r="AZ345" i="13"/>
  <c r="AF345" i="13"/>
  <c r="AD344" i="13"/>
  <c r="AD343" i="13"/>
  <c r="AZ342" i="13"/>
  <c r="AF342" i="13"/>
  <c r="AZ341" i="13"/>
  <c r="AF341" i="13"/>
  <c r="AZ340" i="13"/>
  <c r="AF340" i="13"/>
  <c r="AZ339" i="13"/>
  <c r="AF339" i="13"/>
  <c r="AZ338" i="13"/>
  <c r="AF338" i="13"/>
  <c r="AZ337" i="13"/>
  <c r="AF337" i="13"/>
  <c r="AZ336" i="13"/>
  <c r="AF336" i="13"/>
  <c r="AZ335" i="13"/>
  <c r="AF335" i="13"/>
  <c r="AZ334" i="13"/>
  <c r="AF334" i="13"/>
  <c r="AZ333" i="13"/>
  <c r="AF333" i="13"/>
  <c r="AZ332" i="13"/>
  <c r="AF332" i="13"/>
  <c r="AZ331" i="13"/>
  <c r="AF331" i="13"/>
  <c r="AZ330" i="13"/>
  <c r="AF330" i="13"/>
  <c r="AZ329" i="13"/>
  <c r="AF329" i="13"/>
  <c r="AZ328" i="13"/>
  <c r="AF328" i="13"/>
  <c r="AZ327" i="13"/>
  <c r="AF327" i="13"/>
  <c r="AZ326" i="13"/>
  <c r="AF326" i="13"/>
  <c r="AZ325" i="13"/>
  <c r="AF325" i="13"/>
  <c r="AZ324" i="13"/>
  <c r="AF324" i="13"/>
  <c r="BB323" i="13"/>
  <c r="BA323" i="13"/>
  <c r="AY323" i="13"/>
  <c r="AX323" i="13"/>
  <c r="AW323" i="13"/>
  <c r="AV323" i="13"/>
  <c r="AU323" i="13"/>
  <c r="AT323" i="13"/>
  <c r="AS323" i="13"/>
  <c r="AR323" i="13"/>
  <c r="AQ323" i="13"/>
  <c r="AP323" i="13"/>
  <c r="AO323" i="13"/>
  <c r="AN323" i="13"/>
  <c r="AM323" i="13"/>
  <c r="AL323" i="13"/>
  <c r="AK323" i="13"/>
  <c r="AJ323" i="13"/>
  <c r="AI323" i="13"/>
  <c r="AH323" i="13"/>
  <c r="AG323" i="13"/>
  <c r="AE323" i="13"/>
  <c r="AD322" i="13"/>
  <c r="AZ321" i="13"/>
  <c r="AX321" i="13"/>
  <c r="AS321" i="13"/>
  <c r="AF321" i="13"/>
  <c r="AU2" i="13"/>
  <c r="AV1" i="13"/>
  <c r="AV2" i="13" s="1"/>
  <c r="AA308" i="13"/>
  <c r="E308" i="13" s="1"/>
  <c r="AA309" i="13"/>
  <c r="E309" i="13" s="1"/>
  <c r="F310" i="13"/>
  <c r="G310" i="13"/>
  <c r="H310" i="13"/>
  <c r="I310" i="13"/>
  <c r="J310" i="13"/>
  <c r="K310" i="13"/>
  <c r="L310" i="13"/>
  <c r="M310" i="13"/>
  <c r="N310" i="13"/>
  <c r="O310" i="13"/>
  <c r="P310" i="13"/>
  <c r="Q310" i="13"/>
  <c r="R310" i="13"/>
  <c r="S310" i="13"/>
  <c r="T310" i="13"/>
  <c r="U310" i="13"/>
  <c r="V310" i="13"/>
  <c r="W310" i="13"/>
  <c r="X310" i="13"/>
  <c r="Y310" i="13"/>
  <c r="Z310" i="13"/>
  <c r="AB310" i="13"/>
  <c r="AC310" i="13"/>
  <c r="AA311" i="13"/>
  <c r="E311" i="13" s="1"/>
  <c r="AA312" i="13"/>
  <c r="E312" i="13" s="1"/>
  <c r="AA313" i="13"/>
  <c r="E313" i="13" s="1"/>
  <c r="AA314" i="13"/>
  <c r="E314" i="13" s="1"/>
  <c r="AA315" i="13"/>
  <c r="E315" i="13" s="1"/>
  <c r="AA316" i="13"/>
  <c r="E316" i="13" s="1"/>
  <c r="AA317" i="13"/>
  <c r="E317" i="13" s="1"/>
  <c r="AA318" i="13"/>
  <c r="E318" i="13" s="1"/>
  <c r="AA319" i="13"/>
  <c r="E319" i="13" s="1"/>
  <c r="AA320" i="13"/>
  <c r="E320" i="13" s="1"/>
  <c r="G321" i="13"/>
  <c r="T321" i="13"/>
  <c r="Y321" i="13"/>
  <c r="AA321" i="13"/>
  <c r="E322" i="13"/>
  <c r="F323" i="13"/>
  <c r="H323" i="13"/>
  <c r="I323" i="13"/>
  <c r="J323" i="13"/>
  <c r="K323" i="13"/>
  <c r="L323" i="13"/>
  <c r="M323" i="13"/>
  <c r="N323" i="13"/>
  <c r="O323" i="13"/>
  <c r="P323" i="13"/>
  <c r="Q323" i="13"/>
  <c r="R323" i="13"/>
  <c r="S323" i="13"/>
  <c r="T323" i="13"/>
  <c r="U323" i="13"/>
  <c r="V323" i="13"/>
  <c r="W323" i="13"/>
  <c r="X323" i="13"/>
  <c r="Y323" i="13"/>
  <c r="Z323" i="13"/>
  <c r="AB323" i="13"/>
  <c r="AC323" i="13"/>
  <c r="G324" i="13"/>
  <c r="AA324" i="13"/>
  <c r="G325" i="13"/>
  <c r="AA325" i="13"/>
  <c r="G326" i="13"/>
  <c r="AA326" i="13"/>
  <c r="G327" i="13"/>
  <c r="AA327" i="13"/>
  <c r="G328" i="13"/>
  <c r="AA328" i="13"/>
  <c r="G329" i="13"/>
  <c r="AA329" i="13"/>
  <c r="G330" i="13"/>
  <c r="AA330" i="13"/>
  <c r="G331" i="13"/>
  <c r="AA331" i="13"/>
  <c r="G332" i="13"/>
  <c r="AA332" i="13"/>
  <c r="G333" i="13"/>
  <c r="AA333" i="13"/>
  <c r="G334" i="13"/>
  <c r="AA334" i="13"/>
  <c r="G335" i="13"/>
  <c r="AA335" i="13"/>
  <c r="G336" i="13"/>
  <c r="AA336" i="13"/>
  <c r="G337" i="13"/>
  <c r="AA337" i="13"/>
  <c r="G338" i="13"/>
  <c r="AA338" i="13"/>
  <c r="G339" i="13"/>
  <c r="AA339" i="13"/>
  <c r="G340" i="13"/>
  <c r="AA340" i="13"/>
  <c r="G341" i="13"/>
  <c r="AA341" i="13"/>
  <c r="G342" i="13"/>
  <c r="AA342" i="13"/>
  <c r="E343" i="13"/>
  <c r="E344" i="13"/>
  <c r="G345" i="13"/>
  <c r="AA345" i="13"/>
  <c r="G346" i="13"/>
  <c r="AA346" i="13"/>
  <c r="E347" i="13"/>
  <c r="G348" i="13"/>
  <c r="AA348" i="13"/>
  <c r="G349" i="13"/>
  <c r="AA349" i="13"/>
  <c r="G350" i="13"/>
  <c r="AA350" i="13"/>
  <c r="G351" i="13"/>
  <c r="AA351" i="13"/>
  <c r="G352" i="13"/>
  <c r="AA352" i="13"/>
  <c r="G353" i="13"/>
  <c r="AA353" i="13"/>
  <c r="E354" i="13"/>
  <c r="E355" i="13"/>
  <c r="G356" i="13"/>
  <c r="AA356" i="13"/>
  <c r="G357" i="13"/>
  <c r="AA357" i="13"/>
  <c r="G358" i="13"/>
  <c r="AA358" i="13"/>
  <c r="G359" i="13"/>
  <c r="AA359" i="13"/>
  <c r="G360" i="13"/>
  <c r="AA360" i="13"/>
  <c r="G361" i="13"/>
  <c r="AA361" i="13"/>
  <c r="G362" i="13"/>
  <c r="AA362" i="13"/>
  <c r="E363" i="13"/>
  <c r="E364" i="13"/>
  <c r="E365" i="13"/>
  <c r="G366" i="13"/>
  <c r="T366" i="13"/>
  <c r="Y366" i="13"/>
  <c r="AA366" i="13"/>
  <c r="E162" i="13"/>
  <c r="E164" i="13"/>
  <c r="E165" i="13"/>
  <c r="E166" i="13"/>
  <c r="E289" i="13"/>
  <c r="E290" i="13"/>
  <c r="E296" i="13"/>
  <c r="F11" i="7" l="1"/>
  <c r="E11" i="7"/>
  <c r="E9" i="7" s="1"/>
  <c r="AD341" i="13"/>
  <c r="AD346" i="13"/>
  <c r="AD327" i="13"/>
  <c r="AD328" i="13"/>
  <c r="AD329" i="13"/>
  <c r="AD332" i="13"/>
  <c r="AD335" i="13"/>
  <c r="AD337" i="13"/>
  <c r="AD339" i="13"/>
  <c r="AD340" i="13"/>
  <c r="AD349" i="13"/>
  <c r="AD350" i="13"/>
  <c r="AD351" i="13"/>
  <c r="AD356" i="13"/>
  <c r="AD357" i="13"/>
  <c r="AD359" i="13"/>
  <c r="AD360" i="13"/>
  <c r="E366" i="13"/>
  <c r="E352" i="13"/>
  <c r="E350" i="13"/>
  <c r="E348" i="13"/>
  <c r="E341" i="13"/>
  <c r="E339" i="13"/>
  <c r="E337" i="13"/>
  <c r="E335" i="13"/>
  <c r="E333" i="13"/>
  <c r="E331" i="13"/>
  <c r="E329" i="13"/>
  <c r="E327" i="13"/>
  <c r="AD325" i="13"/>
  <c r="AD333" i="13"/>
  <c r="AD361" i="13"/>
  <c r="E362" i="13"/>
  <c r="E360" i="13"/>
  <c r="E358" i="13"/>
  <c r="E356" i="13"/>
  <c r="E345" i="13"/>
  <c r="AD324" i="13"/>
  <c r="AD331" i="13"/>
  <c r="E325" i="13"/>
  <c r="AD336" i="13"/>
  <c r="AZ323" i="13"/>
  <c r="AD366" i="13"/>
  <c r="AD321" i="13"/>
  <c r="AD345" i="13"/>
  <c r="AD353" i="13"/>
  <c r="E361" i="13"/>
  <c r="E359" i="13"/>
  <c r="E357" i="13"/>
  <c r="E353" i="13"/>
  <c r="E351" i="13"/>
  <c r="E349" i="13"/>
  <c r="E346" i="13"/>
  <c r="E342" i="13"/>
  <c r="E340" i="13"/>
  <c r="E338" i="13"/>
  <c r="E336" i="13"/>
  <c r="E334" i="13"/>
  <c r="E332" i="13"/>
  <c r="E330" i="13"/>
  <c r="E328" i="13"/>
  <c r="E326" i="13"/>
  <c r="AA323" i="13"/>
  <c r="E321" i="13"/>
  <c r="AF323" i="13"/>
  <c r="AD326" i="13"/>
  <c r="AD330" i="13"/>
  <c r="AD334" i="13"/>
  <c r="AD338" i="13"/>
  <c r="AD342" i="13"/>
  <c r="AD348" i="13"/>
  <c r="AD352" i="13"/>
  <c r="AD358" i="13"/>
  <c r="AD362" i="13"/>
  <c r="G323" i="13"/>
  <c r="E324" i="13"/>
  <c r="AA310" i="13"/>
  <c r="E310" i="13" s="1"/>
  <c r="E323" i="13" l="1"/>
  <c r="AD323" i="13"/>
  <c r="F9" i="7"/>
  <c r="Y16" i="13"/>
  <c r="Y15" i="13" s="1"/>
  <c r="Y99" i="13"/>
  <c r="Y100" i="13"/>
  <c r="Y101" i="13"/>
  <c r="Y102" i="13"/>
  <c r="Y104" i="13"/>
  <c r="Y105" i="13"/>
  <c r="Y107" i="13"/>
  <c r="Y108" i="13"/>
  <c r="Y110" i="13"/>
  <c r="Y111" i="13"/>
  <c r="Y112" i="13"/>
  <c r="Y114" i="13"/>
  <c r="Y115" i="13"/>
  <c r="Y118" i="13"/>
  <c r="Y119" i="13"/>
  <c r="Y120" i="13"/>
  <c r="Y121" i="13"/>
  <c r="Y122" i="13"/>
  <c r="Y124" i="13"/>
  <c r="Y125" i="13"/>
  <c r="Y126" i="13"/>
  <c r="Y127" i="13"/>
  <c r="Y128" i="13"/>
  <c r="Y130" i="13"/>
  <c r="Y131" i="13"/>
  <c r="Y132" i="13"/>
  <c r="Y134" i="13"/>
  <c r="Y135" i="13"/>
  <c r="Y136" i="13"/>
  <c r="Y138" i="13"/>
  <c r="Y139" i="13"/>
  <c r="Y141" i="13"/>
  <c r="Y142" i="13"/>
  <c r="Y143" i="13"/>
  <c r="Y145" i="13"/>
  <c r="Y146" i="13"/>
  <c r="Y147" i="13"/>
  <c r="Y148" i="13"/>
  <c r="Y149" i="13"/>
  <c r="Y150" i="13"/>
  <c r="Y152" i="13"/>
  <c r="Y153" i="13"/>
  <c r="Y155" i="13"/>
  <c r="Y156" i="13"/>
  <c r="Y157" i="13"/>
  <c r="Y158" i="13"/>
  <c r="Y159" i="13"/>
  <c r="Y160" i="13"/>
  <c r="Y161" i="13"/>
  <c r="Y163" i="13"/>
  <c r="Y167" i="13"/>
  <c r="Y168" i="13"/>
  <c r="Y169" i="13"/>
  <c r="Y170" i="13"/>
  <c r="Y171" i="13"/>
  <c r="Y172" i="13"/>
  <c r="Y173" i="13"/>
  <c r="Y174" i="13"/>
  <c r="Y175" i="13"/>
  <c r="Y176" i="13"/>
  <c r="Y177" i="13"/>
  <c r="Y178" i="13"/>
  <c r="Y179" i="13"/>
  <c r="Y180" i="13"/>
  <c r="Y182" i="13"/>
  <c r="Y183" i="13"/>
  <c r="Y184" i="13"/>
  <c r="Y185" i="13"/>
  <c r="Y186" i="13"/>
  <c r="Y187" i="13"/>
  <c r="Y188" i="13"/>
  <c r="Y189" i="13"/>
  <c r="Y190" i="13"/>
  <c r="Y191" i="13"/>
  <c r="Y192" i="13"/>
  <c r="Y193" i="13"/>
  <c r="Y194" i="13"/>
  <c r="Y195" i="13"/>
  <c r="Y196" i="13"/>
  <c r="Y197" i="13"/>
  <c r="Y199" i="13"/>
  <c r="Y200" i="13"/>
  <c r="Y202" i="13"/>
  <c r="Y201" i="13" s="1"/>
  <c r="Y204" i="13"/>
  <c r="Y203" i="13" s="1"/>
  <c r="Y206" i="13"/>
  <c r="Y205" i="13" s="1"/>
  <c r="Y207" i="13"/>
  <c r="Y208" i="13"/>
  <c r="Y209" i="13"/>
  <c r="Y210" i="13"/>
  <c r="Y211" i="13"/>
  <c r="Y212" i="13"/>
  <c r="Y213" i="13"/>
  <c r="Y214" i="13"/>
  <c r="Y215" i="13"/>
  <c r="Y216" i="13"/>
  <c r="Y217" i="13"/>
  <c r="Y218" i="13"/>
  <c r="Y219" i="13"/>
  <c r="Y220" i="13"/>
  <c r="Y221" i="13"/>
  <c r="Y223" i="13"/>
  <c r="Y224" i="13"/>
  <c r="Y226" i="13"/>
  <c r="Y227" i="13"/>
  <c r="Y228" i="13"/>
  <c r="Y229" i="13"/>
  <c r="Y230" i="13"/>
  <c r="Y231" i="13"/>
  <c r="Y232" i="13"/>
  <c r="Y233" i="13"/>
  <c r="Y234" i="13"/>
  <c r="Y235" i="13"/>
  <c r="Y236" i="13"/>
  <c r="Y237" i="13"/>
  <c r="Y238" i="13"/>
  <c r="Y239" i="13"/>
  <c r="Y240" i="13"/>
  <c r="Y241" i="13"/>
  <c r="Y242" i="13"/>
  <c r="Y243" i="13"/>
  <c r="Y244" i="13"/>
  <c r="Y245" i="13"/>
  <c r="Y246" i="13"/>
  <c r="Y247" i="13"/>
  <c r="Y248" i="13"/>
  <c r="Y249" i="13"/>
  <c r="Y250" i="13"/>
  <c r="Y251" i="13"/>
  <c r="Y252" i="13"/>
  <c r="Y253" i="13"/>
  <c r="Y254" i="13"/>
  <c r="Y255" i="13"/>
  <c r="Y256" i="13"/>
  <c r="Y257" i="13"/>
  <c r="Y258" i="13"/>
  <c r="Y259" i="13"/>
  <c r="Y260" i="13"/>
  <c r="Y261" i="13"/>
  <c r="Y262" i="13"/>
  <c r="Y263" i="13"/>
  <c r="Y264" i="13"/>
  <c r="Y265" i="13"/>
  <c r="Y266" i="13"/>
  <c r="Y267" i="13"/>
  <c r="Y268" i="13"/>
  <c r="Y269" i="13"/>
  <c r="Y270" i="13"/>
  <c r="Y271" i="13"/>
  <c r="Y272" i="13"/>
  <c r="Y273" i="13"/>
  <c r="Y275" i="13"/>
  <c r="Y276" i="13"/>
  <c r="Y277" i="13"/>
  <c r="Y278" i="13"/>
  <c r="Y279" i="13"/>
  <c r="Y280" i="13"/>
  <c r="Y281" i="13"/>
  <c r="Y282" i="13"/>
  <c r="Y283" i="13"/>
  <c r="Y284" i="13"/>
  <c r="Y285" i="13"/>
  <c r="Y286" i="13"/>
  <c r="Y287" i="13"/>
  <c r="Y288" i="13"/>
  <c r="Y292" i="13"/>
  <c r="Y293" i="13"/>
  <c r="Y294" i="13"/>
  <c r="Y295" i="13"/>
  <c r="Y298" i="13"/>
  <c r="Y299" i="13"/>
  <c r="Y302" i="13"/>
  <c r="AC302" i="13"/>
  <c r="AC301" i="13" s="1"/>
  <c r="AA307" i="13"/>
  <c r="E307" i="13" s="1"/>
  <c r="AA306" i="13"/>
  <c r="E306" i="13" s="1"/>
  <c r="AA305" i="13"/>
  <c r="E305" i="13" s="1"/>
  <c r="AA304" i="13"/>
  <c r="E304" i="13" s="1"/>
  <c r="AB303" i="13"/>
  <c r="AA303" i="13" s="1"/>
  <c r="F303" i="13"/>
  <c r="F302" i="13" s="1"/>
  <c r="F301" i="13" s="1"/>
  <c r="Z302" i="13"/>
  <c r="Z301" i="13" s="1"/>
  <c r="X302" i="13"/>
  <c r="X301" i="13" s="1"/>
  <c r="W302" i="13"/>
  <c r="W301" i="13" s="1"/>
  <c r="V302" i="13"/>
  <c r="V301" i="13" s="1"/>
  <c r="U302" i="13"/>
  <c r="U301" i="13" s="1"/>
  <c r="T302" i="13"/>
  <c r="T301" i="13" s="1"/>
  <c r="S302" i="13"/>
  <c r="S301" i="13" s="1"/>
  <c r="R302" i="13"/>
  <c r="R301" i="13" s="1"/>
  <c r="Q302" i="13"/>
  <c r="Q301" i="13" s="1"/>
  <c r="P302" i="13"/>
  <c r="P301" i="13" s="1"/>
  <c r="O302" i="13"/>
  <c r="O301" i="13" s="1"/>
  <c r="N302" i="13"/>
  <c r="N301" i="13" s="1"/>
  <c r="M302" i="13"/>
  <c r="M301" i="13" s="1"/>
  <c r="L302" i="13"/>
  <c r="L301" i="13" s="1"/>
  <c r="K302" i="13"/>
  <c r="K301" i="13" s="1"/>
  <c r="J302" i="13"/>
  <c r="J301" i="13" s="1"/>
  <c r="I302" i="13"/>
  <c r="I301" i="13" s="1"/>
  <c r="H302" i="13"/>
  <c r="H301" i="13" s="1"/>
  <c r="G302" i="13"/>
  <c r="AA300" i="13"/>
  <c r="X300" i="13"/>
  <c r="W300" i="13"/>
  <c r="V300" i="13"/>
  <c r="U300" i="13"/>
  <c r="Q300" i="13"/>
  <c r="T300" i="13" s="1"/>
  <c r="P300" i="13"/>
  <c r="O300" i="13"/>
  <c r="N300" i="13"/>
  <c r="M300" i="13"/>
  <c r="L300" i="13"/>
  <c r="K300" i="13"/>
  <c r="J300" i="13"/>
  <c r="I300" i="13"/>
  <c r="H300" i="13"/>
  <c r="F300" i="13"/>
  <c r="AA299" i="13"/>
  <c r="X299" i="13"/>
  <c r="W299" i="13"/>
  <c r="V299" i="13"/>
  <c r="U299" i="13"/>
  <c r="Q299" i="13"/>
  <c r="T299" i="13" s="1"/>
  <c r="P299" i="13"/>
  <c r="O299" i="13"/>
  <c r="N299" i="13"/>
  <c r="M299" i="13"/>
  <c r="L299" i="13"/>
  <c r="K299" i="13"/>
  <c r="J299" i="13"/>
  <c r="I299" i="13"/>
  <c r="H299" i="13"/>
  <c r="F299" i="13"/>
  <c r="AA298" i="13"/>
  <c r="X298" i="13"/>
  <c r="W298" i="13"/>
  <c r="V298" i="13"/>
  <c r="U298" i="13"/>
  <c r="Q298" i="13"/>
  <c r="T298" i="13" s="1"/>
  <c r="P298" i="13"/>
  <c r="O298" i="13"/>
  <c r="N298" i="13"/>
  <c r="M298" i="13"/>
  <c r="L298" i="13"/>
  <c r="K298" i="13"/>
  <c r="J298" i="13"/>
  <c r="I298" i="13"/>
  <c r="H298" i="13"/>
  <c r="F298" i="13"/>
  <c r="AA297" i="13"/>
  <c r="X297" i="13"/>
  <c r="W297" i="13"/>
  <c r="V297" i="13"/>
  <c r="U297" i="13"/>
  <c r="Q297" i="13"/>
  <c r="T297" i="13" s="1"/>
  <c r="P297" i="13"/>
  <c r="O297" i="13"/>
  <c r="N297" i="13"/>
  <c r="M297" i="13"/>
  <c r="L297" i="13"/>
  <c r="K297" i="13"/>
  <c r="J297" i="13"/>
  <c r="I297" i="13"/>
  <c r="H297" i="13"/>
  <c r="F297" i="13"/>
  <c r="X295" i="13"/>
  <c r="W295" i="13"/>
  <c r="V295" i="13"/>
  <c r="Q295" i="13"/>
  <c r="T295" i="13" s="1"/>
  <c r="P295" i="13"/>
  <c r="O295" i="13"/>
  <c r="N295" i="13"/>
  <c r="M295" i="13"/>
  <c r="L295" i="13"/>
  <c r="K295" i="13"/>
  <c r="J295" i="13"/>
  <c r="I295" i="13"/>
  <c r="H295" i="13"/>
  <c r="F295" i="13"/>
  <c r="X294" i="13"/>
  <c r="W294" i="13"/>
  <c r="V294" i="13"/>
  <c r="U294" i="13"/>
  <c r="Q294" i="13"/>
  <c r="T294" i="13" s="1"/>
  <c r="P294" i="13"/>
  <c r="O294" i="13"/>
  <c r="N294" i="13"/>
  <c r="M294" i="13"/>
  <c r="L294" i="13"/>
  <c r="K294" i="13"/>
  <c r="J294" i="13"/>
  <c r="I294" i="13"/>
  <c r="H294" i="13"/>
  <c r="F294" i="13"/>
  <c r="X293" i="13"/>
  <c r="W293" i="13"/>
  <c r="V293" i="13"/>
  <c r="U293" i="13"/>
  <c r="Q293" i="13"/>
  <c r="T293" i="13" s="1"/>
  <c r="P293" i="13"/>
  <c r="O293" i="13"/>
  <c r="N293" i="13"/>
  <c r="M293" i="13"/>
  <c r="L293" i="13"/>
  <c r="K293" i="13"/>
  <c r="J293" i="13"/>
  <c r="I293" i="13"/>
  <c r="H293" i="13"/>
  <c r="F293" i="13"/>
  <c r="X292" i="13"/>
  <c r="W292" i="13"/>
  <c r="V292" i="13"/>
  <c r="U292" i="13"/>
  <c r="Q292" i="13"/>
  <c r="T292" i="13" s="1"/>
  <c r="P292" i="13"/>
  <c r="O292" i="13"/>
  <c r="N292" i="13"/>
  <c r="M292" i="13"/>
  <c r="L292" i="13"/>
  <c r="K292" i="13"/>
  <c r="J292" i="13"/>
  <c r="I292" i="13"/>
  <c r="F292" i="13"/>
  <c r="D295" i="13"/>
  <c r="U295" i="13" s="1"/>
  <c r="AA291" i="13"/>
  <c r="S291" i="13"/>
  <c r="R291" i="13"/>
  <c r="F291" i="13"/>
  <c r="AA288" i="13"/>
  <c r="X288" i="13"/>
  <c r="W288" i="13"/>
  <c r="V288" i="13"/>
  <c r="U288" i="13"/>
  <c r="Q288" i="13"/>
  <c r="T288" i="13" s="1"/>
  <c r="P288" i="13"/>
  <c r="O288" i="13"/>
  <c r="N288" i="13"/>
  <c r="M288" i="13"/>
  <c r="L288" i="13"/>
  <c r="K288" i="13"/>
  <c r="J288" i="13"/>
  <c r="I288" i="13"/>
  <c r="H288" i="13"/>
  <c r="F288" i="13"/>
  <c r="AA287" i="13"/>
  <c r="X287" i="13"/>
  <c r="W287" i="13"/>
  <c r="V287" i="13"/>
  <c r="U287" i="13"/>
  <c r="Q287" i="13"/>
  <c r="T287" i="13" s="1"/>
  <c r="P287" i="13"/>
  <c r="O287" i="13"/>
  <c r="N287" i="13"/>
  <c r="M287" i="13"/>
  <c r="L287" i="13"/>
  <c r="K287" i="13"/>
  <c r="J287" i="13"/>
  <c r="I287" i="13"/>
  <c r="H287" i="13"/>
  <c r="F287" i="13"/>
  <c r="X286" i="13"/>
  <c r="W286" i="13"/>
  <c r="V286" i="13"/>
  <c r="U286" i="13"/>
  <c r="Q286" i="13"/>
  <c r="T286" i="13" s="1"/>
  <c r="P286" i="13"/>
  <c r="O286" i="13"/>
  <c r="N286" i="13"/>
  <c r="M286" i="13"/>
  <c r="L286" i="13"/>
  <c r="K286" i="13"/>
  <c r="J286" i="13"/>
  <c r="I286" i="13"/>
  <c r="H286" i="13"/>
  <c r="F286" i="13"/>
  <c r="X285" i="13"/>
  <c r="W285" i="13"/>
  <c r="V285" i="13"/>
  <c r="U285" i="13"/>
  <c r="Q285" i="13"/>
  <c r="T285" i="13" s="1"/>
  <c r="P285" i="13"/>
  <c r="O285" i="13"/>
  <c r="N285" i="13"/>
  <c r="M285" i="13"/>
  <c r="L285" i="13"/>
  <c r="K285" i="13"/>
  <c r="J285" i="13"/>
  <c r="I285" i="13"/>
  <c r="H285" i="13"/>
  <c r="F285" i="13"/>
  <c r="X284" i="13"/>
  <c r="W284" i="13"/>
  <c r="V284" i="13"/>
  <c r="U284" i="13"/>
  <c r="Q284" i="13"/>
  <c r="T284" i="13" s="1"/>
  <c r="P284" i="13"/>
  <c r="O284" i="13"/>
  <c r="N284" i="13"/>
  <c r="M284" i="13"/>
  <c r="L284" i="13"/>
  <c r="K284" i="13"/>
  <c r="J284" i="13"/>
  <c r="I284" i="13"/>
  <c r="H284" i="13"/>
  <c r="F284" i="13"/>
  <c r="X283" i="13"/>
  <c r="W283" i="13"/>
  <c r="V283" i="13"/>
  <c r="U283" i="13"/>
  <c r="Q283" i="13"/>
  <c r="T283" i="13" s="1"/>
  <c r="P283" i="13"/>
  <c r="O283" i="13"/>
  <c r="N283" i="13"/>
  <c r="M283" i="13"/>
  <c r="L283" i="13"/>
  <c r="K283" i="13"/>
  <c r="J283" i="13"/>
  <c r="I283" i="13"/>
  <c r="H283" i="13"/>
  <c r="F283" i="13"/>
  <c r="AA282" i="13"/>
  <c r="X282" i="13"/>
  <c r="W282" i="13"/>
  <c r="V282" i="13"/>
  <c r="U282" i="13"/>
  <c r="Q282" i="13"/>
  <c r="T282" i="13" s="1"/>
  <c r="P282" i="13"/>
  <c r="O282" i="13"/>
  <c r="N282" i="13"/>
  <c r="M282" i="13"/>
  <c r="L282" i="13"/>
  <c r="K282" i="13"/>
  <c r="J282" i="13"/>
  <c r="I282" i="13"/>
  <c r="H282" i="13"/>
  <c r="F282" i="13"/>
  <c r="AA281" i="13"/>
  <c r="X281" i="13"/>
  <c r="W281" i="13"/>
  <c r="V281" i="13"/>
  <c r="U281" i="13"/>
  <c r="Q281" i="13"/>
  <c r="T281" i="13" s="1"/>
  <c r="P281" i="13"/>
  <c r="O281" i="13"/>
  <c r="N281" i="13"/>
  <c r="M281" i="13"/>
  <c r="L281" i="13"/>
  <c r="K281" i="13"/>
  <c r="J281" i="13"/>
  <c r="I281" i="13"/>
  <c r="H281" i="13"/>
  <c r="F281" i="13"/>
  <c r="AA280" i="13"/>
  <c r="X280" i="13"/>
  <c r="W280" i="13"/>
  <c r="V280" i="13"/>
  <c r="U280" i="13"/>
  <c r="Q280" i="13"/>
  <c r="T280" i="13" s="1"/>
  <c r="P280" i="13"/>
  <c r="O280" i="13"/>
  <c r="N280" i="13"/>
  <c r="M280" i="13"/>
  <c r="L280" i="13"/>
  <c r="K280" i="13"/>
  <c r="J280" i="13"/>
  <c r="I280" i="13"/>
  <c r="H280" i="13"/>
  <c r="F280" i="13"/>
  <c r="AA279" i="13"/>
  <c r="X279" i="13"/>
  <c r="W279" i="13"/>
  <c r="V279" i="13"/>
  <c r="U279" i="13"/>
  <c r="Q279" i="13"/>
  <c r="T279" i="13" s="1"/>
  <c r="P279" i="13"/>
  <c r="O279" i="13"/>
  <c r="N279" i="13"/>
  <c r="M279" i="13"/>
  <c r="L279" i="13"/>
  <c r="K279" i="13"/>
  <c r="J279" i="13"/>
  <c r="I279" i="13"/>
  <c r="H279" i="13"/>
  <c r="F279" i="13"/>
  <c r="AA278" i="13"/>
  <c r="X278" i="13"/>
  <c r="W278" i="13"/>
  <c r="V278" i="13"/>
  <c r="U278" i="13"/>
  <c r="Q278" i="13"/>
  <c r="T278" i="13" s="1"/>
  <c r="P278" i="13"/>
  <c r="O278" i="13"/>
  <c r="N278" i="13"/>
  <c r="M278" i="13"/>
  <c r="L278" i="13"/>
  <c r="K278" i="13"/>
  <c r="J278" i="13"/>
  <c r="I278" i="13"/>
  <c r="H278" i="13"/>
  <c r="F278" i="13"/>
  <c r="AA277" i="13"/>
  <c r="X277" i="13"/>
  <c r="W277" i="13"/>
  <c r="V277" i="13"/>
  <c r="U277" i="13"/>
  <c r="Q277" i="13"/>
  <c r="T277" i="13" s="1"/>
  <c r="P277" i="13"/>
  <c r="O277" i="13"/>
  <c r="N277" i="13"/>
  <c r="M277" i="13"/>
  <c r="L277" i="13"/>
  <c r="K277" i="13"/>
  <c r="J277" i="13"/>
  <c r="I277" i="13"/>
  <c r="H277" i="13"/>
  <c r="F277" i="13"/>
  <c r="X276" i="13"/>
  <c r="W276" i="13"/>
  <c r="V276" i="13"/>
  <c r="U276" i="13"/>
  <c r="Q276" i="13"/>
  <c r="T276" i="13" s="1"/>
  <c r="P276" i="13"/>
  <c r="O276" i="13"/>
  <c r="N276" i="13"/>
  <c r="M276" i="13"/>
  <c r="L276" i="13"/>
  <c r="K276" i="13"/>
  <c r="J276" i="13"/>
  <c r="I276" i="13"/>
  <c r="H276" i="13"/>
  <c r="F276" i="13"/>
  <c r="AA275" i="13"/>
  <c r="X275" i="13"/>
  <c r="W275" i="13"/>
  <c r="V275" i="13"/>
  <c r="Q275" i="13"/>
  <c r="T275" i="13" s="1"/>
  <c r="P275" i="13"/>
  <c r="O275" i="13"/>
  <c r="N275" i="13"/>
  <c r="M275" i="13"/>
  <c r="L275" i="13"/>
  <c r="K275" i="13"/>
  <c r="J275" i="13"/>
  <c r="I275" i="13"/>
  <c r="H275" i="13"/>
  <c r="F275" i="13"/>
  <c r="AA274" i="13"/>
  <c r="S274" i="13"/>
  <c r="R274" i="13"/>
  <c r="X273" i="13"/>
  <c r="W273" i="13"/>
  <c r="V273" i="13"/>
  <c r="U273" i="13"/>
  <c r="Q273" i="13"/>
  <c r="T273" i="13" s="1"/>
  <c r="P273" i="13"/>
  <c r="O273" i="13"/>
  <c r="N273" i="13"/>
  <c r="M273" i="13"/>
  <c r="L273" i="13"/>
  <c r="K273" i="13"/>
  <c r="J273" i="13"/>
  <c r="I273" i="13"/>
  <c r="H273" i="13"/>
  <c r="F273" i="13"/>
  <c r="AA272" i="13"/>
  <c r="X272" i="13"/>
  <c r="W272" i="13"/>
  <c r="V272" i="13"/>
  <c r="U272" i="13"/>
  <c r="Q272" i="13"/>
  <c r="T272" i="13" s="1"/>
  <c r="P272" i="13"/>
  <c r="O272" i="13"/>
  <c r="N272" i="13"/>
  <c r="M272" i="13"/>
  <c r="L272" i="13"/>
  <c r="K272" i="13"/>
  <c r="J272" i="13"/>
  <c r="I272" i="13"/>
  <c r="H272" i="13"/>
  <c r="F272" i="13"/>
  <c r="AA271" i="13"/>
  <c r="X271" i="13"/>
  <c r="W271" i="13"/>
  <c r="V271" i="13"/>
  <c r="U271" i="13"/>
  <c r="Q271" i="13"/>
  <c r="T271" i="13" s="1"/>
  <c r="P271" i="13"/>
  <c r="O271" i="13"/>
  <c r="N271" i="13"/>
  <c r="M271" i="13"/>
  <c r="L271" i="13"/>
  <c r="K271" i="13"/>
  <c r="J271" i="13"/>
  <c r="I271" i="13"/>
  <c r="H271" i="13"/>
  <c r="F271" i="13"/>
  <c r="AA270" i="13"/>
  <c r="X270" i="13"/>
  <c r="X269" i="13" s="1"/>
  <c r="W270" i="13"/>
  <c r="V270" i="13"/>
  <c r="V269" i="13" s="1"/>
  <c r="U270" i="13"/>
  <c r="Q270" i="13"/>
  <c r="T270" i="13" s="1"/>
  <c r="P270" i="13"/>
  <c r="P269" i="13" s="1"/>
  <c r="O270" i="13"/>
  <c r="O269" i="13" s="1"/>
  <c r="N270" i="13"/>
  <c r="N269" i="13" s="1"/>
  <c r="M270" i="13"/>
  <c r="M269" i="13" s="1"/>
  <c r="L270" i="13"/>
  <c r="L269" i="13" s="1"/>
  <c r="K270" i="13"/>
  <c r="K269" i="13" s="1"/>
  <c r="J270" i="13"/>
  <c r="J269" i="13" s="1"/>
  <c r="I270" i="13"/>
  <c r="I269" i="13" s="1"/>
  <c r="H270" i="13"/>
  <c r="F270" i="13"/>
  <c r="AA269" i="13"/>
  <c r="D269" i="13"/>
  <c r="AA268" i="13"/>
  <c r="X268" i="13"/>
  <c r="W268" i="13"/>
  <c r="V268" i="13"/>
  <c r="U268" i="13"/>
  <c r="Q268" i="13"/>
  <c r="T268" i="13" s="1"/>
  <c r="P268" i="13"/>
  <c r="O268" i="13"/>
  <c r="N268" i="13"/>
  <c r="M268" i="13"/>
  <c r="L268" i="13"/>
  <c r="K268" i="13"/>
  <c r="J268" i="13"/>
  <c r="I268" i="13"/>
  <c r="H268" i="13"/>
  <c r="F268" i="13"/>
  <c r="X267" i="13"/>
  <c r="W267" i="13"/>
  <c r="U267" i="13"/>
  <c r="Q267" i="13"/>
  <c r="T267" i="13" s="1"/>
  <c r="P267" i="13"/>
  <c r="O267" i="13"/>
  <c r="N267" i="13"/>
  <c r="M267" i="13"/>
  <c r="L267" i="13"/>
  <c r="K267" i="13"/>
  <c r="J267" i="13"/>
  <c r="I267" i="13"/>
  <c r="H267" i="13"/>
  <c r="F267" i="13"/>
  <c r="V267" i="13"/>
  <c r="X266" i="13"/>
  <c r="W266" i="13"/>
  <c r="V266" i="13"/>
  <c r="U266" i="13"/>
  <c r="Q266" i="13"/>
  <c r="T266" i="13" s="1"/>
  <c r="P266" i="13"/>
  <c r="O266" i="13"/>
  <c r="N266" i="13"/>
  <c r="M266" i="13"/>
  <c r="L266" i="13"/>
  <c r="K266" i="13"/>
  <c r="J266" i="13"/>
  <c r="I266" i="13"/>
  <c r="H266" i="13"/>
  <c r="F266" i="13"/>
  <c r="X265" i="13"/>
  <c r="W265" i="13"/>
  <c r="V265" i="13"/>
  <c r="U265" i="13"/>
  <c r="Q265" i="13"/>
  <c r="T265" i="13" s="1"/>
  <c r="P265" i="13"/>
  <c r="O265" i="13"/>
  <c r="N265" i="13"/>
  <c r="M265" i="13"/>
  <c r="L265" i="13"/>
  <c r="K265" i="13"/>
  <c r="J265" i="13"/>
  <c r="I265" i="13"/>
  <c r="H265" i="13"/>
  <c r="F265" i="13"/>
  <c r="X264" i="13"/>
  <c r="W264" i="13"/>
  <c r="V264" i="13"/>
  <c r="U264" i="13"/>
  <c r="Q264" i="13"/>
  <c r="T264" i="13" s="1"/>
  <c r="P264" i="13"/>
  <c r="O264" i="13"/>
  <c r="N264" i="13"/>
  <c r="M264" i="13"/>
  <c r="L264" i="13"/>
  <c r="K264" i="13"/>
  <c r="J264" i="13"/>
  <c r="I264" i="13"/>
  <c r="H264" i="13"/>
  <c r="F264" i="13"/>
  <c r="X263" i="13"/>
  <c r="W263" i="13"/>
  <c r="V263" i="13"/>
  <c r="U263" i="13"/>
  <c r="Q263" i="13"/>
  <c r="T263" i="13" s="1"/>
  <c r="P263" i="13"/>
  <c r="O263" i="13"/>
  <c r="N263" i="13"/>
  <c r="M263" i="13"/>
  <c r="L263" i="13"/>
  <c r="K263" i="13"/>
  <c r="J263" i="13"/>
  <c r="I263" i="13"/>
  <c r="H263" i="13"/>
  <c r="F263" i="13"/>
  <c r="X262" i="13"/>
  <c r="W262" i="13"/>
  <c r="V262" i="13"/>
  <c r="U262" i="13"/>
  <c r="Q262" i="13"/>
  <c r="T262" i="13" s="1"/>
  <c r="P262" i="13"/>
  <c r="O262" i="13"/>
  <c r="N262" i="13"/>
  <c r="M262" i="13"/>
  <c r="L262" i="13"/>
  <c r="K262" i="13"/>
  <c r="J262" i="13"/>
  <c r="I262" i="13"/>
  <c r="H262" i="13"/>
  <c r="F262" i="13"/>
  <c r="X261" i="13"/>
  <c r="W261" i="13"/>
  <c r="V261" i="13"/>
  <c r="U261" i="13"/>
  <c r="Q261" i="13"/>
  <c r="T261" i="13" s="1"/>
  <c r="P261" i="13"/>
  <c r="O261" i="13"/>
  <c r="N261" i="13"/>
  <c r="M261" i="13"/>
  <c r="L261" i="13"/>
  <c r="K261" i="13"/>
  <c r="J261" i="13"/>
  <c r="I261" i="13"/>
  <c r="H261" i="13"/>
  <c r="F261" i="13"/>
  <c r="X260" i="13"/>
  <c r="W260" i="13"/>
  <c r="V260" i="13"/>
  <c r="U260" i="13"/>
  <c r="Q260" i="13"/>
  <c r="T260" i="13" s="1"/>
  <c r="P260" i="13"/>
  <c r="O260" i="13"/>
  <c r="N260" i="13"/>
  <c r="M260" i="13"/>
  <c r="L260" i="13"/>
  <c r="K260" i="13"/>
  <c r="J260" i="13"/>
  <c r="I260" i="13"/>
  <c r="H260" i="13"/>
  <c r="F260" i="13"/>
  <c r="X259" i="13"/>
  <c r="W259" i="13"/>
  <c r="V259" i="13"/>
  <c r="U259" i="13"/>
  <c r="Q259" i="13"/>
  <c r="T259" i="13" s="1"/>
  <c r="P259" i="13"/>
  <c r="O259" i="13"/>
  <c r="N259" i="13"/>
  <c r="M259" i="13"/>
  <c r="L259" i="13"/>
  <c r="K259" i="13"/>
  <c r="J259" i="13"/>
  <c r="I259" i="13"/>
  <c r="H259" i="13"/>
  <c r="F259" i="13"/>
  <c r="X258" i="13"/>
  <c r="W258" i="13"/>
  <c r="V258" i="13"/>
  <c r="U258" i="13"/>
  <c r="Q258" i="13"/>
  <c r="T258" i="13" s="1"/>
  <c r="P258" i="13"/>
  <c r="O258" i="13"/>
  <c r="N258" i="13"/>
  <c r="M258" i="13"/>
  <c r="L258" i="13"/>
  <c r="K258" i="13"/>
  <c r="J258" i="13"/>
  <c r="I258" i="13"/>
  <c r="H258" i="13"/>
  <c r="F258" i="13"/>
  <c r="X257" i="13"/>
  <c r="W257" i="13"/>
  <c r="V257" i="13"/>
  <c r="U257" i="13"/>
  <c r="Q257" i="13"/>
  <c r="T257" i="13" s="1"/>
  <c r="P257" i="13"/>
  <c r="O257" i="13"/>
  <c r="N257" i="13"/>
  <c r="M257" i="13"/>
  <c r="L257" i="13"/>
  <c r="K257" i="13"/>
  <c r="J257" i="13"/>
  <c r="I257" i="13"/>
  <c r="H257" i="13"/>
  <c r="F257" i="13"/>
  <c r="X256" i="13"/>
  <c r="W256" i="13"/>
  <c r="V256" i="13"/>
  <c r="U256" i="13"/>
  <c r="Q256" i="13"/>
  <c r="T256" i="13" s="1"/>
  <c r="P256" i="13"/>
  <c r="O256" i="13"/>
  <c r="N256" i="13"/>
  <c r="M256" i="13"/>
  <c r="L256" i="13"/>
  <c r="K256" i="13"/>
  <c r="J256" i="13"/>
  <c r="I256" i="13"/>
  <c r="H256" i="13"/>
  <c r="F256" i="13"/>
  <c r="X255" i="13"/>
  <c r="W255" i="13"/>
  <c r="V255" i="13"/>
  <c r="U255" i="13"/>
  <c r="Q255" i="13"/>
  <c r="T255" i="13" s="1"/>
  <c r="P255" i="13"/>
  <c r="O255" i="13"/>
  <c r="N255" i="13"/>
  <c r="M255" i="13"/>
  <c r="L255" i="13"/>
  <c r="K255" i="13"/>
  <c r="J255" i="13"/>
  <c r="I255" i="13"/>
  <c r="H255" i="13"/>
  <c r="F255" i="13"/>
  <c r="X254" i="13"/>
  <c r="W254" i="13"/>
  <c r="V254" i="13"/>
  <c r="U254" i="13"/>
  <c r="Q254" i="13"/>
  <c r="T254" i="13" s="1"/>
  <c r="P254" i="13"/>
  <c r="O254" i="13"/>
  <c r="N254" i="13"/>
  <c r="M254" i="13"/>
  <c r="L254" i="13"/>
  <c r="K254" i="13"/>
  <c r="J254" i="13"/>
  <c r="I254" i="13"/>
  <c r="H254" i="13"/>
  <c r="F254" i="13"/>
  <c r="X253" i="13"/>
  <c r="W253" i="13"/>
  <c r="V253" i="13"/>
  <c r="U253" i="13"/>
  <c r="Q253" i="13"/>
  <c r="T253" i="13" s="1"/>
  <c r="P253" i="13"/>
  <c r="O253" i="13"/>
  <c r="N253" i="13"/>
  <c r="M253" i="13"/>
  <c r="L253" i="13"/>
  <c r="K253" i="13"/>
  <c r="J253" i="13"/>
  <c r="I253" i="13"/>
  <c r="H253" i="13"/>
  <c r="F253" i="13"/>
  <c r="X252" i="13"/>
  <c r="W252" i="13"/>
  <c r="V252" i="13"/>
  <c r="U252" i="13"/>
  <c r="Q252" i="13"/>
  <c r="T252" i="13" s="1"/>
  <c r="P252" i="13"/>
  <c r="O252" i="13"/>
  <c r="N252" i="13"/>
  <c r="M252" i="13"/>
  <c r="L252" i="13"/>
  <c r="K252" i="13"/>
  <c r="J252" i="13"/>
  <c r="I252" i="13"/>
  <c r="H252" i="13"/>
  <c r="F252" i="13"/>
  <c r="X251" i="13"/>
  <c r="W251" i="13"/>
  <c r="V251" i="13"/>
  <c r="U251" i="13"/>
  <c r="Q251" i="13"/>
  <c r="T251" i="13" s="1"/>
  <c r="P251" i="13"/>
  <c r="O251" i="13"/>
  <c r="N251" i="13"/>
  <c r="M251" i="13"/>
  <c r="L251" i="13"/>
  <c r="K251" i="13"/>
  <c r="J251" i="13"/>
  <c r="I251" i="13"/>
  <c r="H251" i="13"/>
  <c r="F251" i="13"/>
  <c r="AA250" i="13"/>
  <c r="X250" i="13"/>
  <c r="W250" i="13"/>
  <c r="U250" i="13"/>
  <c r="Q250" i="13"/>
  <c r="T250" i="13" s="1"/>
  <c r="P250" i="13"/>
  <c r="O250" i="13"/>
  <c r="N250" i="13"/>
  <c r="M250" i="13"/>
  <c r="L250" i="13"/>
  <c r="K250" i="13"/>
  <c r="J250" i="13"/>
  <c r="I250" i="13"/>
  <c r="H250" i="13"/>
  <c r="F250" i="13"/>
  <c r="V250" i="13"/>
  <c r="X249" i="13"/>
  <c r="W249" i="13"/>
  <c r="V249" i="13"/>
  <c r="U249" i="13"/>
  <c r="Q249" i="13"/>
  <c r="T249" i="13" s="1"/>
  <c r="P249" i="13"/>
  <c r="O249" i="13"/>
  <c r="N249" i="13"/>
  <c r="M249" i="13"/>
  <c r="L249" i="13"/>
  <c r="K249" i="13"/>
  <c r="J249" i="13"/>
  <c r="I249" i="13"/>
  <c r="H249" i="13"/>
  <c r="F249" i="13"/>
  <c r="AA248" i="13"/>
  <c r="X248" i="13"/>
  <c r="W248" i="13"/>
  <c r="V248" i="13"/>
  <c r="U248" i="13"/>
  <c r="Q248" i="13"/>
  <c r="T248" i="13" s="1"/>
  <c r="P248" i="13"/>
  <c r="O248" i="13"/>
  <c r="N248" i="13"/>
  <c r="M248" i="13"/>
  <c r="L248" i="13"/>
  <c r="K248" i="13"/>
  <c r="J248" i="13"/>
  <c r="I248" i="13"/>
  <c r="H248" i="13"/>
  <c r="F248" i="13"/>
  <c r="AA247" i="13"/>
  <c r="X247" i="13"/>
  <c r="W247" i="13"/>
  <c r="V247" i="13"/>
  <c r="U247" i="13"/>
  <c r="Q247" i="13"/>
  <c r="T247" i="13" s="1"/>
  <c r="P247" i="13"/>
  <c r="O247" i="13"/>
  <c r="O246" i="13" s="1"/>
  <c r="N247" i="13"/>
  <c r="N246" i="13" s="1"/>
  <c r="M247" i="13"/>
  <c r="M246" i="13" s="1"/>
  <c r="L247" i="13"/>
  <c r="L246" i="13" s="1"/>
  <c r="K247" i="13"/>
  <c r="K246" i="13" s="1"/>
  <c r="J247" i="13"/>
  <c r="J246" i="13" s="1"/>
  <c r="I247" i="13"/>
  <c r="I246" i="13" s="1"/>
  <c r="H247" i="13"/>
  <c r="H246" i="13" s="1"/>
  <c r="F247" i="13"/>
  <c r="AA246" i="13"/>
  <c r="X246" i="13"/>
  <c r="P246" i="13"/>
  <c r="AA245" i="13"/>
  <c r="X245" i="13"/>
  <c r="W245" i="13"/>
  <c r="V245" i="13"/>
  <c r="U245" i="13"/>
  <c r="Q245" i="13"/>
  <c r="T245" i="13" s="1"/>
  <c r="P245" i="13"/>
  <c r="O245" i="13"/>
  <c r="N245" i="13"/>
  <c r="M245" i="13"/>
  <c r="L245" i="13"/>
  <c r="K245" i="13"/>
  <c r="J245" i="13"/>
  <c r="I245" i="13"/>
  <c r="H245" i="13"/>
  <c r="F245" i="13"/>
  <c r="AA244" i="13"/>
  <c r="X244" i="13"/>
  <c r="W244" i="13"/>
  <c r="V244" i="13"/>
  <c r="U244" i="13"/>
  <c r="Q244" i="13"/>
  <c r="T244" i="13" s="1"/>
  <c r="P244" i="13"/>
  <c r="O244" i="13"/>
  <c r="N244" i="13"/>
  <c r="M244" i="13"/>
  <c r="L244" i="13"/>
  <c r="K244" i="13"/>
  <c r="J244" i="13"/>
  <c r="I244" i="13"/>
  <c r="H244" i="13"/>
  <c r="F244" i="13"/>
  <c r="AA243" i="13"/>
  <c r="X243" i="13"/>
  <c r="W243" i="13"/>
  <c r="V243" i="13"/>
  <c r="U243" i="13"/>
  <c r="Q243" i="13"/>
  <c r="T243" i="13" s="1"/>
  <c r="P243" i="13"/>
  <c r="O243" i="13"/>
  <c r="N243" i="13"/>
  <c r="M243" i="13"/>
  <c r="L243" i="13"/>
  <c r="K243" i="13"/>
  <c r="J243" i="13"/>
  <c r="I243" i="13"/>
  <c r="H243" i="13"/>
  <c r="F243" i="13"/>
  <c r="AA242" i="13"/>
  <c r="X242" i="13"/>
  <c r="W242" i="13"/>
  <c r="V242" i="13"/>
  <c r="U242" i="13"/>
  <c r="Q242" i="13"/>
  <c r="T242" i="13" s="1"/>
  <c r="P242" i="13"/>
  <c r="O242" i="13"/>
  <c r="N242" i="13"/>
  <c r="M242" i="13"/>
  <c r="L242" i="13"/>
  <c r="K242" i="13"/>
  <c r="J242" i="13"/>
  <c r="I242" i="13"/>
  <c r="H242" i="13"/>
  <c r="F242" i="13"/>
  <c r="AA241" i="13"/>
  <c r="X241" i="13"/>
  <c r="W241" i="13"/>
  <c r="V241" i="13"/>
  <c r="U241" i="13"/>
  <c r="Q241" i="13"/>
  <c r="T241" i="13" s="1"/>
  <c r="P241" i="13"/>
  <c r="O241" i="13"/>
  <c r="N241" i="13"/>
  <c r="M241" i="13"/>
  <c r="L241" i="13"/>
  <c r="K241" i="13"/>
  <c r="J241" i="13"/>
  <c r="I241" i="13"/>
  <c r="H241" i="13"/>
  <c r="F241" i="13"/>
  <c r="AA240" i="13"/>
  <c r="X240" i="13"/>
  <c r="W240" i="13"/>
  <c r="V240" i="13"/>
  <c r="U240" i="13"/>
  <c r="Q240" i="13"/>
  <c r="T240" i="13" s="1"/>
  <c r="P240" i="13"/>
  <c r="O240" i="13"/>
  <c r="N240" i="13"/>
  <c r="M240" i="13"/>
  <c r="L240" i="13"/>
  <c r="K240" i="13"/>
  <c r="J240" i="13"/>
  <c r="I240" i="13"/>
  <c r="H240" i="13"/>
  <c r="F240" i="13"/>
  <c r="AA239" i="13"/>
  <c r="X239" i="13"/>
  <c r="W239" i="13"/>
  <c r="V239" i="13"/>
  <c r="U239" i="13"/>
  <c r="Q239" i="13"/>
  <c r="T239" i="13" s="1"/>
  <c r="P239" i="13"/>
  <c r="O239" i="13"/>
  <c r="N239" i="13"/>
  <c r="M239" i="13"/>
  <c r="L239" i="13"/>
  <c r="K239" i="13"/>
  <c r="J239" i="13"/>
  <c r="I239" i="13"/>
  <c r="H239" i="13"/>
  <c r="F239" i="13"/>
  <c r="AA238" i="13"/>
  <c r="X238" i="13"/>
  <c r="W238" i="13"/>
  <c r="V238" i="13"/>
  <c r="U238" i="13"/>
  <c r="Q238" i="13"/>
  <c r="T238" i="13" s="1"/>
  <c r="P238" i="13"/>
  <c r="O238" i="13"/>
  <c r="N238" i="13"/>
  <c r="M238" i="13"/>
  <c r="L238" i="13"/>
  <c r="K238" i="13"/>
  <c r="J238" i="13"/>
  <c r="I238" i="13"/>
  <c r="H238" i="13"/>
  <c r="F238" i="13"/>
  <c r="AA237" i="13"/>
  <c r="X237" i="13"/>
  <c r="W237" i="13"/>
  <c r="V237" i="13"/>
  <c r="U237" i="13"/>
  <c r="Q237" i="13"/>
  <c r="T237" i="13" s="1"/>
  <c r="P237" i="13"/>
  <c r="O237" i="13"/>
  <c r="N237" i="13"/>
  <c r="M237" i="13"/>
  <c r="L237" i="13"/>
  <c r="K237" i="13"/>
  <c r="J237" i="13"/>
  <c r="I237" i="13"/>
  <c r="H237" i="13"/>
  <c r="F237" i="13"/>
  <c r="AA236" i="13"/>
  <c r="X236" i="13"/>
  <c r="W236" i="13"/>
  <c r="V236" i="13"/>
  <c r="U236" i="13"/>
  <c r="Q236" i="13"/>
  <c r="T236" i="13" s="1"/>
  <c r="P236" i="13"/>
  <c r="O236" i="13"/>
  <c r="N236" i="13"/>
  <c r="M236" i="13"/>
  <c r="L236" i="13"/>
  <c r="K236" i="13"/>
  <c r="J236" i="13"/>
  <c r="I236" i="13"/>
  <c r="H236" i="13"/>
  <c r="F236" i="13"/>
  <c r="AA235" i="13"/>
  <c r="X235" i="13"/>
  <c r="W235" i="13"/>
  <c r="V235" i="13"/>
  <c r="U235" i="13"/>
  <c r="Q235" i="13"/>
  <c r="T235" i="13" s="1"/>
  <c r="P235" i="13"/>
  <c r="O235" i="13"/>
  <c r="N235" i="13"/>
  <c r="M235" i="13"/>
  <c r="L235" i="13"/>
  <c r="K235" i="13"/>
  <c r="J235" i="13"/>
  <c r="I235" i="13"/>
  <c r="H235" i="13"/>
  <c r="F235" i="13"/>
  <c r="AA234" i="13"/>
  <c r="X234" i="13"/>
  <c r="X233" i="13" s="1"/>
  <c r="W234" i="13"/>
  <c r="V234" i="13"/>
  <c r="U234" i="13"/>
  <c r="Q234" i="13"/>
  <c r="T234" i="13" s="1"/>
  <c r="P234" i="13"/>
  <c r="O234" i="13"/>
  <c r="O233" i="13" s="1"/>
  <c r="N234" i="13"/>
  <c r="M234" i="13"/>
  <c r="M233" i="13" s="1"/>
  <c r="L234" i="13"/>
  <c r="K234" i="13"/>
  <c r="J234" i="13"/>
  <c r="I234" i="13"/>
  <c r="I233" i="13" s="1"/>
  <c r="H234" i="13"/>
  <c r="F234" i="13"/>
  <c r="AA233" i="13"/>
  <c r="AA232" i="13"/>
  <c r="X232" i="13"/>
  <c r="W232" i="13"/>
  <c r="V232" i="13"/>
  <c r="U232" i="13"/>
  <c r="Q232" i="13"/>
  <c r="T232" i="13" s="1"/>
  <c r="P232" i="13"/>
  <c r="O232" i="13"/>
  <c r="N232" i="13"/>
  <c r="M232" i="13"/>
  <c r="L232" i="13"/>
  <c r="K232" i="13"/>
  <c r="J232" i="13"/>
  <c r="I232" i="13"/>
  <c r="H232" i="13"/>
  <c r="F232" i="13"/>
  <c r="AA231" i="13"/>
  <c r="X231" i="13"/>
  <c r="W231" i="13"/>
  <c r="V231" i="13"/>
  <c r="U231" i="13"/>
  <c r="Q231" i="13"/>
  <c r="T231" i="13" s="1"/>
  <c r="P231" i="13"/>
  <c r="O231" i="13"/>
  <c r="N231" i="13"/>
  <c r="M231" i="13"/>
  <c r="L231" i="13"/>
  <c r="K231" i="13"/>
  <c r="J231" i="13"/>
  <c r="I231" i="13"/>
  <c r="H231" i="13"/>
  <c r="F231" i="13"/>
  <c r="AA230" i="13"/>
  <c r="X230" i="13"/>
  <c r="W230" i="13"/>
  <c r="V230" i="13"/>
  <c r="U230" i="13"/>
  <c r="Q230" i="13"/>
  <c r="T230" i="13" s="1"/>
  <c r="P230" i="13"/>
  <c r="O230" i="13"/>
  <c r="N230" i="13"/>
  <c r="M230" i="13"/>
  <c r="L230" i="13"/>
  <c r="K230" i="13"/>
  <c r="J230" i="13"/>
  <c r="I230" i="13"/>
  <c r="H230" i="13"/>
  <c r="F230" i="13"/>
  <c r="AA229" i="13"/>
  <c r="X229" i="13"/>
  <c r="W229" i="13"/>
  <c r="V229" i="13"/>
  <c r="U229" i="13"/>
  <c r="Q229" i="13"/>
  <c r="T229" i="13" s="1"/>
  <c r="P229" i="13"/>
  <c r="O229" i="13"/>
  <c r="N229" i="13"/>
  <c r="M229" i="13"/>
  <c r="L229" i="13"/>
  <c r="K229" i="13"/>
  <c r="J229" i="13"/>
  <c r="I229" i="13"/>
  <c r="H229" i="13"/>
  <c r="F229" i="13"/>
  <c r="AA228" i="13"/>
  <c r="X228" i="13"/>
  <c r="W228" i="13"/>
  <c r="V228" i="13"/>
  <c r="U228" i="13"/>
  <c r="Q228" i="13"/>
  <c r="T228" i="13" s="1"/>
  <c r="P228" i="13"/>
  <c r="O228" i="13"/>
  <c r="N228" i="13"/>
  <c r="M228" i="13"/>
  <c r="L228" i="13"/>
  <c r="K228" i="13"/>
  <c r="J228" i="13"/>
  <c r="I228" i="13"/>
  <c r="H228" i="13"/>
  <c r="F228" i="13"/>
  <c r="AA227" i="13"/>
  <c r="X227" i="13"/>
  <c r="W227" i="13"/>
  <c r="V227" i="13"/>
  <c r="U227" i="13"/>
  <c r="Q227" i="13"/>
  <c r="T227" i="13" s="1"/>
  <c r="P227" i="13"/>
  <c r="O227" i="13"/>
  <c r="N227" i="13"/>
  <c r="M227" i="13"/>
  <c r="L227" i="13"/>
  <c r="K227" i="13"/>
  <c r="J227" i="13"/>
  <c r="I227" i="13"/>
  <c r="H227" i="13"/>
  <c r="F227" i="13"/>
  <c r="AA226" i="13"/>
  <c r="X226" i="13"/>
  <c r="W226" i="13"/>
  <c r="W225" i="13" s="1"/>
  <c r="V226" i="13"/>
  <c r="U226" i="13"/>
  <c r="Q226" i="13"/>
  <c r="T226" i="13" s="1"/>
  <c r="P226" i="13"/>
  <c r="O226" i="13"/>
  <c r="N226" i="13"/>
  <c r="M226" i="13"/>
  <c r="M225" i="13" s="1"/>
  <c r="L226" i="13"/>
  <c r="K226" i="13"/>
  <c r="J226" i="13"/>
  <c r="I226" i="13"/>
  <c r="I225" i="13" s="1"/>
  <c r="H226" i="13"/>
  <c r="F226" i="13"/>
  <c r="AA225" i="13"/>
  <c r="S225" i="13"/>
  <c r="R225" i="13"/>
  <c r="AA224" i="13"/>
  <c r="X224" i="13"/>
  <c r="W224" i="13"/>
  <c r="V224" i="13"/>
  <c r="U224" i="13"/>
  <c r="Q224" i="13"/>
  <c r="T224" i="13" s="1"/>
  <c r="P224" i="13"/>
  <c r="O224" i="13"/>
  <c r="N224" i="13"/>
  <c r="M224" i="13"/>
  <c r="L224" i="13"/>
  <c r="K224" i="13"/>
  <c r="J224" i="13"/>
  <c r="I224" i="13"/>
  <c r="H224" i="13"/>
  <c r="F224" i="13"/>
  <c r="AA223" i="13"/>
  <c r="X223" i="13"/>
  <c r="X222" i="13" s="1"/>
  <c r="W223" i="13"/>
  <c r="W222" i="13" s="1"/>
  <c r="V223" i="13"/>
  <c r="V222" i="13" s="1"/>
  <c r="U223" i="13"/>
  <c r="U222" i="13" s="1"/>
  <c r="Q223" i="13"/>
  <c r="T223" i="13" s="1"/>
  <c r="T222" i="13" s="1"/>
  <c r="P223" i="13"/>
  <c r="O223" i="13"/>
  <c r="N223" i="13"/>
  <c r="M223" i="13"/>
  <c r="M222" i="13" s="1"/>
  <c r="L223" i="13"/>
  <c r="K223" i="13"/>
  <c r="J223" i="13"/>
  <c r="I223" i="13"/>
  <c r="I222" i="13" s="1"/>
  <c r="H223" i="13"/>
  <c r="F223" i="13"/>
  <c r="AA222" i="13"/>
  <c r="S222" i="13"/>
  <c r="R222" i="13"/>
  <c r="AA221" i="13"/>
  <c r="X221" i="13"/>
  <c r="W221" i="13"/>
  <c r="V221" i="13"/>
  <c r="U221" i="13"/>
  <c r="Q221" i="13"/>
  <c r="T221" i="13" s="1"/>
  <c r="P221" i="13"/>
  <c r="O221" i="13"/>
  <c r="N221" i="13"/>
  <c r="M221" i="13"/>
  <c r="L221" i="13"/>
  <c r="K221" i="13"/>
  <c r="J221" i="13"/>
  <c r="I221" i="13"/>
  <c r="H221" i="13"/>
  <c r="F221" i="13"/>
  <c r="AA220" i="13"/>
  <c r="X220" i="13"/>
  <c r="W220" i="13"/>
  <c r="V220" i="13"/>
  <c r="U220" i="13"/>
  <c r="Q220" i="13"/>
  <c r="T220" i="13" s="1"/>
  <c r="P220" i="13"/>
  <c r="O220" i="13"/>
  <c r="N220" i="13"/>
  <c r="M220" i="13"/>
  <c r="L220" i="13"/>
  <c r="K220" i="13"/>
  <c r="J220" i="13"/>
  <c r="I220" i="13"/>
  <c r="H220" i="13"/>
  <c r="F220" i="13"/>
  <c r="AA219" i="13"/>
  <c r="X219" i="13"/>
  <c r="W219" i="13"/>
  <c r="V219" i="13"/>
  <c r="U219" i="13"/>
  <c r="Q219" i="13"/>
  <c r="T219" i="13" s="1"/>
  <c r="P219" i="13"/>
  <c r="O219" i="13"/>
  <c r="N219" i="13"/>
  <c r="M219" i="13"/>
  <c r="L219" i="13"/>
  <c r="K219" i="13"/>
  <c r="J219" i="13"/>
  <c r="I219" i="13"/>
  <c r="H219" i="13"/>
  <c r="F219" i="13"/>
  <c r="AA218" i="13"/>
  <c r="X218" i="13"/>
  <c r="W218" i="13"/>
  <c r="V218" i="13"/>
  <c r="U218" i="13"/>
  <c r="Q218" i="13"/>
  <c r="T218" i="13" s="1"/>
  <c r="P218" i="13"/>
  <c r="O218" i="13"/>
  <c r="N218" i="13"/>
  <c r="M218" i="13"/>
  <c r="L218" i="13"/>
  <c r="K218" i="13"/>
  <c r="J218" i="13"/>
  <c r="I218" i="13"/>
  <c r="H218" i="13"/>
  <c r="F218" i="13"/>
  <c r="AA217" i="13"/>
  <c r="X217" i="13"/>
  <c r="W217" i="13"/>
  <c r="V217" i="13"/>
  <c r="U217" i="13"/>
  <c r="Q217" i="13"/>
  <c r="T217" i="13" s="1"/>
  <c r="P217" i="13"/>
  <c r="O217" i="13"/>
  <c r="N217" i="13"/>
  <c r="M217" i="13"/>
  <c r="L217" i="13"/>
  <c r="K217" i="13"/>
  <c r="J217" i="13"/>
  <c r="I217" i="13"/>
  <c r="H217" i="13"/>
  <c r="F217" i="13"/>
  <c r="AA216" i="13"/>
  <c r="X216" i="13"/>
  <c r="W216" i="13"/>
  <c r="V216" i="13"/>
  <c r="U216" i="13"/>
  <c r="Q216" i="13"/>
  <c r="T216" i="13" s="1"/>
  <c r="P216" i="13"/>
  <c r="O216" i="13"/>
  <c r="N216" i="13"/>
  <c r="M216" i="13"/>
  <c r="L216" i="13"/>
  <c r="K216" i="13"/>
  <c r="J216" i="13"/>
  <c r="I216" i="13"/>
  <c r="H216" i="13"/>
  <c r="F216" i="13"/>
  <c r="AA215" i="13"/>
  <c r="X215" i="13"/>
  <c r="W215" i="13"/>
  <c r="V215" i="13"/>
  <c r="U215" i="13"/>
  <c r="Q215" i="13"/>
  <c r="T215" i="13" s="1"/>
  <c r="P215" i="13"/>
  <c r="O215" i="13"/>
  <c r="N215" i="13"/>
  <c r="M215" i="13"/>
  <c r="L215" i="13"/>
  <c r="K215" i="13"/>
  <c r="J215" i="13"/>
  <c r="I215" i="13"/>
  <c r="H215" i="13"/>
  <c r="F215" i="13"/>
  <c r="AA214" i="13"/>
  <c r="X214" i="13"/>
  <c r="X213" i="13" s="1"/>
  <c r="W214" i="13"/>
  <c r="V214" i="13"/>
  <c r="V213" i="13" s="1"/>
  <c r="U214" i="13"/>
  <c r="U213" i="13" s="1"/>
  <c r="Q214" i="13"/>
  <c r="T214" i="13" s="1"/>
  <c r="P214" i="13"/>
  <c r="O214" i="13"/>
  <c r="O213" i="13" s="1"/>
  <c r="N214" i="13"/>
  <c r="M214" i="13"/>
  <c r="M213" i="13" s="1"/>
  <c r="L214" i="13"/>
  <c r="K214" i="13"/>
  <c r="K213" i="13" s="1"/>
  <c r="J214" i="13"/>
  <c r="J213" i="13" s="1"/>
  <c r="I214" i="13"/>
  <c r="I213" i="13" s="1"/>
  <c r="H214" i="13"/>
  <c r="F214" i="13"/>
  <c r="AA213" i="13"/>
  <c r="AA212" i="13"/>
  <c r="X212" i="13"/>
  <c r="W212" i="13"/>
  <c r="V212" i="13"/>
  <c r="U212" i="13"/>
  <c r="Q212" i="13"/>
  <c r="T212" i="13" s="1"/>
  <c r="P212" i="13"/>
  <c r="O212" i="13"/>
  <c r="N212" i="13"/>
  <c r="M212" i="13"/>
  <c r="L212" i="13"/>
  <c r="K212" i="13"/>
  <c r="J212" i="13"/>
  <c r="I212" i="13"/>
  <c r="H212" i="13"/>
  <c r="F212" i="13"/>
  <c r="AA211" i="13"/>
  <c r="X211" i="13"/>
  <c r="W211" i="13"/>
  <c r="V211" i="13"/>
  <c r="U211" i="13"/>
  <c r="Q211" i="13"/>
  <c r="T211" i="13" s="1"/>
  <c r="P211" i="13"/>
  <c r="O211" i="13"/>
  <c r="N211" i="13"/>
  <c r="M211" i="13"/>
  <c r="L211" i="13"/>
  <c r="K211" i="13"/>
  <c r="J211" i="13"/>
  <c r="I211" i="13"/>
  <c r="H211" i="13"/>
  <c r="F211" i="13"/>
  <c r="AA210" i="13"/>
  <c r="X210" i="13"/>
  <c r="W210" i="13"/>
  <c r="V210" i="13"/>
  <c r="U210" i="13"/>
  <c r="Q210" i="13"/>
  <c r="T210" i="13" s="1"/>
  <c r="P210" i="13"/>
  <c r="O210" i="13"/>
  <c r="N210" i="13"/>
  <c r="M210" i="13"/>
  <c r="L210" i="13"/>
  <c r="K210" i="13"/>
  <c r="J210" i="13"/>
  <c r="I210" i="13"/>
  <c r="H210" i="13"/>
  <c r="F210" i="13"/>
  <c r="AA209" i="13"/>
  <c r="X209" i="13"/>
  <c r="W209" i="13"/>
  <c r="V209" i="13"/>
  <c r="U209" i="13"/>
  <c r="Q209" i="13"/>
  <c r="T209" i="13" s="1"/>
  <c r="P209" i="13"/>
  <c r="O209" i="13"/>
  <c r="N209" i="13"/>
  <c r="M209" i="13"/>
  <c r="L209" i="13"/>
  <c r="K209" i="13"/>
  <c r="J209" i="13"/>
  <c r="I209" i="13"/>
  <c r="H209" i="13"/>
  <c r="F209" i="13"/>
  <c r="AA208" i="13"/>
  <c r="X208" i="13"/>
  <c r="W208" i="13"/>
  <c r="V208" i="13"/>
  <c r="U208" i="13"/>
  <c r="Q208" i="13"/>
  <c r="T208" i="13" s="1"/>
  <c r="P208" i="13"/>
  <c r="O208" i="13"/>
  <c r="N208" i="13"/>
  <c r="M208" i="13"/>
  <c r="L208" i="13"/>
  <c r="K208" i="13"/>
  <c r="J208" i="13"/>
  <c r="I208" i="13"/>
  <c r="H208" i="13"/>
  <c r="F208" i="13"/>
  <c r="AA207" i="13"/>
  <c r="X207" i="13"/>
  <c r="W207" i="13"/>
  <c r="V207" i="13"/>
  <c r="U207" i="13"/>
  <c r="Q207" i="13"/>
  <c r="T207" i="13" s="1"/>
  <c r="P207" i="13"/>
  <c r="O207" i="13"/>
  <c r="N207" i="13"/>
  <c r="M207" i="13"/>
  <c r="L207" i="13"/>
  <c r="K207" i="13"/>
  <c r="J207" i="13"/>
  <c r="I207" i="13"/>
  <c r="H207" i="13"/>
  <c r="F207" i="13"/>
  <c r="AA206" i="13"/>
  <c r="X206" i="13"/>
  <c r="X205" i="13" s="1"/>
  <c r="W206" i="13"/>
  <c r="W205" i="13" s="1"/>
  <c r="V206" i="13"/>
  <c r="V205" i="13" s="1"/>
  <c r="U206" i="13"/>
  <c r="U205" i="13" s="1"/>
  <c r="Q206" i="13"/>
  <c r="T206" i="13" s="1"/>
  <c r="T205" i="13" s="1"/>
  <c r="P206" i="13"/>
  <c r="P205" i="13" s="1"/>
  <c r="O206" i="13"/>
  <c r="O205" i="13" s="1"/>
  <c r="N206" i="13"/>
  <c r="N205" i="13" s="1"/>
  <c r="M206" i="13"/>
  <c r="M205" i="13" s="1"/>
  <c r="L206" i="13"/>
  <c r="L205" i="13" s="1"/>
  <c r="K206" i="13"/>
  <c r="K205" i="13" s="1"/>
  <c r="J206" i="13"/>
  <c r="J205" i="13" s="1"/>
  <c r="I206" i="13"/>
  <c r="I205" i="13" s="1"/>
  <c r="H206" i="13"/>
  <c r="H205" i="13" s="1"/>
  <c r="F206" i="13"/>
  <c r="AA205" i="13"/>
  <c r="S205" i="13"/>
  <c r="R205" i="13"/>
  <c r="AA204" i="13"/>
  <c r="X204" i="13"/>
  <c r="X203" i="13" s="1"/>
  <c r="W204" i="13"/>
  <c r="W203" i="13" s="1"/>
  <c r="V204" i="13"/>
  <c r="V203" i="13" s="1"/>
  <c r="U204" i="13"/>
  <c r="U203" i="13" s="1"/>
  <c r="Q204" i="13"/>
  <c r="T204" i="13" s="1"/>
  <c r="T203" i="13" s="1"/>
  <c r="P204" i="13"/>
  <c r="P203" i="13" s="1"/>
  <c r="O204" i="13"/>
  <c r="O203" i="13" s="1"/>
  <c r="N204" i="13"/>
  <c r="N203" i="13" s="1"/>
  <c r="M204" i="13"/>
  <c r="M203" i="13" s="1"/>
  <c r="L204" i="13"/>
  <c r="L203" i="13" s="1"/>
  <c r="K204" i="13"/>
  <c r="K203" i="13" s="1"/>
  <c r="J204" i="13"/>
  <c r="J203" i="13" s="1"/>
  <c r="I204" i="13"/>
  <c r="I203" i="13" s="1"/>
  <c r="H204" i="13"/>
  <c r="F204" i="13"/>
  <c r="AA203" i="13"/>
  <c r="S203" i="13"/>
  <c r="R203" i="13"/>
  <c r="AA202" i="13"/>
  <c r="X202" i="13"/>
  <c r="W202" i="13"/>
  <c r="W201" i="13" s="1"/>
  <c r="V202" i="13"/>
  <c r="V201" i="13" s="1"/>
  <c r="U202" i="13"/>
  <c r="U201" i="13" s="1"/>
  <c r="Q202" i="13"/>
  <c r="T202" i="13" s="1"/>
  <c r="T201" i="13" s="1"/>
  <c r="P202" i="13"/>
  <c r="P201" i="13" s="1"/>
  <c r="O202" i="13"/>
  <c r="O201" i="13" s="1"/>
  <c r="N202" i="13"/>
  <c r="N201" i="13" s="1"/>
  <c r="M202" i="13"/>
  <c r="M201" i="13" s="1"/>
  <c r="L202" i="13"/>
  <c r="L201" i="13" s="1"/>
  <c r="K202" i="13"/>
  <c r="K201" i="13" s="1"/>
  <c r="J202" i="13"/>
  <c r="J201" i="13" s="1"/>
  <c r="I202" i="13"/>
  <c r="I201" i="13" s="1"/>
  <c r="H202" i="13"/>
  <c r="H201" i="13" s="1"/>
  <c r="F202" i="13"/>
  <c r="AA201" i="13"/>
  <c r="X201" i="13"/>
  <c r="S201" i="13"/>
  <c r="R201" i="13"/>
  <c r="AA200" i="13"/>
  <c r="X200" i="13"/>
  <c r="W200" i="13"/>
  <c r="V200" i="13"/>
  <c r="U200" i="13"/>
  <c r="Q200" i="13"/>
  <c r="T200" i="13" s="1"/>
  <c r="P200" i="13"/>
  <c r="O200" i="13"/>
  <c r="N200" i="13"/>
  <c r="M200" i="13"/>
  <c r="L200" i="13"/>
  <c r="K200" i="13"/>
  <c r="J200" i="13"/>
  <c r="I200" i="13"/>
  <c r="H200" i="13"/>
  <c r="F200" i="13"/>
  <c r="AA199" i="13"/>
  <c r="X199" i="13"/>
  <c r="W199" i="13"/>
  <c r="V199" i="13"/>
  <c r="U199" i="13"/>
  <c r="Q199" i="13"/>
  <c r="T199" i="13" s="1"/>
  <c r="P199" i="13"/>
  <c r="P198" i="13" s="1"/>
  <c r="O199" i="13"/>
  <c r="O198" i="13" s="1"/>
  <c r="N199" i="13"/>
  <c r="N198" i="13" s="1"/>
  <c r="M199" i="13"/>
  <c r="M198" i="13" s="1"/>
  <c r="L199" i="13"/>
  <c r="L198" i="13" s="1"/>
  <c r="K199" i="13"/>
  <c r="K198" i="13" s="1"/>
  <c r="J199" i="13"/>
  <c r="J198" i="13" s="1"/>
  <c r="I199" i="13"/>
  <c r="I198" i="13" s="1"/>
  <c r="H199" i="13"/>
  <c r="H198" i="13" s="1"/>
  <c r="F199" i="13"/>
  <c r="AA198" i="13"/>
  <c r="X198" i="13"/>
  <c r="S198" i="13"/>
  <c r="R198" i="13"/>
  <c r="AA197" i="13"/>
  <c r="X197" i="13"/>
  <c r="W197" i="13"/>
  <c r="V197" i="13"/>
  <c r="U197" i="13"/>
  <c r="Q197" i="13"/>
  <c r="T197" i="13" s="1"/>
  <c r="P197" i="13"/>
  <c r="O197" i="13"/>
  <c r="N197" i="13"/>
  <c r="M197" i="13"/>
  <c r="L197" i="13"/>
  <c r="K197" i="13"/>
  <c r="J197" i="13"/>
  <c r="I197" i="13"/>
  <c r="H197" i="13"/>
  <c r="F197" i="13"/>
  <c r="AA196" i="13"/>
  <c r="X196" i="13"/>
  <c r="W196" i="13"/>
  <c r="V196" i="13"/>
  <c r="U196" i="13"/>
  <c r="Q196" i="13"/>
  <c r="T196" i="13" s="1"/>
  <c r="P196" i="13"/>
  <c r="O196" i="13"/>
  <c r="N196" i="13"/>
  <c r="M196" i="13"/>
  <c r="L196" i="13"/>
  <c r="K196" i="13"/>
  <c r="J196" i="13"/>
  <c r="I196" i="13"/>
  <c r="H196" i="13"/>
  <c r="F196" i="13"/>
  <c r="AA195" i="13"/>
  <c r="X195" i="13"/>
  <c r="W195" i="13"/>
  <c r="V195" i="13"/>
  <c r="U195" i="13"/>
  <c r="Q195" i="13"/>
  <c r="T195" i="13" s="1"/>
  <c r="P195" i="13"/>
  <c r="O195" i="13"/>
  <c r="N195" i="13"/>
  <c r="M195" i="13"/>
  <c r="L195" i="13"/>
  <c r="K195" i="13"/>
  <c r="J195" i="13"/>
  <c r="I195" i="13"/>
  <c r="H195" i="13"/>
  <c r="F195" i="13"/>
  <c r="AA194" i="13"/>
  <c r="X194" i="13"/>
  <c r="W194" i="13"/>
  <c r="V194" i="13"/>
  <c r="U194" i="13"/>
  <c r="Q194" i="13"/>
  <c r="T194" i="13" s="1"/>
  <c r="P194" i="13"/>
  <c r="O194" i="13"/>
  <c r="O193" i="13" s="1"/>
  <c r="N194" i="13"/>
  <c r="M194" i="13"/>
  <c r="M193" i="13" s="1"/>
  <c r="L194" i="13"/>
  <c r="L193" i="13" s="1"/>
  <c r="K194" i="13"/>
  <c r="K193" i="13" s="1"/>
  <c r="J194" i="13"/>
  <c r="I194" i="13"/>
  <c r="I193" i="13" s="1"/>
  <c r="H194" i="13"/>
  <c r="F194" i="13"/>
  <c r="AA193" i="13"/>
  <c r="X193" i="13"/>
  <c r="AA192" i="13"/>
  <c r="X192" i="13"/>
  <c r="W192" i="13"/>
  <c r="V192" i="13"/>
  <c r="U192" i="13"/>
  <c r="Q192" i="13"/>
  <c r="T192" i="13" s="1"/>
  <c r="P192" i="13"/>
  <c r="O192" i="13"/>
  <c r="N192" i="13"/>
  <c r="M192" i="13"/>
  <c r="L192" i="13"/>
  <c r="K192" i="13"/>
  <c r="J192" i="13"/>
  <c r="I192" i="13"/>
  <c r="H192" i="13"/>
  <c r="F192" i="13"/>
  <c r="AA191" i="13"/>
  <c r="X191" i="13"/>
  <c r="W191" i="13"/>
  <c r="V191" i="13"/>
  <c r="U191" i="13"/>
  <c r="Q191" i="13"/>
  <c r="T191" i="13" s="1"/>
  <c r="P191" i="13"/>
  <c r="O191" i="13"/>
  <c r="N191" i="13"/>
  <c r="M191" i="13"/>
  <c r="L191" i="13"/>
  <c r="K191" i="13"/>
  <c r="J191" i="13"/>
  <c r="I191" i="13"/>
  <c r="H191" i="13"/>
  <c r="F191" i="13"/>
  <c r="AA190" i="13"/>
  <c r="X190" i="13"/>
  <c r="X189" i="13" s="1"/>
  <c r="W190" i="13"/>
  <c r="V190" i="13"/>
  <c r="V189" i="13" s="1"/>
  <c r="U190" i="13"/>
  <c r="U189" i="13" s="1"/>
  <c r="Q190" i="13"/>
  <c r="T190" i="13" s="1"/>
  <c r="P190" i="13"/>
  <c r="O190" i="13"/>
  <c r="O189" i="13" s="1"/>
  <c r="N190" i="13"/>
  <c r="M190" i="13"/>
  <c r="M189" i="13" s="1"/>
  <c r="L190" i="13"/>
  <c r="K190" i="13"/>
  <c r="K189" i="13" s="1"/>
  <c r="J190" i="13"/>
  <c r="I190" i="13"/>
  <c r="I189" i="13" s="1"/>
  <c r="H190" i="13"/>
  <c r="F190" i="13"/>
  <c r="AA189" i="13"/>
  <c r="AA188" i="13"/>
  <c r="X188" i="13"/>
  <c r="W188" i="13"/>
  <c r="V188" i="13"/>
  <c r="U188" i="13"/>
  <c r="Q188" i="13"/>
  <c r="T188" i="13" s="1"/>
  <c r="P188" i="13"/>
  <c r="O188" i="13"/>
  <c r="N188" i="13"/>
  <c r="M188" i="13"/>
  <c r="L188" i="13"/>
  <c r="K188" i="13"/>
  <c r="J188" i="13"/>
  <c r="I188" i="13"/>
  <c r="H188" i="13"/>
  <c r="F188" i="13"/>
  <c r="AA187" i="13"/>
  <c r="X187" i="13"/>
  <c r="W187" i="13"/>
  <c r="V187" i="13"/>
  <c r="U187" i="13"/>
  <c r="Q187" i="13"/>
  <c r="T187" i="13" s="1"/>
  <c r="P187" i="13"/>
  <c r="O187" i="13"/>
  <c r="N187" i="13"/>
  <c r="M187" i="13"/>
  <c r="L187" i="13"/>
  <c r="K187" i="13"/>
  <c r="J187" i="13"/>
  <c r="I187" i="13"/>
  <c r="H187" i="13"/>
  <c r="F187" i="13"/>
  <c r="AA186" i="13"/>
  <c r="X186" i="13"/>
  <c r="X185" i="13" s="1"/>
  <c r="W186" i="13"/>
  <c r="V186" i="13"/>
  <c r="V185" i="13" s="1"/>
  <c r="U186" i="13"/>
  <c r="Q186" i="13"/>
  <c r="T186" i="13" s="1"/>
  <c r="P186" i="13"/>
  <c r="P185" i="13" s="1"/>
  <c r="O186" i="13"/>
  <c r="O185" i="13" s="1"/>
  <c r="N186" i="13"/>
  <c r="N185" i="13" s="1"/>
  <c r="M186" i="13"/>
  <c r="M185" i="13" s="1"/>
  <c r="L186" i="13"/>
  <c r="L185" i="13" s="1"/>
  <c r="K186" i="13"/>
  <c r="K185" i="13" s="1"/>
  <c r="J186" i="13"/>
  <c r="J185" i="13" s="1"/>
  <c r="I186" i="13"/>
  <c r="I185" i="13" s="1"/>
  <c r="H186" i="13"/>
  <c r="F186" i="13"/>
  <c r="AA185" i="13"/>
  <c r="AA184" i="13"/>
  <c r="X184" i="13"/>
  <c r="W184" i="13"/>
  <c r="V184" i="13"/>
  <c r="U184" i="13"/>
  <c r="Q184" i="13"/>
  <c r="T184" i="13" s="1"/>
  <c r="P184" i="13"/>
  <c r="O184" i="13"/>
  <c r="N184" i="13"/>
  <c r="M184" i="13"/>
  <c r="L184" i="13"/>
  <c r="K184" i="13"/>
  <c r="J184" i="13"/>
  <c r="I184" i="13"/>
  <c r="H184" i="13"/>
  <c r="F184" i="13"/>
  <c r="AA183" i="13"/>
  <c r="X183" i="13"/>
  <c r="W183" i="13"/>
  <c r="V183" i="13"/>
  <c r="U183" i="13"/>
  <c r="Q183" i="13"/>
  <c r="T183" i="13" s="1"/>
  <c r="P183" i="13"/>
  <c r="O183" i="13"/>
  <c r="N183" i="13"/>
  <c r="M183" i="13"/>
  <c r="L183" i="13"/>
  <c r="K183" i="13"/>
  <c r="J183" i="13"/>
  <c r="I183" i="13"/>
  <c r="H183" i="13"/>
  <c r="F183" i="13"/>
  <c r="AA182" i="13"/>
  <c r="X182" i="13"/>
  <c r="W182" i="13"/>
  <c r="W181" i="13" s="1"/>
  <c r="V182" i="13"/>
  <c r="U182" i="13"/>
  <c r="Q182" i="13"/>
  <c r="T182" i="13" s="1"/>
  <c r="P182" i="13"/>
  <c r="O182" i="13"/>
  <c r="O181" i="13" s="1"/>
  <c r="N182" i="13"/>
  <c r="M182" i="13"/>
  <c r="M181" i="13" s="1"/>
  <c r="L182" i="13"/>
  <c r="K182" i="13"/>
  <c r="K181" i="13" s="1"/>
  <c r="J182" i="13"/>
  <c r="I182" i="13"/>
  <c r="I181" i="13" s="1"/>
  <c r="H182" i="13"/>
  <c r="F182" i="13"/>
  <c r="AA181" i="13"/>
  <c r="S181" i="13"/>
  <c r="R181" i="13"/>
  <c r="AA180" i="13"/>
  <c r="X180" i="13"/>
  <c r="W180" i="13"/>
  <c r="W179" i="13" s="1"/>
  <c r="V180" i="13"/>
  <c r="V179" i="13" s="1"/>
  <c r="U180" i="13"/>
  <c r="U179" i="13" s="1"/>
  <c r="Q180" i="13"/>
  <c r="T180" i="13" s="1"/>
  <c r="P180" i="13"/>
  <c r="P179" i="13" s="1"/>
  <c r="O180" i="13"/>
  <c r="O179" i="13" s="1"/>
  <c r="N180" i="13"/>
  <c r="N179" i="13" s="1"/>
  <c r="M180" i="13"/>
  <c r="M179" i="13" s="1"/>
  <c r="L180" i="13"/>
  <c r="L179" i="13" s="1"/>
  <c r="K180" i="13"/>
  <c r="K179" i="13" s="1"/>
  <c r="J180" i="13"/>
  <c r="J179" i="13" s="1"/>
  <c r="I180" i="13"/>
  <c r="I179" i="13" s="1"/>
  <c r="H180" i="13"/>
  <c r="H179" i="13" s="1"/>
  <c r="F180" i="13"/>
  <c r="AA179" i="13"/>
  <c r="X179" i="13"/>
  <c r="AA178" i="13"/>
  <c r="X178" i="13"/>
  <c r="W178" i="13"/>
  <c r="V178" i="13"/>
  <c r="U178" i="13"/>
  <c r="Q178" i="13"/>
  <c r="T178" i="13" s="1"/>
  <c r="P178" i="13"/>
  <c r="O178" i="13"/>
  <c r="N178" i="13"/>
  <c r="M178" i="13"/>
  <c r="L178" i="13"/>
  <c r="K178" i="13"/>
  <c r="J178" i="13"/>
  <c r="I178" i="13"/>
  <c r="H178" i="13"/>
  <c r="F178" i="13"/>
  <c r="AA177" i="13"/>
  <c r="X177" i="13"/>
  <c r="W177" i="13"/>
  <c r="V177" i="13"/>
  <c r="U177" i="13"/>
  <c r="Q177" i="13"/>
  <c r="T177" i="13" s="1"/>
  <c r="P177" i="13"/>
  <c r="O177" i="13"/>
  <c r="N177" i="13"/>
  <c r="M177" i="13"/>
  <c r="L177" i="13"/>
  <c r="K177" i="13"/>
  <c r="J177" i="13"/>
  <c r="I177" i="13"/>
  <c r="H177" i="13"/>
  <c r="F177" i="13"/>
  <c r="AA176" i="13"/>
  <c r="X176" i="13"/>
  <c r="X175" i="13" s="1"/>
  <c r="W176" i="13"/>
  <c r="V176" i="13"/>
  <c r="V175" i="13" s="1"/>
  <c r="U176" i="13"/>
  <c r="Q176" i="13"/>
  <c r="T176" i="13" s="1"/>
  <c r="P176" i="13"/>
  <c r="O176" i="13"/>
  <c r="N176" i="13"/>
  <c r="M176" i="13"/>
  <c r="L176" i="13"/>
  <c r="K176" i="13"/>
  <c r="J176" i="13"/>
  <c r="J175" i="13" s="1"/>
  <c r="I176" i="13"/>
  <c r="H176" i="13"/>
  <c r="F176" i="13"/>
  <c r="AA175" i="13"/>
  <c r="M175" i="13"/>
  <c r="AA174" i="13"/>
  <c r="X174" i="13"/>
  <c r="W174" i="13"/>
  <c r="V174" i="13"/>
  <c r="U174" i="13"/>
  <c r="Q174" i="13"/>
  <c r="T174" i="13" s="1"/>
  <c r="P174" i="13"/>
  <c r="O174" i="13"/>
  <c r="N174" i="13"/>
  <c r="M174" i="13"/>
  <c r="L174" i="13"/>
  <c r="K174" i="13"/>
  <c r="J174" i="13"/>
  <c r="I174" i="13"/>
  <c r="H174" i="13"/>
  <c r="F174" i="13"/>
  <c r="AA173" i="13"/>
  <c r="X173" i="13"/>
  <c r="W173" i="13"/>
  <c r="W172" i="13" s="1"/>
  <c r="V173" i="13"/>
  <c r="U173" i="13"/>
  <c r="Q173" i="13"/>
  <c r="T173" i="13" s="1"/>
  <c r="P173" i="13"/>
  <c r="O173" i="13"/>
  <c r="O172" i="13" s="1"/>
  <c r="N173" i="13"/>
  <c r="M173" i="13"/>
  <c r="M172" i="13" s="1"/>
  <c r="L173" i="13"/>
  <c r="K173" i="13"/>
  <c r="K172" i="13" s="1"/>
  <c r="J173" i="13"/>
  <c r="I173" i="13"/>
  <c r="I172" i="13" s="1"/>
  <c r="H173" i="13"/>
  <c r="F173" i="13"/>
  <c r="AA172" i="13"/>
  <c r="AA171" i="13"/>
  <c r="X171" i="13"/>
  <c r="W171" i="13"/>
  <c r="V171" i="13"/>
  <c r="U171" i="13"/>
  <c r="Q171" i="13"/>
  <c r="T171" i="13" s="1"/>
  <c r="P171" i="13"/>
  <c r="O171" i="13"/>
  <c r="N171" i="13"/>
  <c r="M171" i="13"/>
  <c r="L171" i="13"/>
  <c r="K171" i="13"/>
  <c r="J171" i="13"/>
  <c r="I171" i="13"/>
  <c r="H171" i="13"/>
  <c r="F171" i="13"/>
  <c r="AA170" i="13"/>
  <c r="X170" i="13"/>
  <c r="W170" i="13"/>
  <c r="V170" i="13"/>
  <c r="U170" i="13"/>
  <c r="Q170" i="13"/>
  <c r="T170" i="13" s="1"/>
  <c r="P170" i="13"/>
  <c r="O170" i="13"/>
  <c r="N170" i="13"/>
  <c r="M170" i="13"/>
  <c r="L170" i="13"/>
  <c r="K170" i="13"/>
  <c r="J170" i="13"/>
  <c r="I170" i="13"/>
  <c r="H170" i="13"/>
  <c r="F170" i="13"/>
  <c r="AA169" i="13"/>
  <c r="X169" i="13"/>
  <c r="W169" i="13"/>
  <c r="V169" i="13"/>
  <c r="U169" i="13"/>
  <c r="Q169" i="13"/>
  <c r="T169" i="13" s="1"/>
  <c r="P169" i="13"/>
  <c r="O169" i="13"/>
  <c r="N169" i="13"/>
  <c r="M169" i="13"/>
  <c r="L169" i="13"/>
  <c r="K169" i="13"/>
  <c r="J169" i="13"/>
  <c r="I169" i="13"/>
  <c r="H169" i="13"/>
  <c r="F169" i="13"/>
  <c r="AA168" i="13"/>
  <c r="X168" i="13"/>
  <c r="W168" i="13"/>
  <c r="V168" i="13"/>
  <c r="U168" i="13"/>
  <c r="Q168" i="13"/>
  <c r="T168" i="13" s="1"/>
  <c r="P168" i="13"/>
  <c r="O168" i="13"/>
  <c r="N168" i="13"/>
  <c r="M168" i="13"/>
  <c r="L168" i="13"/>
  <c r="K168" i="13"/>
  <c r="J168" i="13"/>
  <c r="I168" i="13"/>
  <c r="H168" i="13"/>
  <c r="F168" i="13"/>
  <c r="AA167" i="13"/>
  <c r="U167" i="13"/>
  <c r="Q167" i="13"/>
  <c r="T167" i="13" s="1"/>
  <c r="P167" i="13"/>
  <c r="O167" i="13"/>
  <c r="N167" i="13"/>
  <c r="M167" i="13"/>
  <c r="L167" i="13"/>
  <c r="K167" i="13"/>
  <c r="J167" i="13"/>
  <c r="I167" i="13"/>
  <c r="H167" i="13"/>
  <c r="F167" i="13"/>
  <c r="AA163" i="13"/>
  <c r="X163" i="13"/>
  <c r="W163" i="13"/>
  <c r="V163" i="13"/>
  <c r="U163" i="13"/>
  <c r="Q163" i="13"/>
  <c r="T163" i="13" s="1"/>
  <c r="P163" i="13"/>
  <c r="O163" i="13"/>
  <c r="N163" i="13"/>
  <c r="M163" i="13"/>
  <c r="L163" i="13"/>
  <c r="K163" i="13"/>
  <c r="J163" i="13"/>
  <c r="I163" i="13"/>
  <c r="H163" i="13"/>
  <c r="F163" i="13"/>
  <c r="AA161" i="13"/>
  <c r="X161" i="13"/>
  <c r="W161" i="13"/>
  <c r="V161" i="13"/>
  <c r="U161" i="13"/>
  <c r="Q161" i="13"/>
  <c r="T161" i="13" s="1"/>
  <c r="P161" i="13"/>
  <c r="O161" i="13"/>
  <c r="N161" i="13"/>
  <c r="M161" i="13"/>
  <c r="L161" i="13"/>
  <c r="K161" i="13"/>
  <c r="J161" i="13"/>
  <c r="I161" i="13"/>
  <c r="H161" i="13"/>
  <c r="F161" i="13"/>
  <c r="AA160" i="13"/>
  <c r="X160" i="13"/>
  <c r="W160" i="13"/>
  <c r="V160" i="13"/>
  <c r="U160" i="13"/>
  <c r="Q160" i="13"/>
  <c r="T160" i="13" s="1"/>
  <c r="P160" i="13"/>
  <c r="O160" i="13"/>
  <c r="N160" i="13"/>
  <c r="M160" i="13"/>
  <c r="L160" i="13"/>
  <c r="K160" i="13"/>
  <c r="J160" i="13"/>
  <c r="I160" i="13"/>
  <c r="H160" i="13"/>
  <c r="F160" i="13"/>
  <c r="AA159" i="13"/>
  <c r="X159" i="13"/>
  <c r="W159" i="13"/>
  <c r="W158" i="13" s="1"/>
  <c r="V159" i="13"/>
  <c r="U159" i="13"/>
  <c r="U158" i="13" s="1"/>
  <c r="Q159" i="13"/>
  <c r="T159" i="13" s="1"/>
  <c r="P159" i="13"/>
  <c r="O159" i="13"/>
  <c r="N159" i="13"/>
  <c r="M159" i="13"/>
  <c r="M158" i="13" s="1"/>
  <c r="L159" i="13"/>
  <c r="K159" i="13"/>
  <c r="J159" i="13"/>
  <c r="I159" i="13"/>
  <c r="I158" i="13" s="1"/>
  <c r="H159" i="13"/>
  <c r="F159" i="13"/>
  <c r="AA158" i="13"/>
  <c r="AA157" i="13"/>
  <c r="X157" i="13"/>
  <c r="W157" i="13"/>
  <c r="V157" i="13"/>
  <c r="U157" i="13"/>
  <c r="Q157" i="13"/>
  <c r="T157" i="13" s="1"/>
  <c r="P157" i="13"/>
  <c r="O157" i="13"/>
  <c r="N157" i="13"/>
  <c r="M157" i="13"/>
  <c r="L157" i="13"/>
  <c r="K157" i="13"/>
  <c r="J157" i="13"/>
  <c r="I157" i="13"/>
  <c r="H157" i="13"/>
  <c r="F157" i="13"/>
  <c r="AA156" i="13"/>
  <c r="X156" i="13"/>
  <c r="W156" i="13"/>
  <c r="V156" i="13"/>
  <c r="U156" i="13"/>
  <c r="Q156" i="13"/>
  <c r="T156" i="13" s="1"/>
  <c r="P156" i="13"/>
  <c r="O156" i="13"/>
  <c r="N156" i="13"/>
  <c r="M156" i="13"/>
  <c r="L156" i="13"/>
  <c r="K156" i="13"/>
  <c r="J156" i="13"/>
  <c r="I156" i="13"/>
  <c r="H156" i="13"/>
  <c r="F156" i="13"/>
  <c r="AA155" i="13"/>
  <c r="X155" i="13"/>
  <c r="W155" i="13"/>
  <c r="W154" i="13" s="1"/>
  <c r="V155" i="13"/>
  <c r="U155" i="13"/>
  <c r="U154" i="13" s="1"/>
  <c r="Q155" i="13"/>
  <c r="T155" i="13" s="1"/>
  <c r="T154" i="13" s="1"/>
  <c r="P155" i="13"/>
  <c r="O155" i="13"/>
  <c r="O154" i="13" s="1"/>
  <c r="N155" i="13"/>
  <c r="M155" i="13"/>
  <c r="M154" i="13" s="1"/>
  <c r="L155" i="13"/>
  <c r="K155" i="13"/>
  <c r="K154" i="13" s="1"/>
  <c r="J155" i="13"/>
  <c r="I155" i="13"/>
  <c r="I154" i="13" s="1"/>
  <c r="H155" i="13"/>
  <c r="F155" i="13"/>
  <c r="AA154" i="13"/>
  <c r="S154" i="13"/>
  <c r="R154" i="13"/>
  <c r="AA153" i="13"/>
  <c r="X153" i="13"/>
  <c r="W153" i="13"/>
  <c r="V153" i="13"/>
  <c r="U153" i="13"/>
  <c r="Q153" i="13"/>
  <c r="T153" i="13" s="1"/>
  <c r="P153" i="13"/>
  <c r="O153" i="13"/>
  <c r="N153" i="13"/>
  <c r="M153" i="13"/>
  <c r="L153" i="13"/>
  <c r="K153" i="13"/>
  <c r="J153" i="13"/>
  <c r="I153" i="13"/>
  <c r="H153" i="13"/>
  <c r="F153" i="13"/>
  <c r="AA152" i="13"/>
  <c r="X152" i="13"/>
  <c r="W152" i="13"/>
  <c r="W151" i="13" s="1"/>
  <c r="V152" i="13"/>
  <c r="U152" i="13"/>
  <c r="Q152" i="13"/>
  <c r="T152" i="13" s="1"/>
  <c r="P152" i="13"/>
  <c r="O152" i="13"/>
  <c r="O151" i="13" s="1"/>
  <c r="N152" i="13"/>
  <c r="M152" i="13"/>
  <c r="M151" i="13" s="1"/>
  <c r="L152" i="13"/>
  <c r="K152" i="13"/>
  <c r="K151" i="13" s="1"/>
  <c r="J152" i="13"/>
  <c r="I152" i="13"/>
  <c r="I151" i="13" s="1"/>
  <c r="H152" i="13"/>
  <c r="F152" i="13"/>
  <c r="AA151" i="13"/>
  <c r="S151" i="13"/>
  <c r="R151" i="13"/>
  <c r="AA150" i="13"/>
  <c r="X150" i="13"/>
  <c r="W150" i="13"/>
  <c r="V150" i="13"/>
  <c r="U150" i="13"/>
  <c r="Q150" i="13"/>
  <c r="T150" i="13" s="1"/>
  <c r="P150" i="13"/>
  <c r="O150" i="13"/>
  <c r="N150" i="13"/>
  <c r="M150" i="13"/>
  <c r="L150" i="13"/>
  <c r="K150" i="13"/>
  <c r="J150" i="13"/>
  <c r="I150" i="13"/>
  <c r="H150" i="13"/>
  <c r="F150" i="13"/>
  <c r="AA149" i="13"/>
  <c r="X149" i="13"/>
  <c r="W149" i="13"/>
  <c r="V149" i="13"/>
  <c r="U149" i="13"/>
  <c r="Q149" i="13"/>
  <c r="T149" i="13" s="1"/>
  <c r="P149" i="13"/>
  <c r="O149" i="13"/>
  <c r="N149" i="13"/>
  <c r="M149" i="13"/>
  <c r="L149" i="13"/>
  <c r="K149" i="13"/>
  <c r="J149" i="13"/>
  <c r="I149" i="13"/>
  <c r="H149" i="13"/>
  <c r="F149" i="13"/>
  <c r="AA148" i="13"/>
  <c r="X148" i="13"/>
  <c r="W148" i="13"/>
  <c r="V148" i="13"/>
  <c r="U148" i="13"/>
  <c r="U147" i="13" s="1"/>
  <c r="Q148" i="13"/>
  <c r="T148" i="13" s="1"/>
  <c r="P148" i="13"/>
  <c r="P147" i="13" s="1"/>
  <c r="O148" i="13"/>
  <c r="N148" i="13"/>
  <c r="N147" i="13" s="1"/>
  <c r="M148" i="13"/>
  <c r="L148" i="13"/>
  <c r="L147" i="13" s="1"/>
  <c r="K148" i="13"/>
  <c r="J148" i="13"/>
  <c r="J147" i="13" s="1"/>
  <c r="I148" i="13"/>
  <c r="H148" i="13"/>
  <c r="F148" i="13"/>
  <c r="AA147" i="13"/>
  <c r="AA146" i="13"/>
  <c r="X146" i="13"/>
  <c r="W146" i="13"/>
  <c r="V146" i="13"/>
  <c r="U146" i="13"/>
  <c r="Q146" i="13"/>
  <c r="T146" i="13" s="1"/>
  <c r="P146" i="13"/>
  <c r="O146" i="13"/>
  <c r="N146" i="13"/>
  <c r="M146" i="13"/>
  <c r="L146" i="13"/>
  <c r="K146" i="13"/>
  <c r="J146" i="13"/>
  <c r="I146" i="13"/>
  <c r="H146" i="13"/>
  <c r="F146" i="13"/>
  <c r="AA145" i="13"/>
  <c r="X145" i="13"/>
  <c r="X144" i="13" s="1"/>
  <c r="W145" i="13"/>
  <c r="V145" i="13"/>
  <c r="U145" i="13"/>
  <c r="Q145" i="13"/>
  <c r="T145" i="13" s="1"/>
  <c r="P145" i="13"/>
  <c r="P144" i="13" s="1"/>
  <c r="O145" i="13"/>
  <c r="O144" i="13" s="1"/>
  <c r="N145" i="13"/>
  <c r="N144" i="13" s="1"/>
  <c r="M145" i="13"/>
  <c r="M144" i="13" s="1"/>
  <c r="L145" i="13"/>
  <c r="L144" i="13" s="1"/>
  <c r="K145" i="13"/>
  <c r="K144" i="13" s="1"/>
  <c r="J145" i="13"/>
  <c r="J144" i="13" s="1"/>
  <c r="I145" i="13"/>
  <c r="I144" i="13" s="1"/>
  <c r="H145" i="13"/>
  <c r="H144" i="13" s="1"/>
  <c r="F145" i="13"/>
  <c r="AA144" i="13"/>
  <c r="S144" i="13"/>
  <c r="R144" i="13"/>
  <c r="AA143" i="13"/>
  <c r="X143" i="13"/>
  <c r="W143" i="13"/>
  <c r="V143" i="13"/>
  <c r="U143" i="13"/>
  <c r="Q143" i="13"/>
  <c r="T143" i="13" s="1"/>
  <c r="P143" i="13"/>
  <c r="O143" i="13"/>
  <c r="N143" i="13"/>
  <c r="M143" i="13"/>
  <c r="L143" i="13"/>
  <c r="K143" i="13"/>
  <c r="J143" i="13"/>
  <c r="I143" i="13"/>
  <c r="H143" i="13"/>
  <c r="F143" i="13"/>
  <c r="AA142" i="13"/>
  <c r="X142" i="13"/>
  <c r="W142" i="13"/>
  <c r="V142" i="13"/>
  <c r="U142" i="13"/>
  <c r="Q142" i="13"/>
  <c r="T142" i="13" s="1"/>
  <c r="P142" i="13"/>
  <c r="O142" i="13"/>
  <c r="N142" i="13"/>
  <c r="L142" i="13"/>
  <c r="K142" i="13"/>
  <c r="J142" i="13"/>
  <c r="I142" i="13"/>
  <c r="H142" i="13"/>
  <c r="F142" i="13"/>
  <c r="M142" i="13"/>
  <c r="AA141" i="13"/>
  <c r="X141" i="13"/>
  <c r="W141" i="13"/>
  <c r="U141" i="13"/>
  <c r="Q141" i="13"/>
  <c r="T141" i="13" s="1"/>
  <c r="P141" i="13"/>
  <c r="O141" i="13"/>
  <c r="N141" i="13"/>
  <c r="M141" i="13"/>
  <c r="L141" i="13"/>
  <c r="K141" i="13"/>
  <c r="J141" i="13"/>
  <c r="I141" i="13"/>
  <c r="H141" i="13"/>
  <c r="F141" i="13"/>
  <c r="V141" i="13"/>
  <c r="AA140" i="13"/>
  <c r="S140" i="13"/>
  <c r="R140" i="13"/>
  <c r="AA139" i="13"/>
  <c r="X139" i="13"/>
  <c r="W139" i="13"/>
  <c r="V139" i="13"/>
  <c r="U139" i="13"/>
  <c r="Q139" i="13"/>
  <c r="T139" i="13" s="1"/>
  <c r="P139" i="13"/>
  <c r="O139" i="13"/>
  <c r="N139" i="13"/>
  <c r="M139" i="13"/>
  <c r="L139" i="13"/>
  <c r="K139" i="13"/>
  <c r="J139" i="13"/>
  <c r="I139" i="13"/>
  <c r="H139" i="13"/>
  <c r="F139" i="13"/>
  <c r="AA138" i="13"/>
  <c r="X138" i="13"/>
  <c r="W138" i="13"/>
  <c r="V138" i="13"/>
  <c r="U138" i="13"/>
  <c r="Q138" i="13"/>
  <c r="T138" i="13" s="1"/>
  <c r="P138" i="13"/>
  <c r="O138" i="13"/>
  <c r="N138" i="13"/>
  <c r="M138" i="13"/>
  <c r="L138" i="13"/>
  <c r="K138" i="13"/>
  <c r="J138" i="13"/>
  <c r="I138" i="13"/>
  <c r="I137" i="13" s="1"/>
  <c r="H138" i="13"/>
  <c r="F138" i="13"/>
  <c r="AA137" i="13"/>
  <c r="S137" i="13"/>
  <c r="R137" i="13"/>
  <c r="AA136" i="13"/>
  <c r="X136" i="13"/>
  <c r="W136" i="13"/>
  <c r="V136" i="13"/>
  <c r="U136" i="13"/>
  <c r="Q136" i="13"/>
  <c r="T136" i="13" s="1"/>
  <c r="P136" i="13"/>
  <c r="O136" i="13"/>
  <c r="N136" i="13"/>
  <c r="M136" i="13"/>
  <c r="L136" i="13"/>
  <c r="K136" i="13"/>
  <c r="J136" i="13"/>
  <c r="I136" i="13"/>
  <c r="H136" i="13"/>
  <c r="F136" i="13"/>
  <c r="AA135" i="13"/>
  <c r="X135" i="13"/>
  <c r="W135" i="13"/>
  <c r="V135" i="13"/>
  <c r="U135" i="13"/>
  <c r="Q135" i="13"/>
  <c r="T135" i="13" s="1"/>
  <c r="P135" i="13"/>
  <c r="O135" i="13"/>
  <c r="N135" i="13"/>
  <c r="M135" i="13"/>
  <c r="L135" i="13"/>
  <c r="K135" i="13"/>
  <c r="J135" i="13"/>
  <c r="I135" i="13"/>
  <c r="H135" i="13"/>
  <c r="F135" i="13"/>
  <c r="AA134" i="13"/>
  <c r="X134" i="13"/>
  <c r="X133" i="13" s="1"/>
  <c r="W134" i="13"/>
  <c r="V134" i="13"/>
  <c r="U134" i="13"/>
  <c r="Q134" i="13"/>
  <c r="T134" i="13" s="1"/>
  <c r="P134" i="13"/>
  <c r="O134" i="13"/>
  <c r="O133" i="13" s="1"/>
  <c r="N134" i="13"/>
  <c r="M134" i="13"/>
  <c r="M133" i="13" s="1"/>
  <c r="L134" i="13"/>
  <c r="L133" i="13" s="1"/>
  <c r="K134" i="13"/>
  <c r="K133" i="13" s="1"/>
  <c r="J134" i="13"/>
  <c r="I134" i="13"/>
  <c r="I133" i="13" s="1"/>
  <c r="H134" i="13"/>
  <c r="F134" i="13"/>
  <c r="AA133" i="13"/>
  <c r="S133" i="13"/>
  <c r="R133" i="13"/>
  <c r="AA132" i="13"/>
  <c r="X132" i="13"/>
  <c r="W132" i="13"/>
  <c r="V132" i="13"/>
  <c r="U132" i="13"/>
  <c r="Q132" i="13"/>
  <c r="T132" i="13" s="1"/>
  <c r="P132" i="13"/>
  <c r="O132" i="13"/>
  <c r="N132" i="13"/>
  <c r="M132" i="13"/>
  <c r="L132" i="13"/>
  <c r="K132" i="13"/>
  <c r="J132" i="13"/>
  <c r="I132" i="13"/>
  <c r="H132" i="13"/>
  <c r="F132" i="13"/>
  <c r="AA131" i="13"/>
  <c r="X131" i="13"/>
  <c r="W131" i="13"/>
  <c r="V131" i="13"/>
  <c r="U131" i="13"/>
  <c r="Q131" i="13"/>
  <c r="T131" i="13" s="1"/>
  <c r="P131" i="13"/>
  <c r="O131" i="13"/>
  <c r="N131" i="13"/>
  <c r="M131" i="13"/>
  <c r="L131" i="13"/>
  <c r="K131" i="13"/>
  <c r="J131" i="13"/>
  <c r="I131" i="13"/>
  <c r="H131" i="13"/>
  <c r="F131" i="13"/>
  <c r="AA130" i="13"/>
  <c r="X130" i="13"/>
  <c r="W130" i="13"/>
  <c r="V130" i="13"/>
  <c r="U130" i="13"/>
  <c r="Q130" i="13"/>
  <c r="T130" i="13" s="1"/>
  <c r="P130" i="13"/>
  <c r="O130" i="13"/>
  <c r="O129" i="13" s="1"/>
  <c r="N130" i="13"/>
  <c r="M130" i="13"/>
  <c r="M129" i="13" s="1"/>
  <c r="L130" i="13"/>
  <c r="K130" i="13"/>
  <c r="J130" i="13"/>
  <c r="I130" i="13"/>
  <c r="I129" i="13" s="1"/>
  <c r="H130" i="13"/>
  <c r="F130" i="13"/>
  <c r="AA129" i="13"/>
  <c r="S129" i="13"/>
  <c r="R129" i="13"/>
  <c r="K129" i="13"/>
  <c r="AA128" i="13"/>
  <c r="X128" i="13"/>
  <c r="W128" i="13"/>
  <c r="V128" i="13"/>
  <c r="U128" i="13"/>
  <c r="Q128" i="13"/>
  <c r="T128" i="13" s="1"/>
  <c r="P128" i="13"/>
  <c r="O128" i="13"/>
  <c r="N128" i="13"/>
  <c r="M128" i="13"/>
  <c r="L128" i="13"/>
  <c r="K128" i="13"/>
  <c r="J128" i="13"/>
  <c r="I128" i="13"/>
  <c r="H128" i="13"/>
  <c r="F128" i="13"/>
  <c r="AA127" i="13"/>
  <c r="X127" i="13"/>
  <c r="W127" i="13"/>
  <c r="V127" i="13"/>
  <c r="U127" i="13"/>
  <c r="Q127" i="13"/>
  <c r="T127" i="13" s="1"/>
  <c r="P127" i="13"/>
  <c r="O127" i="13"/>
  <c r="N127" i="13"/>
  <c r="M127" i="13"/>
  <c r="L127" i="13"/>
  <c r="K127" i="13"/>
  <c r="J127" i="13"/>
  <c r="I127" i="13"/>
  <c r="H127" i="13"/>
  <c r="F127" i="13"/>
  <c r="AA126" i="13"/>
  <c r="X126" i="13"/>
  <c r="W126" i="13"/>
  <c r="V126" i="13"/>
  <c r="U126" i="13"/>
  <c r="Q126" i="13"/>
  <c r="T126" i="13" s="1"/>
  <c r="P126" i="13"/>
  <c r="O126" i="13"/>
  <c r="N126" i="13"/>
  <c r="M126" i="13"/>
  <c r="L126" i="13"/>
  <c r="K126" i="13"/>
  <c r="J126" i="13"/>
  <c r="I126" i="13"/>
  <c r="H126" i="13"/>
  <c r="F126" i="13"/>
  <c r="AA125" i="13"/>
  <c r="X125" i="13"/>
  <c r="W125" i="13"/>
  <c r="V125" i="13"/>
  <c r="U125" i="13"/>
  <c r="Q125" i="13"/>
  <c r="T125" i="13" s="1"/>
  <c r="P125" i="13"/>
  <c r="O125" i="13"/>
  <c r="N125" i="13"/>
  <c r="M125" i="13"/>
  <c r="L125" i="13"/>
  <c r="K125" i="13"/>
  <c r="J125" i="13"/>
  <c r="I125" i="13"/>
  <c r="H125" i="13"/>
  <c r="F125" i="13"/>
  <c r="AA124" i="13"/>
  <c r="X124" i="13"/>
  <c r="W124" i="13"/>
  <c r="V124" i="13"/>
  <c r="U124" i="13"/>
  <c r="Q124" i="13"/>
  <c r="T124" i="13" s="1"/>
  <c r="P124" i="13"/>
  <c r="P123" i="13" s="1"/>
  <c r="O124" i="13"/>
  <c r="N124" i="13"/>
  <c r="M124" i="13"/>
  <c r="L124" i="13"/>
  <c r="L123" i="13" s="1"/>
  <c r="K124" i="13"/>
  <c r="J124" i="13"/>
  <c r="I124" i="13"/>
  <c r="H124" i="13"/>
  <c r="H123" i="13" s="1"/>
  <c r="F124" i="13"/>
  <c r="AA123" i="13"/>
  <c r="S123" i="13"/>
  <c r="R123" i="13"/>
  <c r="X122" i="13"/>
  <c r="W122" i="13"/>
  <c r="V122" i="13"/>
  <c r="U122" i="13"/>
  <c r="Q122" i="13"/>
  <c r="T122" i="13" s="1"/>
  <c r="P122" i="13"/>
  <c r="O122" i="13"/>
  <c r="N122" i="13"/>
  <c r="M122" i="13"/>
  <c r="L122" i="13"/>
  <c r="K122" i="13"/>
  <c r="J122" i="13"/>
  <c r="I122" i="13"/>
  <c r="H122" i="13"/>
  <c r="F122" i="13"/>
  <c r="AA121" i="13"/>
  <c r="X121" i="13"/>
  <c r="W121" i="13"/>
  <c r="V121" i="13"/>
  <c r="U121" i="13"/>
  <c r="Q121" i="13"/>
  <c r="T121" i="13" s="1"/>
  <c r="P121" i="13"/>
  <c r="O121" i="13"/>
  <c r="N121" i="13"/>
  <c r="M121" i="13"/>
  <c r="L121" i="13"/>
  <c r="K121" i="13"/>
  <c r="J121" i="13"/>
  <c r="I121" i="13"/>
  <c r="H121" i="13"/>
  <c r="F121" i="13"/>
  <c r="AA120" i="13"/>
  <c r="X120" i="13"/>
  <c r="W120" i="13"/>
  <c r="V120" i="13"/>
  <c r="U120" i="13"/>
  <c r="Q120" i="13"/>
  <c r="T120" i="13" s="1"/>
  <c r="P120" i="13"/>
  <c r="O120" i="13"/>
  <c r="N120" i="13"/>
  <c r="M120" i="13"/>
  <c r="L120" i="13"/>
  <c r="K120" i="13"/>
  <c r="J120" i="13"/>
  <c r="I120" i="13"/>
  <c r="H120" i="13"/>
  <c r="F120" i="13"/>
  <c r="AA119" i="13"/>
  <c r="X119" i="13"/>
  <c r="W119" i="13"/>
  <c r="V119" i="13"/>
  <c r="U119" i="13"/>
  <c r="Q119" i="13"/>
  <c r="T119" i="13" s="1"/>
  <c r="P119" i="13"/>
  <c r="O119" i="13"/>
  <c r="N119" i="13"/>
  <c r="M119" i="13"/>
  <c r="L119" i="13"/>
  <c r="K119" i="13"/>
  <c r="J119" i="13"/>
  <c r="I119" i="13"/>
  <c r="H119" i="13"/>
  <c r="F119" i="13"/>
  <c r="AA118" i="13"/>
  <c r="X118" i="13"/>
  <c r="W118" i="13"/>
  <c r="V118" i="13"/>
  <c r="U118" i="13"/>
  <c r="U117" i="13" s="1"/>
  <c r="U116" i="13" s="1"/>
  <c r="Q118" i="13"/>
  <c r="T118" i="13" s="1"/>
  <c r="P118" i="13"/>
  <c r="O118" i="13"/>
  <c r="O117" i="13" s="1"/>
  <c r="O116" i="13" s="1"/>
  <c r="N118" i="13"/>
  <c r="M118" i="13"/>
  <c r="L118" i="13"/>
  <c r="K118" i="13"/>
  <c r="K117" i="13" s="1"/>
  <c r="J118" i="13"/>
  <c r="I118" i="13"/>
  <c r="I117" i="13" s="1"/>
  <c r="H118" i="13"/>
  <c r="F118" i="13"/>
  <c r="AA117" i="13"/>
  <c r="S117" i="13"/>
  <c r="S116" i="13" s="1"/>
  <c r="R117" i="13"/>
  <c r="R116" i="13" s="1"/>
  <c r="AA116" i="13"/>
  <c r="AA115" i="13"/>
  <c r="X115" i="13"/>
  <c r="W115" i="13"/>
  <c r="V115" i="13"/>
  <c r="U115" i="13"/>
  <c r="Q115" i="13"/>
  <c r="T115" i="13" s="1"/>
  <c r="P115" i="13"/>
  <c r="O115" i="13"/>
  <c r="N115" i="13"/>
  <c r="M115" i="13"/>
  <c r="L115" i="13"/>
  <c r="K115" i="13"/>
  <c r="J115" i="13"/>
  <c r="I115" i="13"/>
  <c r="H115" i="13"/>
  <c r="F115" i="13"/>
  <c r="AA114" i="13"/>
  <c r="X114" i="13"/>
  <c r="X113" i="13" s="1"/>
  <c r="W114" i="13"/>
  <c r="V114" i="13"/>
  <c r="V113" i="13" s="1"/>
  <c r="U114" i="13"/>
  <c r="U113" i="13" s="1"/>
  <c r="Q114" i="13"/>
  <c r="T114" i="13" s="1"/>
  <c r="P114" i="13"/>
  <c r="O114" i="13"/>
  <c r="O113" i="13" s="1"/>
  <c r="N114" i="13"/>
  <c r="M114" i="13"/>
  <c r="M113" i="13" s="1"/>
  <c r="L114" i="13"/>
  <c r="K114" i="13"/>
  <c r="K113" i="13" s="1"/>
  <c r="J114" i="13"/>
  <c r="I114" i="13"/>
  <c r="I113" i="13" s="1"/>
  <c r="H114" i="13"/>
  <c r="F114" i="13"/>
  <c r="AA113" i="13"/>
  <c r="S113" i="13"/>
  <c r="R113" i="13"/>
  <c r="AA112" i="13"/>
  <c r="X112" i="13"/>
  <c r="W112" i="13"/>
  <c r="V112" i="13"/>
  <c r="U112" i="13"/>
  <c r="Q112" i="13"/>
  <c r="T112" i="13" s="1"/>
  <c r="P112" i="13"/>
  <c r="O112" i="13"/>
  <c r="N112" i="13"/>
  <c r="M112" i="13"/>
  <c r="L112" i="13"/>
  <c r="K112" i="13"/>
  <c r="J112" i="13"/>
  <c r="I112" i="13"/>
  <c r="H112" i="13"/>
  <c r="F112" i="13"/>
  <c r="AA111" i="13"/>
  <c r="X111" i="13"/>
  <c r="W111" i="13"/>
  <c r="V111" i="13"/>
  <c r="U111" i="13"/>
  <c r="Q111" i="13"/>
  <c r="T111" i="13" s="1"/>
  <c r="P111" i="13"/>
  <c r="O111" i="13"/>
  <c r="N111" i="13"/>
  <c r="M111" i="13"/>
  <c r="L111" i="13"/>
  <c r="K111" i="13"/>
  <c r="J111" i="13"/>
  <c r="I111" i="13"/>
  <c r="H111" i="13"/>
  <c r="F111" i="13"/>
  <c r="AA110" i="13"/>
  <c r="X110" i="13"/>
  <c r="W110" i="13"/>
  <c r="V110" i="13"/>
  <c r="V109" i="13" s="1"/>
  <c r="U110" i="13"/>
  <c r="Q110" i="13"/>
  <c r="T110" i="13" s="1"/>
  <c r="P110" i="13"/>
  <c r="P109" i="13" s="1"/>
  <c r="O110" i="13"/>
  <c r="N110" i="13"/>
  <c r="N109" i="13" s="1"/>
  <c r="M110" i="13"/>
  <c r="L110" i="13"/>
  <c r="L109" i="13" s="1"/>
  <c r="K110" i="13"/>
  <c r="J110" i="13"/>
  <c r="J109" i="13" s="1"/>
  <c r="I110" i="13"/>
  <c r="H110" i="13"/>
  <c r="F110" i="13"/>
  <c r="F109" i="13" s="1"/>
  <c r="AA109" i="13"/>
  <c r="S109" i="13"/>
  <c r="R109" i="13"/>
  <c r="AA108" i="13"/>
  <c r="X108" i="13"/>
  <c r="W108" i="13"/>
  <c r="V108" i="13"/>
  <c r="U108" i="13"/>
  <c r="Q108" i="13"/>
  <c r="T108" i="13" s="1"/>
  <c r="P108" i="13"/>
  <c r="O108" i="13"/>
  <c r="N108" i="13"/>
  <c r="M108" i="13"/>
  <c r="L108" i="13"/>
  <c r="K108" i="13"/>
  <c r="J108" i="13"/>
  <c r="I108" i="13"/>
  <c r="H108" i="13"/>
  <c r="F108" i="13"/>
  <c r="AA107" i="13"/>
  <c r="X107" i="13"/>
  <c r="X106" i="13" s="1"/>
  <c r="W107" i="13"/>
  <c r="V107" i="13"/>
  <c r="V106" i="13" s="1"/>
  <c r="U107" i="13"/>
  <c r="Q107" i="13"/>
  <c r="T107" i="13" s="1"/>
  <c r="P107" i="13"/>
  <c r="O107" i="13"/>
  <c r="O106" i="13" s="1"/>
  <c r="N107" i="13"/>
  <c r="N106" i="13" s="1"/>
  <c r="M107" i="13"/>
  <c r="M106" i="13" s="1"/>
  <c r="L107" i="13"/>
  <c r="L106" i="13" s="1"/>
  <c r="K107" i="13"/>
  <c r="K106" i="13" s="1"/>
  <c r="J107" i="13"/>
  <c r="J106" i="13" s="1"/>
  <c r="I107" i="13"/>
  <c r="I106" i="13" s="1"/>
  <c r="H107" i="13"/>
  <c r="F107" i="13"/>
  <c r="F106" i="13" s="1"/>
  <c r="AA106" i="13"/>
  <c r="S106" i="13"/>
  <c r="R106" i="13"/>
  <c r="AA105" i="13"/>
  <c r="X105" i="13"/>
  <c r="W105" i="13"/>
  <c r="V105" i="13"/>
  <c r="U105" i="13"/>
  <c r="Q105" i="13"/>
  <c r="P105" i="13"/>
  <c r="O105" i="13"/>
  <c r="N105" i="13"/>
  <c r="M105" i="13"/>
  <c r="L105" i="13"/>
  <c r="K105" i="13"/>
  <c r="J105" i="13"/>
  <c r="I105" i="13"/>
  <c r="H105" i="13"/>
  <c r="F105" i="13"/>
  <c r="AA104" i="13"/>
  <c r="X104" i="13"/>
  <c r="X103" i="13" s="1"/>
  <c r="W104" i="13"/>
  <c r="W103" i="13" s="1"/>
  <c r="V104" i="13"/>
  <c r="V103" i="13" s="1"/>
  <c r="U104" i="13"/>
  <c r="U103" i="13" s="1"/>
  <c r="Q104" i="13"/>
  <c r="T104" i="13" s="1"/>
  <c r="P104" i="13"/>
  <c r="O104" i="13"/>
  <c r="O103" i="13" s="1"/>
  <c r="N104" i="13"/>
  <c r="M104" i="13"/>
  <c r="M103" i="13" s="1"/>
  <c r="L104" i="13"/>
  <c r="K104" i="13"/>
  <c r="K103" i="13" s="1"/>
  <c r="J104" i="13"/>
  <c r="I104" i="13"/>
  <c r="I103" i="13" s="1"/>
  <c r="H104" i="13"/>
  <c r="F104" i="13"/>
  <c r="AA103" i="13"/>
  <c r="S103" i="13"/>
  <c r="AA102" i="13"/>
  <c r="X102" i="13"/>
  <c r="W102" i="13"/>
  <c r="V102" i="13"/>
  <c r="U102" i="13"/>
  <c r="Q102" i="13"/>
  <c r="S102" i="13" s="1"/>
  <c r="P102" i="13"/>
  <c r="O102" i="13"/>
  <c r="N102" i="13"/>
  <c r="M102" i="13"/>
  <c r="L102" i="13"/>
  <c r="K102" i="13"/>
  <c r="J102" i="13"/>
  <c r="I102" i="13"/>
  <c r="H102" i="13"/>
  <c r="F102" i="13"/>
  <c r="AA101" i="13"/>
  <c r="X101" i="13"/>
  <c r="W101" i="13"/>
  <c r="V101" i="13"/>
  <c r="U101" i="13"/>
  <c r="Q101" i="13"/>
  <c r="S101" i="13" s="1"/>
  <c r="P101" i="13"/>
  <c r="O101" i="13"/>
  <c r="N101" i="13"/>
  <c r="M101" i="13"/>
  <c r="L101" i="13"/>
  <c r="K101" i="13"/>
  <c r="J101" i="13"/>
  <c r="I101" i="13"/>
  <c r="H101" i="13"/>
  <c r="F101" i="13"/>
  <c r="AA100" i="13"/>
  <c r="X100" i="13"/>
  <c r="W100" i="13"/>
  <c r="V100" i="13"/>
  <c r="U100" i="13"/>
  <c r="Q100" i="13"/>
  <c r="S100" i="13" s="1"/>
  <c r="P100" i="13"/>
  <c r="O100" i="13"/>
  <c r="N100" i="13"/>
  <c r="M100" i="13"/>
  <c r="L100" i="13"/>
  <c r="K100" i="13"/>
  <c r="J100" i="13"/>
  <c r="I100" i="13"/>
  <c r="H100" i="13"/>
  <c r="F100" i="13"/>
  <c r="AA99" i="13"/>
  <c r="X99" i="13"/>
  <c r="W99" i="13"/>
  <c r="W98" i="13" s="1"/>
  <c r="V99" i="13"/>
  <c r="U99" i="13"/>
  <c r="U98" i="13" s="1"/>
  <c r="Q99" i="13"/>
  <c r="T99" i="13" s="1"/>
  <c r="P99" i="13"/>
  <c r="P98" i="13" s="1"/>
  <c r="O99" i="13"/>
  <c r="N99" i="13"/>
  <c r="N98" i="13" s="1"/>
  <c r="M99" i="13"/>
  <c r="L99" i="13"/>
  <c r="L98" i="13" s="1"/>
  <c r="K99" i="13"/>
  <c r="J99" i="13"/>
  <c r="J98" i="13" s="1"/>
  <c r="I99" i="13"/>
  <c r="H99" i="13"/>
  <c r="F99" i="13"/>
  <c r="AA98" i="13"/>
  <c r="R98" i="13"/>
  <c r="AA97" i="13"/>
  <c r="AC96" i="13"/>
  <c r="AC95" i="13" s="1"/>
  <c r="AB96" i="13"/>
  <c r="AB95" i="13" s="1"/>
  <c r="Z96" i="13"/>
  <c r="Z95" i="13" s="1"/>
  <c r="AA94" i="13"/>
  <c r="E94" i="13" s="1"/>
  <c r="AA93" i="13"/>
  <c r="E93" i="13" s="1"/>
  <c r="AA92" i="13"/>
  <c r="E92" i="13" s="1"/>
  <c r="AA91" i="13"/>
  <c r="E91" i="13" s="1"/>
  <c r="AA90" i="13"/>
  <c r="E90" i="13" s="1"/>
  <c r="AA89" i="13"/>
  <c r="E89" i="13" s="1"/>
  <c r="AA88" i="13"/>
  <c r="E88" i="13" s="1"/>
  <c r="AA87" i="13"/>
  <c r="E87" i="13" s="1"/>
  <c r="AA86" i="13"/>
  <c r="E86" i="13" s="1"/>
  <c r="AA85" i="13"/>
  <c r="F85" i="13"/>
  <c r="AA84" i="13"/>
  <c r="E84" i="13" s="1"/>
  <c r="AA83" i="13"/>
  <c r="F83" i="13"/>
  <c r="AA82" i="13"/>
  <c r="E82" i="13" s="1"/>
  <c r="AA81" i="13"/>
  <c r="E81" i="13" s="1"/>
  <c r="AA80" i="13"/>
  <c r="E80" i="13" s="1"/>
  <c r="AA79" i="13"/>
  <c r="E79" i="13" s="1"/>
  <c r="AA78" i="13"/>
  <c r="E78" i="13" s="1"/>
  <c r="AA77" i="13"/>
  <c r="E77" i="13" s="1"/>
  <c r="AA76" i="13"/>
  <c r="E76" i="13" s="1"/>
  <c r="AA75" i="13"/>
  <c r="E75" i="13" s="1"/>
  <c r="AA74" i="13"/>
  <c r="E74" i="13" s="1"/>
  <c r="AA73" i="13"/>
  <c r="E73" i="13" s="1"/>
  <c r="AA72" i="13"/>
  <c r="E72" i="13" s="1"/>
  <c r="AA71" i="13"/>
  <c r="E71" i="13" s="1"/>
  <c r="AA70" i="13"/>
  <c r="E70" i="13" s="1"/>
  <c r="AA69" i="13"/>
  <c r="E69" i="13" s="1"/>
  <c r="AA68" i="13"/>
  <c r="E68" i="13" s="1"/>
  <c r="AA67" i="13"/>
  <c r="AA66" i="13"/>
  <c r="E66" i="13" s="1"/>
  <c r="AA65" i="13"/>
  <c r="AA64" i="13"/>
  <c r="E64" i="13" s="1"/>
  <c r="AA63" i="13"/>
  <c r="E63" i="13" s="1"/>
  <c r="AA62" i="13"/>
  <c r="E62" i="13" s="1"/>
  <c r="AA61" i="13"/>
  <c r="E61" i="13" s="1"/>
  <c r="AA60" i="13"/>
  <c r="E60" i="13" s="1"/>
  <c r="AA59" i="13"/>
  <c r="AA58" i="13"/>
  <c r="E58" i="13" s="1"/>
  <c r="AA57" i="13"/>
  <c r="F57" i="13"/>
  <c r="AA56" i="13"/>
  <c r="E56" i="13" s="1"/>
  <c r="AA55" i="13"/>
  <c r="E55" i="13" s="1"/>
  <c r="AA54" i="13"/>
  <c r="E54" i="13" s="1"/>
  <c r="AA53" i="13"/>
  <c r="E53" i="13" s="1"/>
  <c r="AA52" i="13"/>
  <c r="F52" i="13"/>
  <c r="AA51" i="13"/>
  <c r="E51" i="13" s="1"/>
  <c r="AA50" i="13"/>
  <c r="E50" i="13" s="1"/>
  <c r="AA49" i="13"/>
  <c r="E49" i="13" s="1"/>
  <c r="AA48" i="13"/>
  <c r="F48" i="13"/>
  <c r="AA47" i="13"/>
  <c r="E47" i="13" s="1"/>
  <c r="AA46" i="13"/>
  <c r="E46" i="13" s="1"/>
  <c r="AA45" i="13"/>
  <c r="E45" i="13" s="1"/>
  <c r="AA44" i="13"/>
  <c r="E44" i="13" s="1"/>
  <c r="AA43" i="13"/>
  <c r="F43" i="13"/>
  <c r="AA42" i="13"/>
  <c r="E42" i="13" s="1"/>
  <c r="AA41" i="13"/>
  <c r="E41" i="13" s="1"/>
  <c r="AA40" i="13"/>
  <c r="F40" i="13"/>
  <c r="AA39" i="13"/>
  <c r="E39" i="13" s="1"/>
  <c r="AA38" i="13"/>
  <c r="F38" i="13"/>
  <c r="AA37" i="13"/>
  <c r="E37" i="13" s="1"/>
  <c r="AA36" i="13"/>
  <c r="F36" i="13"/>
  <c r="AA35" i="13"/>
  <c r="E35" i="13" s="1"/>
  <c r="AA34" i="13"/>
  <c r="E34" i="13" s="1"/>
  <c r="AA33" i="13"/>
  <c r="E33" i="13" s="1"/>
  <c r="AA32" i="13"/>
  <c r="E32" i="13" s="1"/>
  <c r="AA31" i="13"/>
  <c r="E31" i="13" s="1"/>
  <c r="AA30" i="13"/>
  <c r="F30" i="13"/>
  <c r="AA29" i="13"/>
  <c r="E29" i="13" s="1"/>
  <c r="AA28" i="13"/>
  <c r="E28" i="13" s="1"/>
  <c r="AA27" i="13"/>
  <c r="F27" i="13"/>
  <c r="AA26" i="13"/>
  <c r="E26" i="13" s="1"/>
  <c r="AA25" i="13"/>
  <c r="E25" i="13" s="1"/>
  <c r="AA24" i="13"/>
  <c r="E24" i="13" s="1"/>
  <c r="AA23" i="13"/>
  <c r="E23" i="13" s="1"/>
  <c r="AA22" i="13"/>
  <c r="E22" i="13" s="1"/>
  <c r="AA21" i="13"/>
  <c r="AA20" i="13"/>
  <c r="E20" i="13" s="1"/>
  <c r="AA19" i="13"/>
  <c r="E19" i="13" s="1"/>
  <c r="AA18" i="13"/>
  <c r="E18" i="13" s="1"/>
  <c r="AA17" i="13"/>
  <c r="AC16" i="13"/>
  <c r="AC15" i="13" s="1"/>
  <c r="AB16" i="13"/>
  <c r="AB15" i="13" s="1"/>
  <c r="Z16" i="13"/>
  <c r="Z15" i="13" s="1"/>
  <c r="X16" i="13"/>
  <c r="X15" i="13" s="1"/>
  <c r="W16" i="13"/>
  <c r="W15" i="13" s="1"/>
  <c r="V16" i="13"/>
  <c r="V15" i="13" s="1"/>
  <c r="U16" i="13"/>
  <c r="U15" i="13" s="1"/>
  <c r="T16" i="13"/>
  <c r="T15" i="13" s="1"/>
  <c r="S16" i="13"/>
  <c r="S15" i="13" s="1"/>
  <c r="R16" i="13"/>
  <c r="R15" i="13" s="1"/>
  <c r="Q16" i="13"/>
  <c r="Q15" i="13" s="1"/>
  <c r="P16" i="13"/>
  <c r="P15" i="13" s="1"/>
  <c r="O16" i="13"/>
  <c r="O15" i="13" s="1"/>
  <c r="N16" i="13"/>
  <c r="N15" i="13" s="1"/>
  <c r="M16" i="13"/>
  <c r="M15" i="13" s="1"/>
  <c r="L16" i="13"/>
  <c r="L15" i="13" s="1"/>
  <c r="K16" i="13"/>
  <c r="K15" i="13" s="1"/>
  <c r="J16" i="13"/>
  <c r="J15" i="13" s="1"/>
  <c r="I16" i="13"/>
  <c r="I15" i="13" s="1"/>
  <c r="H16" i="13"/>
  <c r="H15" i="13" s="1"/>
  <c r="G16" i="13"/>
  <c r="G15" i="13" s="1"/>
  <c r="W1" i="13"/>
  <c r="Q213" i="13" l="1"/>
  <c r="T213" i="13" s="1"/>
  <c r="P106" i="13"/>
  <c r="K233" i="13"/>
  <c r="W147" i="13"/>
  <c r="Q158" i="13"/>
  <c r="T158" i="13" s="1"/>
  <c r="M117" i="13"/>
  <c r="J274" i="13"/>
  <c r="U274" i="13"/>
  <c r="H291" i="13"/>
  <c r="L291" i="13"/>
  <c r="O291" i="13"/>
  <c r="E30" i="13"/>
  <c r="P274" i="13"/>
  <c r="AB14" i="13"/>
  <c r="G148" i="13"/>
  <c r="E148" i="13" s="1"/>
  <c r="E67" i="13"/>
  <c r="G262" i="13"/>
  <c r="E262" i="13" s="1"/>
  <c r="G275" i="13"/>
  <c r="E275" i="13" s="1"/>
  <c r="E38" i="13"/>
  <c r="E57" i="13"/>
  <c r="E85" i="13"/>
  <c r="L274" i="13"/>
  <c r="W274" i="13"/>
  <c r="G160" i="13"/>
  <c r="E160" i="13" s="1"/>
  <c r="G161" i="13"/>
  <c r="E161" i="13" s="1"/>
  <c r="G163" i="13"/>
  <c r="E163" i="13" s="1"/>
  <c r="Z14" i="13"/>
  <c r="Z13" i="13" s="1"/>
  <c r="E21" i="13"/>
  <c r="E27" i="13"/>
  <c r="E52" i="13"/>
  <c r="N274" i="13"/>
  <c r="E17" i="13"/>
  <c r="E36" i="13"/>
  <c r="E40" i="13"/>
  <c r="E43" i="13"/>
  <c r="E48" i="13"/>
  <c r="E65" i="13"/>
  <c r="E83" i="13"/>
  <c r="G99" i="13"/>
  <c r="E99" i="13" s="1"/>
  <c r="F133" i="13"/>
  <c r="F144" i="13"/>
  <c r="F154" i="13"/>
  <c r="F193" i="13"/>
  <c r="F205" i="13"/>
  <c r="F233" i="13"/>
  <c r="F246" i="13"/>
  <c r="G277" i="13"/>
  <c r="E277" i="13" s="1"/>
  <c r="G149" i="13"/>
  <c r="E149" i="13" s="1"/>
  <c r="F179" i="13"/>
  <c r="F185" i="13"/>
  <c r="F201" i="13"/>
  <c r="F269" i="13"/>
  <c r="F198" i="13"/>
  <c r="E303" i="13"/>
  <c r="G107" i="13"/>
  <c r="E107" i="13" s="1"/>
  <c r="G128" i="13"/>
  <c r="E128" i="13" s="1"/>
  <c r="G196" i="13"/>
  <c r="E196" i="13" s="1"/>
  <c r="G197" i="13"/>
  <c r="E197" i="13" s="1"/>
  <c r="G263" i="13"/>
  <c r="E263" i="13" s="1"/>
  <c r="G264" i="13"/>
  <c r="E264" i="13" s="1"/>
  <c r="G266" i="13"/>
  <c r="E266" i="13" s="1"/>
  <c r="G272" i="13"/>
  <c r="E272" i="13" s="1"/>
  <c r="G100" i="13"/>
  <c r="E100" i="13" s="1"/>
  <c r="U129" i="13"/>
  <c r="G131" i="13"/>
  <c r="E131" i="13" s="1"/>
  <c r="G132" i="13"/>
  <c r="E132" i="13" s="1"/>
  <c r="Q137" i="13"/>
  <c r="G139" i="13"/>
  <c r="E139" i="13" s="1"/>
  <c r="O140" i="13"/>
  <c r="Q154" i="13"/>
  <c r="G155" i="13"/>
  <c r="G157" i="13"/>
  <c r="E157" i="13" s="1"/>
  <c r="G188" i="13"/>
  <c r="E188" i="13" s="1"/>
  <c r="G210" i="13"/>
  <c r="E210" i="13" s="1"/>
  <c r="Q222" i="13"/>
  <c r="G224" i="13"/>
  <c r="E224" i="13" s="1"/>
  <c r="AA95" i="13"/>
  <c r="G276" i="13"/>
  <c r="E276" i="13" s="1"/>
  <c r="W291" i="13"/>
  <c r="K291" i="13"/>
  <c r="G294" i="13"/>
  <c r="E294" i="13" s="1"/>
  <c r="V98" i="13"/>
  <c r="X98" i="13"/>
  <c r="F98" i="13"/>
  <c r="G105" i="13"/>
  <c r="E105" i="13" s="1"/>
  <c r="G110" i="13"/>
  <c r="E110" i="13" s="1"/>
  <c r="G119" i="13"/>
  <c r="E119" i="13" s="1"/>
  <c r="G120" i="13"/>
  <c r="E120" i="13" s="1"/>
  <c r="G124" i="13"/>
  <c r="E124" i="13" s="1"/>
  <c r="G126" i="13"/>
  <c r="E126" i="13" s="1"/>
  <c r="H147" i="13"/>
  <c r="G176" i="13"/>
  <c r="E176" i="13" s="1"/>
  <c r="L175" i="13"/>
  <c r="N175" i="13"/>
  <c r="P175" i="13"/>
  <c r="I175" i="13"/>
  <c r="K175" i="13"/>
  <c r="O175" i="13"/>
  <c r="G206" i="13"/>
  <c r="G205" i="13" s="1"/>
  <c r="E205" i="13" s="1"/>
  <c r="G208" i="13"/>
  <c r="E208" i="13" s="1"/>
  <c r="G214" i="13"/>
  <c r="E214" i="13" s="1"/>
  <c r="G215" i="13"/>
  <c r="E215" i="13" s="1"/>
  <c r="G216" i="13"/>
  <c r="E216" i="13" s="1"/>
  <c r="G229" i="13"/>
  <c r="E229" i="13" s="1"/>
  <c r="G231" i="13"/>
  <c r="E231" i="13" s="1"/>
  <c r="G232" i="13"/>
  <c r="E232" i="13" s="1"/>
  <c r="L233" i="13"/>
  <c r="G240" i="13"/>
  <c r="E240" i="13" s="1"/>
  <c r="G241" i="13"/>
  <c r="E241" i="13" s="1"/>
  <c r="G249" i="13"/>
  <c r="E249" i="13" s="1"/>
  <c r="G254" i="13"/>
  <c r="E254" i="13" s="1"/>
  <c r="G270" i="13"/>
  <c r="E270" i="13" s="1"/>
  <c r="H274" i="13"/>
  <c r="G281" i="13"/>
  <c r="E281" i="13" s="1"/>
  <c r="G285" i="13"/>
  <c r="E285" i="13" s="1"/>
  <c r="G287" i="13"/>
  <c r="E287" i="13" s="1"/>
  <c r="I291" i="13"/>
  <c r="M291" i="13"/>
  <c r="G297" i="13"/>
  <c r="E297" i="13" s="1"/>
  <c r="Y301" i="13"/>
  <c r="Y222" i="13"/>
  <c r="Y137" i="13"/>
  <c r="Y113" i="13"/>
  <c r="V147" i="13"/>
  <c r="X147" i="13"/>
  <c r="G170" i="13"/>
  <c r="E170" i="13" s="1"/>
  <c r="G112" i="13"/>
  <c r="E112" i="13" s="1"/>
  <c r="G115" i="13"/>
  <c r="E115" i="13" s="1"/>
  <c r="K116" i="13"/>
  <c r="I116" i="13"/>
  <c r="M116" i="13"/>
  <c r="I123" i="13"/>
  <c r="K123" i="13"/>
  <c r="M123" i="13"/>
  <c r="O123" i="13"/>
  <c r="V123" i="13"/>
  <c r="X123" i="13"/>
  <c r="F123" i="13"/>
  <c r="G136" i="13"/>
  <c r="E136" i="13" s="1"/>
  <c r="P133" i="13"/>
  <c r="J137" i="13"/>
  <c r="L137" i="13"/>
  <c r="N137" i="13"/>
  <c r="P137" i="13"/>
  <c r="U137" i="13"/>
  <c r="W137" i="13"/>
  <c r="M137" i="13"/>
  <c r="D97" i="13"/>
  <c r="D96" i="13" s="1"/>
  <c r="D95" i="13" s="1"/>
  <c r="I140" i="13"/>
  <c r="K140" i="13"/>
  <c r="M140" i="13"/>
  <c r="T140" i="13"/>
  <c r="W140" i="13"/>
  <c r="U140" i="13"/>
  <c r="G143" i="13"/>
  <c r="E143" i="13" s="1"/>
  <c r="X140" i="13"/>
  <c r="G153" i="13"/>
  <c r="E153" i="13" s="1"/>
  <c r="G174" i="13"/>
  <c r="E174" i="13" s="1"/>
  <c r="Q175" i="13"/>
  <c r="T175" i="13" s="1"/>
  <c r="U175" i="13"/>
  <c r="G183" i="13"/>
  <c r="E183" i="13" s="1"/>
  <c r="G186" i="13"/>
  <c r="E186" i="13" s="1"/>
  <c r="G191" i="13"/>
  <c r="E191" i="13" s="1"/>
  <c r="G192" i="13"/>
  <c r="E192" i="13" s="1"/>
  <c r="G212" i="13"/>
  <c r="E212" i="13" s="1"/>
  <c r="G219" i="13"/>
  <c r="E219" i="13" s="1"/>
  <c r="G220" i="13"/>
  <c r="E220" i="13" s="1"/>
  <c r="G236" i="13"/>
  <c r="E236" i="13" s="1"/>
  <c r="P233" i="13"/>
  <c r="G237" i="13"/>
  <c r="E237" i="13" s="1"/>
  <c r="G244" i="13"/>
  <c r="E244" i="13" s="1"/>
  <c r="G245" i="13"/>
  <c r="E245" i="13" s="1"/>
  <c r="G255" i="13"/>
  <c r="E255" i="13" s="1"/>
  <c r="G256" i="13"/>
  <c r="E256" i="13" s="1"/>
  <c r="G258" i="13"/>
  <c r="E258" i="13" s="1"/>
  <c r="G279" i="13"/>
  <c r="E279" i="13" s="1"/>
  <c r="G286" i="13"/>
  <c r="E286" i="13" s="1"/>
  <c r="G299" i="13"/>
  <c r="E299" i="13" s="1"/>
  <c r="Y274" i="13"/>
  <c r="Y140" i="13"/>
  <c r="Y129" i="13"/>
  <c r="Y117" i="13"/>
  <c r="Y116" i="13" s="1"/>
  <c r="J123" i="13"/>
  <c r="N123" i="13"/>
  <c r="P193" i="13"/>
  <c r="V274" i="13"/>
  <c r="X274" i="13"/>
  <c r="Y291" i="13"/>
  <c r="Y225" i="13"/>
  <c r="Y198" i="13"/>
  <c r="Y181" i="13"/>
  <c r="Y154" i="13"/>
  <c r="Y151" i="13"/>
  <c r="Y144" i="13"/>
  <c r="Y133" i="13"/>
  <c r="Y123" i="13"/>
  <c r="Y109" i="13"/>
  <c r="Y106" i="13"/>
  <c r="Y103" i="13"/>
  <c r="Y98" i="13"/>
  <c r="F59" i="13"/>
  <c r="G102" i="13"/>
  <c r="E102" i="13" s="1"/>
  <c r="H106" i="13"/>
  <c r="H109" i="13"/>
  <c r="I109" i="13"/>
  <c r="K109" i="13"/>
  <c r="M109" i="13"/>
  <c r="O109" i="13"/>
  <c r="X109" i="13"/>
  <c r="Q113" i="13"/>
  <c r="G114" i="13"/>
  <c r="E114" i="13" s="1"/>
  <c r="J113" i="13"/>
  <c r="L113" i="13"/>
  <c r="N113" i="13"/>
  <c r="P113" i="13"/>
  <c r="Q117" i="13"/>
  <c r="Q116" i="13" s="1"/>
  <c r="G118" i="13"/>
  <c r="E118" i="13" s="1"/>
  <c r="J117" i="13"/>
  <c r="J116" i="13" s="1"/>
  <c r="L117" i="13"/>
  <c r="L116" i="13" s="1"/>
  <c r="N117" i="13"/>
  <c r="N116" i="13" s="1"/>
  <c r="P117" i="13"/>
  <c r="P116" i="13" s="1"/>
  <c r="V117" i="13"/>
  <c r="V116" i="13" s="1"/>
  <c r="X117" i="13"/>
  <c r="X116" i="13" s="1"/>
  <c r="G121" i="13"/>
  <c r="E121" i="13" s="1"/>
  <c r="G122" i="13"/>
  <c r="E122" i="13" s="1"/>
  <c r="Q129" i="13"/>
  <c r="G130" i="13"/>
  <c r="J129" i="13"/>
  <c r="L129" i="13"/>
  <c r="N129" i="13"/>
  <c r="P129" i="13"/>
  <c r="V129" i="13"/>
  <c r="X129" i="13"/>
  <c r="H133" i="13"/>
  <c r="G134" i="13"/>
  <c r="E134" i="13" s="1"/>
  <c r="J133" i="13"/>
  <c r="N133" i="13"/>
  <c r="U133" i="13"/>
  <c r="W133" i="13"/>
  <c r="G135" i="13"/>
  <c r="E135" i="13" s="1"/>
  <c r="V133" i="13"/>
  <c r="K137" i="13"/>
  <c r="O137" i="13"/>
  <c r="T137" i="13"/>
  <c r="G145" i="13"/>
  <c r="E145" i="13" s="1"/>
  <c r="U144" i="13"/>
  <c r="W144" i="13"/>
  <c r="G146" i="13"/>
  <c r="E146" i="13" s="1"/>
  <c r="V144" i="13"/>
  <c r="F147" i="13"/>
  <c r="I147" i="13"/>
  <c r="K147" i="13"/>
  <c r="M147" i="13"/>
  <c r="O147" i="13"/>
  <c r="G150" i="13"/>
  <c r="E150" i="13" s="1"/>
  <c r="Q151" i="13"/>
  <c r="J151" i="13"/>
  <c r="L151" i="13"/>
  <c r="N151" i="13"/>
  <c r="P151" i="13"/>
  <c r="U151" i="13"/>
  <c r="G171" i="13"/>
  <c r="E171" i="13" s="1"/>
  <c r="Q172" i="13"/>
  <c r="T172" i="13" s="1"/>
  <c r="J172" i="13"/>
  <c r="L172" i="13"/>
  <c r="N172" i="13"/>
  <c r="P172" i="13"/>
  <c r="U172" i="13"/>
  <c r="G177" i="13"/>
  <c r="E177" i="13" s="1"/>
  <c r="W175" i="13"/>
  <c r="G178" i="13"/>
  <c r="E178" i="13" s="1"/>
  <c r="G180" i="13"/>
  <c r="E180" i="13" s="1"/>
  <c r="Q181" i="13"/>
  <c r="J181" i="13"/>
  <c r="L181" i="13"/>
  <c r="N181" i="13"/>
  <c r="P181" i="13"/>
  <c r="U181" i="13"/>
  <c r="H185" i="13"/>
  <c r="Q189" i="13"/>
  <c r="T189" i="13" s="1"/>
  <c r="G190" i="13"/>
  <c r="E190" i="13" s="1"/>
  <c r="J189" i="13"/>
  <c r="L189" i="13"/>
  <c r="N189" i="13"/>
  <c r="P189" i="13"/>
  <c r="H193" i="13"/>
  <c r="G194" i="13"/>
  <c r="E194" i="13" s="1"/>
  <c r="J193" i="13"/>
  <c r="N193" i="13"/>
  <c r="U193" i="13"/>
  <c r="W193" i="13"/>
  <c r="G195" i="13"/>
  <c r="E195" i="13" s="1"/>
  <c r="V193" i="13"/>
  <c r="G199" i="13"/>
  <c r="E199" i="13" s="1"/>
  <c r="U198" i="13"/>
  <c r="W198" i="13"/>
  <c r="G200" i="13"/>
  <c r="E200" i="13" s="1"/>
  <c r="V198" i="13"/>
  <c r="G202" i="13"/>
  <c r="G201" i="13" s="1"/>
  <c r="E201" i="13" s="1"/>
  <c r="Q203" i="13"/>
  <c r="AA96" i="13"/>
  <c r="W113" i="13"/>
  <c r="W117" i="13"/>
  <c r="W116" i="13" s="1"/>
  <c r="W129" i="13"/>
  <c r="W189" i="13"/>
  <c r="W213" i="13"/>
  <c r="V291" i="13"/>
  <c r="X291" i="13"/>
  <c r="L213" i="13"/>
  <c r="N213" i="13"/>
  <c r="P213" i="13"/>
  <c r="G217" i="13"/>
  <c r="E217" i="13" s="1"/>
  <c r="G218" i="13"/>
  <c r="E218" i="13" s="1"/>
  <c r="G221" i="13"/>
  <c r="E221" i="13" s="1"/>
  <c r="Q225" i="13"/>
  <c r="U225" i="13"/>
  <c r="G227" i="13"/>
  <c r="E227" i="13" s="1"/>
  <c r="G228" i="13"/>
  <c r="E228" i="13" s="1"/>
  <c r="H233" i="13"/>
  <c r="G234" i="13"/>
  <c r="E234" i="13" s="1"/>
  <c r="J233" i="13"/>
  <c r="N233" i="13"/>
  <c r="U233" i="13"/>
  <c r="W233" i="13"/>
  <c r="G235" i="13"/>
  <c r="E235" i="13" s="1"/>
  <c r="V233" i="13"/>
  <c r="G238" i="13"/>
  <c r="E238" i="13" s="1"/>
  <c r="G239" i="13"/>
  <c r="E239" i="13" s="1"/>
  <c r="G242" i="13"/>
  <c r="E242" i="13" s="1"/>
  <c r="G243" i="13"/>
  <c r="E243" i="13" s="1"/>
  <c r="G247" i="13"/>
  <c r="E247" i="13" s="1"/>
  <c r="U246" i="13"/>
  <c r="W246" i="13"/>
  <c r="G248" i="13"/>
  <c r="E248" i="13" s="1"/>
  <c r="V246" i="13"/>
  <c r="G251" i="13"/>
  <c r="E251" i="13" s="1"/>
  <c r="G252" i="13"/>
  <c r="E252" i="13" s="1"/>
  <c r="G259" i="13"/>
  <c r="E259" i="13" s="1"/>
  <c r="G260" i="13"/>
  <c r="E260" i="13" s="1"/>
  <c r="H269" i="13"/>
  <c r="F274" i="13"/>
  <c r="G283" i="13"/>
  <c r="E283" i="13" s="1"/>
  <c r="Q291" i="13"/>
  <c r="J291" i="13"/>
  <c r="N291" i="13"/>
  <c r="P291" i="13"/>
  <c r="T117" i="13"/>
  <c r="T116" i="13" s="1"/>
  <c r="T129" i="13"/>
  <c r="G142" i="13"/>
  <c r="E142" i="13" s="1"/>
  <c r="AA16" i="13"/>
  <c r="AA15" i="13" s="1"/>
  <c r="AA14" i="13" s="1"/>
  <c r="H98" i="13"/>
  <c r="I98" i="13"/>
  <c r="K98" i="13"/>
  <c r="M98" i="13"/>
  <c r="O98" i="13"/>
  <c r="T100" i="13"/>
  <c r="G101" i="13"/>
  <c r="T102" i="13"/>
  <c r="Q103" i="13"/>
  <c r="G104" i="13"/>
  <c r="G103" i="13" s="1"/>
  <c r="J103" i="13"/>
  <c r="L103" i="13"/>
  <c r="N103" i="13"/>
  <c r="P103" i="13"/>
  <c r="U106" i="13"/>
  <c r="W106" i="13"/>
  <c r="G108" i="13"/>
  <c r="E108" i="13" s="1"/>
  <c r="U109" i="13"/>
  <c r="W109" i="13"/>
  <c r="G111" i="13"/>
  <c r="E111" i="13" s="1"/>
  <c r="U123" i="13"/>
  <c r="W123" i="13"/>
  <c r="G125" i="13"/>
  <c r="E125" i="13" s="1"/>
  <c r="G127" i="13"/>
  <c r="E127" i="13" s="1"/>
  <c r="G138" i="13"/>
  <c r="V137" i="13"/>
  <c r="X137" i="13"/>
  <c r="Q140" i="13"/>
  <c r="T144" i="13"/>
  <c r="G152" i="13"/>
  <c r="G151" i="13" s="1"/>
  <c r="V151" i="13"/>
  <c r="X151" i="13"/>
  <c r="T225" i="13"/>
  <c r="AC14" i="13"/>
  <c r="AC13" i="13" s="1"/>
  <c r="S98" i="13"/>
  <c r="S97" i="13" s="1"/>
  <c r="S96" i="13" s="1"/>
  <c r="S95" i="13" s="1"/>
  <c r="S14" i="13" s="1"/>
  <c r="S13" i="13" s="1"/>
  <c r="T101" i="13"/>
  <c r="T106" i="13"/>
  <c r="T109" i="13"/>
  <c r="T123" i="13"/>
  <c r="J140" i="13"/>
  <c r="L140" i="13"/>
  <c r="N140" i="13"/>
  <c r="P140" i="13"/>
  <c r="G169" i="13"/>
  <c r="E169" i="13" s="1"/>
  <c r="G156" i="13"/>
  <c r="J154" i="13"/>
  <c r="L154" i="13"/>
  <c r="N154" i="13"/>
  <c r="P154" i="13"/>
  <c r="V154" i="13"/>
  <c r="X154" i="13"/>
  <c r="J158" i="13"/>
  <c r="L158" i="13"/>
  <c r="N158" i="13"/>
  <c r="P158" i="13"/>
  <c r="V158" i="13"/>
  <c r="X158" i="13"/>
  <c r="K158" i="13"/>
  <c r="O158" i="13"/>
  <c r="G167" i="13"/>
  <c r="E167" i="13" s="1"/>
  <c r="G168" i="13"/>
  <c r="E168" i="13" s="1"/>
  <c r="G173" i="13"/>
  <c r="E173" i="13" s="1"/>
  <c r="V172" i="13"/>
  <c r="X172" i="13"/>
  <c r="G182" i="13"/>
  <c r="G181" i="13" s="1"/>
  <c r="V181" i="13"/>
  <c r="X181" i="13"/>
  <c r="G184" i="13"/>
  <c r="E184" i="13" s="1"/>
  <c r="U185" i="13"/>
  <c r="W185" i="13"/>
  <c r="G187" i="13"/>
  <c r="E187" i="13" s="1"/>
  <c r="T198" i="13"/>
  <c r="G204" i="13"/>
  <c r="G203" i="13" s="1"/>
  <c r="G207" i="13"/>
  <c r="E207" i="13" s="1"/>
  <c r="G209" i="13"/>
  <c r="E209" i="13" s="1"/>
  <c r="G211" i="13"/>
  <c r="E211" i="13" s="1"/>
  <c r="J222" i="13"/>
  <c r="L222" i="13"/>
  <c r="N222" i="13"/>
  <c r="P222" i="13"/>
  <c r="K222" i="13"/>
  <c r="O222" i="13"/>
  <c r="J225" i="13"/>
  <c r="L225" i="13"/>
  <c r="N225" i="13"/>
  <c r="P225" i="13"/>
  <c r="V225" i="13"/>
  <c r="X225" i="13"/>
  <c r="K225" i="13"/>
  <c r="O225" i="13"/>
  <c r="G230" i="13"/>
  <c r="E230" i="13" s="1"/>
  <c r="G250" i="13"/>
  <c r="E250" i="13" s="1"/>
  <c r="G253" i="13"/>
  <c r="E253" i="13" s="1"/>
  <c r="G257" i="13"/>
  <c r="E257" i="13" s="1"/>
  <c r="G261" i="13"/>
  <c r="E261" i="13" s="1"/>
  <c r="G265" i="13"/>
  <c r="E265" i="13" s="1"/>
  <c r="G267" i="13"/>
  <c r="E267" i="13" s="1"/>
  <c r="G268" i="13"/>
  <c r="E268" i="13" s="1"/>
  <c r="U269" i="13"/>
  <c r="W269" i="13"/>
  <c r="G271" i="13"/>
  <c r="E271" i="13" s="1"/>
  <c r="G273" i="13"/>
  <c r="E273" i="13" s="1"/>
  <c r="I274" i="13"/>
  <c r="K274" i="13"/>
  <c r="M274" i="13"/>
  <c r="O274" i="13"/>
  <c r="T274" i="13"/>
  <c r="G278" i="13"/>
  <c r="E278" i="13" s="1"/>
  <c r="G280" i="13"/>
  <c r="E280" i="13" s="1"/>
  <c r="G282" i="13"/>
  <c r="E282" i="13" s="1"/>
  <c r="G284" i="13"/>
  <c r="E284" i="13" s="1"/>
  <c r="G288" i="13"/>
  <c r="E288" i="13" s="1"/>
  <c r="T291" i="13"/>
  <c r="G293" i="13"/>
  <c r="E293" i="13" s="1"/>
  <c r="G298" i="13"/>
  <c r="E298" i="13" s="1"/>
  <c r="G300" i="13"/>
  <c r="E300" i="13" s="1"/>
  <c r="AB302" i="13"/>
  <c r="AB301" i="13" s="1"/>
  <c r="AA302" i="13"/>
  <c r="E302" i="13" s="1"/>
  <c r="T113" i="13"/>
  <c r="T133" i="13"/>
  <c r="T151" i="13"/>
  <c r="G141" i="13"/>
  <c r="E141" i="13" s="1"/>
  <c r="V140" i="13"/>
  <c r="F158" i="13"/>
  <c r="Q98" i="13"/>
  <c r="F103" i="13"/>
  <c r="H103" i="13"/>
  <c r="R105" i="13"/>
  <c r="R103" i="13" s="1"/>
  <c r="R97" i="13" s="1"/>
  <c r="R96" i="13" s="1"/>
  <c r="R95" i="13" s="1"/>
  <c r="R14" i="13" s="1"/>
  <c r="R13" i="13" s="1"/>
  <c r="Q106" i="13"/>
  <c r="Q109" i="13"/>
  <c r="F113" i="13"/>
  <c r="H113" i="13"/>
  <c r="F117" i="13"/>
  <c r="H117" i="13"/>
  <c r="H116" i="13" s="1"/>
  <c r="Q123" i="13"/>
  <c r="F129" i="13"/>
  <c r="H129" i="13"/>
  <c r="Q133" i="13"/>
  <c r="F137" i="13"/>
  <c r="H137" i="13"/>
  <c r="F140" i="13"/>
  <c r="H140" i="13"/>
  <c r="Q144" i="13"/>
  <c r="Q147" i="13"/>
  <c r="T147" i="13" s="1"/>
  <c r="F151" i="13"/>
  <c r="H151" i="13"/>
  <c r="H154" i="13"/>
  <c r="T181" i="13"/>
  <c r="G159" i="13"/>
  <c r="E159" i="13" s="1"/>
  <c r="H158" i="13"/>
  <c r="F222" i="13"/>
  <c r="F225" i="13"/>
  <c r="F172" i="13"/>
  <c r="H172" i="13"/>
  <c r="F175" i="13"/>
  <c r="H175" i="13"/>
  <c r="Q179" i="13"/>
  <c r="T179" i="13" s="1"/>
  <c r="F181" i="13"/>
  <c r="H181" i="13"/>
  <c r="Q185" i="13"/>
  <c r="T185" i="13" s="1"/>
  <c r="F189" i="13"/>
  <c r="H189" i="13"/>
  <c r="Q193" i="13"/>
  <c r="T193" i="13" s="1"/>
  <c r="Q198" i="13"/>
  <c r="Q201" i="13"/>
  <c r="F203" i="13"/>
  <c r="H203" i="13"/>
  <c r="Q205" i="13"/>
  <c r="F213" i="13"/>
  <c r="H213" i="13"/>
  <c r="G223" i="13"/>
  <c r="H222" i="13"/>
  <c r="G226" i="13"/>
  <c r="H225" i="13"/>
  <c r="G295" i="13"/>
  <c r="E295" i="13" s="1"/>
  <c r="U291" i="13"/>
  <c r="Q233" i="13"/>
  <c r="T233" i="13" s="1"/>
  <c r="Q246" i="13"/>
  <c r="T246" i="13" s="1"/>
  <c r="Q269" i="13"/>
  <c r="T269" i="13" s="1"/>
  <c r="Q274" i="13"/>
  <c r="G301" i="13"/>
  <c r="G225" i="13" l="1"/>
  <c r="G222" i="13"/>
  <c r="G137" i="13"/>
  <c r="E137" i="13" s="1"/>
  <c r="G129" i="13"/>
  <c r="E129" i="13" s="1"/>
  <c r="G113" i="13"/>
  <c r="E113" i="13" s="1"/>
  <c r="AB13" i="13"/>
  <c r="E155" i="13"/>
  <c r="G154" i="13"/>
  <c r="I97" i="13"/>
  <c r="I96" i="13" s="1"/>
  <c r="I95" i="13" s="1"/>
  <c r="I14" i="13" s="1"/>
  <c r="I13" i="13" s="1"/>
  <c r="G133" i="13"/>
  <c r="E133" i="13" s="1"/>
  <c r="G175" i="13"/>
  <c r="E175" i="13" s="1"/>
  <c r="G213" i="13"/>
  <c r="E213" i="13" s="1"/>
  <c r="E203" i="13"/>
  <c r="G189" i="13"/>
  <c r="E189" i="13" s="1"/>
  <c r="E181" i="13"/>
  <c r="G158" i="13"/>
  <c r="E158" i="13" s="1"/>
  <c r="G116" i="13"/>
  <c r="E103" i="13"/>
  <c r="G117" i="13"/>
  <c r="E117" i="13" s="1"/>
  <c r="M97" i="13"/>
  <c r="M96" i="13" s="1"/>
  <c r="M95" i="13" s="1"/>
  <c r="M14" i="13" s="1"/>
  <c r="M13" i="13" s="1"/>
  <c r="E206" i="13"/>
  <c r="G106" i="13"/>
  <c r="E106" i="13" s="1"/>
  <c r="E151" i="13"/>
  <c r="G109" i="13"/>
  <c r="E109" i="13" s="1"/>
  <c r="G98" i="13"/>
  <c r="E98" i="13" s="1"/>
  <c r="F16" i="13"/>
  <c r="E16" i="13" s="1"/>
  <c r="E59" i="13"/>
  <c r="E202" i="13"/>
  <c r="E130" i="13"/>
  <c r="E226" i="13"/>
  <c r="E223" i="13"/>
  <c r="E182" i="13"/>
  <c r="E204" i="13"/>
  <c r="E152" i="13"/>
  <c r="E104" i="13"/>
  <c r="E101" i="13"/>
  <c r="E156" i="13"/>
  <c r="E138" i="13"/>
  <c r="E222" i="13"/>
  <c r="Y97" i="13"/>
  <c r="Y96" i="13" s="1"/>
  <c r="Y95" i="13" s="1"/>
  <c r="Y14" i="13" s="1"/>
  <c r="Y13" i="13" s="1"/>
  <c r="E225" i="13"/>
  <c r="W97" i="13"/>
  <c r="W96" i="13" s="1"/>
  <c r="W95" i="13" s="1"/>
  <c r="W14" i="13" s="1"/>
  <c r="W13" i="13" s="1"/>
  <c r="G274" i="13"/>
  <c r="E274" i="13" s="1"/>
  <c r="G198" i="13"/>
  <c r="E198" i="13" s="1"/>
  <c r="G144" i="13"/>
  <c r="E144" i="13" s="1"/>
  <c r="V97" i="13"/>
  <c r="V96" i="13" s="1"/>
  <c r="V95" i="13" s="1"/>
  <c r="V14" i="13" s="1"/>
  <c r="V13" i="13" s="1"/>
  <c r="G123" i="13"/>
  <c r="E123" i="13" s="1"/>
  <c r="T98" i="13"/>
  <c r="G172" i="13"/>
  <c r="E172" i="13" s="1"/>
  <c r="G179" i="13"/>
  <c r="E179" i="13" s="1"/>
  <c r="U97" i="13"/>
  <c r="U96" i="13" s="1"/>
  <c r="U95" i="13" s="1"/>
  <c r="U14" i="13" s="1"/>
  <c r="U13" i="13" s="1"/>
  <c r="W2" i="13" s="1"/>
  <c r="X97" i="13"/>
  <c r="X96" i="13" s="1"/>
  <c r="X95" i="13" s="1"/>
  <c r="X14" i="13" s="1"/>
  <c r="X13" i="13" s="1"/>
  <c r="G246" i="13"/>
  <c r="E246" i="13" s="1"/>
  <c r="N97" i="13"/>
  <c r="N96" i="13" s="1"/>
  <c r="N95" i="13" s="1"/>
  <c r="N14" i="13" s="1"/>
  <c r="N13" i="13" s="1"/>
  <c r="J97" i="13"/>
  <c r="J96" i="13" s="1"/>
  <c r="J95" i="13" s="1"/>
  <c r="J14" i="13" s="1"/>
  <c r="J13" i="13" s="1"/>
  <c r="P97" i="13"/>
  <c r="P96" i="13" s="1"/>
  <c r="P95" i="13" s="1"/>
  <c r="P14" i="13" s="1"/>
  <c r="P13" i="13" s="1"/>
  <c r="L97" i="13"/>
  <c r="L96" i="13" s="1"/>
  <c r="L95" i="13" s="1"/>
  <c r="L14" i="13" s="1"/>
  <c r="L13" i="13" s="1"/>
  <c r="O97" i="13"/>
  <c r="O96" i="13" s="1"/>
  <c r="O95" i="13" s="1"/>
  <c r="O14" i="13" s="1"/>
  <c r="O13" i="13" s="1"/>
  <c r="K97" i="13"/>
  <c r="K96" i="13" s="1"/>
  <c r="K95" i="13" s="1"/>
  <c r="K14" i="13" s="1"/>
  <c r="K13" i="13" s="1"/>
  <c r="G291" i="13"/>
  <c r="E291" i="13" s="1"/>
  <c r="G292" i="13"/>
  <c r="E292" i="13" s="1"/>
  <c r="G233" i="13"/>
  <c r="E233" i="13" s="1"/>
  <c r="G269" i="13"/>
  <c r="E269" i="13" s="1"/>
  <c r="G193" i="13"/>
  <c r="E193" i="13" s="1"/>
  <c r="G147" i="13"/>
  <c r="E147" i="13" s="1"/>
  <c r="F116" i="13"/>
  <c r="G140" i="13"/>
  <c r="E140" i="13" s="1"/>
  <c r="AA301" i="13"/>
  <c r="AA13" i="13" s="1"/>
  <c r="G185" i="13"/>
  <c r="E185" i="13" s="1"/>
  <c r="H97" i="13"/>
  <c r="Q97" i="13"/>
  <c r="Q96" i="13" s="1"/>
  <c r="Q95" i="13" s="1"/>
  <c r="Q14" i="13" s="1"/>
  <c r="Q13" i="13" s="1"/>
  <c r="T105" i="13"/>
  <c r="T103" i="13" s="1"/>
  <c r="E116" i="13" l="1"/>
  <c r="V2" i="13"/>
  <c r="G97" i="13"/>
  <c r="G96" i="13" s="1"/>
  <c r="G95" i="13" s="1"/>
  <c r="G14" i="13" s="1"/>
  <c r="G13" i="13" s="1"/>
  <c r="E154" i="13"/>
  <c r="T97" i="13"/>
  <c r="T96" i="13" s="1"/>
  <c r="T95" i="13" s="1"/>
  <c r="T14" i="13" s="1"/>
  <c r="T13" i="13" s="1"/>
  <c r="H96" i="13"/>
  <c r="H95" i="13" s="1"/>
  <c r="H14" i="13" s="1"/>
  <c r="H13" i="13" s="1"/>
  <c r="F15" i="13"/>
  <c r="E15" i="13" s="1"/>
  <c r="E301" i="13"/>
  <c r="F97" i="13"/>
  <c r="E97" i="13" l="1"/>
  <c r="F96" i="13"/>
  <c r="E96" i="13" s="1"/>
  <c r="F95" i="13" l="1"/>
  <c r="E95" i="13" s="1"/>
  <c r="F14" i="13" l="1"/>
  <c r="F13" i="13" l="1"/>
  <c r="E13" i="13" s="1"/>
  <c r="E14" i="13"/>
  <c r="D89" i="6" l="1"/>
  <c r="D74" i="6" s="1"/>
  <c r="F84" i="6"/>
  <c r="D32" i="6"/>
  <c r="F32" i="6" l="1"/>
  <c r="C33" i="24"/>
  <c r="F89" i="6"/>
  <c r="C90" i="24"/>
  <c r="D9" i="6"/>
  <c r="C10" i="24" s="1"/>
  <c r="E10" i="24" s="1"/>
  <c r="D68" i="6" l="1"/>
  <c r="C69" i="24" s="1"/>
  <c r="C75" i="24"/>
  <c r="I75" i="24" s="1"/>
  <c r="E90" i="24"/>
  <c r="I90" i="24"/>
  <c r="E33" i="24"/>
  <c r="K33" i="24" s="1"/>
  <c r="I33" i="24"/>
  <c r="D8" i="6"/>
  <c r="C9" i="24" s="1"/>
  <c r="E9" i="24" s="1"/>
  <c r="E8" i="1"/>
  <c r="E7" i="1"/>
  <c r="E6" i="1"/>
  <c r="E5" i="1"/>
  <c r="F23" i="1"/>
  <c r="E24" i="1" s="1"/>
  <c r="E25" i="1" s="1"/>
  <c r="E26" i="1" s="1"/>
  <c r="E27" i="1" s="1"/>
  <c r="E18" i="1"/>
  <c r="E16" i="1"/>
  <c r="E17" i="1"/>
  <c r="E15" i="1"/>
  <c r="G15" i="1"/>
  <c r="G16" i="1"/>
  <c r="G17" i="1"/>
  <c r="G18" i="1"/>
  <c r="G14" i="1"/>
  <c r="K90" i="24" l="1"/>
  <c r="E75" i="24"/>
  <c r="I69" i="24"/>
  <c r="F74" i="6"/>
  <c r="F68" i="6"/>
  <c r="F4" i="1"/>
  <c r="F14" i="1"/>
  <c r="H15" i="1"/>
  <c r="H18" i="1"/>
  <c r="H16" i="1"/>
  <c r="H17" i="1"/>
  <c r="K75" i="24" l="1"/>
  <c r="E69" i="24"/>
  <c r="K69" i="24" s="1"/>
  <c r="D35" i="6"/>
  <c r="C36" i="24" s="1"/>
  <c r="E36" i="24" s="1"/>
  <c r="K36" i="24" s="1"/>
  <c r="I16" i="1"/>
  <c r="D31" i="6" l="1"/>
  <c r="D7" i="6" l="1"/>
  <c r="C8" i="24" s="1"/>
  <c r="E8" i="24" s="1"/>
  <c r="C32" i="24"/>
  <c r="E32" i="24" s="1"/>
  <c r="K32" i="24" s="1"/>
  <c r="J37" i="24"/>
  <c r="J36" i="24" l="1"/>
  <c r="G32" i="24" l="1"/>
  <c r="I37" i="24"/>
  <c r="F32" i="24"/>
  <c r="F37" i="6"/>
  <c r="G8" i="24" l="1"/>
  <c r="J32" i="24"/>
  <c r="I32" i="24"/>
  <c r="I36" i="24"/>
  <c r="F11" i="6"/>
  <c r="F36" i="6"/>
  <c r="J8" i="24" l="1"/>
  <c r="F10" i="6"/>
  <c r="F35" i="6"/>
  <c r="E8" i="6" l="1"/>
  <c r="F9" i="6"/>
  <c r="F31" i="6"/>
  <c r="E7" i="6" l="1"/>
  <c r="F8" i="6"/>
  <c r="F7" i="6"/>
  <c r="K35" i="24"/>
  <c r="K34" i="24"/>
  <c r="I34" i="24"/>
  <c r="I9" i="6" l="1"/>
  <c r="F8" i="24"/>
  <c r="H8" i="24" s="1"/>
  <c r="I35" i="24"/>
  <c r="K19" i="24"/>
  <c r="I19" i="24" l="1"/>
  <c r="K12" i="24" l="1"/>
  <c r="I12" i="24"/>
  <c r="K17" i="24" l="1"/>
  <c r="I17" i="24"/>
  <c r="H11" i="24" l="1"/>
  <c r="K11" i="24" l="1"/>
  <c r="I11" i="24"/>
  <c r="H10" i="24"/>
  <c r="H9" i="24" l="1"/>
  <c r="K10" i="24"/>
  <c r="I9" i="24"/>
  <c r="I10" i="24"/>
  <c r="K9" i="24" l="1"/>
  <c r="K8" i="24" l="1"/>
  <c r="I8" i="24" l="1"/>
</calcChain>
</file>

<file path=xl/comments1.xml><?xml version="1.0" encoding="utf-8"?>
<comments xmlns="http://schemas.openxmlformats.org/spreadsheetml/2006/main">
  <authors>
    <author>Author</author>
  </authors>
  <commentList>
    <comment ref="A117" authorId="0" shapeId="0">
      <text>
        <r>
          <rPr>
            <b/>
            <sz val="9"/>
            <color indexed="81"/>
            <rFont val="Tahoma"/>
            <family val="2"/>
          </rPr>
          <t xml:space="preserve">Author:
</t>
        </r>
      </text>
    </comment>
  </commentList>
</comments>
</file>

<file path=xl/comments2.xml><?xml version="1.0" encoding="utf-8"?>
<comments xmlns="http://schemas.openxmlformats.org/spreadsheetml/2006/main">
  <authors>
    <author>Author</author>
  </authors>
  <commentList>
    <comment ref="B108" authorId="0" shapeId="0">
      <text>
        <r>
          <rPr>
            <b/>
            <sz val="8"/>
            <color indexed="81"/>
            <rFont val="Tahoma"/>
            <family val="2"/>
          </rPr>
          <t>Author:</t>
        </r>
        <r>
          <rPr>
            <sz val="8"/>
            <color indexed="81"/>
            <rFont val="Tahoma"/>
            <family val="2"/>
          </rPr>
          <t xml:space="preserve">
TT QH và kiểm định CL CTXD giao tự chủ 100% từ 2011</t>
        </r>
      </text>
    </comment>
    <comment ref="B111" authorId="0" shapeId="0">
      <text>
        <r>
          <rPr>
            <b/>
            <sz val="8"/>
            <color indexed="81"/>
            <rFont val="Tahoma"/>
            <family val="2"/>
          </rPr>
          <t>Author:</t>
        </r>
        <r>
          <rPr>
            <sz val="8"/>
            <color indexed="81"/>
            <rFont val="Tahoma"/>
            <family val="2"/>
          </rPr>
          <t xml:space="preserve">
Chưa bao gồm từ 10% TSĐ 8,210tr
</t>
        </r>
      </text>
    </comment>
    <comment ref="B183" authorId="0" shapeId="0">
      <text>
        <r>
          <rPr>
            <b/>
            <sz val="8"/>
            <color indexed="81"/>
            <rFont val="Tahoma"/>
            <family val="2"/>
          </rPr>
          <t>Author:</t>
        </r>
        <r>
          <rPr>
            <sz val="8"/>
            <color indexed="81"/>
            <rFont val="Tahoma"/>
            <family val="2"/>
          </rPr>
          <t xml:space="preserve">
Chi 3 kỳ họp, Giao ban, PC đại biểu, họp QH, tiếp xúc cử tri, trang phục 1,520tr, khác 2,580tr
</t>
        </r>
      </text>
    </comment>
  </commentList>
</comments>
</file>

<file path=xl/sharedStrings.xml><?xml version="1.0" encoding="utf-8"?>
<sst xmlns="http://schemas.openxmlformats.org/spreadsheetml/2006/main" count="2449" uniqueCount="1054">
  <si>
    <t>Thu nội địa</t>
  </si>
  <si>
    <t>tỷ lệ thu tiền sd đất trong tổng thu NSNN</t>
  </si>
  <si>
    <t>2016-2020</t>
  </si>
  <si>
    <t>Giai đoạn</t>
  </si>
  <si>
    <t>2021-2025</t>
  </si>
  <si>
    <t>tốc độ tăng tỷ lệ tiền sd đất trong tổng thu NSNN</t>
  </si>
  <si>
    <t>Tỷ lệ tăng thu NSNN nội địa so với năm liền kề</t>
  </si>
  <si>
    <t>Tốc độ tăng trưởng bình quân thu nội địa (%)</t>
  </si>
  <si>
    <t>Chênh lệch tăng so với giai đoạn liền trước</t>
  </si>
  <si>
    <t>2026-2031</t>
  </si>
  <si>
    <t>2031-2035</t>
  </si>
  <si>
    <t>2036-2040</t>
  </si>
  <si>
    <t>2041-2045</t>
  </si>
  <si>
    <t>Tốc độ tăng trưởng trung bình giai đoạn</t>
  </si>
  <si>
    <t>Năm</t>
  </si>
  <si>
    <t>Giai đoạn 2016-2020</t>
  </si>
  <si>
    <t>STT</t>
  </si>
  <si>
    <t>Nội dung (1)</t>
  </si>
  <si>
    <t>Dự toán</t>
  </si>
  <si>
    <t>Quyết toán</t>
  </si>
  <si>
    <t>So sánh</t>
  </si>
  <si>
    <t>Tuyệt đối</t>
  </si>
  <si>
    <t>Tương đối (%)</t>
  </si>
  <si>
    <t>A</t>
  </si>
  <si>
    <t>B</t>
  </si>
  <si>
    <t>3=2-1</t>
  </si>
  <si>
    <t>4=2/1</t>
  </si>
  <si>
    <t>TỔNG NGUỒN THU NSĐP</t>
  </si>
  <si>
    <t>I</t>
  </si>
  <si>
    <t>Thu NSĐP được hưởng theo phân cấp</t>
  </si>
  <si>
    <t>-</t>
  </si>
  <si>
    <t>Thu NSĐP hưởng 100%</t>
  </si>
  <si>
    <t>Thu NSĐP hưởng từ các khoản thu phân chia</t>
  </si>
  <si>
    <t>II</t>
  </si>
  <si>
    <t xml:space="preserve">Thu bổ sung từ ngân sách cấp trên </t>
  </si>
  <si>
    <t>Thu bổ sung cân đối ngân sách</t>
  </si>
  <si>
    <t>Thu bổ sung có mục tiêu</t>
  </si>
  <si>
    <t>III</t>
  </si>
  <si>
    <t>Thu từ quỹ dự trữ tài chính</t>
  </si>
  <si>
    <t>IV</t>
  </si>
  <si>
    <t>V</t>
  </si>
  <si>
    <t>Thu chuyển nguồn từ năm trước chuyển sang</t>
  </si>
  <si>
    <t>TỔNG CHI NSĐP</t>
  </si>
  <si>
    <t>Chi đầu tư phát triển</t>
  </si>
  <si>
    <t>Chi thường xuyên</t>
  </si>
  <si>
    <t>Chi bổ sung quỹ dự trữ tài chính</t>
  </si>
  <si>
    <t>Dự phòng ngân sách</t>
  </si>
  <si>
    <t>Chi các chương trình mục tiêu</t>
  </si>
  <si>
    <t>Chi các chương trình mục tiêu quốc gia</t>
  </si>
  <si>
    <t>Chi các chương trình mục tiêu, nhiệm vụ</t>
  </si>
  <si>
    <t>Chi chuyển nguồn sang năm sau</t>
  </si>
  <si>
    <t>C</t>
  </si>
  <si>
    <t>D</t>
  </si>
  <si>
    <t>CHI TRẢ NỢ GỐC CỦA NSĐP</t>
  </si>
  <si>
    <t>Từ nguồn vay để trả nợ gốc</t>
  </si>
  <si>
    <t>Từ nguồn bội thu, tăng thu, tiết kiệm chi, kết dư ngân sách cấp tỉnh</t>
  </si>
  <si>
    <t>E</t>
  </si>
  <si>
    <t>TỔNG MỨC VAY CỦA NSĐP</t>
  </si>
  <si>
    <t>Vay để bù đắp bội chi</t>
  </si>
  <si>
    <t>Vay để trả nợ gốc</t>
  </si>
  <si>
    <t>G</t>
  </si>
  <si>
    <t>TỔNG MỨC DƯ NỢ VAY CUỐI NĂM CỦA NSĐP</t>
  </si>
  <si>
    <t>Đơn vị: Triệu đồng</t>
  </si>
  <si>
    <t>Nội dung</t>
  </si>
  <si>
    <t>So sánh (%)</t>
  </si>
  <si>
    <t>Tổng thu NSNN</t>
  </si>
  <si>
    <t>Thu NSĐP</t>
  </si>
  <si>
    <t>5=3/1</t>
  </si>
  <si>
    <t>6=4/2</t>
  </si>
  <si>
    <t>TỔNG NGUỒN THU NSNN (A+B+C+D)</t>
  </si>
  <si>
    <t>TỔNG THU CÂN ĐỐI NSNN</t>
  </si>
  <si>
    <t>Thu từ khu vực DNNN do trung ương quản lý (1)</t>
  </si>
  <si>
    <t>(Chi tiết theo sắc thuế)</t>
  </si>
  <si>
    <t>Thu từ khu vực DNNN do địa phương quản lý (2)</t>
  </si>
  <si>
    <t>Thu từ khu vực doanh nghiệp có vốn đầu tư nước ngoài (3)</t>
  </si>
  <si>
    <t>Thu từ khu vực kinh tế ngoài quốc doanh (4)</t>
  </si>
  <si>
    <t>Thuế thu nhập cá nhân</t>
  </si>
  <si>
    <t>Thuế bảo vệ môi trường</t>
  </si>
  <si>
    <t>Lệ phí trước bạ</t>
  </si>
  <si>
    <t xml:space="preserve">Thu phí, lệ phí </t>
  </si>
  <si>
    <t>Phí và lệ phí trung ương</t>
  </si>
  <si>
    <t>Phí và lệ phí tỉnh</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</si>
  <si>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</si>
  <si>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</si>
  <si>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</si>
  <si>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</si>
  <si>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</si>
  <si>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</si>
  <si>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</si>
  <si>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</si>
  <si>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</si>
  <si>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</si>
  <si>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</si>
  <si>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(5)</t>
  </si>
  <si>
    <t>Lợi nhuận được chia của Nhà nước và lợi nhuận sau thuế còn lại sau khi trích lập các quỹ của doanh nghiệp nhà nước (5)</t>
  </si>
  <si>
    <t>Chênh lệch thu chi Ngân hàng Nhà nước (5)</t>
  </si>
  <si>
    <t>Thu từ dầu thô</t>
  </si>
  <si>
    <t xml:space="preserve">Thu từ hoạt động xuất nhập khẩu </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</si>
  <si>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</si>
  <si>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</si>
  <si>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</si>
  <si>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</si>
  <si>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</si>
  <si>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khác</t>
  </si>
  <si>
    <t>THU KẾT DƯ NĂM TRƯỚC</t>
  </si>
  <si>
    <t>THU CHUYỂN NGUỒN TỪ NĂM TRƯỚC CHUYỂN SANG</t>
  </si>
  <si>
    <t>Ghi chú:</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</si>
  <si>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</si>
  <si>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</si>
  <si>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</si>
  <si>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 trừ các doanh nghiệp nhà nước do trung ương, địa phương quản lý, doanh nghiệp có vốn đầu tư nước ngoài nêu trên.</t>
  </si>
  <si>
    <t>(5) Thu ngân sách nhà nước trên địa bàn, thu ngân sách địa phương cấp huyện, xã không có thu từ cổ tức, lợi nhuận được chia của Nhà nước và lợi nhuận sau thuế còn lại sau khi trích lập các quỹ của doanh nghiệp nhà nước, chênh lệch thu, chi Ngân hàng Nhà nước, thu từ dầu thô, thu từ hoạt động xuất, nhập khẩu. Thu chênh lệch thu, chi Ngân hàng Nhà nước chỉ áp dụng đối với thành phố Hà Nội.</t>
  </si>
  <si>
    <t>3=2/1</t>
  </si>
  <si>
    <t>TỔNG CHI NGÂN SÁCH ĐỊA PHƯƠNG</t>
  </si>
  <si>
    <t>CHI CÂN ĐỐI NGÂN SÁCH ĐỊA PHƯƠNG</t>
  </si>
  <si>
    <t xml:space="preserve">Chi đầu tư cho các dự án </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</si>
  <si>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</si>
  <si>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</si>
  <si>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</si>
  <si>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</si>
  <si>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</si>
  <si>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</si>
  <si>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</si>
  <si>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</si>
  <si>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</si>
  <si>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khoa học và công nghệ</t>
  </si>
  <si>
    <t>VI</t>
  </si>
  <si>
    <t>CHI CÁC CHƯƠNG TRÌNH MỤC TIÊU</t>
  </si>
  <si>
    <t xml:space="preserve">Chi các chương trình mục tiêu, nhiệm vụ </t>
  </si>
  <si>
    <t>CHI CHUYỂN NGUỒN SANG NĂM SAU</t>
  </si>
  <si>
    <t>CHI BỔ SUNG CÂN ĐỐI CHO NGÂN SÁCH CẤP DƯỚI (1)</t>
  </si>
  <si>
    <t>CHI NGÂN SÁCH CẤP TỈNH (HUYỆN, XÃ) THEO LĨNH VỰC</t>
  </si>
  <si>
    <t xml:space="preserve">Chi đầu tư phát triển </t>
  </si>
  <si>
    <t>Chi đầu tư cho các dự án</t>
  </si>
  <si>
    <t>Chi quốc phòng</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</si>
  <si>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</si>
  <si>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</si>
  <si>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</si>
  <si>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</si>
  <si>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</si>
  <si>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</si>
  <si>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</si>
  <si>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</si>
  <si>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khoa học và công nghệ (2)</t>
  </si>
  <si>
    <t>Chi thường xuyên khác</t>
  </si>
  <si>
    <t>Chi bổ sung quỹ dự trữ tài chính (2)</t>
  </si>
  <si>
    <t>(2) Theo quy định tại Điều 7, Điều 11 và Điều 39 Luật NSNN, ngân sách huyện, xã không có nhiệm vụ chi nghiên cứu khoa học và công nghệ, chi trả lãi vay, chi bổ sung quỹ dự trữ tài chính.</t>
  </si>
  <si>
    <t>Bao gồm</t>
  </si>
  <si>
    <t>Ngân sách địa phương</t>
  </si>
  <si>
    <t>1=2+3</t>
  </si>
  <si>
    <t>4=5+6</t>
  </si>
  <si>
    <t>7=4/1</t>
  </si>
  <si>
    <t>8=5/2</t>
  </si>
  <si>
    <t>9=6/3</t>
  </si>
  <si>
    <t>CHI CÂN ĐỐI NSĐP</t>
  </si>
  <si>
    <t>Tổng số</t>
  </si>
  <si>
    <t>…</t>
  </si>
  <si>
    <t>TỔNG SỐ</t>
  </si>
  <si>
    <t>CÁC CƠ QUAN, TỔ CHỨC</t>
  </si>
  <si>
    <t>VII</t>
  </si>
  <si>
    <t>Chi CTMTQG</t>
  </si>
  <si>
    <t>Trong đó</t>
  </si>
  <si>
    <t>Chi giáo dục đào tạo dạy nghề</t>
  </si>
  <si>
    <t>Chi khoa học và công nghệ (3)</t>
  </si>
  <si>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</si>
  <si>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</si>
  <si>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So sách (%)</t>
  </si>
  <si>
    <t>Bổ sung cân đối ngân sách</t>
  </si>
  <si>
    <t>Bổ sung có mục tiêu</t>
  </si>
  <si>
    <t>Gồm</t>
  </si>
  <si>
    <t>Vốn đầu tư để thực hiện các CTMT, nhiệm vụ</t>
  </si>
  <si>
    <t>Vốn sự nghiệp thực hiện các chế độ, chính sách</t>
  </si>
  <si>
    <t>Vốn thực hiện các CTMT quốc gia</t>
  </si>
  <si>
    <t>Vốn ngoài nước</t>
  </si>
  <si>
    <t>Vốn trong nước</t>
  </si>
  <si>
    <t>3=4+5</t>
  </si>
  <si>
    <t>11=12+13</t>
  </si>
  <si>
    <t>17=9/1</t>
  </si>
  <si>
    <t>18=10/2</t>
  </si>
  <si>
    <t>19=11/3</t>
  </si>
  <si>
    <t>20=12/4</t>
  </si>
  <si>
    <t>21=13/5</t>
  </si>
  <si>
    <t>22=14/6</t>
  </si>
  <si>
    <t>23=15/7</t>
  </si>
  <si>
    <t>24=16/8</t>
  </si>
  <si>
    <t>Đầu tư phát triển</t>
  </si>
  <si>
    <t>Kinh phí sự nghiệp</t>
  </si>
  <si>
    <r>
      <t>Ghi chú:</t>
    </r>
    <r>
      <rPr>
        <i/>
        <sz val="10"/>
        <color rgb="FF000000"/>
        <rFont val="Times New Roman"/>
        <family val="1"/>
      </rPr>
      <t xml:space="preserve"> (1) Theo quy định tại Điều 7, Điều 39 Luật NSNN, ngân sách huyện, xã không có nhiệm vụ chi nghiên cứu khoa học và công nghệ.</t>
    </r>
  </si>
  <si>
    <t>1.1</t>
  </si>
  <si>
    <t>1.2</t>
  </si>
  <si>
    <t>1.3</t>
  </si>
  <si>
    <t>+</t>
  </si>
  <si>
    <t>Thuế giá trị gia tăng</t>
  </si>
  <si>
    <t>Thuế thu nhập doanh nghiệp</t>
  </si>
  <si>
    <t>Thuế tài nguyên</t>
  </si>
  <si>
    <t>Thuế tài nguyên nước</t>
  </si>
  <si>
    <t>Thuế tài nguyên khác</t>
  </si>
  <si>
    <t>2.1</t>
  </si>
  <si>
    <t>2.2</t>
  </si>
  <si>
    <t>2.3</t>
  </si>
  <si>
    <t>Thuế tài nguyên rừng</t>
  </si>
  <si>
    <t>3.2</t>
  </si>
  <si>
    <t>3.1</t>
  </si>
  <si>
    <t>4.1</t>
  </si>
  <si>
    <t>4.2</t>
  </si>
  <si>
    <t>4.3</t>
  </si>
  <si>
    <t>Thuế TTĐB hàng nội địa</t>
  </si>
  <si>
    <t>4.4</t>
  </si>
  <si>
    <t>Chương trình MTQG NTM</t>
  </si>
  <si>
    <t>Chương trình MTQG giảm nghèo bền vững</t>
  </si>
  <si>
    <t>II.1</t>
  </si>
  <si>
    <t>Bổ sung vốn đầu tư</t>
  </si>
  <si>
    <t>Vốn nước ngoài</t>
  </si>
  <si>
    <t>II.2</t>
  </si>
  <si>
    <t xml:space="preserve">Bổ sung mục tiêu vốn sự nghiệp </t>
  </si>
  <si>
    <t>1.4</t>
  </si>
  <si>
    <t xml:space="preserve">Học bổng học sinh dân tộc nội trú; học bổng và phương tiện học tập cho học sinh khuyết tật; hỗ trợ chi phí học tập cho sinh viên dân tộc thiểu số thuộc hộ nghèo, hộ cận nghèo; chính sách nội trú đối với học sinh, sinh viên học cao đẳng, trung cấp </t>
  </si>
  <si>
    <t>5.1</t>
  </si>
  <si>
    <t>5.2</t>
  </si>
  <si>
    <t>5.3</t>
  </si>
  <si>
    <t>Học bổng học sinh dân tộc nội trú</t>
  </si>
  <si>
    <t>Học bổng và phương tiện học tập cho học sinh khuyết tật TTLT 42</t>
  </si>
  <si>
    <t xml:space="preserve">Chính sách nội trú đối với học sinh, sinh viên học cao đẳng, trung cấp </t>
  </si>
  <si>
    <t>6.1</t>
  </si>
  <si>
    <t>6.2</t>
  </si>
  <si>
    <t>6.3</t>
  </si>
  <si>
    <t>Hỗ trợ kinh phí đào tạo cán bộ quân sự cấp xã</t>
  </si>
  <si>
    <t>Kinh phí thực hiện đề án giảm thiểu hôn nhân cận huyết thống</t>
  </si>
  <si>
    <t>Hỗ trợ kinh phí mua thẻ BHYT người nghèo, người sống ở vùng kinh tế xã hội ĐBKK, người dân tộc thiểu số sống ở vùng KT-XH khó khăn</t>
  </si>
  <si>
    <t>Hỗ trợ kinh phí mua thẻ BHYT cho trẻ em dưới 6 tuổi</t>
  </si>
  <si>
    <t xml:space="preserve">Hỗ trợ kinh phí mua thẻ BHYT cho các đối tượng </t>
  </si>
  <si>
    <t>Hỗ trợ kinh phí mua thẻ BHYT cho các đối tượng cựu chiến binh, thanh niên xung phong</t>
  </si>
  <si>
    <t>Hỗ trợ kinh phí mua thẻ BHYT cho các đối tượng bảo trợ xã hội</t>
  </si>
  <si>
    <t>Hỗ trợ kinh phí mua thẻ BHYT cho các đối tượng học sinh, sinh viên (Cấp KP trực tiếp về BHXH tỉnh)</t>
  </si>
  <si>
    <t>Hỗ trợ kinh phí mua thẻ BHYT cho các đối tượng cận nghèo (Cấp KP trực tiếp về BHXH tỉnh)</t>
  </si>
  <si>
    <t>Hỗ trợ thực hiện chính sách đối với đối tượng bảo trợ xã hội; hỗ trợ tiền điện hộ nghèo, hộ chính sách xã hội; trợ giá trực tiếp cho người dân tộc thiểu số nghèo ở vùng khó khăn; hỗ trợ chính sách đối với người có uy tín trong đồng bào dân tộc thiểu số; hỗ trợ tổ chức, đơn vị sử dụng lao động là người dân tộc thiểu số</t>
  </si>
  <si>
    <t>Hỗ trợ thực hiện chính sách đối với đối tượng bảo trợ xã hội theo NĐ 136</t>
  </si>
  <si>
    <t xml:space="preserve"> Hỗ trợ tiền điện hộ nghèo, hộ chính sách xã hội</t>
  </si>
  <si>
    <t>Hỗ trợ chính sách đối với người có uy tín trong đồng bào dân tộc thiểu số</t>
  </si>
  <si>
    <t>Hỗ trợ tổ chức đơn vị sử dụng lao động là người dân tộc thiểu số</t>
  </si>
  <si>
    <t>Kinh phí quản lý, bảo trì đường bộ cho các quỹ bảo trì đường bộ địa phương</t>
  </si>
  <si>
    <t>a</t>
  </si>
  <si>
    <t>b</t>
  </si>
  <si>
    <t>c</t>
  </si>
  <si>
    <t>Chương trình mục tiêu ứng phó với biến đổi khí hậu và tăng trưởng xanh</t>
  </si>
  <si>
    <t>Sở Kế hoạch và Đầu tư</t>
  </si>
  <si>
    <t>Sở Nông nghiệp và PTNT</t>
  </si>
  <si>
    <t>Sở Văn hóa, Thể thao và Du lịch</t>
  </si>
  <si>
    <t>Sở Y tế</t>
  </si>
  <si>
    <t>Sở Giáo dục và Đào tạo</t>
  </si>
  <si>
    <t>Chi cục Thú y</t>
  </si>
  <si>
    <t>Đài Phát thanh và Truyền hình tỉnh</t>
  </si>
  <si>
    <t>Ban quản lý các dự án 98</t>
  </si>
  <si>
    <t>Các chủ đầu tư</t>
  </si>
  <si>
    <t>UBND huyện Ia H'Drai</t>
  </si>
  <si>
    <t>Sở GTVT và các đơn vị trực thuộc</t>
  </si>
  <si>
    <t>Sở Xây dựng và các đơn vị trực thuộc</t>
  </si>
  <si>
    <t>Sở NN và PT nông thôn</t>
  </si>
  <si>
    <t>Chi quản lý hành chính</t>
  </si>
  <si>
    <t>Chi sự nghiệp nông nghiệp</t>
  </si>
  <si>
    <t xml:space="preserve"> Chi sự nghiệp lâm nghiệp</t>
  </si>
  <si>
    <t xml:space="preserve">Sự nghiệp thuỷ lợi </t>
  </si>
  <si>
    <t xml:space="preserve">Chi quản lý hành chính </t>
  </si>
  <si>
    <t>Chi sự nghiệp giao thông</t>
  </si>
  <si>
    <t>Chi sự nghiệp xây dựng</t>
  </si>
  <si>
    <t>Sở Tài  nguyên MT và các ĐV trực thuộc</t>
  </si>
  <si>
    <t>Sự nghiệp địa chính</t>
  </si>
  <si>
    <t>Chi sự nghiệp môi trường</t>
  </si>
  <si>
    <t>Sở Công Thương và các ĐV trực thuộc</t>
  </si>
  <si>
    <t>Sự nghiệp kinh tế</t>
  </si>
  <si>
    <t>Chi  giáo dục - Đào tạo ngành Giáo dục</t>
  </si>
  <si>
    <t xml:space="preserve"> Sở Giáo dục đào tạo</t>
  </si>
  <si>
    <t>Chi sự  nghiệp giáo dục</t>
  </si>
  <si>
    <t>Chi sự nghiệp đào tạo</t>
  </si>
  <si>
    <t>KP đối ứng CTMT, QĐ 124, sắp xếp bộ máy các trường ĐT, sắp xếp theo NQ 18,19; biên chế theo VTVL, 168/CP và SNGD khác</t>
  </si>
  <si>
    <t>Chi đào tạo bồi dưỡng CBCC, hỗ trợ đào tạo, thu hút cán bộ (Chi tiết tại biểu số 06b/UB)</t>
  </si>
  <si>
    <t>Sự nghiệp y tế</t>
  </si>
  <si>
    <t>Sự nghiệp đào tạo</t>
  </si>
  <si>
    <t>Sự nghiệp giáo dục</t>
  </si>
  <si>
    <t>Bổ sung Quỹ khám chữa bệnh</t>
  </si>
  <si>
    <t xml:space="preserve"> Văn hoá Thể thao và Du lịch</t>
  </si>
  <si>
    <t xml:space="preserve">Chi quản lý hành chính VP Sở </t>
  </si>
  <si>
    <t>Sự nghiệp văn hóa</t>
  </si>
  <si>
    <t>Sự nghiệp TDTT</t>
  </si>
  <si>
    <t>Sở LĐ TB-XH và các đơn vị trực thuộc</t>
  </si>
  <si>
    <t>Sự nghiệp đảm bảo xã hội</t>
  </si>
  <si>
    <t>BHYT người nghèo và TE dưới 6 tuổi</t>
  </si>
  <si>
    <t>Sở Tư pháp và các đơn vị trực thuộc</t>
  </si>
  <si>
    <t>Chi hành chính</t>
  </si>
  <si>
    <t>Chi sự nghiệp đảm bảo xã hội</t>
  </si>
  <si>
    <t>VP Tỉnh Uỷ và các đơn vị trực thuộc Tỉnh Uỷ</t>
  </si>
  <si>
    <t>Sở Kh. học và CN và các ĐV trực thuộc</t>
  </si>
  <si>
    <t>Chi sự nghiệp khoa học và công nghệ</t>
  </si>
  <si>
    <t>Tỉnh đoàn và các đơn vị trực thuộc</t>
  </si>
  <si>
    <t>Sở Thông tin và truyền thông</t>
  </si>
  <si>
    <t>Chi sự nghiệp kinh tế</t>
  </si>
  <si>
    <t xml:space="preserve">Ban QL Khu Kinh tế  </t>
  </si>
  <si>
    <t xml:space="preserve">Chi sự nghiệp kinh tế </t>
  </si>
  <si>
    <t>Chi Sự nghiệp môi trường</t>
  </si>
  <si>
    <t>Sở Nội vụ</t>
  </si>
  <si>
    <t>BQL dự án RALG Kon Tum</t>
  </si>
  <si>
    <t>Vườn quốc gia Chư Mo Ray</t>
  </si>
  <si>
    <t>Kinh phí hợp nhất thành lập trường Cao đẳng Cộng đồng</t>
  </si>
  <si>
    <t>Trường Chính trị</t>
  </si>
  <si>
    <t>Đài phát thanh - Truyền hình</t>
  </si>
  <si>
    <t>Ban bảo vệ sức khoẻ cán bộ</t>
  </si>
  <si>
    <t>Ban Dân tộc</t>
  </si>
  <si>
    <t>Sở Ngọai vụ</t>
  </si>
  <si>
    <t>Chi quản lý hành chính Văn phòng Sở</t>
  </si>
  <si>
    <t>Chi sự nghiệp kinh tế - Kinh phí biên giới</t>
  </si>
  <si>
    <t xml:space="preserve">  Đoàn ra đoàn vào theo chủ trương UBND tỉnh</t>
  </si>
  <si>
    <t>Thanh tra nhà nước</t>
  </si>
  <si>
    <t>VP Đoàn ĐBQH và  HĐND tỉnh</t>
  </si>
  <si>
    <t>Hoạt động Hội đồng nhân dân</t>
  </si>
  <si>
    <t>Hỗ trợ hoạt động Đoàn đại biểu quốc hội</t>
  </si>
  <si>
    <t>Sở Kế hoạch  và Đầu tư</t>
  </si>
  <si>
    <t xml:space="preserve">Chi quản lý hành chính  </t>
  </si>
  <si>
    <t>Sở Tài chính</t>
  </si>
  <si>
    <t>VP Uỷ ban nhân dân tỉnh</t>
  </si>
  <si>
    <t>Hội Cựu chiến binh</t>
  </si>
  <si>
    <t>Hội Nông dân</t>
  </si>
  <si>
    <t>Uỷ ban mặt trận tổ quốc</t>
  </si>
  <si>
    <t>Hội liên hiệp phụ nữ tỉnh</t>
  </si>
  <si>
    <t>Công an tỉnh</t>
  </si>
  <si>
    <t>Bộ chỉ huy quân sự tỉnh</t>
  </si>
  <si>
    <t>Bộ chỉ huy biên phòng</t>
  </si>
  <si>
    <t>Hỗ trợ kinh phí người cao tuổi</t>
  </si>
  <si>
    <t>Hội nạn nhân ảnh hưởng chất độc da cam dioxin</t>
  </si>
  <si>
    <t>Hội người tàn tật và trẻ em mồ côi</t>
  </si>
  <si>
    <t>Hội khuyến học</t>
  </si>
  <si>
    <t>Ban liên lạc tù chính trị</t>
  </si>
  <si>
    <t>Hội nhà báo</t>
  </si>
  <si>
    <t>Hội liên hiệp KH và kỹ thuật và các Hội thành viên</t>
  </si>
  <si>
    <t>Hỗ trợ chi hoạt động thường xuyên</t>
  </si>
  <si>
    <t>Chi SN KHCN</t>
  </si>
  <si>
    <t>Hội Cựu Thanh niên xung phong</t>
  </si>
  <si>
    <t>Hội Văn học Nghệ thuật</t>
  </si>
  <si>
    <t>Hội HN Việt Nam -Lào, Việt nam - CamPuchia</t>
  </si>
  <si>
    <t>Hội liên lạc người Việt Nam ở nước ngoài</t>
  </si>
  <si>
    <t>Hội Luật gia</t>
  </si>
  <si>
    <t xml:space="preserve">Hội chữ thập đỏ </t>
  </si>
  <si>
    <t>Liên minh các Hợp tác xã</t>
  </si>
  <si>
    <t>Chi hoạt động bộ máy</t>
  </si>
  <si>
    <t>Các Hội đặc thù khác</t>
  </si>
  <si>
    <t>Hội Cựu giáo chức</t>
  </si>
  <si>
    <t>Hội Giáo dục sức khỏe cộng đồng</t>
  </si>
  <si>
    <t>Hội bóng bàn</t>
  </si>
  <si>
    <t>Liên đoàn cầu lông</t>
  </si>
  <si>
    <t>Đoàn Luật sư</t>
  </si>
  <si>
    <t>KP hoạt động Ban chỉ đạo thi hành án dân sự tỉnh</t>
  </si>
  <si>
    <t>Hỗ trợ đơn vị Trung ương kết nghĩa xây dựng xã theo NQ 04-TU</t>
  </si>
  <si>
    <t>Kho bạc nhà nước tỉnh</t>
  </si>
  <si>
    <t>Cục thi hành án dân sự</t>
  </si>
  <si>
    <t>Ngân hàng nhà nước tỉnh</t>
  </si>
  <si>
    <t>Tòa án nhân dân tỉnh</t>
  </si>
  <si>
    <t>Viện Kiểm sát nhân dân tỉnh</t>
  </si>
  <si>
    <t>Bưu điện tỉnh</t>
  </si>
  <si>
    <t>Viễn thông tinh</t>
  </si>
  <si>
    <t>Ngân hàng chĩnh sánh XH tỉnh</t>
  </si>
  <si>
    <t>Cục Thống kê tỉnh</t>
  </si>
  <si>
    <t>Cục Thuế tỉnh</t>
  </si>
  <si>
    <t>Bảo hiểm xã hội tỉnh</t>
  </si>
  <si>
    <t>Liên đoàn lao động tỉnh</t>
  </si>
  <si>
    <t>Kinh phí trực phục vụ Tết Nguyên đán 2017</t>
  </si>
  <si>
    <t>Công ty TNHH MTV Môi trường đô thị</t>
  </si>
  <si>
    <t>Công ty điện lực Kon Tum</t>
  </si>
  <si>
    <t>Cục thống kê tỉnh (hỗ trợ tổng điều tra dân số và nhà ở năm 2019)</t>
  </si>
  <si>
    <t>1</t>
  </si>
  <si>
    <t>2</t>
  </si>
  <si>
    <t>3</t>
  </si>
  <si>
    <t>4</t>
  </si>
  <si>
    <t>5</t>
  </si>
  <si>
    <t>6</t>
  </si>
  <si>
    <t>7</t>
  </si>
  <si>
    <t>7.1</t>
  </si>
  <si>
    <t>7.2</t>
  </si>
  <si>
    <t>7.3</t>
  </si>
  <si>
    <t>7.4</t>
  </si>
  <si>
    <t>7.5</t>
  </si>
  <si>
    <t>8</t>
  </si>
  <si>
    <t>8.1</t>
  </si>
  <si>
    <t>8.2</t>
  </si>
  <si>
    <t>8.3</t>
  </si>
  <si>
    <t>9</t>
  </si>
  <si>
    <t>9.1</t>
  </si>
  <si>
    <t>9.2</t>
  </si>
  <si>
    <t>9.3</t>
  </si>
  <si>
    <t>10</t>
  </si>
  <si>
    <t>11</t>
  </si>
  <si>
    <t>12</t>
  </si>
  <si>
    <t>13</t>
  </si>
  <si>
    <t>14</t>
  </si>
  <si>
    <t>15</t>
  </si>
  <si>
    <t>UBND TỈNH KON TUM</t>
  </si>
  <si>
    <t>(Dự toán đã được Hội đồng nhân dân quyết định)</t>
  </si>
  <si>
    <t>Đvt: triệu đồng</t>
  </si>
  <si>
    <t xml:space="preserve">Mã </t>
  </si>
  <si>
    <t>Dự toán năm 2018</t>
  </si>
  <si>
    <t>Đơn vị</t>
  </si>
  <si>
    <t>NSĐP (chưa có vốn đầu tư)</t>
  </si>
  <si>
    <t>Chi dự phòng, quỹ dự trữ tài chính, tăng thu so BTC giao</t>
  </si>
  <si>
    <t xml:space="preserve">Chi trả nợ lãi </t>
  </si>
  <si>
    <t>Chi giáo dục-đào tạo và dạy nghề</t>
  </si>
  <si>
    <t>Chi KHCN</t>
  </si>
  <si>
    <t>Chi an ninh</t>
  </si>
  <si>
    <t>Chi sự nghiệp y tế</t>
  </si>
  <si>
    <t>Chi sự nghiệp văn hóa</t>
  </si>
  <si>
    <t>Chi PTTH</t>
  </si>
  <si>
    <t>Chi TDTD</t>
  </si>
  <si>
    <t>SN kinh tế</t>
  </si>
  <si>
    <t>SN khác</t>
  </si>
  <si>
    <t>Quản lý hành chính</t>
  </si>
  <si>
    <t>Chi đảm bảo xã hội</t>
  </si>
  <si>
    <t>CT MTQG</t>
  </si>
  <si>
    <t>Chi giao thông</t>
  </si>
  <si>
    <t>Chi NLN, thủy lợi</t>
  </si>
  <si>
    <t>SN KT khác</t>
  </si>
  <si>
    <t xml:space="preserve">hµnh </t>
  </si>
  <si>
    <t>chÝnh</t>
  </si>
  <si>
    <t xml:space="preserve">TỔNG CỘNG </t>
  </si>
  <si>
    <t>Chi cân đối ngân sách cấp tỉnh</t>
  </si>
  <si>
    <t>A1</t>
  </si>
  <si>
    <t>Các cơ quan, tổ chức</t>
  </si>
  <si>
    <t>Dự án giảm nghèo Khu vực Tây nguyên - tỉnh Kon Tum</t>
  </si>
  <si>
    <t>Dự án phát triển khu vực biên giới tỉnh Kon Tum - Đầu tư nâng cấp Tỉnh lộ 675A</t>
  </si>
  <si>
    <t>Quy hoạch tỉnh Kon Tum thời kỳ 2021 - 2030</t>
  </si>
  <si>
    <t>Dự án Phát triển cơ sở hạ tầng nông thôn phục vụ sản xuất cho các tỉnh Tây Nguyên</t>
  </si>
  <si>
    <t>Dự án chuyển đổi nông nghiệp bền vững tại Việt Nam</t>
  </si>
  <si>
    <t>Sân vận động tỉnh (giai đoạn 2, hạng mục mái che khán đài A)</t>
  </si>
  <si>
    <t>Trưng bày bảo tàng ngoài trời</t>
  </si>
  <si>
    <t>Nâng cấp Bệnh viện Đa khoa Khu vực Ngọc Hồi từ 100 giường bệnh lên 250 giường bệnh</t>
  </si>
  <si>
    <t>Phân trạm Y tế thôn 9, xã Ia Tơi, huyện Ia H’Drai</t>
  </si>
  <si>
    <t>Trường PTDTNT huyện Ia H'Drai (giai đoạn 1)</t>
  </si>
  <si>
    <t>Đầu tư xây dựng bể bơi tại các trường học trên địa bàn các huyện, thành phố</t>
  </si>
  <si>
    <t>Trường THCS Liên Việt Kon Tum Thành, phố Kon Tum (giai đoạn 2)</t>
  </si>
  <si>
    <t>Bổ sung cơ sở vật chất trường PTDTNT huyện Kon Plông</t>
  </si>
  <si>
    <t>Bổ sung cơ sở vật chất trường PTDTNT huyện Đăk Tô</t>
  </si>
  <si>
    <t>Trạm kiểm dịch động vật Măng Khênh</t>
  </si>
  <si>
    <t>Hiện đại hóa trang thiết bị Trung tâm sản xuất chương trình phát thanh, truyền hình và hệ thống tổng khống chế</t>
  </si>
  <si>
    <t>Bệnh viện đa khoa tỉnh</t>
  </si>
  <si>
    <t xml:space="preserve">Nâng cấp bệnh viện Đa khoa tỉnh từ 400 giường bệnh lên 500 giường bệnh </t>
  </si>
  <si>
    <t>Nâng cấp Bệnh viện đa khoa tỉnh lên 750 giường bệnh (giai đoạn I)</t>
  </si>
  <si>
    <t>Cầu số 01 qua sông Đăk Bla, thành phố Kon Tum</t>
  </si>
  <si>
    <t>Cầu qua sông Đăk Bla (từ xã Vinh Quang đi phường Nguyên Trãi, TP Kon Tum - Cầu số 3)</t>
  </si>
  <si>
    <t>Đầu tư hạ tầng Khu du lịch văn hóa, lịch sử Ngục Kon Tum</t>
  </si>
  <si>
    <t>Đường và cầu từ tỉnh lộ 671 đi Quốc lộ 14</t>
  </si>
  <si>
    <t>Ban quản lý dự án đầu tư xây dựng các công trình Nông nghiệp và PTNT</t>
  </si>
  <si>
    <t>Kiên cố hóa kênh chính, kênh cấp 1 và công trình trên kênh cấp 1 thuộc công trình Hồ chứa nước Đăk Rơn Ga, huyện Đăk Tô, tỉnh Kon Tum</t>
  </si>
  <si>
    <t>Kè chống sạt lở bờ sông Pô Kô đoạn qua thị trấn Đăk Glei</t>
  </si>
  <si>
    <t>Hồ chứa nước Đăk Pokei (giai đoạn 1)</t>
  </si>
  <si>
    <t>Ban quản lý khai thác các công trình thủy lợi</t>
  </si>
  <si>
    <t>Nâng cấp, cải tạo kênh chính và công trình trên kênh chính Thủy lợi Đăk Hơ Niêng</t>
  </si>
  <si>
    <t>Sửa chữa, nâng cấp đập Bà Tri, huyện Đăk Hà</t>
  </si>
  <si>
    <t>Sửa chữa nâng cấp Thủy lợi Đăk Blồ, huyện Đăk Tô</t>
  </si>
  <si>
    <t>Sửa chữa nâng cấp đảm bảo an toàn hồ chứa</t>
  </si>
  <si>
    <t>Trung tâm nước sinh hoạt và Vệ sinh môi trường nông thôn</t>
  </si>
  <si>
    <t>Mở rộng quy mô vệ sinh và nước sạch nông thôn dựa trên kết quả giai đoạn 2016 - 2020</t>
  </si>
  <si>
    <t>Các dự án quyết toán hoàn thành khác</t>
  </si>
  <si>
    <t>Vay lại vốn nước ngoài để thực hiện các dự án ODA</t>
  </si>
  <si>
    <t>Chi phí quản lý đất đai</t>
  </si>
  <si>
    <t xml:space="preserve">Bổ sung quỹ phát triển đất </t>
  </si>
  <si>
    <t>Thu từ các dự án khai thác quỹ đất</t>
  </si>
  <si>
    <t xml:space="preserve">  - Đường hầm Sở chỉ huy cơ bản huyện Ngọc Hồi</t>
  </si>
  <si>
    <t>UBND thành phố Kon Tum</t>
  </si>
  <si>
    <t>Phân cấp đầu tư vùng kinh tế động lực</t>
  </si>
  <si>
    <t>Phân cấp đầu tư các công trình giáo dục (lồng ghép thực hiện CT MTQG xây dựng NTM)</t>
  </si>
  <si>
    <t xml:space="preserve">Phân cấp hỗ trợ, bổ sung khác </t>
  </si>
  <si>
    <t>Hỗ trợ người có công với cách mạng về nhà ở  theo QĐ số 22/2013/QĐ-TTg</t>
  </si>
  <si>
    <t xml:space="preserve">Đầu tư các công trình cấp bách khác 
</t>
  </si>
  <si>
    <t>Nguồn thu tiền sử dụng đất trong cân đối được để lại</t>
  </si>
  <si>
    <t>Nguồn Xổ số kiến thiết</t>
  </si>
  <si>
    <t>Công viên khu vực đường Trương Quang Trọng, thành phố Kon Tum</t>
  </si>
  <si>
    <t>Phân cấp đầu tư các xã biên giới</t>
  </si>
  <si>
    <t>Đường giao thông liên thôn xã Sa Bình - Ya Ly</t>
  </si>
  <si>
    <t>Xây dựng điểm dân cư số 64 (Trung tâm hành chính xã VI) thuộc xã Ia Tơi</t>
  </si>
  <si>
    <t>UBND huyện Kon Plông</t>
  </si>
  <si>
    <t>Đầu tư cơ sở hạ tầng Khu nông nghiệp ứng dụng công nghệ cao Măng Đen</t>
  </si>
  <si>
    <t>Đường giao thông từ Trung tâm xã Măng Bút đi thôn Đăk Y Bay</t>
  </si>
  <si>
    <t>Hệ thống cấp nước tưới rau hoa quả xứ lạnh</t>
  </si>
  <si>
    <t>A2</t>
  </si>
  <si>
    <t>A2.1</t>
  </si>
  <si>
    <t>Chi ngân sách cấp tỉnh</t>
  </si>
  <si>
    <t>875</t>
  </si>
  <si>
    <t>873</t>
  </si>
  <si>
    <t>874</t>
  </si>
  <si>
    <t>864</t>
  </si>
  <si>
    <t>865</t>
  </si>
  <si>
    <t>872</t>
  </si>
  <si>
    <t>868</t>
  </si>
  <si>
    <t>871</t>
  </si>
  <si>
    <t>867</t>
  </si>
  <si>
    <t>869</t>
  </si>
  <si>
    <t>862</t>
  </si>
  <si>
    <t>861</t>
  </si>
  <si>
    <t>877</t>
  </si>
  <si>
    <t>Nguồn mua sắm sửa chữa tập trung</t>
  </si>
  <si>
    <t>Sở Nông nghiệp và PTNT và các đơn vị trực thuộc</t>
  </si>
  <si>
    <t>Sở Giao thông - Vận tải và các đơn vị trực thuộc</t>
  </si>
  <si>
    <t>Sở Khoa học Công nghệ và các đơn vị trực thuộc</t>
  </si>
  <si>
    <t>Sở Xây dựng</t>
  </si>
  <si>
    <t>Sở Tư pháp</t>
  </si>
  <si>
    <t>Ban Quản lý Khu kinh tế và các đơn vị trực thuộc</t>
  </si>
  <si>
    <t>Ban Quản lý Vườn Quốc gia Chư Mom Ray</t>
  </si>
  <si>
    <t>Ban Nội chính Tỉnh ủy</t>
  </si>
  <si>
    <t>Ủy ban Mặt trận Tổ quốc Việt Nam tỉnh</t>
  </si>
  <si>
    <t>Ban Tổ chức Tỉnh ủy</t>
  </si>
  <si>
    <t>Ban Tuyên giáo Tỉnh ủy</t>
  </si>
  <si>
    <t>Văn phòng Hội đồng nhân dân tỉnh</t>
  </si>
  <si>
    <t>Trường Chính trị tỉnh</t>
  </si>
  <si>
    <t>Liên hiệp các hội Khoa học và Kỹ thuật</t>
  </si>
  <si>
    <t>16</t>
  </si>
  <si>
    <t>17</t>
  </si>
  <si>
    <t>Các đơn vị khác</t>
  </si>
  <si>
    <t>KP sắp xếp bộ máy theo NQ 18, 19/CP và KP dự phòng cho số nhân viên 68/NĐ-CP (phân bổ khi có chủ trương của cấp thẩm quyền)</t>
  </si>
  <si>
    <t>Cấp vốn ủy thác, bù lãi suất theo Nghị quyết HĐND</t>
  </si>
  <si>
    <t>Bổ sung vốn ủy thác cho vay hộ nghèo qua NHCS</t>
  </si>
  <si>
    <t>Cấp bù LS hộ nghèo vay vốn theo NQ HĐND (xử lý cho các khế ước vay còn trong hạn)</t>
  </si>
  <si>
    <t>Lập các Quy hoạch chuyển tiếp  (chờ trung ương hướng đẫn sẽ phân bổ cụ thể)</t>
  </si>
  <si>
    <t>Đại hội DTTS (chờ TW có ý kiến về nguồn KP sẽ triển khai phân bổ  cụ thể)</t>
  </si>
  <si>
    <t>Chi khác ngân sách</t>
  </si>
  <si>
    <t>Hoạt động đối ngoại Lào CPC</t>
  </si>
  <si>
    <t>Trđó: Chuyển giao kỹ thuật trồng cà phê, rau hoa xứ lạnh với các tỉnh nước bạn Lào theo KH 633/KH-UBND, ngày 19/3/2018 của UBND tỉnh  (Sở Nông nghiệp và PTNT thực hiện)</t>
  </si>
  <si>
    <t>Dự toán chi hoạt động phạt vi phạm hành chính</t>
  </si>
  <si>
    <t>Chi hoạt động thu lệ phí</t>
  </si>
  <si>
    <t>Quĩ khen thưởng</t>
  </si>
  <si>
    <t>Quỹ hỗ trợ nông dân  (Hội Nông dân tỉnh)</t>
  </si>
  <si>
    <t>Quỹ hỗ trợ phát triển hợp tác xã tỉnh (Liên minh các HTX)</t>
  </si>
  <si>
    <t>Kinh phí chỉnh lý tài liệu (phân bổ sau khi rà soát)</t>
  </si>
  <si>
    <t>Kinh phí đối ứng thực hiện Dự án Phát triển trẻ thơ toàn diện (Ban quản lý Dự án Phát triển trẻ thơ toàn diện tỉnh)</t>
  </si>
  <si>
    <t>Đối ứng CNTT nâng cấp công thông tin điện tử; kinh phí Trung tâm hành chính công</t>
  </si>
  <si>
    <t>KP tham gia các sự kiện thu hút đầu tư</t>
  </si>
  <si>
    <t>KP tổ chức các ngày lễ lớn trong năm (triển khai khi có KH UB)</t>
  </si>
  <si>
    <t>Hỗ trợ hộ nghèo ăn Tết (triển khai theo KH của UBND tỉnh)</t>
  </si>
  <si>
    <t xml:space="preserve">KP thực hiện đối ứng các DA, ĐA đang chờ cấp thẩm quyền phê duyệt (Đề án xây dựng hệ thống thông tin dữ liệu về công tác dân tộc;Đề án số hoá triển khai truyền hình mặt đất; biên soạn lịch sử; đối ứng nông thôn mới và nhiệm vụ khác...; </t>
  </si>
  <si>
    <t>Nguồn thực hiện CCTL</t>
  </si>
  <si>
    <t xml:space="preserve">          SN giáo dục - đào tạo</t>
  </si>
  <si>
    <t xml:space="preserve">          SN khoa học công nghệ</t>
  </si>
  <si>
    <t xml:space="preserve">          SN y tế</t>
  </si>
  <si>
    <t xml:space="preserve">          SN thường xuyên khác</t>
  </si>
  <si>
    <t>A3</t>
  </si>
  <si>
    <t>Chi trả nợ lãi</t>
  </si>
  <si>
    <t>A4</t>
  </si>
  <si>
    <t>Chi dự trữ tài chính</t>
  </si>
  <si>
    <t>934</t>
  </si>
  <si>
    <t>A5</t>
  </si>
  <si>
    <t>Chi dự phòng</t>
  </si>
  <si>
    <t>932</t>
  </si>
  <si>
    <t>A6</t>
  </si>
  <si>
    <t>Chi nguồn tăng thu so dự toán Trung ương giao</t>
  </si>
  <si>
    <t>949</t>
  </si>
  <si>
    <t>Chi từ nguồn bổ sung có mục tiêu từ NSTƯ để thực hiện các Chương trình mục tiêu quốc gia, Chương trình mục tiêu và nhiệm vụ khác</t>
  </si>
  <si>
    <t>B1</t>
  </si>
  <si>
    <t>Chi thực hiện các chương trình Mục tiêu quốc gia</t>
  </si>
  <si>
    <t>Chi đầu tư</t>
  </si>
  <si>
    <t>UBND huyện Tu Mơ Rông</t>
  </si>
  <si>
    <t>UBND huyện Đăk Glei</t>
  </si>
  <si>
    <t>UBND huyện Kon Plong</t>
  </si>
  <si>
    <t>UBND huyện Sa Thầy</t>
  </si>
  <si>
    <t>Huyện Kon Rẫy</t>
  </si>
  <si>
    <t>Các chủ đầu tư khác</t>
  </si>
  <si>
    <t>Văn phòng Điều phối NTM tỉnh</t>
  </si>
  <si>
    <t>Hội Nông dân tỉnh</t>
  </si>
  <si>
    <t>Hội Liên hiệp Phụ nữ tỉnh</t>
  </si>
  <si>
    <t xml:space="preserve">Sở Nông nghiệp và PTNT </t>
  </si>
  <si>
    <t>Tỉnh đoàn</t>
  </si>
  <si>
    <t>Sở Lao động - TBXH</t>
  </si>
  <si>
    <t>Liên minh Hợp tác xã tỉnh</t>
  </si>
  <si>
    <t>Sở Thông tin - Truyền thông</t>
  </si>
  <si>
    <t>B2</t>
  </si>
  <si>
    <t>Chi đầu tư thực hiện các chương trình mục tiêu, nhiệm vụ</t>
  </si>
  <si>
    <t>B3</t>
  </si>
  <si>
    <t>Chi nguồn hỗ trợ thực hiện các chế độ, chính sách theo  quy định</t>
  </si>
  <si>
    <t>Hội Nhà báo</t>
  </si>
  <si>
    <t>Sở Giáo dục và đào tạo</t>
  </si>
  <si>
    <t>Trường Cao đẳng Cộng đồng Kon Tum</t>
  </si>
  <si>
    <t>Công ty TNHH MTV Lâm nghiệp ĐăkGLei</t>
  </si>
  <si>
    <t>Công ty TNHH MTV Lâm nghiệp Kon Rẫy</t>
  </si>
  <si>
    <t>Công ty TNHH MTV Lâm nghiệp Sa Thầy</t>
  </si>
  <si>
    <t>Công ty TNHH MTV Lâm nghiệp Ngọc Hồi</t>
  </si>
  <si>
    <t>Công ty TNHH MTV Lâm nghiệp Đăk Tô</t>
  </si>
  <si>
    <t>Công ty TNHH MTV Lâm nghiệp KonPlong</t>
  </si>
  <si>
    <t>Công ty cổ phần Sân Ngọc Linh Kon Tum</t>
  </si>
  <si>
    <t>Công ty cổ phần Đầu tư phát triển Duy Tân</t>
  </si>
  <si>
    <t>Công ty TNHH MTV Lâm nghiệp Ia H'Drai</t>
  </si>
  <si>
    <t>Ban ATGT tỉnh</t>
  </si>
  <si>
    <t>Thanh tra Giao thông</t>
  </si>
  <si>
    <t>Sở Văn hóa - Thể thao và Du lịch</t>
  </si>
  <si>
    <t>Báo Kon Tum</t>
  </si>
  <si>
    <t>Đài PTTH</t>
  </si>
  <si>
    <t>Sở Thông tin truyền thông</t>
  </si>
  <si>
    <t>Quỹ Bão trì đường bộ</t>
  </si>
  <si>
    <t>BQL rừng phòng hộ Đăk Glei</t>
  </si>
  <si>
    <t>BQL rừng phòng hộ Thạch Nham</t>
  </si>
  <si>
    <t>BQL rừng phòng hộ Chư Mo Ray</t>
  </si>
  <si>
    <t>BQL khu bảo tồn thiên nhiên Ngọc Linh</t>
  </si>
  <si>
    <t>BQL rừng đặc dụng Đăk Uy</t>
  </si>
  <si>
    <t>Chi Cục Kiểm lâm</t>
  </si>
  <si>
    <t>Sở Tài Nguyên và Môi trường</t>
  </si>
  <si>
    <t>Tập trung ngân sách tỉnh (phân bổ khi có nhiệm vụ phát sinh)</t>
  </si>
  <si>
    <t>Chi đầu tư phát triển (Không kể chương trình MTQG)</t>
  </si>
  <si>
    <t>Chi thường xuyên (Không kể chương trình MTQG)</t>
  </si>
  <si>
    <t>Thành phố Kon Tum</t>
  </si>
  <si>
    <t>Huyện Đăk Hà</t>
  </si>
  <si>
    <t>Huyện Đăk Tô</t>
  </si>
  <si>
    <t xml:space="preserve">Huyện Ngọc Hồi </t>
  </si>
  <si>
    <t>Huyện Đăk Glei</t>
  </si>
  <si>
    <t>Huyện Sa Thầy</t>
  </si>
  <si>
    <t>Huyện Ia H'Drai</t>
  </si>
  <si>
    <t>Huyện Kon Plong</t>
  </si>
  <si>
    <t>Huyện Tu mơ rông</t>
  </si>
  <si>
    <t>DỰ TOÁN</t>
  </si>
  <si>
    <t>Chi ngân sách huyện</t>
  </si>
  <si>
    <t>15=16+17</t>
  </si>
  <si>
    <t>12=13+14</t>
  </si>
  <si>
    <t>11=12+15</t>
  </si>
  <si>
    <t>8=9+10</t>
  </si>
  <si>
    <t>5=6+7</t>
  </si>
  <si>
    <t>4=5+8</t>
  </si>
  <si>
    <t>3=8+15</t>
  </si>
  <si>
    <t>2=5+12</t>
  </si>
  <si>
    <t>Chương trình mục tiêu quốc gia xây dựng nông thôn mới</t>
  </si>
  <si>
    <t>Chương trình mục tiêu quốc gia giảm nghèo bền vững</t>
  </si>
  <si>
    <t>1=2+4</t>
  </si>
  <si>
    <t>2=5+13</t>
  </si>
  <si>
    <t>3=8+16</t>
  </si>
  <si>
    <t>4=5+9</t>
  </si>
  <si>
    <t>5=6+8</t>
  </si>
  <si>
    <t>8=9+11</t>
  </si>
  <si>
    <t>11=12+16</t>
  </si>
  <si>
    <t>12=13+15</t>
  </si>
  <si>
    <t>15=16+18</t>
  </si>
  <si>
    <t>QUYẾT TOÁN</t>
  </si>
  <si>
    <t>SO SÁNH (%)</t>
  </si>
  <si>
    <t>Liên minh HTX tỉnh</t>
  </si>
  <si>
    <t>Các Chủ đầu tư khác</t>
  </si>
  <si>
    <t>BẢNG PHÂN CÔNG THỰC HIỆN CÁC BIỂU QUYẾT TOÁN NSĐP THEO NGHỊ ĐỊNH 31</t>
  </si>
  <si>
    <t>Tên biểu</t>
  </si>
  <si>
    <t>Ký hiệu</t>
  </si>
  <si>
    <t>Cán bộ thực hiện</t>
  </si>
  <si>
    <t>CBCQ phối hợp</t>
  </si>
  <si>
    <t>Ghi chú</t>
  </si>
  <si>
    <t>Biểu mẫu số 48</t>
  </si>
  <si>
    <t>Long</t>
  </si>
  <si>
    <t>Quyết toán cân đối nguồn thu, chi ngân sách cấp tỉnh</t>
  </si>
  <si>
    <t>Biểu mẫu số 49</t>
  </si>
  <si>
    <t>Quyết toán nguồn thu ngân sách nhà nước trên địa bàn theo lĩnh vực</t>
  </si>
  <si>
    <t>Biểu mẫu số 50</t>
  </si>
  <si>
    <t>Hào</t>
  </si>
  <si>
    <t>Biểu mẫu số 51</t>
  </si>
  <si>
    <t>Biểu mẫu số 52</t>
  </si>
  <si>
    <t>Biểu mẫu số 53</t>
  </si>
  <si>
    <t>Biểu mẫu số 54</t>
  </si>
  <si>
    <t>Quyết toán chi ngân sách địa phương theo lĩnh vực</t>
  </si>
  <si>
    <t>Quyết toán chi ngân sách cấp tỉnh theo lĩnh vực</t>
  </si>
  <si>
    <t>Tân</t>
  </si>
  <si>
    <t>Quyết toán chi NSĐP, chi ngân sách cấp tỉnh theo cơ cấu chi</t>
  </si>
  <si>
    <t>Quyết toán chi ngân sách cấp tỉnh cho từng cơ quan, tổ chức theo lĩnh vực</t>
  </si>
  <si>
    <t>Biểu mẫu số 58</t>
  </si>
  <si>
    <t>Biểu mẫu số 59</t>
  </si>
  <si>
    <t>Biểu mẫu số 61</t>
  </si>
  <si>
    <t>Quyết toán chi ngân sách địa phương từng huyện</t>
  </si>
  <si>
    <t>Quyết toán chi CTMTQG</t>
  </si>
  <si>
    <t>Hiền</t>
  </si>
  <si>
    <t>Quyết toán bổ sung từ ngân sách cấp tỉnh cho ngân sách cấp huyện</t>
  </si>
  <si>
    <t>Biểu mẫu số 64</t>
  </si>
  <si>
    <t>(KHÔNG BAO GỒM NGUỒN NGÂN SÁCH NHÀ NƯỚC)</t>
  </si>
  <si>
    <t>Sự nghiệp giáo dục - đào tạo và dạy nghề</t>
  </si>
  <si>
    <t>Sự nghiệp đào tạo và dạy nghề</t>
  </si>
  <si>
    <t>Sự nghiệp khoa học và công nghệ</t>
  </si>
  <si>
    <t>Sự nghiệp văn hóa thông tin</t>
  </si>
  <si>
    <t>Sự nghiệp phát thanh truyền hình</t>
  </si>
  <si>
    <t>Sự nghiệp thể dục thể thao</t>
  </si>
  <si>
    <t>Biểu mẫu số 63</t>
  </si>
  <si>
    <t>TỔNG HỢP CÁC QUỸ TÀI CHÍNH NHÀ NƯỚC</t>
  </si>
  <si>
    <t>Tên Quỹ</t>
  </si>
  <si>
    <t>Tổng nguồn vốn phát sinh trong năm</t>
  </si>
  <si>
    <t>Tổng sử dụng nguồn vốn trong năm</t>
  </si>
  <si>
    <t>Chênh lệch nguồn trong năm</t>
  </si>
  <si>
    <t>5=2-4</t>
  </si>
  <si>
    <t>9=6-8</t>
  </si>
  <si>
    <t>10=1+6-8</t>
  </si>
  <si>
    <t>Dung</t>
  </si>
  <si>
    <r>
      <rPr>
        <strike/>
        <sz val="13"/>
        <rFont val="Times New Roman"/>
        <family val="1"/>
      </rPr>
      <t xml:space="preserve"> </t>
    </r>
    <r>
      <rPr>
        <sz val="13"/>
        <rFont val="Times New Roman"/>
        <family val="1"/>
      </rPr>
      <t xml:space="preserve">Long chủ trì,Tân, Hào, Dung phối hợp hệ thống biểu mẫu theo NĐ 31. Hải chủ trì thực hiện các Biểu công khai QT và hoàn thiện trình UB tỉnh công khai theo quy định (Hải không tham gia vào Biểu NĐ 31)  </t>
    </r>
  </si>
  <si>
    <t>CBCQ</t>
  </si>
  <si>
    <t>Dư nguồn đến ngày 31/12/2020</t>
  </si>
  <si>
    <t>Biểu này từ năm 2019 trở về trước chưa làm</t>
  </si>
  <si>
    <t>Kinh phí hỗ trợ an ninh, quốc phòng</t>
  </si>
  <si>
    <t>Hỗ trợ Liên hiệp Phụ nữ</t>
  </si>
  <si>
    <t>Phòng TCĐT p/h</t>
  </si>
  <si>
    <t>TÊN ĐƠN VỊ</t>
  </si>
  <si>
    <t>CHI ĐẦU TƯ PHÁT TRIỂN (KHÔNG KỂ CHƯƠNG TRÌNH MTQG)</t>
  </si>
  <si>
    <t>CHI THƯỜNG XUYÊN (KHÔNG KỂ CHƯƠNG TRÌNH MTQG)</t>
  </si>
  <si>
    <t>Chi thường xuyên (không kể chương trình MTQG va TƯ BSMT vốn sự nghiệp)</t>
  </si>
  <si>
    <t>TƯ BSMT vốn sự nghiệp</t>
  </si>
  <si>
    <t>CHI CHƯƠNG TRÌNH MTQG</t>
  </si>
  <si>
    <t>CHI CHUYỂN NGUỒN SANG NGÂN SÁCH NĂM SAU</t>
  </si>
  <si>
    <t>CHI NỘP TRẢ NGÂN SÁCH CẤP TRÊN</t>
  </si>
  <si>
    <t>CHI ĐẦU TƯ PHÁT TRIỂN</t>
  </si>
  <si>
    <t>CHI THƯỜNG XUYÊN</t>
  </si>
  <si>
    <t>Chi thường xuyên cấp DT</t>
  </si>
  <si>
    <t>Chi thường xuyên cấp Lệnh chi</t>
  </si>
  <si>
    <t>Đâu tư</t>
  </si>
  <si>
    <t>Sự nghiệp</t>
  </si>
  <si>
    <t>1=2+..+6</t>
  </si>
  <si>
    <t>6=7+8</t>
  </si>
  <si>
    <t>9=10+..+14+17</t>
  </si>
  <si>
    <t>14=15+16</t>
  </si>
  <si>
    <t>17=18+19</t>
  </si>
  <si>
    <t>20=9/1</t>
  </si>
  <si>
    <t>21=10/2</t>
  </si>
  <si>
    <t>22=11/3</t>
  </si>
  <si>
    <t>23=14/6</t>
  </si>
  <si>
    <t>I.1</t>
  </si>
  <si>
    <t>CÁC CƠ QUAN, TỔ CHỨC KHỐI TỈNH</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</si>
  <si>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</si>
  <si>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</si>
  <si>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</si>
  <si>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</si>
  <si>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</si>
  <si>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</si>
  <si>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</si>
  <si>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</si>
  <si>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</si>
  <si>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</si>
  <si>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</si>
  <si>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</si>
  <si>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</si>
  <si>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</si>
  <si>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</si>
  <si>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</si>
  <si>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</si>
  <si>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</si>
  <si>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</si>
  <si>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</si>
  <si>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</si>
  <si>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</si>
  <si>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</si>
  <si>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</si>
  <si>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</si>
  <si>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</si>
  <si>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</si>
  <si>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</si>
  <si>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</si>
  <si>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</si>
  <si>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49</t>
  </si>
  <si>
    <t>50</t>
  </si>
  <si>
    <t>51</t>
  </si>
  <si>
    <t>52</t>
  </si>
  <si>
    <t>53</t>
  </si>
  <si>
    <t>54</t>
  </si>
  <si>
    <t>55</t>
  </si>
  <si>
    <t>56</t>
  </si>
  <si>
    <t>57</t>
  </si>
  <si>
    <t>58</t>
  </si>
  <si>
    <t>59</t>
  </si>
  <si>
    <t>60</t>
  </si>
  <si>
    <t>61</t>
  </si>
  <si>
    <t>62</t>
  </si>
  <si>
    <t>63</t>
  </si>
  <si>
    <t>64</t>
  </si>
  <si>
    <t>65</t>
  </si>
  <si>
    <t>66</t>
  </si>
  <si>
    <t>67</t>
  </si>
  <si>
    <t>68</t>
  </si>
  <si>
    <t>Trung tâm nước sinh hoạt và VS MT nông thôn</t>
  </si>
  <si>
    <t>69</t>
  </si>
  <si>
    <t>Ban quản lý dự án đầu tư xây dựng các CT nông nghiệp và PTNT</t>
  </si>
  <si>
    <t>70</t>
  </si>
  <si>
    <t>Quỹ phát triển đất</t>
  </si>
  <si>
    <t>71</t>
  </si>
  <si>
    <t>72</t>
  </si>
  <si>
    <t>73</t>
  </si>
  <si>
    <t>74</t>
  </si>
  <si>
    <t>75</t>
  </si>
  <si>
    <t xml:space="preserve">Ngân hàng chính sách xã hội tỉnh </t>
  </si>
  <si>
    <t>Quỹ bảo trì đường bộ</t>
  </si>
  <si>
    <t>I.2</t>
  </si>
  <si>
    <t>CÁC HUYỆN, THÀNH PHỐ (Quyết toán tại ngân sách tỉnh, không bao gồm vốn đầu tư phân cấp NSH)</t>
  </si>
  <si>
    <t>UBND huyện Đăk Hà</t>
  </si>
  <si>
    <t>UBND huyện Đăk Tô</t>
  </si>
  <si>
    <t xml:space="preserve">UBND huyện Ngọc Hồi </t>
  </si>
  <si>
    <t>UBND huyện Kon Rẫy</t>
  </si>
  <si>
    <t xml:space="preserve">UBND huyện Kon PLông </t>
  </si>
  <si>
    <t>CHI KHÁC NGÂN SÁCH TỈNH</t>
  </si>
  <si>
    <t>Nguồn mua sắm sữa chữa tập trung</t>
  </si>
  <si>
    <t>Cấp vốn ủy thác, bù lãi suất theo NQ HĐND</t>
  </si>
  <si>
    <t>CHI BỔ SUNG QUỸ DỰ TRỮ TÀI CHÍNH</t>
  </si>
  <si>
    <t>CHI DỰ PHÒNG NGÂN SÁCH</t>
  </si>
  <si>
    <t>VIII</t>
  </si>
  <si>
    <t>ĐVT: Triệu đồng</t>
  </si>
  <si>
    <t>DỰ TOÁN CHI NGÂN SÁCH CẤP TỈNH CHO TỪNG CƠ QUAN, TỔ CHỨC NĂM 2020</t>
  </si>
  <si>
    <t>Hội HN Việt Nam - lào, VN - Campuchia</t>
  </si>
  <si>
    <t>Hỗ trợ ĐV TƯ kết nghĩa xã NQ 04</t>
  </si>
  <si>
    <t>Kinh phí trực phục vụ Tết nguyên đán</t>
  </si>
  <si>
    <t>Công đoàn viên chức tỉnh</t>
  </si>
  <si>
    <t xml:space="preserve">CHI NỘP TRẢ NGÂN SÁCH CẤP TRÊN </t>
  </si>
  <si>
    <t>Đoàn Luật sư tỉnh</t>
  </si>
  <si>
    <t>Công ty TNHH MTV Cao su Chưmomray</t>
  </si>
  <si>
    <t>Công ty TNHH MTV Cao su Kon Tum</t>
  </si>
  <si>
    <t>Công ty Cổ phần Cao su Sa Thầy</t>
  </si>
  <si>
    <t>Ngành giáo dục - Đào tạo ngành Giáo dục</t>
  </si>
  <si>
    <t>Ngành Y tế</t>
  </si>
  <si>
    <t>Bộ chỉ huy BP; Quân sự, Công an tỉnh</t>
  </si>
  <si>
    <t>Huyện/ Thành phố</t>
  </si>
  <si>
    <t>Chi nguồn giao tăng thu so dự toán Trung ương giao</t>
  </si>
  <si>
    <t>Chi nộp NS cấp trên</t>
  </si>
  <si>
    <t>Sở Lao động TB &amp;XH</t>
  </si>
  <si>
    <t>Ủy ban mặt trận Tổ quốc Việt Nam tỉnh</t>
  </si>
  <si>
    <t>Tỉnh Đoàn</t>
  </si>
  <si>
    <t>Sở Thông tin và Truyền thông</t>
  </si>
  <si>
    <t>TP Kon Tum</t>
  </si>
  <si>
    <t>35=18/1</t>
  </si>
  <si>
    <t>36=19/2</t>
  </si>
  <si>
    <t>37=20/3</t>
  </si>
  <si>
    <t>38=21/4</t>
  </si>
  <si>
    <t>39=22/5</t>
  </si>
  <si>
    <t>40=23/6</t>
  </si>
  <si>
    <t>41=24/7</t>
  </si>
  <si>
    <t>45=25/8</t>
  </si>
  <si>
    <t>46=26/9</t>
  </si>
  <si>
    <t>47=27/10</t>
  </si>
  <si>
    <t>48=28/11</t>
  </si>
  <si>
    <t>49=29/12</t>
  </si>
  <si>
    <t>50=30/13</t>
  </si>
  <si>
    <t>51=31/14</t>
  </si>
  <si>
    <t>52=32/15</t>
  </si>
  <si>
    <t>53=33/16</t>
  </si>
  <si>
    <t>54=34/17</t>
  </si>
  <si>
    <t>Quỹ khám chữa bệnh người nghèo</t>
  </si>
  <si>
    <t>Tăng thu từ các dự án khai thác quỹ đất so với dự toán Trung ương giao (phân bổ chi đầu tư các dự án, nhiệm vụ theo tiến độ nguồn thu thực tế)</t>
  </si>
  <si>
    <t>Thu viện trợ, các khoản huy động, đóng góp</t>
  </si>
  <si>
    <t>Quỹ đầu tư phát triển</t>
  </si>
  <si>
    <t>Quỹ bảo vệ phát triển rừng</t>
  </si>
  <si>
    <t>Quỹ vì người nghèo</t>
  </si>
  <si>
    <t>Quỹ cứu trợ</t>
  </si>
  <si>
    <t>Quỹ hỗ trợ nạn nhân chất độc da cam/đioxin</t>
  </si>
  <si>
    <t>Quỹ vì người khuyết tật và trẻ em mồ côi</t>
  </si>
  <si>
    <t>Quỹ khuyến học</t>
  </si>
  <si>
    <t>Quỹ phòng chống thiên tai</t>
  </si>
  <si>
    <t>Quỹ đền ơn đáp nghĩa</t>
  </si>
  <si>
    <t>Quỹ bảo trợ trẻ em</t>
  </si>
  <si>
    <t>Quỹ phòng chống tội phạm</t>
  </si>
  <si>
    <t>Quỹ An ninh trật tự</t>
  </si>
  <si>
    <t>Quỹ hỗ trợ nông dân</t>
  </si>
  <si>
    <t>Quỹ hỗ trợ phát triển hợp tác xã</t>
  </si>
  <si>
    <t>Quỹ phát triển khoa học công nghệ</t>
  </si>
  <si>
    <t>Trường Chính trị tỉnh Kon Tum</t>
  </si>
  <si>
    <t>Ngân sách cấp tỉnh</t>
  </si>
  <si>
    <t>Ngân sách huyện</t>
  </si>
  <si>
    <t xml:space="preserve">Ngân sách cấp tỉnh </t>
  </si>
  <si>
    <t xml:space="preserve">Ngân sách huyện </t>
  </si>
  <si>
    <t xml:space="preserve"> -</t>
  </si>
  <si>
    <t>Dự án  an ninh y tế khu vực tiểu vùng Mê Kông mở rộng, thực hiện ghi thu ghi chi theo tiến độ giải ngân và trong phạm vi dự toán được giao.</t>
  </si>
  <si>
    <t>Chương trình mở rộng quy mô vệ sinh nước sạch nông thôn theo phương thức dựa trên kết quả, thực hiện ghi thu ghi chi theo tiến độ giải ngân và trong phạm vi dự toán được giao.</t>
  </si>
  <si>
    <t>TỔNG CỘNG</t>
  </si>
  <si>
    <t>*</t>
  </si>
  <si>
    <t>TỔNG CHI NGÂN SÁCH ĐỊA PHƯƠNG (BAO GỒM BỘI CHI NSĐP)</t>
  </si>
  <si>
    <t>A.1</t>
  </si>
  <si>
    <t>A.2</t>
  </si>
  <si>
    <t>Chi từ nguồn bội chi NSĐP</t>
  </si>
  <si>
    <t>Thu từ ngân sách cấp dưới nộp lên</t>
  </si>
  <si>
    <t>Vay của ngân sách địa phương</t>
  </si>
  <si>
    <t>Thu kết dư năm trước</t>
  </si>
  <si>
    <t>Giải ngân theo cơ chế tài chính trong nước</t>
  </si>
  <si>
    <t>Dự án cấp điện nông thôn từ lưới điện quốc gia tỉnh Kon Tum giai đoạn 2014 -2020</t>
  </si>
  <si>
    <t>Thực hiện theo tiến độ GTGC</t>
  </si>
  <si>
    <t>Chương trình mở rộng quy mô nước sạch nông thôn dựa trên kết quả</t>
  </si>
  <si>
    <t>Dự án Sửa chữa và nâng cao an toán đập</t>
  </si>
  <si>
    <t>Dự án chuyển đổi nông nghiệp bền vững trên địa bàn tỉnh Kon Tum (VnSat) giai đoạn 2015-2020</t>
  </si>
  <si>
    <t>2.</t>
  </si>
  <si>
    <t>Vay lại nguồn vốn nước ngoài để thực hiện dự án ODA</t>
  </si>
  <si>
    <t>3.</t>
  </si>
  <si>
    <t xml:space="preserve">3.1 </t>
  </si>
  <si>
    <t>Bổ sung các chương trình mục tiêu</t>
  </si>
  <si>
    <t>Hỗ trợ đồng bào miền núi theo Quyết định số 2085/QĐ-TTg</t>
  </si>
  <si>
    <t>Hỗ trợ đồng bào miền núi theo Quyết định số 2086/QĐ-TTg</t>
  </si>
  <si>
    <t xml:space="preserve">Nguồn dự phòng ngân sách Trung ương 2019 - các dự án cấp bách </t>
  </si>
  <si>
    <t>Viện trợ không hoàn lại của chính phủ Ai Len</t>
  </si>
  <si>
    <t>Vốn Trái phiếu Chính phủ</t>
  </si>
  <si>
    <t>TPCP - Ngành giao thông</t>
  </si>
  <si>
    <t>TPCP - Ngành Giáo dục</t>
  </si>
  <si>
    <t xml:space="preserve">Ban quản lý Vườn quốc gia Chư Mom Ray </t>
  </si>
  <si>
    <t>Bệnh viện Y dược Cổ truyền - Phục hồi chức năng tỉnh Kon Tum</t>
  </si>
  <si>
    <t xml:space="preserve">Chi cục Kiểm lâm tỉnh </t>
  </si>
  <si>
    <t>Trung tâm Phát triển Quỹ đất</t>
  </si>
  <si>
    <t>Biểu số 53</t>
  </si>
  <si>
    <t>Biểu số 54</t>
  </si>
  <si>
    <r>
      <t xml:space="preserve">Ghi chú: </t>
    </r>
    <r>
      <rPr>
        <i/>
        <sz val="10"/>
        <rFont val="Times New Roman"/>
        <family val="1"/>
      </rPr>
      <t>(1) Theo quy định tại Điều 7, Điều 11 và Điều 39 Luật NSNN, ngân sách huyện, xã không có nhiệm vụ chi nghiên cứu khoa học và công nghệ, chi trả lãi vay, chi bổ sung quỹ dự trữ tài chính.</t>
    </r>
  </si>
  <si>
    <t>Đvt: Triệu đồng</t>
  </si>
  <si>
    <r>
      <t>Ghi chú:</t>
    </r>
    <r>
      <rPr>
        <i/>
        <sz val="10"/>
        <rFont val="Times New Roman"/>
        <family val="1"/>
      </rPr>
      <t xml:space="preserve"> (1) Ngân sách xã không có nhiệm vụ chi bổ sung cân đối cho ngân sách cấp dưới.</t>
    </r>
  </si>
  <si>
    <t>Biểu số 61</t>
  </si>
  <si>
    <t>Khối huyện, thành phố</t>
  </si>
  <si>
    <t>1.5</t>
  </si>
  <si>
    <t>1.6</t>
  </si>
  <si>
    <t>1.7</t>
  </si>
  <si>
    <t>Sự nghiệp môi trường</t>
  </si>
  <si>
    <t>Sự nghiệp kinh tế và sự nghiệp khác</t>
  </si>
  <si>
    <t>5.4</t>
  </si>
  <si>
    <t>5.5</t>
  </si>
  <si>
    <t>5.6</t>
  </si>
  <si>
    <t>5.7</t>
  </si>
  <si>
    <t>Sự nghiệp truyền thanh truyền hình</t>
  </si>
  <si>
    <t>Sự nghiệp bảo đảm xã hội</t>
  </si>
  <si>
    <t>Trung tâm dịch vụ đấu giá tài sản</t>
  </si>
  <si>
    <t>Phòng Công chứng số 1</t>
  </si>
  <si>
    <t>Phòng Công chứng số 2</t>
  </si>
  <si>
    <t>Hào xong</t>
  </si>
  <si>
    <t xml:space="preserve">  </t>
  </si>
  <si>
    <t>Đất dự án khu trung tâm phường Ngô Mây, thành phố Kon Tum (1449)</t>
  </si>
  <si>
    <t>Tiền thuê đất trả tiền một lần thuộc Trung đoàn 66, Sư đoàn 10 (3605)</t>
  </si>
  <si>
    <t>Biểu số 50</t>
  </si>
  <si>
    <t>CHI NỌP TRẢ NGÂN SÁCH CẤP TRÊN</t>
  </si>
  <si>
    <t>Thu huy động, đóng góp</t>
  </si>
  <si>
    <t>Ghi chú: (1) Theo quy định tại Điều 7, Điều 11 và Điều 39 Luật NSNN, ngân sách huyện, xã không có nhiệm vụ chi nghiên cứu khoa học và công nghệ, trả lãi vay, chi bổ sung quỹ dự trữ tài chính, bội chi NSĐP, vay và trả nợ gốc vay.
             (2) Số quyết toán tăng so với số dự toán giao đầu năm là trong năm được cấp có thẩm quyền giao bổ sung từ nguồn Trung ương bổ sung có mục tiêu, nguồn năm trước chuyển sang, nguồn tăng thu NSĐP....</t>
  </si>
  <si>
    <t>Các CĐT khác</t>
  </si>
  <si>
    <t xml:space="preserve">CHI BỔ SUNG MỤC TIÊU CHO NGÂN SÁCH HUYỆN </t>
  </si>
  <si>
    <t>So sánh (2)</t>
  </si>
  <si>
    <t>So sánh (%) (2)</t>
  </si>
  <si>
    <t xml:space="preserve">                (2) Số quyết toán tăng so với số dự toán giao đầu năm là trong năm được cấp có thẩm quyền giao bổ sung từ nguồn Trung ương bổ sung có mục tiêu, nguồn năm trước chuyển sang, nguồn tăng thu NSĐP....</t>
  </si>
  <si>
    <t>Tương đối (%) (3)</t>
  </si>
  <si>
    <t>(3) Số quyết toán tăng so với số dự toán giao đầu năm là trong năm được cấp có thẩm quyền giao bổ sung từ nguồn Trung ương bổ sung có mục tiêu, nguồn năm trước chuyển sang, nguồn tăng thu NSĐP....</t>
  </si>
  <si>
    <t>Tổng chi cân đối NSĐP (bao gồm bội chi NSĐP)</t>
  </si>
  <si>
    <t>Tổng chi cân đối NSĐP</t>
  </si>
  <si>
    <t>Chi trả nợ gốc, lãi các khoản do chính quyền địa phương vay</t>
  </si>
  <si>
    <t>Trong đó: - Thuế BVMT thu từ hàng hóa sản xuất, kinh doanh trong nước</t>
  </si>
  <si>
    <t xml:space="preserve">                   - Thuế BVMT thu từ hàng hóa nhập khẩu</t>
  </si>
  <si>
    <t>VAY CỦA NGÂN SÁCH ĐỊA PHƯƠNG</t>
  </si>
  <si>
    <t>Địa phương vay từ nguồn cho vay lại của Chính phủ</t>
  </si>
  <si>
    <t>Bổ sung kinh phí thực hiện nhiệm vụ đảm bảo trật tự an toàn giao thông</t>
  </si>
  <si>
    <t>Chi nộp ngân sách cấp trên</t>
  </si>
  <si>
    <t>CHI NỘP NGÂN SÁCH CẤP TRÊN</t>
  </si>
  <si>
    <t>Sở NN và PT nông thôn và các đơn vị trực thuộc</t>
  </si>
  <si>
    <t>Các nguồn tập trung ngân sách tỉnh chưa phân bổ đầu năm (phân bổ khi có nhiệm vụ phát sinh)</t>
  </si>
  <si>
    <t>Khối tỉnh</t>
  </si>
  <si>
    <r>
      <t xml:space="preserve">Trong đó: Hỗ trợ từ NSĐP </t>
    </r>
    <r>
      <rPr>
        <sz val="10"/>
        <rFont val="Times New Roman"/>
        <family val="1"/>
      </rPr>
      <t>(nếu có)</t>
    </r>
  </si>
  <si>
    <t>Sở Văn hóa TTDL</t>
  </si>
  <si>
    <t>Tỉnh đoàn (Trung tâm Văn hóa thể thao TTN)</t>
  </si>
  <si>
    <t>Ban quản lý cửa khẩu quốc tế Bờ Y</t>
  </si>
  <si>
    <t>Văn phòng UBND tỉnh</t>
  </si>
  <si>
    <t>Sở Tài nguyên-Môi trường</t>
  </si>
  <si>
    <t>Văn phòng Đăng ký đất đai</t>
  </si>
  <si>
    <t>Trung tâm Phát triển quỹ đất</t>
  </si>
  <si>
    <t>Sự nghiệp bảo vệ môi trường</t>
  </si>
  <si>
    <t>Trung tâm quan trắc TNMT</t>
  </si>
  <si>
    <t>Huyện Tu Mơ Rông</t>
  </si>
  <si>
    <t xml:space="preserve">CHI TRẢ NỢ LÃI, GỐC VAY </t>
  </si>
  <si>
    <t xml:space="preserve">TỔNG SỐ </t>
  </si>
  <si>
    <t>Phòng TCDN</t>
  </si>
  <si>
    <t>Quyết toán cân đối ngân sách địa phương năm 2021</t>
  </si>
  <si>
    <t>Tổng hợp các quỹ tài chính nhà nước ngoài ngân sách do địa phương quản lý năm 2021</t>
  </si>
  <si>
    <t>Tổng hợp thu dịch vụ của đơn vị sự nghiệp công năm 2021 (không bao gồm nguồn ngân sách nhà nước)</t>
  </si>
  <si>
    <t xml:space="preserve">Tân </t>
  </si>
  <si>
    <t>QUYẾT TOÁN CÂN ĐỐI NGÂN SÁCH ĐỊA PHƯƠNG NĂM 2021</t>
  </si>
  <si>
    <t>(Kèm theo Nghị quyết số:          /NQ-HĐND ngày       tháng     năm 2022 của Hội đồng nhân dân tỉnh Kon Tum)</t>
  </si>
  <si>
    <t>QUYẾT TOÁN NGUỒN THU NGÂN SÁCH NHÀ NƯỚC TRÊN ĐỊA BÀN THEO LĨNH VỰC NĂM 2021</t>
  </si>
  <si>
    <t>QUYẾT TOÁN CHI NGÂN SÁCH ĐỊA PHƯƠNG TỪNG HUYỆN NĂM 2021</t>
  </si>
  <si>
    <t>QUYẾT TOÁN CHI CHƯƠNG TRÌNH MỤC TIÊU QUỐC GIA NĂM 2021</t>
  </si>
  <si>
    <t>NGOÀI NGÂN SÁCH DO ĐỊA PHƯƠNG QUẢN LÝ NĂM 2021</t>
  </si>
  <si>
    <t>Kế hoạch năm 2021</t>
  </si>
  <si>
    <t>Thực hiện năm 2021</t>
  </si>
  <si>
    <t>Dư nguồn đến ngày 31/12/2021</t>
  </si>
  <si>
    <t>TỔNG HỢP THU DỊCH VỤ CỦA ĐƠN VỊ SỰ NGHIỆP CÔNG NĂM 2021</t>
  </si>
  <si>
    <t>QUYẾT TOÁN CHI NGÂN SÁCH CẤP TỈNH THEO CHO TỪNG CƠ QUAN, TỔ CHỨC NĂM 2021</t>
  </si>
  <si>
    <t>QUYẾT TOÁN CHI NGÂN SÁCH ĐỊA PHƯƠNG, CHI NGÂN SÁCH CẤP TỈNH VÀ CHI NGÂN SÁCH HUYỆN THEO CƠ CẤU CHI NĂM 2021</t>
  </si>
  <si>
    <t>QUYẾT TOÁN CHI NGÂN SÁCH CẤP TỈNH THEO LĨNH VỰC NĂM 2021</t>
  </si>
  <si>
    <t>QUYẾT TOÁN CHI NGÂN SÁCH ĐỊA PHƯƠNG THEO LĨNH VỰC NĂM 2021</t>
  </si>
  <si>
    <t>Phòng TCĐT</t>
  </si>
  <si>
    <t>Dự án phát triển trẻ em toàn diện tỉnh Kon Tum giai đoạn 2017-2021 (Ban Quản lý Dự án Phát triển trẻ thơ toàn diện tỉnh)</t>
  </si>
  <si>
    <t xml:space="preserve">Nguồn vốn vay còn lại chưa phân bổ </t>
  </si>
  <si>
    <t xml:space="preserve">Hỗ trợ chi phí học tập và miễn giảm học phí </t>
  </si>
  <si>
    <t xml:space="preserve">Hỗ trợ học sinh và trường phổ thông ở xã, thôn đặc biệt khó khăn </t>
  </si>
  <si>
    <t>Hỗ trợ kinh phí ăn trưa đối với trẻ em mẫu giáo và chính sách đối với giáo viên mầm non; chính sách ưu tiên đối với học sinh mẫu giáo, học sinh dân tộc ít người</t>
  </si>
  <si>
    <t>Kinh phí thực hiện Nghị định số 105/2020/NĐ-CP quy định chính sách phát triển giáo dục mầm non</t>
  </si>
  <si>
    <t>Chính sách ưu tiên với học sinh mẫu giáo, học sinh dân tộc ít người theo Nghị định 57/2017/NĐ-CP</t>
  </si>
  <si>
    <t>Hỗ trợ kinh phí đào tạo cán bộ quân sự cấp xã; kinh phí thực hiện đề án giảm thiểu hôn nhân cận huyết</t>
  </si>
  <si>
    <t>Hỗ trợ kinh phí sản phẩm, dịch vụ công ích thủy lợi</t>
  </si>
  <si>
    <t>Hỗ trợ thực hiện một số Đề án, Dự án Khoa học và công nghệ</t>
  </si>
  <si>
    <t>9.4</t>
  </si>
  <si>
    <t>Chi trả nợ gốc, lãi các khoản do chính quyền địa phương vay (2)</t>
  </si>
  <si>
    <t>1.8</t>
  </si>
  <si>
    <t>1.9</t>
  </si>
  <si>
    <t>1.10</t>
  </si>
  <si>
    <t>1.11</t>
  </si>
  <si>
    <t>Chi từ nguồn thu các dự án khai thác quỹ đất so với dự toán Trung ương giao (Bao gồm chi đền bù GPMB của các DA đầu tư mà nhà đầu tư đã tự nguyện ứng trước từ nguồn thu tiền thuê đất, tiền sử dụng đất  phân bổ cho các dự án, nhiệm vụ theo tiến độ nguồn thu thực tế)</t>
  </si>
  <si>
    <t>Chi từ nguồn viện trợ thuộc nguồn thu NSĐP</t>
  </si>
  <si>
    <t>Chi quốc phòng, an ninh và trật tự an toàn xã hội</t>
  </si>
  <si>
    <t>Dự toán năm 2021</t>
  </si>
  <si>
    <t>Sở Văn hoá Thể thao và Du lịch</t>
  </si>
  <si>
    <t>Trường cao đẳng cộng đồng</t>
  </si>
  <si>
    <t>Ban bảo vệ sức khỏe cán bộ</t>
  </si>
  <si>
    <t>76</t>
  </si>
  <si>
    <t>77</t>
  </si>
  <si>
    <t>78</t>
  </si>
  <si>
    <t>Hội người cao tuổi</t>
  </si>
  <si>
    <t>KP hoạt động BCĐ thi hành án dân sự tỉnh</t>
  </si>
  <si>
    <t>Hội bảo vệ người tiêu dùng</t>
  </si>
  <si>
    <t>Ban Quản lý Dự án phát triển trẻ thơ toàn diện tỉnh</t>
  </si>
  <si>
    <t>KP sắp xếp bộ máy theo NQ 18, 19/CP và biến động BC khác</t>
  </si>
  <si>
    <t>KP lập các Quy hoạch theo NQ 69/TW</t>
  </si>
  <si>
    <t>KP bầu cử các cấp</t>
  </si>
  <si>
    <t>Các tổ chức, đơn vị sử dụng lao động là người DTTS theo QĐ 42</t>
  </si>
  <si>
    <t>Ban quản lý khai thác các công trình thủy lợi tỉnh</t>
  </si>
  <si>
    <t>QUYẾT TOÁN CHI BỔ SUNG TỪ NGÂN SÁCH CẤP TỈNH CHO NGÂN SÁCH TỪNG HUYỆN NĂM 2021</t>
  </si>
  <si>
    <t>Thanh tra tỉnh</t>
  </si>
  <si>
    <t>CHI TRẢ NỢ GỐC, LÃI CÁC KHOẢN DO CHÍNH QUYỀN ĐỊA PHƯƠNG VAY; CHI CHO VAY TỪ NGUỒN VỐN TRONG NƯỚC</t>
  </si>
  <si>
    <t>1.12</t>
  </si>
  <si>
    <t>IX</t>
  </si>
  <si>
    <t xml:space="preserve">Chi cho vay từ nguồn vốn trong nước </t>
  </si>
  <si>
    <t>Ngành, lĩnh vực giao thông</t>
  </si>
  <si>
    <t>Ngành, lĩnh vực cấp nước, thoát nước</t>
  </si>
  <si>
    <t>Ngành, lĩnh vực công nghiệp</t>
  </si>
  <si>
    <t>Ngành, lĩnh vực nông nghiệp, lâm nghiệp, thủy lợi và thủy sản</t>
  </si>
  <si>
    <t>Ngành, lĩnh vực Quốc phòng</t>
  </si>
  <si>
    <t>Ngành, lĩnh vực Giáo dục</t>
  </si>
  <si>
    <t>Ngành, lĩnh vực Y tế</t>
  </si>
  <si>
    <t>Nguồn dự phòng ngân sách Trung ương 2020 - các dự án cấp khẩn cấp</t>
  </si>
  <si>
    <t>Dự phòng  ngân sách Trung ương 2020</t>
  </si>
  <si>
    <t>Ban quản lý dự án bảo vệ và Quản lý tổng hợp các hệ sinh thái rừng</t>
  </si>
  <si>
    <t>Ban quản lý dự án chuyển đổi NN bền vững tỉnh Kon Tum</t>
  </si>
  <si>
    <t>BQL Khu bảo tồn Thiên nhiên Ngọc Linh</t>
  </si>
  <si>
    <t>Dự án khai thác quỹ đất phát triển kết cấu hạ tầng Trung tâm thể dục thể thao phường Trường Chinh, thành phố Kon Tum (1449)</t>
  </si>
  <si>
    <t>GTGC tiền sử dụng đất tương ứng số tiền đền bù GPMB của các DA đầu tư mà nhà đầu tư đã tự nguyện ứng trước (1449)</t>
  </si>
  <si>
    <t>GTGC tiền thuê đất tương ứng số tiền đền bù GPMB của các DA đầu tư mà nhà đầu tư đã tự nguyện ứng trước (3605)</t>
  </si>
  <si>
    <t>Tiền sử dụng đất thuộc Dự án đường Bà Triệu (1449)</t>
  </si>
  <si>
    <t>Tiền bán tài sản liền với đất thuộc Dự án đường Bà Triệu (3365)</t>
  </si>
  <si>
    <t>Thu viện trợ thuộc nguồn thu ngân sách địa phương</t>
  </si>
  <si>
    <t>Chi cho vay từ nguồn vốn trong nước</t>
  </si>
  <si>
    <t>BỘI CHI NSĐP/BỘI THU NSĐP/KẾT DƯ NSĐP</t>
  </si>
  <si>
    <t>CHI BỔ SUNG QUỸ DỰ TRỮ TÀI CHÍNH, CHI DỰ PHÒNG, CHI BSMT CHO NGÂN SÁCH HUYỆN; CHI TỪ NGUỒN VIỆN TRỢ THUỘC NGUỒN THU NSĐP</t>
  </si>
  <si>
    <t>CHI TỪ NGUỒN VIỆN TRỢ THUỘC NGUỒN THU NSĐP</t>
  </si>
  <si>
    <t>X</t>
  </si>
  <si>
    <t>CHI CHO VAY TỪ NGUỒN VỐN TRONG NƯỚC</t>
  </si>
  <si>
    <t>DỰ TOÁN TRUNG ƯƠNG BỔ SUNG CÓ MỤC TIÊU TRONG NĂM 2021</t>
  </si>
  <si>
    <t>Các CĐT khác (1)</t>
  </si>
  <si>
    <t>Ghi chú: (1) Nguồn Trung ương bổ sung vào thời điểm cuối năm 2021, chưa phân bổ được phép chuyển nguồn sang 2022 phân bổ theo quy định</t>
  </si>
  <si>
    <t>Sự nghiệp đào tạo và dạy nghề (Trường Cao đẳng Cộng đồng)</t>
  </si>
  <si>
    <t>Sự nghiệp đào tạo và bồi dưỡng (Trường Chính trị)</t>
  </si>
  <si>
    <t>Sự nghiệp khoa học và công nghệ (Trung tâm nghiên cứu Ứng dụng &amp;DVKH&amp;CN)</t>
  </si>
  <si>
    <t>Sở Thông tin và Truyền thông (Trung tâm Công nghệ TT&amp;TT)</t>
  </si>
  <si>
    <t>Sự nghiệp thể dục thể thao (Sở VHTT&amp;DL, Trung tâm Huấn luyện và TĐTDTT)</t>
  </si>
  <si>
    <t>Sở Nông nghiệp và PTNT (Trung tâm Nước sạch và vệ sinh môi trường nông thôn)</t>
  </si>
  <si>
    <t>BQL VQG Chư Mom Ray</t>
  </si>
  <si>
    <t>Trung tâm giám định chất lượng xây dựng</t>
  </si>
  <si>
    <t>Trung tâm đăng kiểm 82.01.S</t>
  </si>
  <si>
    <t>Trung tâm Dịch vụ hành chính - Hội nghị tỉnh Kon Tum</t>
  </si>
  <si>
    <t>Ban QL Khu kinh tế (Công ty Đầu tư phát triển hạ tầng Khu kinh tế)</t>
  </si>
  <si>
    <t>Sự nghiệp giáo dục- đào tạo và dạy nghề</t>
  </si>
  <si>
    <t>Huyện Tu mơ Rông</t>
  </si>
  <si>
    <t>10.1</t>
  </si>
  <si>
    <t>10.2</t>
  </si>
  <si>
    <t>10.3</t>
  </si>
  <si>
    <t>10.4</t>
  </si>
  <si>
    <t>10.5</t>
  </si>
  <si>
    <t>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</si>
</sst>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4">
    <numFmt numFmtId="41" formatCode="_-* #,##0\ _₫_-;\-* #,##0\ _₫_-;_-* &quot;-&quot;\ _₫_-;_-@_-"/>
    <numFmt numFmtId="43" formatCode="_-* #,##0.00\ _₫_-;\-* #,##0.00\ _₫_-;_-* &quot;-&quot;??\ _₫_-;_-@_-"/>
    <numFmt numFmtId="164" formatCode="_-* #,##0_-;\-* #,##0_-;_-* &quot;-&quot;_-;_-@_-"/>
    <numFmt numFmtId="165" formatCode="_-* #,##0.00_-;\-* #,##0.00_-;_-* &quot;-&quot;??_-;_-@_-"/>
    <numFmt numFmtId="166" formatCode="&quot;$&quot;#,##0_);[Red]\(&quot;$&quot;#,##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0.0"/>
    <numFmt numFmtId="172" formatCode="_(* #,##0.00_);_(* \(#,##0.00\);_(* \-??_);_(@_)"/>
    <numFmt numFmtId="173" formatCode="_(* #,##0_);_(* \(#,##0\);_(* &quot;-&quot;??_);_(@_)"/>
    <numFmt numFmtId="174" formatCode="_-* #,##0_-;\-* #,##0_-;_-* &quot;-&quot;??_-;_-@_-"/>
    <numFmt numFmtId="175" formatCode="_(* #,##0.0_);_(* \(#,##0.0\);_(* &quot;-&quot;??_);_(@_)"/>
    <numFmt numFmtId="176" formatCode="_-* #,##0\ _₫_-;\-* #,##0\ _₫_-;_-* &quot;-&quot;??\ _₫_-;_-@_-"/>
    <numFmt numFmtId="177" formatCode="#,##0_ ;\-#,##0\ "/>
    <numFmt numFmtId="178" formatCode="[&lt;=9999999][$-1000000]###\-####;[$-1000000]\(#\)\ ###\-####"/>
    <numFmt numFmtId="179" formatCode="_(* #,##0_);_(* \(#,##0\);_(* \-??_);_(@_)"/>
    <numFmt numFmtId="180" formatCode="_-&quot;$&quot;* #,##0_-;\-&quot;$&quot;* #,##0_-;_-&quot;$&quot;* &quot;-&quot;_-;_-@_-"/>
    <numFmt numFmtId="181" formatCode="_(&quot;£&quot;\ * #,##0_);_(&quot;£&quot;\ * \(#,##0\);_(&quot;£&quot;\ * &quot;-&quot;_);_(@_)"/>
    <numFmt numFmtId="182" formatCode="&quot;€&quot;###,0&quot;.&quot;00_);\(&quot;€&quot;###,0&quot;.&quot;00\)"/>
    <numFmt numFmtId="183" formatCode="&quot;\&quot;#,##0;[Red]&quot;\&quot;&quot;\&quot;\-#,##0"/>
    <numFmt numFmtId="184" formatCode="_-&quot;£&quot;* #,##0_-;\-&quot;£&quot;* #,##0_-;_-&quot;£&quot;* &quot;-&quot;_-;_-@_-"/>
    <numFmt numFmtId="185" formatCode="_-&quot;£&quot;* #,##0.00_-;\-&quot;£&quot;* #,##0.00_-;_-&quot;£&quot;* &quot;-&quot;??_-;_-@_-"/>
    <numFmt numFmtId="186" formatCode="#.##00"/>
    <numFmt numFmtId="187" formatCode="_-* #,##0\ &quot;€&quot;_-;\-* #,##0\ &quot;€&quot;_-;_-* &quot;-&quot;\ &quot;€&quot;_-;_-@_-"/>
    <numFmt numFmtId="188" formatCode="_-* #,##0\ _F_-;\-* #,##0\ _F_-;_-* &quot;-&quot;\ _F_-;_-@_-"/>
    <numFmt numFmtId="189" formatCode="_-* #,##0\ &quot;F&quot;_-;\-* #,##0\ &quot;F&quot;_-;_-* &quot;-&quot;\ &quot;F&quot;_-;_-@_-"/>
    <numFmt numFmtId="190" formatCode="_-* #,##0&quot;$&quot;_-;_-* #,##0&quot;$&quot;\-;_-* &quot;-&quot;&quot;$&quot;_-;_-@_-"/>
    <numFmt numFmtId="191" formatCode="_-* #,##0\ &quot;$&quot;_-;\-* #,##0\ &quot;$&quot;_-;_-* &quot;-&quot;\ &quot;$&quot;_-;_-@_-"/>
    <numFmt numFmtId="192" formatCode="_-&quot;$&quot;* #,##0.00_-;\-&quot;$&quot;* #,##0.00_-;_-&quot;$&quot;* &quot;-&quot;??_-;_-@_-"/>
    <numFmt numFmtId="193" formatCode="_-&quot;ñ&quot;* #,##0_-;\-&quot;ñ&quot;* #,##0_-;_-&quot;ñ&quot;* &quot;-&quot;_-;_-@_-"/>
    <numFmt numFmtId="194" formatCode="0.0000"/>
    <numFmt numFmtId="195" formatCode="_-&quot;€&quot;* #,##0_-;\-&quot;€&quot;* #,##0_-;_-&quot;€&quot;* &quot;-&quot;_-;_-@_-"/>
    <numFmt numFmtId="196" formatCode="_-* ###,0&quot;.&quot;00_-;\-* ###,0&quot;.&quot;00_-;_-* &quot;-&quot;??_-;_-@_-"/>
    <numFmt numFmtId="197" formatCode="_-* #,##0.00\ _F_-;\-* #,##0.00\ _F_-;_-* &quot;-&quot;??\ _F_-;_-@_-"/>
    <numFmt numFmtId="198" formatCode="_ * #,##0.00_ ;_ * \-#,##0.00_ ;_ * &quot;-&quot;??_ ;_ @_ "/>
    <numFmt numFmtId="199" formatCode="_-* #,##0.00\ _V_N_D_-;\-* #,##0.00\ _V_N_D_-;_-* &quot;-&quot;??\ _V_N_D_-;_-@_-"/>
    <numFmt numFmtId="200" formatCode="_-* #,##0.00\ _V_N_Ñ_-;_-* #,##0.00\ _V_N_Ñ\-;_-* &quot;-&quot;??\ _V_N_Ñ_-;_-@_-"/>
    <numFmt numFmtId="201" formatCode="_-* #,##0.00\ _€_-;\-* #,##0.00\ _€_-;_-* &quot;-&quot;??\ _€_-;_-@_-"/>
    <numFmt numFmtId="202" formatCode="_-* #,##0.00_$_-;_-* #,##0.00_$\-;_-* &quot;-&quot;??_$_-;_-@_-"/>
    <numFmt numFmtId="203" formatCode="_(* ###,0&quot;.&quot;00_);_(* \(###,0&quot;.&quot;00\);_(* &quot;-&quot;??_);_(@_)"/>
    <numFmt numFmtId="204" formatCode="&quot;£&quot;#,##0;[Red]\-&quot;£&quot;#,##0"/>
    <numFmt numFmtId="205" formatCode="_-* #,##0.00\ _ñ_-;\-* #,##0.00\ _ñ_-;_-* &quot;-&quot;??\ _ñ_-;_-@_-"/>
    <numFmt numFmtId="206" formatCode="0.00000"/>
    <numFmt numFmtId="207" formatCode="#,##0.00\ &quot;F&quot;;\-#,##0.00\ &quot;F&quot;"/>
    <numFmt numFmtId="208" formatCode="&quot;$&quot;#,##0;[Red]\-&quot;$&quot;#,##0"/>
    <numFmt numFmtId="209" formatCode="_(&quot;$&quot;\ * #,##0_);_(&quot;$&quot;\ * \(#,##0\);_(&quot;$&quot;\ * &quot;-&quot;_);_(@_)"/>
    <numFmt numFmtId="210" formatCode="&quot;$&quot;#,##0.00;[Red]\-&quot;$&quot;#,##0.00"/>
    <numFmt numFmtId="211" formatCode="_-* #,##0\ &quot;ñ&quot;_-;\-* #,##0\ &quot;ñ&quot;_-;_-* &quot;-&quot;\ &quot;ñ&quot;_-;_-@_-"/>
    <numFmt numFmtId="212" formatCode="0.0000000"/>
    <numFmt numFmtId="213" formatCode="#,##0.0"/>
    <numFmt numFmtId="214" formatCode="_(&quot;€&quot;* #,##0_);_(&quot;€&quot;* \(#,##0\);_(&quot;€&quot;* &quot;-&quot;_);_(@_)"/>
    <numFmt numFmtId="215" formatCode="_ * #,##0_ ;_ * \-#,##0_ ;_ * &quot;-&quot;_ ;_ @_ "/>
    <numFmt numFmtId="216" formatCode="_-* #,##0\ _V_N_D_-;\-* #,##0\ _V_N_D_-;_-* &quot;-&quot;\ _V_N_D_-;_-@_-"/>
    <numFmt numFmtId="217" formatCode="_-* #,##0\ _V_N_Ñ_-;_-* #,##0\ _V_N_Ñ\-;_-* &quot;-&quot;\ _V_N_Ñ_-;_-@_-"/>
    <numFmt numFmtId="218" formatCode="_-* #,##0\ _€_-;\-* #,##0\ _€_-;_-* &quot;-&quot;\ _€_-;_-@_-"/>
    <numFmt numFmtId="219" formatCode="_-* #,##0_$_-;_-* #,##0_$\-;_-* &quot;-&quot;_$_-;_-@_-"/>
    <numFmt numFmtId="220" formatCode="_-* #,##0\ _$_-;\-* #,##0\ _$_-;_-* &quot;-&quot;\ _$_-;_-@_-"/>
    <numFmt numFmtId="221" formatCode="_-* #,##0\ _m_k_-;\-* #,##0\ _m_k_-;_-* &quot;-&quot;\ _m_k_-;_-@_-"/>
    <numFmt numFmtId="222" formatCode="&quot;£&quot;#,##0;\-&quot;£&quot;#,##0"/>
    <numFmt numFmtId="223" formatCode="_-* #,##0\ _ñ_-;\-* #,##0\ _ñ_-;_-* &quot;-&quot;\ _ñ_-;_-@_-"/>
    <numFmt numFmtId="224" formatCode="0.000000"/>
    <numFmt numFmtId="225" formatCode="#,##0.0_);[Red]\(#,##0.0\)"/>
    <numFmt numFmtId="226" formatCode="_ &quot;\&quot;* #,##0_ ;_ &quot;\&quot;* \-#,##0_ ;_ &quot;\&quot;* &quot;-&quot;_ ;_ @_ "/>
    <numFmt numFmtId="227" formatCode="&quot;\&quot;#,##0.00;[Red]&quot;\&quot;\-#,##0.00"/>
    <numFmt numFmtId="228" formatCode="&quot;\&quot;#,##0;[Red]&quot;\&quot;\-#,##0"/>
    <numFmt numFmtId="229" formatCode="&quot;SFr.&quot;\ #,##0.00;[Red]&quot;SFr.&quot;\ \-#,##0.00"/>
    <numFmt numFmtId="230" formatCode="&quot;SFr.&quot;\ #,##0.00;&quot;SFr.&quot;\ \-#,##0.00"/>
    <numFmt numFmtId="231" formatCode="_ &quot;SFr.&quot;\ * #,##0_ ;_ &quot;SFr.&quot;\ * \-#,##0_ ;_ &quot;SFr.&quot;\ * &quot;-&quot;_ ;_ @_ "/>
    <numFmt numFmtId="232" formatCode="#,##0.0_);\(#,##0.0\)"/>
    <numFmt numFmtId="233" formatCode="_(* #,##0.0000_);_(* \(#,##0.0000\);_(* &quot;-&quot;??_);_(@_)"/>
    <numFmt numFmtId="234" formatCode="0.0%;[Red]\(0.0%\)"/>
    <numFmt numFmtId="235" formatCode="_ * #,##0.00_)&quot;£&quot;_ ;_ * \(#,##0.00\)&quot;£&quot;_ ;_ * &quot;-&quot;??_)&quot;£&quot;_ ;_ @_ "/>
    <numFmt numFmtId="236" formatCode="0.0%;\(0.0%\)"/>
    <numFmt numFmtId="237" formatCode="_-* #,##0.00\ &quot;F&quot;_-;\-* #,##0.00\ &quot;F&quot;_-;_-* &quot;-&quot;??\ &quot;F&quot;_-;_-@_-"/>
    <numFmt numFmtId="238" formatCode="0.000_)"/>
    <numFmt numFmtId="239" formatCode="_(* #,##0_);_(* \(#,##0\);_(* \-_);_(@_)"/>
    <numFmt numFmtId="240" formatCode="#,##0.00;[Red]#,##0.00"/>
    <numFmt numFmtId="241" formatCode="#,##0;\(#,##0\)"/>
    <numFmt numFmtId="242" formatCode="_ &quot;R&quot;\ * #,##0_ ;_ &quot;R&quot;\ * \-#,##0_ ;_ &quot;R&quot;\ * &quot;-&quot;_ ;_ @_ "/>
    <numFmt numFmtId="243" formatCode="\$#,##0\ ;&quot;($&quot;#,##0\)"/>
    <numFmt numFmtId="244" formatCode="\$#,##0\ ;\(\$#,##0\)"/>
    <numFmt numFmtId="245" formatCode="#,##0.000_);\(#,##0.000\)"/>
    <numFmt numFmtId="246" formatCode="\t0.00%"/>
    <numFmt numFmtId="247" formatCode="0.000"/>
    <numFmt numFmtId="248" formatCode="?\,???.??__;[Red]&quot;- &quot;?\,???.??__"/>
    <numFmt numFmtId="249" formatCode="?,???.??__;[Red]\-\ ?,???.??__;"/>
    <numFmt numFmtId="250" formatCode="\U\S\$#,##0.00;\(\U\S\$#,##0.00\)"/>
    <numFmt numFmtId="251" formatCode="_(\§\g\ #,##0_);_(\§\g\ \(#,##0\);_(\§\g\ &quot;-&quot;??_);_(@_)"/>
    <numFmt numFmtId="252" formatCode="_(\§\g\ #,##0_);_(\§\g\ \(#,##0\);_(\§\g\ &quot;-&quot;_);_(@_)"/>
    <numFmt numFmtId="253" formatCode="\t#\ ??/??"/>
    <numFmt numFmtId="254" formatCode="\§\g#,##0_);\(\§\g#,##0\)"/>
    <numFmt numFmtId="255" formatCode="_-&quot;VND&quot;* #,##0_-;\-&quot;VND&quot;* #,##0_-;_-&quot;VND&quot;* &quot;-&quot;_-;_-@_-"/>
    <numFmt numFmtId="256" formatCode="_(&quot;Rp&quot;* #,##0.00_);_(&quot;Rp&quot;* \(#,##0.00\);_(&quot;Rp&quot;* &quot;-&quot;??_);_(@_)"/>
    <numFmt numFmtId="257" formatCode="#,##0.00\ &quot;FB&quot;;[Red]\-#,##0.00\ &quot;FB&quot;"/>
    <numFmt numFmtId="258" formatCode="#,##0\ &quot;$&quot;;\-#,##0\ &quot;$&quot;"/>
    <numFmt numFmtId="259" formatCode="&quot;$&quot;#,##0;\-&quot;$&quot;#,##0"/>
    <numFmt numFmtId="260" formatCode="_-* #,##0\ _F_B_-;\-* #,##0\ _F_B_-;_-* &quot;-&quot;\ _F_B_-;_-@_-"/>
    <numFmt numFmtId="261" formatCode="_-[$€]* #,##0.00_-;\-[$€]* #,##0.00_-;_-[$€]* &quot;-&quot;??_-;_-@_-"/>
    <numFmt numFmtId="262" formatCode="&quot;öS&quot;\ #,##0;[Red]\-&quot;öS&quot;\ #,##0"/>
    <numFmt numFmtId="263" formatCode="&quot;Q&quot;#,##0_);\(&quot;Q&quot;#,##0\)"/>
    <numFmt numFmtId="264" formatCode="#,##0_);\-#,##0_)"/>
    <numFmt numFmtId="265" formatCode="#,###;\-#,###;&quot;&quot;;_(@_)"/>
    <numFmt numFmtId="266" formatCode="_(* #,##0.000000_);_(* \(#,##0.000000\);_(* &quot;-&quot;??_);_(@_)"/>
    <numFmt numFmtId="267" formatCode="#,##0\ &quot;$&quot;_);\(#,##0\ &quot;$&quot;\)"/>
    <numFmt numFmtId="268" formatCode="#,###"/>
    <numFmt numFmtId="269" formatCode="#,##0\ &quot;£&quot;_);[Red]\(#,##0\ &quot;£&quot;\)"/>
    <numFmt numFmtId="270" formatCode="&quot;£&quot;###,0&quot;.&quot;00_);[Red]\(&quot;£&quot;###,0&quot;.&quot;00\)"/>
    <numFmt numFmtId="271" formatCode="&quot;\&quot;#,##0;[Red]\-&quot;\&quot;#,##0"/>
    <numFmt numFmtId="272" formatCode="&quot;\&quot;#,##0.00;\-&quot;\&quot;#,##0.00"/>
    <numFmt numFmtId="273" formatCode="0#,###,#&quot;.&quot;00"/>
    <numFmt numFmtId="274" formatCode="_ * #,##0_)\ &quot;$&quot;_ ;_ * \(#,##0\)\ &quot;$&quot;_ ;_ * &quot;-&quot;_)\ &quot;$&quot;_ ;_ @_ "/>
    <numFmt numFmtId="275" formatCode="&quot;VND&quot;#,##0_);[Red]\(&quot;VND&quot;#,##0\)"/>
    <numFmt numFmtId="276" formatCode="_ * #,##0_)&quot; $&quot;_ ;_ * \(#,##0&quot;) $&quot;_ ;_ * \-_)&quot; $&quot;_ ;_ @_ "/>
    <numFmt numFmtId="277" formatCode="#,##0.00_);\-#,##0.00_)"/>
    <numFmt numFmtId="278" formatCode="#"/>
    <numFmt numFmtId="279" formatCode="#,##0.0000"/>
    <numFmt numFmtId="280" formatCode="&quot;¡Ì&quot;#,##0;[Red]\-&quot;¡Ì&quot;#,##0"/>
    <numFmt numFmtId="281" formatCode="#,##0.00\ &quot;F&quot;;[Red]\-#,##0.00\ &quot;F&quot;"/>
    <numFmt numFmtId="282" formatCode="#,##0.00&quot; F&quot;;[Red]\-#,##0.00&quot; F&quot;"/>
    <numFmt numFmtId="283" formatCode="_-* #,##0.0\ _F_-;\-* #,##0.0\ _F_-;_-* &quot;-&quot;??\ _F_-;_-@_-"/>
    <numFmt numFmtId="284" formatCode="#,##0.00\ \ "/>
    <numFmt numFmtId="285" formatCode="0.00000000"/>
    <numFmt numFmtId="286" formatCode="_ * #,##0.0_ ;_ * \-#,##0.0_ ;_ * &quot;-&quot;??_ ;_ @_ "/>
    <numFmt numFmtId="287" formatCode="#,##0.00\ \ \ \ "/>
    <numFmt numFmtId="288" formatCode="_(* #.##0.00_);_(* \(#.##0.00\);_(* &quot;-&quot;??_);_(@_)"/>
    <numFmt numFmtId="289" formatCode="###\ ###\ ##0"/>
    <numFmt numFmtId="290" formatCode="&quot;\&quot;#,##0;&quot;\&quot;\-#,##0"/>
    <numFmt numFmtId="291" formatCode="_-* ###,0&quot;.&quot;00\ _F_B_-;\-* ###,0&quot;.&quot;00\ _F_B_-;_-* &quot;-&quot;??\ _F_B_-;_-@_-"/>
    <numFmt numFmtId="292" formatCode="\\#,##0;[Red]&quot;-\&quot;#,##0"/>
    <numFmt numFmtId="293" formatCode="_ * #.##._ ;_ * \-#.##._ ;_ * &quot;-&quot;??_ ;_ @_ⴆ"/>
    <numFmt numFmtId="294" formatCode="#,##0\ &quot;F&quot;;\-#,##0\ &quot;F&quot;"/>
    <numFmt numFmtId="295" formatCode="#,##0\ &quot;F&quot;;[Red]\-#,##0\ &quot;F&quot;"/>
    <numFmt numFmtId="296" formatCode="_-* #,##0\ _F_-;\-* #,##0\ _F_-;_-* &quot;-&quot;??\ _F_-;_-@_-"/>
    <numFmt numFmtId="297" formatCode="#.00\ ##0"/>
    <numFmt numFmtId="298" formatCode="#.\ ##0"/>
    <numFmt numFmtId="299" formatCode="_-* #,##0\ &quot;DM&quot;_-;\-* #,##0\ &quot;DM&quot;_-;_-* &quot;-&quot;\ &quot;DM&quot;_-;_-@_-"/>
    <numFmt numFmtId="300" formatCode="_-* #,##0.00\ &quot;DM&quot;_-;\-* #,##0.00\ &quot;DM&quot;_-;_-* &quot;-&quot;??\ &quot;DM&quot;_-;_-@_-"/>
    <numFmt numFmtId="301" formatCode="#,##0.000"/>
    <numFmt numFmtId="302" formatCode="#,##0;[Red]#,##0"/>
    <numFmt numFmtId="303" formatCode="0.0%"/>
    <numFmt numFmtId="304" formatCode="_(* #,##0.00000_);_(* \(#,##0.00000\);_(* &quot;-&quot;??_);_(@_)"/>
    <numFmt numFmtId="305" formatCode="#,##0.00000"/>
  </numFmts>
  <fonts count="271">
    <font>
      <sz val="11"/>
      <color theme="1"/>
      <name val="Calibri"/>
      <family val="2"/>
      <scheme val="minor"/>
    </font>
    <font>
      <sz val="11"/>
      <color theme="1"/>
      <name val="Calibri"/>
      <family val="2"/>
      <charset val="163"/>
      <scheme val="minor"/>
    </font>
    <font>
      <sz val="11"/>
      <color theme="1"/>
      <name val="Calibri"/>
      <family val="2"/>
      <charset val="163"/>
      <scheme val="minor"/>
    </font>
    <font>
      <sz val="11"/>
      <color theme="1"/>
      <name val="Calibri"/>
      <family val="2"/>
      <charset val="163"/>
      <scheme val="minor"/>
    </font>
    <font>
      <sz val="11"/>
      <color theme="1"/>
      <name val="Calibri"/>
      <family val="2"/>
      <charset val="163"/>
      <scheme val="minor"/>
    </font>
    <font>
      <b/>
      <sz val="12"/>
      <color theme="1"/>
      <name val="Times New Roman"/>
      <family val="1"/>
    </font>
    <font>
      <sz val="12"/>
      <color theme="1"/>
      <name val="Times New Roman"/>
      <family val="1"/>
    </font>
    <font>
      <i/>
      <sz val="10"/>
      <color rgb="FF000000"/>
      <name val="Arial"/>
      <family val="2"/>
    </font>
    <font>
      <sz val="8"/>
      <name val="Arial"/>
      <family val="2"/>
    </font>
    <font>
      <b/>
      <sz val="10"/>
      <color rgb="FF000000"/>
      <name val="Times New Roman"/>
      <family val="1"/>
    </font>
    <font>
      <sz val="10"/>
      <color rgb="FF000000"/>
      <name val="Times New Roman"/>
      <family val="1"/>
    </font>
    <font>
      <i/>
      <sz val="10"/>
      <color rgb="FF000000"/>
      <name val="Times New Roman"/>
      <family val="1"/>
    </font>
    <font>
      <sz val="11"/>
      <color theme="1"/>
      <name val="Times New Roman"/>
      <family val="1"/>
    </font>
    <font>
      <b/>
      <i/>
      <sz val="10"/>
      <color rgb="FF000000"/>
      <name val="Times New Roman"/>
      <family val="1"/>
    </font>
    <font>
      <b/>
      <sz val="6"/>
      <color rgb="FF000000"/>
      <name val="Times New Roman"/>
      <family val="1"/>
    </font>
    <font>
      <sz val="11"/>
      <color theme="1"/>
      <name val="Calibri"/>
      <family val="2"/>
      <scheme val="minor"/>
    </font>
    <font>
      <sz val="10"/>
      <name val="Arial"/>
      <family val="2"/>
    </font>
    <font>
      <sz val="10"/>
      <name val="Times New Roman"/>
      <family val="1"/>
    </font>
    <font>
      <b/>
      <sz val="10"/>
      <name val="Times New Roman"/>
      <family val="1"/>
    </font>
    <font>
      <b/>
      <sz val="8"/>
      <color indexed="81"/>
      <name val="Tahoma"/>
      <family val="2"/>
    </font>
    <font>
      <sz val="8"/>
      <color indexed="81"/>
      <name val="Tahoma"/>
      <family val="2"/>
    </font>
    <font>
      <sz val="12"/>
      <color theme="1"/>
      <name val="Times New Roman"/>
      <family val="2"/>
    </font>
    <font>
      <sz val="11"/>
      <name val="Times New Roman"/>
      <family val="1"/>
    </font>
    <font>
      <i/>
      <sz val="11"/>
      <name val="Times New Roman"/>
      <family val="1"/>
    </font>
    <font>
      <sz val="12"/>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1"/>
      <name val="VNI-Aptima"/>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sz val="11"/>
      <color indexed="8"/>
      <name val="Calibri"/>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1"/>
      <color indexed="20"/>
      <name val="Calibri"/>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1"/>
      <color indexed="52"/>
      <name val="Calibri"/>
      <family val="2"/>
    </font>
    <font>
      <b/>
      <sz val="10"/>
      <name val="Helv"/>
    </font>
    <font>
      <b/>
      <sz val="12"/>
      <color indexed="9"/>
      <name val="Arial Narrow"/>
      <family val="2"/>
    </font>
    <font>
      <b/>
      <sz val="11"/>
      <color indexed="9"/>
      <name val="Calibri"/>
      <family val="2"/>
    </font>
    <font>
      <sz val="11"/>
      <name val="VNbook-Antiqua"/>
      <family val="2"/>
    </font>
    <font>
      <sz val="10"/>
      <name val="VNI-Aptima"/>
    </font>
    <font>
      <sz val="11"/>
      <name val="VNtimes new roman"/>
      <family val="2"/>
    </font>
    <font>
      <sz val="11"/>
      <name val="Tms Rmn"/>
    </font>
    <font>
      <sz val="10"/>
      <color indexed="8"/>
      <name val="Times New Roman"/>
      <family val="2"/>
    </font>
    <font>
      <sz val="11"/>
      <name val="UVnTime"/>
    </font>
    <font>
      <sz val="12"/>
      <name val="Times New Roman"/>
      <family val="1"/>
    </font>
    <font>
      <sz val="12"/>
      <color indexed="8"/>
      <name val="Times New Roman"/>
      <family val="2"/>
    </font>
    <font>
      <sz val="11"/>
      <color theme="1"/>
      <name val="Calibri"/>
      <family val="2"/>
      <charset val="163"/>
      <scheme val="minor"/>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11"/>
      <color indexed="17"/>
      <name val="Calibri"/>
      <family val="2"/>
    </font>
    <font>
      <b/>
      <sz val="11"/>
      <name val="Times New Roman"/>
      <family val="1"/>
    </font>
    <font>
      <sz val="10"/>
      <name val=".VnArialH"/>
      <family val="2"/>
    </font>
    <font>
      <b/>
      <sz val="12"/>
      <name val=".VnBook-AntiquaH"/>
      <family val="2"/>
    </font>
    <font>
      <b/>
      <u/>
      <sz val="13"/>
      <name val="VnTime"/>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2"/>
      <name val="Arial"/>
      <family val="2"/>
    </font>
    <font>
      <sz val="12"/>
      <color indexed="52"/>
      <name val="Arial Narrow"/>
      <family val="2"/>
    </font>
    <font>
      <sz val="11"/>
      <color indexed="52"/>
      <name val="Calibri"/>
      <family val="2"/>
    </font>
    <font>
      <sz val="8"/>
      <name val="VNarial"/>
      <family val="2"/>
    </font>
    <font>
      <b/>
      <sz val="11"/>
      <name val="Helv"/>
    </font>
    <font>
      <sz val="10"/>
      <name val=".VnAvant"/>
      <family val="2"/>
    </font>
    <font>
      <sz val="12"/>
      <color indexed="60"/>
      <name val="Arial Narrow"/>
      <family val="2"/>
    </font>
    <font>
      <sz val="11"/>
      <color indexed="60"/>
      <name val="Calibri"/>
      <family val="2"/>
    </font>
    <font>
      <sz val="7"/>
      <name val="Small Fonts"/>
      <family val="2"/>
    </font>
    <font>
      <b/>
      <sz val="12"/>
      <name val="VN-NTime"/>
    </font>
    <font>
      <sz val="12"/>
      <name val="???"/>
      <family val="1"/>
      <charset val="129"/>
    </font>
    <font>
      <sz val="12"/>
      <name val="바탕체"/>
      <family val="1"/>
      <charset val="129"/>
    </font>
    <font>
      <sz val="11"/>
      <color theme="1"/>
      <name val="Arial Narrow"/>
      <family val="2"/>
    </font>
    <font>
      <sz val="10"/>
      <color indexed="8"/>
      <name val="Arial Narrow"/>
      <family val="2"/>
    </font>
    <font>
      <sz val="11"/>
      <color indexed="8"/>
      <name val="Arial Narrow"/>
      <family val="2"/>
    </font>
    <font>
      <sz val="9"/>
      <name val="Arial"/>
      <family val="2"/>
    </font>
    <font>
      <sz val="12"/>
      <color indexed="8"/>
      <name val="Times New Roman"/>
      <family val="2"/>
      <charset val="163"/>
    </font>
    <font>
      <sz val="12"/>
      <color theme="1"/>
      <name val="Times New Roman"/>
      <family val="2"/>
      <charset val="163"/>
    </font>
    <font>
      <sz val="13"/>
      <name val="Times New Roman"/>
      <family val="1"/>
      <charset val="163"/>
    </font>
    <font>
      <sz val="12"/>
      <name val=".VnArial Narrow"/>
      <family val="2"/>
    </font>
    <font>
      <sz val="13"/>
      <color theme="1"/>
      <name val="Times New Roman"/>
      <family val="2"/>
    </font>
    <font>
      <sz val="11"/>
      <color indexed="8"/>
      <name val="Arial"/>
      <family val="2"/>
    </font>
    <font>
      <sz val="11"/>
      <color indexed="8"/>
      <name val="Helvetica Neue"/>
    </font>
    <font>
      <sz val="10"/>
      <name val="VNlucida sans"/>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sz val="8"/>
      <name val="Tms Rmn"/>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0"/>
      <name val=".VnArial Narrow"/>
      <family val="2"/>
    </font>
    <font>
      <sz val="9"/>
      <name val="VNswitzerlandCondensed"/>
      <family val="2"/>
    </font>
    <font>
      <sz val="11"/>
      <name val="VNI-Times"/>
    </font>
    <font>
      <sz val="11"/>
      <color indexed="10"/>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4"/>
      <name val=".VnArial"/>
      <family val="2"/>
    </font>
    <font>
      <sz val="10"/>
      <name val=" "/>
      <family val="1"/>
      <charset val="136"/>
    </font>
    <font>
      <sz val="12"/>
      <color indexed="8"/>
      <name val="바탕체"/>
      <family val="3"/>
    </font>
    <font>
      <sz val="12"/>
      <name val="뼻뮝"/>
      <family val="1"/>
      <charset val="129"/>
    </font>
    <font>
      <sz val="10"/>
      <name val="명조"/>
      <family val="3"/>
      <charset val="129"/>
    </font>
    <font>
      <sz val="10"/>
      <name val="돋움체"/>
      <family val="3"/>
      <charset val="129"/>
    </font>
    <font>
      <b/>
      <sz val="10"/>
      <color theme="1"/>
      <name val="Times New Roman"/>
      <family val="1"/>
    </font>
    <font>
      <sz val="10"/>
      <color theme="1"/>
      <name val="Times New Roman"/>
      <family val="1"/>
    </font>
    <font>
      <b/>
      <sz val="11"/>
      <color theme="1"/>
      <name val="Times New Roman"/>
      <family val="1"/>
    </font>
    <font>
      <i/>
      <sz val="10"/>
      <name val="Times New Roman"/>
      <family val="1"/>
    </font>
    <font>
      <i/>
      <sz val="11"/>
      <color theme="1"/>
      <name val="Times New Roman"/>
      <family val="1"/>
    </font>
    <font>
      <sz val="10"/>
      <color rgb="FFFF0000"/>
      <name val="Times New Roman"/>
      <family val="1"/>
    </font>
    <font>
      <strike/>
      <sz val="13"/>
      <name val="Times New Roman"/>
      <family val="1"/>
    </font>
    <font>
      <b/>
      <sz val="14"/>
      <name val="Times New Roman"/>
      <family val="1"/>
    </font>
    <font>
      <sz val="14"/>
      <name val="Times New Roman"/>
      <family val="1"/>
    </font>
    <font>
      <sz val="13"/>
      <name val="Times New Roman"/>
      <family val="1"/>
    </font>
    <font>
      <b/>
      <sz val="12"/>
      <color rgb="FF000000"/>
      <name val="Times New Roman"/>
      <family val="1"/>
    </font>
    <font>
      <i/>
      <sz val="12"/>
      <color rgb="FF000000"/>
      <name val="Times New Roman"/>
      <family val="1"/>
    </font>
    <font>
      <sz val="12"/>
      <color rgb="FF7030A0"/>
      <name val="Times New Roman"/>
      <family val="1"/>
    </font>
    <font>
      <sz val="14"/>
      <color theme="1"/>
      <name val="Times New Roman"/>
      <family val="1"/>
    </font>
    <font>
      <i/>
      <sz val="14"/>
      <name val="Times New Roman"/>
      <family val="1"/>
    </font>
    <font>
      <sz val="14"/>
      <color rgb="FFFF0000"/>
      <name val="Times New Roman"/>
      <family val="1"/>
    </font>
    <font>
      <sz val="11"/>
      <color rgb="FF7030A0"/>
      <name val="Times New Roman"/>
      <family val="1"/>
    </font>
    <font>
      <b/>
      <sz val="12"/>
      <name val="Times New Roman"/>
      <family val="1"/>
    </font>
    <font>
      <b/>
      <sz val="9"/>
      <name val="Times New Roman"/>
      <family val="1"/>
    </font>
    <font>
      <sz val="9"/>
      <name val="Times New Roman"/>
      <family val="1"/>
    </font>
    <font>
      <b/>
      <sz val="9"/>
      <color indexed="81"/>
      <name val="Tahoma"/>
      <family val="2"/>
    </font>
    <font>
      <i/>
      <sz val="10"/>
      <color theme="1"/>
      <name val="Times New Roman"/>
      <family val="1"/>
    </font>
    <font>
      <sz val="10"/>
      <name val="Times New Roman"/>
      <family val="1"/>
      <charset val="163"/>
    </font>
    <font>
      <sz val="8"/>
      <name val="Calibri"/>
      <family val="2"/>
      <scheme val="minor"/>
    </font>
    <font>
      <sz val="11"/>
      <color rgb="FFFF0000"/>
      <name val="Times New Roman"/>
      <family val="1"/>
    </font>
    <font>
      <b/>
      <i/>
      <sz val="12"/>
      <name val="Times New Roman"/>
      <family val="1"/>
    </font>
    <font>
      <sz val="12"/>
      <color rgb="FFC00000"/>
      <name val="Times New Roman"/>
      <family val="1"/>
    </font>
    <font>
      <b/>
      <i/>
      <sz val="10"/>
      <name val="Times New Roman"/>
      <family val="1"/>
    </font>
    <font>
      <b/>
      <sz val="11"/>
      <name val="Times New Roman"/>
      <family val="1"/>
      <charset val="163"/>
    </font>
    <font>
      <sz val="11"/>
      <name val="Times New Roman"/>
      <family val="1"/>
      <charset val="163"/>
    </font>
    <font>
      <b/>
      <sz val="10"/>
      <name val="Times New Roman"/>
      <family val="1"/>
      <charset val="163"/>
    </font>
    <font>
      <i/>
      <sz val="10"/>
      <name val="Arial"/>
      <family val="2"/>
      <charset val="163"/>
    </font>
    <font>
      <b/>
      <i/>
      <sz val="10"/>
      <name val="Times New Roman"/>
      <family val="1"/>
      <charset val="163"/>
    </font>
    <font>
      <i/>
      <sz val="10"/>
      <name val="Times New Roman"/>
      <family val="1"/>
      <charset val="163"/>
    </font>
    <font>
      <sz val="12"/>
      <color rgb="FF000000"/>
      <name val="Times New Roman"/>
      <family val="1"/>
    </font>
    <font>
      <b/>
      <sz val="13"/>
      <name val="Times New Roman"/>
      <family val="1"/>
    </font>
    <font>
      <i/>
      <sz val="13"/>
      <name val="Times New Roman"/>
      <family val="1"/>
    </font>
    <font>
      <i/>
      <sz val="10"/>
      <name val="Arial"/>
      <family val="2"/>
    </font>
    <font>
      <sz val="11"/>
      <name val="Calibri"/>
      <family val="2"/>
      <scheme val="minor"/>
    </font>
    <font>
      <b/>
      <i/>
      <sz val="11"/>
      <name val="Times New Roman"/>
      <family val="1"/>
    </font>
    <font>
      <i/>
      <sz val="13"/>
      <color rgb="FFFF0000"/>
      <name val="Times New Roman"/>
      <family val="1"/>
    </font>
    <font>
      <sz val="12"/>
      <color rgb="FF0000FF"/>
      <name val="Times New Roman"/>
      <family val="1"/>
    </font>
    <font>
      <sz val="12"/>
      <color theme="0"/>
      <name val="Times New Roman"/>
      <family val="1"/>
    </font>
    <font>
      <sz val="11"/>
      <color theme="0"/>
      <name val="Times New Roman"/>
      <family val="1"/>
      <charset val="163"/>
    </font>
    <font>
      <b/>
      <sz val="11"/>
      <color theme="0"/>
      <name val="Times New Roman"/>
      <family val="1"/>
      <charset val="163"/>
    </font>
    <font>
      <i/>
      <sz val="11"/>
      <color theme="0"/>
      <name val="Times New Roman"/>
      <family val="1"/>
      <charset val="163"/>
    </font>
    <font>
      <sz val="11"/>
      <color theme="0"/>
      <name val="Times New Roman"/>
      <family val="1"/>
    </font>
    <font>
      <i/>
      <sz val="11"/>
      <color theme="0"/>
      <name val="Times New Roman"/>
      <family val="1"/>
    </font>
    <font>
      <b/>
      <sz val="10"/>
      <color rgb="FFFF0000"/>
      <name val="Times New Roman"/>
      <family val="1"/>
      <charset val="163"/>
    </font>
    <font>
      <sz val="11"/>
      <color rgb="FFFF0000"/>
      <name val="Times New Roman"/>
      <family val="1"/>
      <charset val="163"/>
    </font>
    <font>
      <sz val="12"/>
      <color rgb="FFFF0000"/>
      <name val="Times New Roman"/>
      <family val="1"/>
    </font>
  </fonts>
  <fills count="72">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55"/>
      </patternFill>
    </fill>
    <fill>
      <patternFill patternType="solid">
        <fgColor indexed="55"/>
        <bgColor indexed="23"/>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solid">
        <fgColor indexed="43"/>
        <bgColor indexed="26"/>
      </patternFill>
    </fill>
    <fill>
      <patternFill patternType="solid">
        <fgColor indexed="26"/>
        <bgColor indexed="9"/>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9"/>
        <bgColor indexed="10"/>
      </patternFill>
    </fill>
    <fill>
      <patternFill patternType="solid">
        <fgColor rgb="FFFFFF00"/>
        <bgColor indexed="64"/>
      </patternFill>
    </fill>
    <fill>
      <patternFill patternType="solid">
        <fgColor theme="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right/>
      <top style="double">
        <color indexed="8"/>
      </top>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style="hair">
        <color rgb="FF000000"/>
      </bottom>
      <diagonal/>
    </border>
    <border>
      <left style="thin">
        <color indexed="64"/>
      </left>
      <right style="thin">
        <color rgb="FF000000"/>
      </right>
      <top style="hair">
        <color rgb="FF000000"/>
      </top>
      <bottom style="thin">
        <color indexed="64"/>
      </bottom>
      <diagonal/>
    </border>
    <border>
      <left style="thin">
        <color rgb="FF000000"/>
      </left>
      <right style="thin">
        <color rgb="FF000000"/>
      </right>
      <top style="hair">
        <color rgb="FF000000"/>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auto="1"/>
      </left>
      <right style="thin">
        <color auto="1"/>
      </right>
      <top style="hair">
        <color auto="1"/>
      </top>
      <bottom style="hair">
        <color auto="1"/>
      </bottom>
      <diagonal/>
    </border>
  </borders>
  <cellStyleXfs count="2271">
    <xf numFmtId="0" fontId="0" fillId="0" borderId="0"/>
    <xf numFmtId="170" fontId="15" fillId="0" borderId="0" applyFont="0" applyFill="0" applyBorder="0" applyAlignment="0" applyProtection="0"/>
    <xf numFmtId="172" fontId="16" fillId="0" borderId="0" applyFill="0" applyBorder="0" applyAlignment="0" applyProtection="0"/>
    <xf numFmtId="170" fontId="16" fillId="0" borderId="0" applyFont="0" applyFill="0" applyBorder="0" applyAlignment="0" applyProtection="0"/>
    <xf numFmtId="0" fontId="16" fillId="0" borderId="0"/>
    <xf numFmtId="43" fontId="15" fillId="0" borderId="0" applyFont="0" applyFill="0" applyBorder="0" applyAlignment="0" applyProtection="0"/>
    <xf numFmtId="0" fontId="16" fillId="0" borderId="0"/>
    <xf numFmtId="0" fontId="21" fillId="0" borderId="0"/>
    <xf numFmtId="0" fontId="21" fillId="0" borderId="0"/>
    <xf numFmtId="172" fontId="16" fillId="0" borderId="0" applyFill="0" applyBorder="0" applyAlignment="0" applyProtection="0"/>
    <xf numFmtId="180" fontId="24" fillId="0" borderId="0" applyFont="0" applyFill="0" applyBorder="0" applyAlignment="0" applyProtection="0"/>
    <xf numFmtId="0" fontId="25" fillId="0" borderId="0" applyNumberFormat="0" applyFill="0" applyBorder="0" applyAlignment="0" applyProtection="0"/>
    <xf numFmtId="3" fontId="26" fillId="0" borderId="1"/>
    <xf numFmtId="3" fontId="26" fillId="0" borderId="1"/>
    <xf numFmtId="3" fontId="26" fillId="0" borderId="1"/>
    <xf numFmtId="3" fontId="26" fillId="0" borderId="1"/>
    <xf numFmtId="3" fontId="26" fillId="0" borderId="1"/>
    <xf numFmtId="3" fontId="26" fillId="0" borderId="1"/>
    <xf numFmtId="173" fontId="27" fillId="0" borderId="20" applyFont="0" applyBorder="0"/>
    <xf numFmtId="173" fontId="27" fillId="0" borderId="20" applyFont="0" applyBorder="0"/>
    <xf numFmtId="179" fontId="28" fillId="0" borderId="0" applyBorder="0"/>
    <xf numFmtId="173" fontId="27" fillId="0" borderId="20" applyFont="0" applyBorder="0"/>
    <xf numFmtId="173" fontId="27" fillId="0" borderId="20" applyFont="0" applyBorder="0"/>
    <xf numFmtId="0" fontId="29" fillId="0" borderId="0"/>
    <xf numFmtId="181" fontId="30"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2" fontId="17" fillId="0" borderId="0" applyFont="0" applyFill="0" applyBorder="0" applyAlignment="0" applyProtection="0"/>
    <xf numFmtId="183"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2" fillId="0" borderId="0" applyFont="0" applyFill="0" applyBorder="0" applyAlignment="0" applyProtection="0"/>
    <xf numFmtId="0" fontId="33" fillId="0" borderId="21"/>
    <xf numFmtId="184" fontId="34" fillId="0" borderId="0" applyFont="0" applyFill="0" applyBorder="0" applyAlignment="0" applyProtection="0"/>
    <xf numFmtId="185" fontId="34" fillId="0" borderId="0" applyFont="0" applyFill="0" applyBorder="0" applyAlignment="0" applyProtection="0"/>
    <xf numFmtId="186" fontId="29" fillId="0" borderId="0" applyFont="0" applyFill="0" applyBorder="0" applyAlignment="0" applyProtection="0"/>
    <xf numFmtId="164" fontId="35" fillId="0" borderId="0" applyFont="0" applyFill="0" applyBorder="0" applyAlignment="0" applyProtection="0"/>
    <xf numFmtId="165" fontId="35" fillId="0" borderId="0" applyFont="0" applyFill="0" applyBorder="0" applyAlignment="0" applyProtection="0"/>
    <xf numFmtId="166" fontId="36" fillId="0" borderId="0" applyFont="0" applyFill="0" applyBorder="0" applyAlignment="0" applyProtection="0"/>
    <xf numFmtId="0" fontId="37"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38" fillId="0" borderId="0"/>
    <xf numFmtId="0" fontId="16" fillId="0" borderId="0" applyNumberFormat="0" applyFill="0" applyBorder="0" applyAlignment="0" applyProtection="0"/>
    <xf numFmtId="164" fontId="25" fillId="0" borderId="0" applyFont="0" applyFill="0" applyBorder="0" applyAlignment="0" applyProtection="0"/>
    <xf numFmtId="167" fontId="39" fillId="0" borderId="0" applyFont="0" applyFill="0" applyBorder="0" applyAlignment="0" applyProtection="0"/>
    <xf numFmtId="187" fontId="39" fillId="0" borderId="0" applyFont="0" applyFill="0" applyBorder="0" applyAlignment="0" applyProtection="0"/>
    <xf numFmtId="187" fontId="39" fillId="0" borderId="0" applyFont="0" applyFill="0" applyBorder="0" applyAlignment="0" applyProtection="0"/>
    <xf numFmtId="0" fontId="40" fillId="0" borderId="0"/>
    <xf numFmtId="0" fontId="40" fillId="0" borderId="0"/>
    <xf numFmtId="0" fontId="40" fillId="0" borderId="0"/>
    <xf numFmtId="188" fontId="25" fillId="0" borderId="0" applyFont="0" applyFill="0" applyBorder="0" applyAlignment="0" applyProtection="0"/>
    <xf numFmtId="167" fontId="39" fillId="0" borderId="0" applyFont="0" applyFill="0" applyBorder="0" applyAlignment="0" applyProtection="0"/>
    <xf numFmtId="0" fontId="40" fillId="0" borderId="0"/>
    <xf numFmtId="0" fontId="31" fillId="0" borderId="0"/>
    <xf numFmtId="0" fontId="41" fillId="0" borderId="0">
      <alignment vertical="top"/>
    </xf>
    <xf numFmtId="0" fontId="41" fillId="0" borderId="0">
      <alignment vertical="top"/>
    </xf>
    <xf numFmtId="167" fontId="39" fillId="0" borderId="0" applyFont="0" applyFill="0" applyBorder="0" applyAlignment="0" applyProtection="0"/>
    <xf numFmtId="189" fontId="24"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90" fontId="39" fillId="0" borderId="0" applyFont="0" applyFill="0" applyBorder="0" applyAlignment="0" applyProtection="0"/>
    <xf numFmtId="189" fontId="24" fillId="0" borderId="0" applyFont="0" applyFill="0" applyBorder="0" applyAlignment="0" applyProtection="0"/>
    <xf numFmtId="0" fontId="31" fillId="0" borderId="0"/>
    <xf numFmtId="0" fontId="29" fillId="0" borderId="0" applyNumberFormat="0" applyFill="0" applyBorder="0" applyAlignment="0" applyProtection="0"/>
    <xf numFmtId="0" fontId="29" fillId="0" borderId="0" applyNumberFormat="0" applyFill="0" applyBorder="0" applyAlignment="0" applyProtection="0"/>
    <xf numFmtId="189" fontId="24" fillId="0" borderId="0" applyFont="0" applyFill="0" applyBorder="0" applyAlignment="0" applyProtection="0"/>
    <xf numFmtId="0" fontId="31" fillId="0" borderId="0"/>
    <xf numFmtId="0" fontId="41" fillId="0" borderId="0">
      <alignment vertical="top"/>
    </xf>
    <xf numFmtId="0" fontId="41" fillId="0" borderId="0">
      <alignment vertical="top"/>
    </xf>
    <xf numFmtId="167" fontId="39" fillId="0" borderId="0" applyFont="0" applyFill="0" applyBorder="0" applyAlignment="0" applyProtection="0"/>
    <xf numFmtId="167" fontId="39" fillId="0" borderId="0" applyFont="0" applyFill="0" applyBorder="0" applyAlignment="0" applyProtection="0"/>
    <xf numFmtId="180" fontId="42" fillId="0" borderId="0" applyFont="0" applyFill="0" applyBorder="0" applyAlignment="0" applyProtection="0"/>
    <xf numFmtId="180" fontId="4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1" fillId="0" borderId="0"/>
    <xf numFmtId="0" fontId="31" fillId="0" borderId="0"/>
    <xf numFmtId="0" fontId="31"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1" fillId="0" borderId="0"/>
    <xf numFmtId="0" fontId="31" fillId="0" borderId="0"/>
    <xf numFmtId="0" fontId="40" fillId="0" borderId="0"/>
    <xf numFmtId="167" fontId="39" fillId="0" borderId="0" applyFont="0" applyFill="0" applyBorder="0" applyAlignment="0" applyProtection="0"/>
    <xf numFmtId="174" fontId="24" fillId="0" borderId="0" applyFont="0" applyFill="0" applyBorder="0" applyAlignment="0" applyProtection="0"/>
    <xf numFmtId="184" fontId="39" fillId="0" borderId="0" applyFont="0" applyFill="0" applyBorder="0" applyAlignment="0" applyProtection="0"/>
    <xf numFmtId="184"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92" fontId="43"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4" fontId="16" fillId="0" borderId="0" applyFont="0" applyFill="0" applyBorder="0" applyAlignment="0" applyProtection="0"/>
    <xf numFmtId="194" fontId="43" fillId="0" borderId="0" applyFont="0" applyFill="0" applyBorder="0" applyAlignment="0" applyProtection="0"/>
    <xf numFmtId="193" fontId="24" fillId="0" borderId="0" applyFont="0" applyFill="0" applyBorder="0" applyAlignment="0" applyProtection="0"/>
    <xf numFmtId="192" fontId="43" fillId="0" borderId="0" applyFont="0" applyFill="0" applyBorder="0" applyAlignment="0" applyProtection="0"/>
    <xf numFmtId="195" fontId="24" fillId="0" borderId="0" applyFont="0" applyFill="0" applyBorder="0" applyAlignment="0" applyProtection="0"/>
    <xf numFmtId="180"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97" fontId="39" fillId="0" borderId="0" applyFont="0" applyFill="0" applyBorder="0" applyAlignment="0" applyProtection="0"/>
    <xf numFmtId="43" fontId="39" fillId="0" borderId="0" applyFont="0" applyFill="0" applyBorder="0" applyAlignment="0" applyProtection="0"/>
    <xf numFmtId="198" fontId="39" fillId="0" borderId="0" applyFont="0" applyFill="0" applyBorder="0" applyAlignment="0" applyProtection="0"/>
    <xf numFmtId="199" fontId="39" fillId="0" borderId="0" applyFont="0" applyFill="0" applyBorder="0" applyAlignment="0" applyProtection="0"/>
    <xf numFmtId="197" fontId="39" fillId="0" borderId="0" applyFont="0" applyFill="0" applyBorder="0" applyAlignment="0" applyProtection="0"/>
    <xf numFmtId="19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200" fontId="39" fillId="0" borderId="0" applyFont="0" applyFill="0" applyBorder="0" applyAlignment="0" applyProtection="0"/>
    <xf numFmtId="0" fontId="39" fillId="0" borderId="0" applyFont="0" applyFill="0" applyBorder="0" applyAlignment="0" applyProtection="0"/>
    <xf numFmtId="43" fontId="39" fillId="0" borderId="0" applyFont="0" applyFill="0" applyBorder="0" applyAlignment="0" applyProtection="0"/>
    <xf numFmtId="0"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198" fontId="39" fillId="0" borderId="0" applyFont="0" applyFill="0" applyBorder="0" applyAlignment="0" applyProtection="0"/>
    <xf numFmtId="201" fontId="39" fillId="0" borderId="0" applyFont="0" applyFill="0" applyBorder="0" applyAlignment="0" applyProtection="0"/>
    <xf numFmtId="199"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198"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43" fontId="39" fillId="0" borderId="0" applyFont="0" applyFill="0" applyBorder="0" applyAlignment="0" applyProtection="0"/>
    <xf numFmtId="199" fontId="39" fillId="0" borderId="0" applyFont="0" applyFill="0" applyBorder="0" applyAlignment="0" applyProtection="0"/>
    <xf numFmtId="43" fontId="39" fillId="0" borderId="0" applyFont="0" applyFill="0" applyBorder="0" applyAlignment="0" applyProtection="0"/>
    <xf numFmtId="197"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197" fontId="39" fillId="0" borderId="0" applyFont="0" applyFill="0" applyBorder="0" applyAlignment="0" applyProtection="0"/>
    <xf numFmtId="203" fontId="39" fillId="0" borderId="0" applyFont="0" applyFill="0" applyBorder="0" applyAlignment="0" applyProtection="0"/>
    <xf numFmtId="43" fontId="39" fillId="0" borderId="0" applyFont="0" applyFill="0" applyBorder="0" applyAlignment="0" applyProtection="0"/>
    <xf numFmtId="199" fontId="39" fillId="0" borderId="0" applyFont="0" applyFill="0" applyBorder="0" applyAlignment="0" applyProtection="0"/>
    <xf numFmtId="204" fontId="24" fillId="0" borderId="0" applyFont="0" applyFill="0" applyBorder="0" applyAlignment="0" applyProtection="0"/>
    <xf numFmtId="197"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197" fontId="39" fillId="0" borderId="0" applyFont="0" applyFill="0" applyBorder="0" applyAlignment="0" applyProtection="0"/>
    <xf numFmtId="199" fontId="39" fillId="0" borderId="0" applyFont="0" applyFill="0" applyBorder="0" applyAlignment="0" applyProtection="0"/>
    <xf numFmtId="197" fontId="39" fillId="0" borderId="0" applyFont="0" applyFill="0" applyBorder="0" applyAlignment="0" applyProtection="0"/>
    <xf numFmtId="164" fontId="43" fillId="0" borderId="0" applyFont="0" applyFill="0" applyBorder="0" applyAlignment="0" applyProtection="0"/>
    <xf numFmtId="205" fontId="39" fillId="0" borderId="0" applyFont="0" applyFill="0" applyBorder="0" applyAlignment="0" applyProtection="0"/>
    <xf numFmtId="205" fontId="39" fillId="0" borderId="0" applyFont="0" applyFill="0" applyBorder="0" applyAlignment="0" applyProtection="0"/>
    <xf numFmtId="206" fontId="16" fillId="0" borderId="0" applyFont="0" applyFill="0" applyBorder="0" applyAlignment="0" applyProtection="0"/>
    <xf numFmtId="165" fontId="43" fillId="0" borderId="0" applyFont="0" applyFill="0" applyBorder="0" applyAlignment="0" applyProtection="0"/>
    <xf numFmtId="205" fontId="39" fillId="0" borderId="0" applyFont="0" applyFill="0" applyBorder="0" applyAlignment="0" applyProtection="0"/>
    <xf numFmtId="164" fontId="43" fillId="0" borderId="0" applyFont="0" applyFill="0" applyBorder="0" applyAlignment="0" applyProtection="0"/>
    <xf numFmtId="207" fontId="44" fillId="0" borderId="0" applyFont="0" applyFill="0" applyBorder="0" applyAlignment="0" applyProtection="0"/>
    <xf numFmtId="203" fontId="39" fillId="0" borderId="0" applyFont="0" applyFill="0" applyBorder="0" applyAlignment="0" applyProtection="0"/>
    <xf numFmtId="199"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43" fontId="39" fillId="0" borderId="0" applyFont="0" applyFill="0" applyBorder="0" applyAlignment="0" applyProtection="0"/>
    <xf numFmtId="199" fontId="39" fillId="0" borderId="0" applyFont="0" applyFill="0" applyBorder="0" applyAlignment="0" applyProtection="0"/>
    <xf numFmtId="164" fontId="24" fillId="0" borderId="0" applyFont="0" applyFill="0" applyBorder="0" applyAlignment="0" applyProtection="0"/>
    <xf numFmtId="184" fontId="39" fillId="0" borderId="0" applyFont="0" applyFill="0" applyBorder="0" applyAlignment="0" applyProtection="0"/>
    <xf numFmtId="189" fontId="24"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90" fontId="39" fillId="0" borderId="0" applyFont="0" applyFill="0" applyBorder="0" applyAlignment="0" applyProtection="0"/>
    <xf numFmtId="180" fontId="42" fillId="0" borderId="0" applyFont="0" applyFill="0" applyBorder="0" applyAlignment="0" applyProtection="0"/>
    <xf numFmtId="180" fontId="42" fillId="0" borderId="0" applyFont="0" applyFill="0" applyBorder="0" applyAlignment="0" applyProtection="0"/>
    <xf numFmtId="167" fontId="39" fillId="0" borderId="0" applyFont="0" applyFill="0" applyBorder="0" applyAlignment="0" applyProtection="0"/>
    <xf numFmtId="174" fontId="24" fillId="0" borderId="0" applyFont="0" applyFill="0" applyBorder="0" applyAlignment="0" applyProtection="0"/>
    <xf numFmtId="167" fontId="39" fillId="0" borderId="0" applyFont="0" applyFill="0" applyBorder="0" applyAlignment="0" applyProtection="0"/>
    <xf numFmtId="190" fontId="39" fillId="0" borderId="0" applyFont="0" applyFill="0" applyBorder="0" applyAlignment="0" applyProtection="0"/>
    <xf numFmtId="180" fontId="42" fillId="0" borderId="0" applyFont="0" applyFill="0" applyBorder="0" applyAlignment="0" applyProtection="0"/>
    <xf numFmtId="180" fontId="42" fillId="0" borderId="0" applyFont="0" applyFill="0" applyBorder="0" applyAlignment="0" applyProtection="0"/>
    <xf numFmtId="181" fontId="39" fillId="0" borderId="0" applyFont="0" applyFill="0" applyBorder="0" applyAlignment="0" applyProtection="0"/>
    <xf numFmtId="189" fontId="24" fillId="0" borderId="0" applyFont="0" applyFill="0" applyBorder="0" applyAlignment="0" applyProtection="0"/>
    <xf numFmtId="208" fontId="43"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10" fontId="43" fillId="0" borderId="0" applyFont="0" applyFill="0" applyBorder="0" applyAlignment="0" applyProtection="0"/>
    <xf numFmtId="209" fontId="39" fillId="0" borderId="0" applyFont="0" applyFill="0" applyBorder="0" applyAlignment="0" applyProtection="0"/>
    <xf numFmtId="208" fontId="43" fillId="0" borderId="0" applyFont="0" applyFill="0" applyBorder="0" applyAlignment="0" applyProtection="0"/>
    <xf numFmtId="20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210" fontId="43"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2" fontId="16" fillId="0" borderId="0" applyFont="0" applyFill="0" applyBorder="0" applyAlignment="0" applyProtection="0"/>
    <xf numFmtId="164" fontId="43" fillId="0" borderId="0" applyFont="0" applyFill="0" applyBorder="0" applyAlignment="0" applyProtection="0"/>
    <xf numFmtId="211" fontId="39" fillId="0" borderId="0" applyFont="0" applyFill="0" applyBorder="0" applyAlignment="0" applyProtection="0"/>
    <xf numFmtId="210" fontId="43" fillId="0" borderId="0" applyFont="0" applyFill="0" applyBorder="0" applyAlignment="0" applyProtection="0"/>
    <xf numFmtId="213" fontId="44" fillId="0" borderId="0" applyFont="0" applyFill="0" applyBorder="0" applyAlignment="0" applyProtection="0"/>
    <xf numFmtId="214" fontId="39" fillId="0" borderId="0" applyFont="0" applyFill="0" applyBorder="0" applyAlignment="0" applyProtection="0"/>
    <xf numFmtId="167" fontId="39" fillId="0" borderId="0" applyFont="0" applyFill="0" applyBorder="0" applyAlignment="0" applyProtection="0"/>
    <xf numFmtId="197" fontId="39" fillId="0" borderId="0" applyFont="0" applyFill="0" applyBorder="0" applyAlignment="0" applyProtection="0"/>
    <xf numFmtId="43" fontId="39" fillId="0" borderId="0" applyFont="0" applyFill="0" applyBorder="0" applyAlignment="0" applyProtection="0"/>
    <xf numFmtId="198" fontId="39" fillId="0" borderId="0" applyFont="0" applyFill="0" applyBorder="0" applyAlignment="0" applyProtection="0"/>
    <xf numFmtId="199" fontId="39" fillId="0" borderId="0" applyFont="0" applyFill="0" applyBorder="0" applyAlignment="0" applyProtection="0"/>
    <xf numFmtId="197" fontId="39" fillId="0" borderId="0" applyFont="0" applyFill="0" applyBorder="0" applyAlignment="0" applyProtection="0"/>
    <xf numFmtId="19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200" fontId="39" fillId="0" borderId="0" applyFont="0" applyFill="0" applyBorder="0" applyAlignment="0" applyProtection="0"/>
    <xf numFmtId="0" fontId="39" fillId="0" borderId="0" applyFont="0" applyFill="0" applyBorder="0" applyAlignment="0" applyProtection="0"/>
    <xf numFmtId="43" fontId="39" fillId="0" borderId="0" applyFont="0" applyFill="0" applyBorder="0" applyAlignment="0" applyProtection="0"/>
    <xf numFmtId="0"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198" fontId="39" fillId="0" borderId="0" applyFont="0" applyFill="0" applyBorder="0" applyAlignment="0" applyProtection="0"/>
    <xf numFmtId="201" fontId="39" fillId="0" borderId="0" applyFont="0" applyFill="0" applyBorder="0" applyAlignment="0" applyProtection="0"/>
    <xf numFmtId="199"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198"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43" fontId="39" fillId="0" borderId="0" applyFont="0" applyFill="0" applyBorder="0" applyAlignment="0" applyProtection="0"/>
    <xf numFmtId="199" fontId="39" fillId="0" borderId="0" applyFont="0" applyFill="0" applyBorder="0" applyAlignment="0" applyProtection="0"/>
    <xf numFmtId="43" fontId="39" fillId="0" borderId="0" applyFont="0" applyFill="0" applyBorder="0" applyAlignment="0" applyProtection="0"/>
    <xf numFmtId="197"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197" fontId="39" fillId="0" borderId="0" applyFont="0" applyFill="0" applyBorder="0" applyAlignment="0" applyProtection="0"/>
    <xf numFmtId="203" fontId="39" fillId="0" borderId="0" applyFont="0" applyFill="0" applyBorder="0" applyAlignment="0" applyProtection="0"/>
    <xf numFmtId="43" fontId="39" fillId="0" borderId="0" applyFont="0" applyFill="0" applyBorder="0" applyAlignment="0" applyProtection="0"/>
    <xf numFmtId="199" fontId="39" fillId="0" borderId="0" applyFont="0" applyFill="0" applyBorder="0" applyAlignment="0" applyProtection="0"/>
    <xf numFmtId="204" fontId="24" fillId="0" borderId="0" applyFont="0" applyFill="0" applyBorder="0" applyAlignment="0" applyProtection="0"/>
    <xf numFmtId="197"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197" fontId="39" fillId="0" borderId="0" applyFont="0" applyFill="0" applyBorder="0" applyAlignment="0" applyProtection="0"/>
    <xf numFmtId="199" fontId="39" fillId="0" borderId="0" applyFont="0" applyFill="0" applyBorder="0" applyAlignment="0" applyProtection="0"/>
    <xf numFmtId="197" fontId="39" fillId="0" borderId="0" applyFont="0" applyFill="0" applyBorder="0" applyAlignment="0" applyProtection="0"/>
    <xf numFmtId="164" fontId="43" fillId="0" borderId="0" applyFont="0" applyFill="0" applyBorder="0" applyAlignment="0" applyProtection="0"/>
    <xf numFmtId="205" fontId="39" fillId="0" borderId="0" applyFont="0" applyFill="0" applyBorder="0" applyAlignment="0" applyProtection="0"/>
    <xf numFmtId="205" fontId="39" fillId="0" borderId="0" applyFont="0" applyFill="0" applyBorder="0" applyAlignment="0" applyProtection="0"/>
    <xf numFmtId="206" fontId="16" fillId="0" borderId="0" applyFont="0" applyFill="0" applyBorder="0" applyAlignment="0" applyProtection="0"/>
    <xf numFmtId="165" fontId="43" fillId="0" borderId="0" applyFont="0" applyFill="0" applyBorder="0" applyAlignment="0" applyProtection="0"/>
    <xf numFmtId="205" fontId="39" fillId="0" borderId="0" applyFont="0" applyFill="0" applyBorder="0" applyAlignment="0" applyProtection="0"/>
    <xf numFmtId="164" fontId="43" fillId="0" borderId="0" applyFont="0" applyFill="0" applyBorder="0" applyAlignment="0" applyProtection="0"/>
    <xf numFmtId="207" fontId="44" fillId="0" borderId="0" applyFont="0" applyFill="0" applyBorder="0" applyAlignment="0" applyProtection="0"/>
    <xf numFmtId="203" fontId="39" fillId="0" borderId="0" applyFont="0" applyFill="0" applyBorder="0" applyAlignment="0" applyProtection="0"/>
    <xf numFmtId="199" fontId="39" fillId="0" borderId="0" applyFont="0" applyFill="0" applyBorder="0" applyAlignment="0" applyProtection="0"/>
    <xf numFmtId="165" fontId="39"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65"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43"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41" fontId="39" fillId="0" borderId="0" applyFont="0" applyFill="0" applyBorder="0" applyAlignment="0" applyProtection="0"/>
    <xf numFmtId="215" fontId="39" fillId="0" borderId="0" applyFont="0" applyFill="0" applyBorder="0" applyAlignment="0" applyProtection="0"/>
    <xf numFmtId="216" fontId="39"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88" fontId="39" fillId="0" borderId="0" applyFont="0" applyFill="0" applyBorder="0" applyAlignment="0" applyProtection="0"/>
    <xf numFmtId="215" fontId="39" fillId="0" borderId="0" applyFont="0" applyFill="0" applyBorder="0" applyAlignment="0" applyProtection="0"/>
    <xf numFmtId="217" fontId="39" fillId="0" borderId="0" applyFont="0" applyFill="0" applyBorder="0" applyAlignment="0" applyProtection="0"/>
    <xf numFmtId="188" fontId="24" fillId="0" borderId="0" applyFont="0" applyFill="0" applyBorder="0" applyAlignment="0" applyProtection="0"/>
    <xf numFmtId="41" fontId="39" fillId="0" borderId="0" applyFont="0" applyFill="0" applyBorder="0" applyAlignment="0" applyProtection="0"/>
    <xf numFmtId="188" fontId="24"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5" fontId="39" fillId="0" borderId="0" applyFont="0" applyFill="0" applyBorder="0" applyAlignment="0" applyProtection="0"/>
    <xf numFmtId="218" fontId="39" fillId="0" borderId="0" applyFont="0" applyFill="0" applyBorder="0" applyAlignment="0" applyProtection="0"/>
    <xf numFmtId="216" fontId="39" fillId="0" borderId="0" applyFont="0" applyFill="0" applyBorder="0" applyAlignment="0" applyProtection="0"/>
    <xf numFmtId="219" fontId="39" fillId="0" borderId="0" applyFont="0" applyFill="0" applyBorder="0" applyAlignment="0" applyProtection="0"/>
    <xf numFmtId="220" fontId="39" fillId="0" borderId="0" applyFont="0" applyFill="0" applyBorder="0" applyAlignment="0" applyProtection="0"/>
    <xf numFmtId="219" fontId="39" fillId="0" borderId="0" applyFont="0" applyFill="0" applyBorder="0" applyAlignment="0" applyProtection="0"/>
    <xf numFmtId="215"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41" fontId="39" fillId="0" borderId="0" applyFont="0" applyFill="0" applyBorder="0" applyAlignment="0" applyProtection="0"/>
    <xf numFmtId="216" fontId="39" fillId="0" borderId="0" applyFont="0" applyFill="0" applyBorder="0" applyAlignment="0" applyProtection="0"/>
    <xf numFmtId="41" fontId="39"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188" fontId="39" fillId="0" borderId="0" applyFont="0" applyFill="0" applyBorder="0" applyAlignment="0" applyProtection="0"/>
    <xf numFmtId="221" fontId="39" fillId="0" borderId="0" applyFont="0" applyFill="0" applyBorder="0" applyAlignment="0" applyProtection="0"/>
    <xf numFmtId="41" fontId="39" fillId="0" borderId="0" applyFont="0" applyFill="0" applyBorder="0" applyAlignment="0" applyProtection="0"/>
    <xf numFmtId="216" fontId="39" fillId="0" borderId="0" applyFont="0" applyFill="0" applyBorder="0" applyAlignment="0" applyProtection="0"/>
    <xf numFmtId="222" fontId="24"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188" fontId="39" fillId="0" borderId="0" applyFont="0" applyFill="0" applyBorder="0" applyAlignment="0" applyProtection="0"/>
    <xf numFmtId="180" fontId="43" fillId="0" borderId="0" applyFont="0" applyFill="0" applyBorder="0" applyAlignment="0" applyProtection="0"/>
    <xf numFmtId="223" fontId="39" fillId="0" borderId="0" applyFont="0" applyFill="0" applyBorder="0" applyAlignment="0" applyProtection="0"/>
    <xf numFmtId="223" fontId="39" fillId="0" borderId="0" applyFont="0" applyFill="0" applyBorder="0" applyAlignment="0" applyProtection="0"/>
    <xf numFmtId="224" fontId="16" fillId="0" borderId="0" applyFont="0" applyFill="0" applyBorder="0" applyAlignment="0" applyProtection="0"/>
    <xf numFmtId="192" fontId="43" fillId="0" borderId="0" applyFont="0" applyFill="0" applyBorder="0" applyAlignment="0" applyProtection="0"/>
    <xf numFmtId="223" fontId="39" fillId="0" borderId="0" applyFont="0" applyFill="0" applyBorder="0" applyAlignment="0" applyProtection="0"/>
    <xf numFmtId="180" fontId="43" fillId="0" borderId="0" applyFont="0" applyFill="0" applyBorder="0" applyAlignment="0" applyProtection="0"/>
    <xf numFmtId="225" fontId="44" fillId="0" borderId="0" applyFont="0" applyFill="0" applyBorder="0" applyAlignment="0" applyProtection="0"/>
    <xf numFmtId="216"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41" fontId="39" fillId="0" borderId="0" applyFont="0" applyFill="0" applyBorder="0" applyAlignment="0" applyProtection="0"/>
    <xf numFmtId="216" fontId="39" fillId="0" borderId="0" applyFont="0" applyFill="0" applyBorder="0" applyAlignment="0" applyProtection="0"/>
    <xf numFmtId="189" fontId="24"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90" fontId="39" fillId="0" borderId="0" applyFont="0" applyFill="0" applyBorder="0" applyAlignment="0" applyProtection="0"/>
    <xf numFmtId="180" fontId="42" fillId="0" borderId="0" applyFont="0" applyFill="0" applyBorder="0" applyAlignment="0" applyProtection="0"/>
    <xf numFmtId="180" fontId="42" fillId="0" borderId="0" applyFont="0" applyFill="0" applyBorder="0" applyAlignment="0" applyProtection="0"/>
    <xf numFmtId="167" fontId="39" fillId="0" borderId="0" applyFont="0" applyFill="0" applyBorder="0" applyAlignment="0" applyProtection="0"/>
    <xf numFmtId="174" fontId="24" fillId="0" borderId="0" applyFont="0" applyFill="0" applyBorder="0" applyAlignment="0" applyProtection="0"/>
    <xf numFmtId="167" fontId="39" fillId="0" borderId="0" applyFont="0" applyFill="0" applyBorder="0" applyAlignment="0" applyProtection="0"/>
    <xf numFmtId="190" fontId="39" fillId="0" borderId="0" applyFont="0" applyFill="0" applyBorder="0" applyAlignment="0" applyProtection="0"/>
    <xf numFmtId="180" fontId="42" fillId="0" borderId="0" applyFont="0" applyFill="0" applyBorder="0" applyAlignment="0" applyProtection="0"/>
    <xf numFmtId="180" fontId="42" fillId="0" borderId="0" applyFont="0" applyFill="0" applyBorder="0" applyAlignment="0" applyProtection="0"/>
    <xf numFmtId="181" fontId="39" fillId="0" borderId="0" applyFont="0" applyFill="0" applyBorder="0" applyAlignment="0" applyProtection="0"/>
    <xf numFmtId="189" fontId="24" fillId="0" borderId="0" applyFont="0" applyFill="0" applyBorder="0" applyAlignment="0" applyProtection="0"/>
    <xf numFmtId="208" fontId="43"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10" fontId="43" fillId="0" borderId="0" applyFont="0" applyFill="0" applyBorder="0" applyAlignment="0" applyProtection="0"/>
    <xf numFmtId="209" fontId="39" fillId="0" borderId="0" applyFont="0" applyFill="0" applyBorder="0" applyAlignment="0" applyProtection="0"/>
    <xf numFmtId="208" fontId="43" fillId="0" borderId="0" applyFont="0" applyFill="0" applyBorder="0" applyAlignment="0" applyProtection="0"/>
    <xf numFmtId="20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210" fontId="43"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2" fontId="16" fillId="0" borderId="0" applyFont="0" applyFill="0" applyBorder="0" applyAlignment="0" applyProtection="0"/>
    <xf numFmtId="164" fontId="43" fillId="0" borderId="0" applyFont="0" applyFill="0" applyBorder="0" applyAlignment="0" applyProtection="0"/>
    <xf numFmtId="211" fontId="39" fillId="0" borderId="0" applyFont="0" applyFill="0" applyBorder="0" applyAlignment="0" applyProtection="0"/>
    <xf numFmtId="210" fontId="43" fillId="0" borderId="0" applyFont="0" applyFill="0" applyBorder="0" applyAlignment="0" applyProtection="0"/>
    <xf numFmtId="213" fontId="44" fillId="0" borderId="0" applyFont="0" applyFill="0" applyBorder="0" applyAlignment="0" applyProtection="0"/>
    <xf numFmtId="214" fontId="39" fillId="0" borderId="0" applyFont="0" applyFill="0" applyBorder="0" applyAlignment="0" applyProtection="0"/>
    <xf numFmtId="164" fontId="24" fillId="0" borderId="0" applyFont="0" applyFill="0" applyBorder="0" applyAlignment="0" applyProtection="0"/>
    <xf numFmtId="167" fontId="39" fillId="0" borderId="0" applyFont="0" applyFill="0" applyBorder="0" applyAlignment="0" applyProtection="0"/>
    <xf numFmtId="165" fontId="24" fillId="0" borderId="0" applyFont="0" applyFill="0" applyBorder="0" applyAlignment="0" applyProtection="0"/>
    <xf numFmtId="188" fontId="39" fillId="0" borderId="0" applyFont="0" applyFill="0" applyBorder="0" applyAlignment="0" applyProtection="0"/>
    <xf numFmtId="41" fontId="39" fillId="0" borderId="0" applyFont="0" applyFill="0" applyBorder="0" applyAlignment="0" applyProtection="0"/>
    <xf numFmtId="215" fontId="39" fillId="0" borderId="0" applyFont="0" applyFill="0" applyBorder="0" applyAlignment="0" applyProtection="0"/>
    <xf numFmtId="216" fontId="39"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88" fontId="39" fillId="0" borderId="0" applyFont="0" applyFill="0" applyBorder="0" applyAlignment="0" applyProtection="0"/>
    <xf numFmtId="215" fontId="39" fillId="0" borderId="0" applyFont="0" applyFill="0" applyBorder="0" applyAlignment="0" applyProtection="0"/>
    <xf numFmtId="217" fontId="39" fillId="0" borderId="0" applyFont="0" applyFill="0" applyBorder="0" applyAlignment="0" applyProtection="0"/>
    <xf numFmtId="188" fontId="24" fillId="0" borderId="0" applyFont="0" applyFill="0" applyBorder="0" applyAlignment="0" applyProtection="0"/>
    <xf numFmtId="41" fontId="39" fillId="0" borderId="0" applyFont="0" applyFill="0" applyBorder="0" applyAlignment="0" applyProtection="0"/>
    <xf numFmtId="188" fontId="24"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5" fontId="39" fillId="0" borderId="0" applyFont="0" applyFill="0" applyBorder="0" applyAlignment="0" applyProtection="0"/>
    <xf numFmtId="218" fontId="39" fillId="0" borderId="0" applyFont="0" applyFill="0" applyBorder="0" applyAlignment="0" applyProtection="0"/>
    <xf numFmtId="216" fontId="39" fillId="0" borderId="0" applyFont="0" applyFill="0" applyBorder="0" applyAlignment="0" applyProtection="0"/>
    <xf numFmtId="219" fontId="39" fillId="0" borderId="0" applyFont="0" applyFill="0" applyBorder="0" applyAlignment="0" applyProtection="0"/>
    <xf numFmtId="220" fontId="39" fillId="0" borderId="0" applyFont="0" applyFill="0" applyBorder="0" applyAlignment="0" applyProtection="0"/>
    <xf numFmtId="219" fontId="39" fillId="0" borderId="0" applyFont="0" applyFill="0" applyBorder="0" applyAlignment="0" applyProtection="0"/>
    <xf numFmtId="215"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41" fontId="39" fillId="0" borderId="0" applyFont="0" applyFill="0" applyBorder="0" applyAlignment="0" applyProtection="0"/>
    <xf numFmtId="216" fontId="39" fillId="0" borderId="0" applyFont="0" applyFill="0" applyBorder="0" applyAlignment="0" applyProtection="0"/>
    <xf numFmtId="41" fontId="39"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188" fontId="39" fillId="0" borderId="0" applyFont="0" applyFill="0" applyBorder="0" applyAlignment="0" applyProtection="0"/>
    <xf numFmtId="221" fontId="39" fillId="0" borderId="0" applyFont="0" applyFill="0" applyBorder="0" applyAlignment="0" applyProtection="0"/>
    <xf numFmtId="41" fontId="39" fillId="0" borderId="0" applyFont="0" applyFill="0" applyBorder="0" applyAlignment="0" applyProtection="0"/>
    <xf numFmtId="216" fontId="39" fillId="0" borderId="0" applyFont="0" applyFill="0" applyBorder="0" applyAlignment="0" applyProtection="0"/>
    <xf numFmtId="222" fontId="24"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188" fontId="39" fillId="0" borderId="0" applyFont="0" applyFill="0" applyBorder="0" applyAlignment="0" applyProtection="0"/>
    <xf numFmtId="180" fontId="43" fillId="0" borderId="0" applyFont="0" applyFill="0" applyBorder="0" applyAlignment="0" applyProtection="0"/>
    <xf numFmtId="223" fontId="39" fillId="0" borderId="0" applyFont="0" applyFill="0" applyBorder="0" applyAlignment="0" applyProtection="0"/>
    <xf numFmtId="223" fontId="39" fillId="0" borderId="0" applyFont="0" applyFill="0" applyBorder="0" applyAlignment="0" applyProtection="0"/>
    <xf numFmtId="224" fontId="16" fillId="0" borderId="0" applyFont="0" applyFill="0" applyBorder="0" applyAlignment="0" applyProtection="0"/>
    <xf numFmtId="192" fontId="43" fillId="0" borderId="0" applyFont="0" applyFill="0" applyBorder="0" applyAlignment="0" applyProtection="0"/>
    <xf numFmtId="223" fontId="39" fillId="0" borderId="0" applyFont="0" applyFill="0" applyBorder="0" applyAlignment="0" applyProtection="0"/>
    <xf numFmtId="180" fontId="43" fillId="0" borderId="0" applyFont="0" applyFill="0" applyBorder="0" applyAlignment="0" applyProtection="0"/>
    <xf numFmtId="225" fontId="44" fillId="0" borderId="0" applyFont="0" applyFill="0" applyBorder="0" applyAlignment="0" applyProtection="0"/>
    <xf numFmtId="216"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41" fontId="39" fillId="0" borderId="0" applyFont="0" applyFill="0" applyBorder="0" applyAlignment="0" applyProtection="0"/>
    <xf numFmtId="216" fontId="39" fillId="0" borderId="0" applyFont="0" applyFill="0" applyBorder="0" applyAlignment="0" applyProtection="0"/>
    <xf numFmtId="197" fontId="39" fillId="0" borderId="0" applyFont="0" applyFill="0" applyBorder="0" applyAlignment="0" applyProtection="0"/>
    <xf numFmtId="43" fontId="39" fillId="0" borderId="0" applyFont="0" applyFill="0" applyBorder="0" applyAlignment="0" applyProtection="0"/>
    <xf numFmtId="198" fontId="39" fillId="0" borderId="0" applyFont="0" applyFill="0" applyBorder="0" applyAlignment="0" applyProtection="0"/>
    <xf numFmtId="199" fontId="39" fillId="0" borderId="0" applyFont="0" applyFill="0" applyBorder="0" applyAlignment="0" applyProtection="0"/>
    <xf numFmtId="197" fontId="39" fillId="0" borderId="0" applyFont="0" applyFill="0" applyBorder="0" applyAlignment="0" applyProtection="0"/>
    <xf numFmtId="19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200" fontId="39" fillId="0" borderId="0" applyFont="0" applyFill="0" applyBorder="0" applyAlignment="0" applyProtection="0"/>
    <xf numFmtId="0" fontId="39" fillId="0" borderId="0" applyFont="0" applyFill="0" applyBorder="0" applyAlignment="0" applyProtection="0"/>
    <xf numFmtId="43" fontId="39" fillId="0" borderId="0" applyFont="0" applyFill="0" applyBorder="0" applyAlignment="0" applyProtection="0"/>
    <xf numFmtId="0"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198" fontId="39" fillId="0" borderId="0" applyFont="0" applyFill="0" applyBorder="0" applyAlignment="0" applyProtection="0"/>
    <xf numFmtId="201" fontId="39" fillId="0" borderId="0" applyFont="0" applyFill="0" applyBorder="0" applyAlignment="0" applyProtection="0"/>
    <xf numFmtId="199"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198"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43" fontId="39" fillId="0" borderId="0" applyFont="0" applyFill="0" applyBorder="0" applyAlignment="0" applyProtection="0"/>
    <xf numFmtId="199" fontId="39" fillId="0" borderId="0" applyFont="0" applyFill="0" applyBorder="0" applyAlignment="0" applyProtection="0"/>
    <xf numFmtId="43" fontId="39" fillId="0" borderId="0" applyFont="0" applyFill="0" applyBorder="0" applyAlignment="0" applyProtection="0"/>
    <xf numFmtId="197"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197" fontId="39" fillId="0" borderId="0" applyFont="0" applyFill="0" applyBorder="0" applyAlignment="0" applyProtection="0"/>
    <xf numFmtId="203" fontId="39" fillId="0" borderId="0" applyFont="0" applyFill="0" applyBorder="0" applyAlignment="0" applyProtection="0"/>
    <xf numFmtId="43" fontId="39" fillId="0" borderId="0" applyFont="0" applyFill="0" applyBorder="0" applyAlignment="0" applyProtection="0"/>
    <xf numFmtId="199" fontId="39" fillId="0" borderId="0" applyFont="0" applyFill="0" applyBorder="0" applyAlignment="0" applyProtection="0"/>
    <xf numFmtId="204" fontId="24" fillId="0" borderId="0" applyFont="0" applyFill="0" applyBorder="0" applyAlignment="0" applyProtection="0"/>
    <xf numFmtId="197"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197" fontId="39" fillId="0" borderId="0" applyFont="0" applyFill="0" applyBorder="0" applyAlignment="0" applyProtection="0"/>
    <xf numFmtId="199" fontId="39" fillId="0" borderId="0" applyFont="0" applyFill="0" applyBorder="0" applyAlignment="0" applyProtection="0"/>
    <xf numFmtId="197" fontId="39" fillId="0" borderId="0" applyFont="0" applyFill="0" applyBorder="0" applyAlignment="0" applyProtection="0"/>
    <xf numFmtId="164" fontId="43" fillId="0" borderId="0" applyFont="0" applyFill="0" applyBorder="0" applyAlignment="0" applyProtection="0"/>
    <xf numFmtId="205" fontId="39" fillId="0" borderId="0" applyFont="0" applyFill="0" applyBorder="0" applyAlignment="0" applyProtection="0"/>
    <xf numFmtId="205" fontId="39" fillId="0" borderId="0" applyFont="0" applyFill="0" applyBorder="0" applyAlignment="0" applyProtection="0"/>
    <xf numFmtId="206" fontId="16" fillId="0" borderId="0" applyFont="0" applyFill="0" applyBorder="0" applyAlignment="0" applyProtection="0"/>
    <xf numFmtId="165" fontId="43" fillId="0" borderId="0" applyFont="0" applyFill="0" applyBorder="0" applyAlignment="0" applyProtection="0"/>
    <xf numFmtId="205" fontId="39" fillId="0" borderId="0" applyFont="0" applyFill="0" applyBorder="0" applyAlignment="0" applyProtection="0"/>
    <xf numFmtId="164" fontId="43" fillId="0" borderId="0" applyFont="0" applyFill="0" applyBorder="0" applyAlignment="0" applyProtection="0"/>
    <xf numFmtId="207" fontId="44" fillId="0" borderId="0" applyFont="0" applyFill="0" applyBorder="0" applyAlignment="0" applyProtection="0"/>
    <xf numFmtId="203" fontId="39" fillId="0" borderId="0" applyFont="0" applyFill="0" applyBorder="0" applyAlignment="0" applyProtection="0"/>
    <xf numFmtId="199"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43" fontId="39" fillId="0" borderId="0" applyFont="0" applyFill="0" applyBorder="0" applyAlignment="0" applyProtection="0"/>
    <xf numFmtId="199" fontId="39" fillId="0" borderId="0" applyFont="0" applyFill="0" applyBorder="0" applyAlignment="0" applyProtection="0"/>
    <xf numFmtId="164" fontId="24" fillId="0" borderId="0" applyFont="0" applyFill="0" applyBorder="0" applyAlignment="0" applyProtection="0"/>
    <xf numFmtId="184"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92" fontId="43"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4" fontId="16" fillId="0" borderId="0" applyFont="0" applyFill="0" applyBorder="0" applyAlignment="0" applyProtection="0"/>
    <xf numFmtId="194" fontId="43" fillId="0" borderId="0" applyFont="0" applyFill="0" applyBorder="0" applyAlignment="0" applyProtection="0"/>
    <xf numFmtId="193" fontId="24" fillId="0" borderId="0" applyFont="0" applyFill="0" applyBorder="0" applyAlignment="0" applyProtection="0"/>
    <xf numFmtId="192" fontId="43" fillId="0" borderId="0" applyFont="0" applyFill="0" applyBorder="0" applyAlignment="0" applyProtection="0"/>
    <xf numFmtId="195" fontId="24" fillId="0" borderId="0" applyFont="0" applyFill="0" applyBorder="0" applyAlignment="0" applyProtection="0"/>
    <xf numFmtId="180" fontId="24" fillId="0" borderId="0" applyFont="0" applyFill="0" applyBorder="0" applyAlignment="0" applyProtection="0"/>
    <xf numFmtId="165"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67" fontId="39" fillId="0" borderId="0" applyFont="0" applyFill="0" applyBorder="0" applyAlignment="0" applyProtection="0"/>
    <xf numFmtId="190" fontId="39" fillId="0" borderId="0" applyFont="0" applyFill="0" applyBorder="0" applyAlignment="0" applyProtection="0"/>
    <xf numFmtId="180" fontId="42" fillId="0" borderId="0" applyFont="0" applyFill="0" applyBorder="0" applyAlignment="0" applyProtection="0"/>
    <xf numFmtId="180" fontId="4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81" fontId="39" fillId="0" borderId="0" applyFont="0" applyFill="0" applyBorder="0" applyAlignment="0" applyProtection="0"/>
    <xf numFmtId="189" fontId="24" fillId="0" borderId="0" applyFont="0" applyFill="0" applyBorder="0" applyAlignment="0" applyProtection="0"/>
    <xf numFmtId="208" fontId="43"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10" fontId="43" fillId="0" borderId="0" applyFont="0" applyFill="0" applyBorder="0" applyAlignment="0" applyProtection="0"/>
    <xf numFmtId="209" fontId="39" fillId="0" borderId="0" applyFont="0" applyFill="0" applyBorder="0" applyAlignment="0" applyProtection="0"/>
    <xf numFmtId="208" fontId="43" fillId="0" borderId="0" applyFont="0" applyFill="0" applyBorder="0" applyAlignment="0" applyProtection="0"/>
    <xf numFmtId="20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0" fontId="45" fillId="0" borderId="0"/>
    <xf numFmtId="167" fontId="39" fillId="0" borderId="0" applyFont="0" applyFill="0" applyBorder="0" applyAlignment="0" applyProtection="0"/>
    <xf numFmtId="167" fontId="39" fillId="0" borderId="0" applyFont="0" applyFill="0" applyBorder="0" applyAlignment="0" applyProtection="0"/>
    <xf numFmtId="0" fontId="31" fillId="0" borderId="0"/>
    <xf numFmtId="210" fontId="43"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2" fontId="16" fillId="0" borderId="0" applyFont="0" applyFill="0" applyBorder="0" applyAlignment="0" applyProtection="0"/>
    <xf numFmtId="164" fontId="43" fillId="0" borderId="0" applyFont="0" applyFill="0" applyBorder="0" applyAlignment="0" applyProtection="0"/>
    <xf numFmtId="211" fontId="39" fillId="0" borderId="0" applyFont="0" applyFill="0" applyBorder="0" applyAlignment="0" applyProtection="0"/>
    <xf numFmtId="210" fontId="43" fillId="0" borderId="0" applyFont="0" applyFill="0" applyBorder="0" applyAlignment="0" applyProtection="0"/>
    <xf numFmtId="213" fontId="44" fillId="0" borderId="0" applyFont="0" applyFill="0" applyBorder="0" applyAlignment="0" applyProtection="0"/>
    <xf numFmtId="214"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4" fontId="24" fillId="0" borderId="0" applyFont="0" applyFill="0" applyBorder="0" applyAlignment="0" applyProtection="0"/>
    <xf numFmtId="188" fontId="39" fillId="0" borderId="0" applyFont="0" applyFill="0" applyBorder="0" applyAlignment="0" applyProtection="0"/>
    <xf numFmtId="41" fontId="39" fillId="0" borderId="0" applyFont="0" applyFill="0" applyBorder="0" applyAlignment="0" applyProtection="0"/>
    <xf numFmtId="215" fontId="39" fillId="0" borderId="0" applyFont="0" applyFill="0" applyBorder="0" applyAlignment="0" applyProtection="0"/>
    <xf numFmtId="216" fontId="39"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88" fontId="39" fillId="0" borderId="0" applyFont="0" applyFill="0" applyBorder="0" applyAlignment="0" applyProtection="0"/>
    <xf numFmtId="215" fontId="39" fillId="0" borderId="0" applyFont="0" applyFill="0" applyBorder="0" applyAlignment="0" applyProtection="0"/>
    <xf numFmtId="217" fontId="39" fillId="0" borderId="0" applyFont="0" applyFill="0" applyBorder="0" applyAlignment="0" applyProtection="0"/>
    <xf numFmtId="188" fontId="24" fillId="0" borderId="0" applyFont="0" applyFill="0" applyBorder="0" applyAlignment="0" applyProtection="0"/>
    <xf numFmtId="41" fontId="39" fillId="0" borderId="0" applyFont="0" applyFill="0" applyBorder="0" applyAlignment="0" applyProtection="0"/>
    <xf numFmtId="188" fontId="24"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5" fontId="39" fillId="0" borderId="0" applyFont="0" applyFill="0" applyBorder="0" applyAlignment="0" applyProtection="0"/>
    <xf numFmtId="218" fontId="39" fillId="0" borderId="0" applyFont="0" applyFill="0" applyBorder="0" applyAlignment="0" applyProtection="0"/>
    <xf numFmtId="216" fontId="39" fillId="0" borderId="0" applyFont="0" applyFill="0" applyBorder="0" applyAlignment="0" applyProtection="0"/>
    <xf numFmtId="219" fontId="39" fillId="0" borderId="0" applyFont="0" applyFill="0" applyBorder="0" applyAlignment="0" applyProtection="0"/>
    <xf numFmtId="220" fontId="39" fillId="0" borderId="0" applyFont="0" applyFill="0" applyBorder="0" applyAlignment="0" applyProtection="0"/>
    <xf numFmtId="219" fontId="39" fillId="0" borderId="0" applyFont="0" applyFill="0" applyBorder="0" applyAlignment="0" applyProtection="0"/>
    <xf numFmtId="215"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41" fontId="39" fillId="0" borderId="0" applyFont="0" applyFill="0" applyBorder="0" applyAlignment="0" applyProtection="0"/>
    <xf numFmtId="216" fontId="39" fillId="0" borderId="0" applyFont="0" applyFill="0" applyBorder="0" applyAlignment="0" applyProtection="0"/>
    <xf numFmtId="41" fontId="39"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188" fontId="39" fillId="0" borderId="0" applyFont="0" applyFill="0" applyBorder="0" applyAlignment="0" applyProtection="0"/>
    <xf numFmtId="221" fontId="39" fillId="0" borderId="0" applyFont="0" applyFill="0" applyBorder="0" applyAlignment="0" applyProtection="0"/>
    <xf numFmtId="41" fontId="39" fillId="0" borderId="0" applyFont="0" applyFill="0" applyBorder="0" applyAlignment="0" applyProtection="0"/>
    <xf numFmtId="216" fontId="39" fillId="0" borderId="0" applyFont="0" applyFill="0" applyBorder="0" applyAlignment="0" applyProtection="0"/>
    <xf numFmtId="222" fontId="24"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188" fontId="39" fillId="0" borderId="0" applyFont="0" applyFill="0" applyBorder="0" applyAlignment="0" applyProtection="0"/>
    <xf numFmtId="180" fontId="43" fillId="0" borderId="0" applyFont="0" applyFill="0" applyBorder="0" applyAlignment="0" applyProtection="0"/>
    <xf numFmtId="223" fontId="39" fillId="0" borderId="0" applyFont="0" applyFill="0" applyBorder="0" applyAlignment="0" applyProtection="0"/>
    <xf numFmtId="223" fontId="39" fillId="0" borderId="0" applyFont="0" applyFill="0" applyBorder="0" applyAlignment="0" applyProtection="0"/>
    <xf numFmtId="224" fontId="16" fillId="0" borderId="0" applyFont="0" applyFill="0" applyBorder="0" applyAlignment="0" applyProtection="0"/>
    <xf numFmtId="192" fontId="43" fillId="0" borderId="0" applyFont="0" applyFill="0" applyBorder="0" applyAlignment="0" applyProtection="0"/>
    <xf numFmtId="223" fontId="39" fillId="0" borderId="0" applyFont="0" applyFill="0" applyBorder="0" applyAlignment="0" applyProtection="0"/>
    <xf numFmtId="180" fontId="43" fillId="0" borderId="0" applyFont="0" applyFill="0" applyBorder="0" applyAlignment="0" applyProtection="0"/>
    <xf numFmtId="225" fontId="44" fillId="0" borderId="0" applyFont="0" applyFill="0" applyBorder="0" applyAlignment="0" applyProtection="0"/>
    <xf numFmtId="216"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41" fontId="39" fillId="0" borderId="0" applyFont="0" applyFill="0" applyBorder="0" applyAlignment="0" applyProtection="0"/>
    <xf numFmtId="216" fontId="39" fillId="0" borderId="0" applyFont="0" applyFill="0" applyBorder="0" applyAlignment="0" applyProtection="0"/>
    <xf numFmtId="197" fontId="39" fillId="0" borderId="0" applyFont="0" applyFill="0" applyBorder="0" applyAlignment="0" applyProtection="0"/>
    <xf numFmtId="43" fontId="39" fillId="0" borderId="0" applyFont="0" applyFill="0" applyBorder="0" applyAlignment="0" applyProtection="0"/>
    <xf numFmtId="198" fontId="39" fillId="0" borderId="0" applyFont="0" applyFill="0" applyBorder="0" applyAlignment="0" applyProtection="0"/>
    <xf numFmtId="199" fontId="39" fillId="0" borderId="0" applyFont="0" applyFill="0" applyBorder="0" applyAlignment="0" applyProtection="0"/>
    <xf numFmtId="197" fontId="39" fillId="0" borderId="0" applyFont="0" applyFill="0" applyBorder="0" applyAlignment="0" applyProtection="0"/>
    <xf numFmtId="19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200" fontId="39" fillId="0" borderId="0" applyFont="0" applyFill="0" applyBorder="0" applyAlignment="0" applyProtection="0"/>
    <xf numFmtId="0" fontId="39" fillId="0" borderId="0" applyFont="0" applyFill="0" applyBorder="0" applyAlignment="0" applyProtection="0"/>
    <xf numFmtId="43" fontId="39" fillId="0" borderId="0" applyFont="0" applyFill="0" applyBorder="0" applyAlignment="0" applyProtection="0"/>
    <xf numFmtId="0"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198" fontId="39" fillId="0" borderId="0" applyFont="0" applyFill="0" applyBorder="0" applyAlignment="0" applyProtection="0"/>
    <xf numFmtId="201" fontId="39" fillId="0" borderId="0" applyFont="0" applyFill="0" applyBorder="0" applyAlignment="0" applyProtection="0"/>
    <xf numFmtId="199" fontId="39"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198"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43" fontId="39" fillId="0" borderId="0" applyFont="0" applyFill="0" applyBorder="0" applyAlignment="0" applyProtection="0"/>
    <xf numFmtId="199" fontId="39" fillId="0" borderId="0" applyFont="0" applyFill="0" applyBorder="0" applyAlignment="0" applyProtection="0"/>
    <xf numFmtId="43" fontId="39" fillId="0" borderId="0" applyFont="0" applyFill="0" applyBorder="0" applyAlignment="0" applyProtection="0"/>
    <xf numFmtId="197"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197" fontId="39" fillId="0" borderId="0" applyFont="0" applyFill="0" applyBorder="0" applyAlignment="0" applyProtection="0"/>
    <xf numFmtId="203" fontId="39" fillId="0" borderId="0" applyFont="0" applyFill="0" applyBorder="0" applyAlignment="0" applyProtection="0"/>
    <xf numFmtId="43" fontId="39" fillId="0" borderId="0" applyFont="0" applyFill="0" applyBorder="0" applyAlignment="0" applyProtection="0"/>
    <xf numFmtId="199" fontId="39" fillId="0" borderId="0" applyFont="0" applyFill="0" applyBorder="0" applyAlignment="0" applyProtection="0"/>
    <xf numFmtId="204" fontId="24" fillId="0" borderId="0" applyFont="0" applyFill="0" applyBorder="0" applyAlignment="0" applyProtection="0"/>
    <xf numFmtId="197"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197" fontId="39" fillId="0" borderId="0" applyFont="0" applyFill="0" applyBorder="0" applyAlignment="0" applyProtection="0"/>
    <xf numFmtId="199" fontId="39" fillId="0" borderId="0" applyFont="0" applyFill="0" applyBorder="0" applyAlignment="0" applyProtection="0"/>
    <xf numFmtId="197" fontId="39" fillId="0" borderId="0" applyFont="0" applyFill="0" applyBorder="0" applyAlignment="0" applyProtection="0"/>
    <xf numFmtId="164" fontId="43" fillId="0" borderId="0" applyFont="0" applyFill="0" applyBorder="0" applyAlignment="0" applyProtection="0"/>
    <xf numFmtId="205" fontId="39" fillId="0" borderId="0" applyFont="0" applyFill="0" applyBorder="0" applyAlignment="0" applyProtection="0"/>
    <xf numFmtId="205" fontId="39" fillId="0" borderId="0" applyFont="0" applyFill="0" applyBorder="0" applyAlignment="0" applyProtection="0"/>
    <xf numFmtId="206" fontId="16" fillId="0" borderId="0" applyFont="0" applyFill="0" applyBorder="0" applyAlignment="0" applyProtection="0"/>
    <xf numFmtId="165" fontId="43" fillId="0" borderId="0" applyFont="0" applyFill="0" applyBorder="0" applyAlignment="0" applyProtection="0"/>
    <xf numFmtId="205" fontId="39" fillId="0" borderId="0" applyFont="0" applyFill="0" applyBorder="0" applyAlignment="0" applyProtection="0"/>
    <xf numFmtId="164" fontId="43" fillId="0" borderId="0" applyFont="0" applyFill="0" applyBorder="0" applyAlignment="0" applyProtection="0"/>
    <xf numFmtId="207" fontId="44" fillId="0" borderId="0" applyFont="0" applyFill="0" applyBorder="0" applyAlignment="0" applyProtection="0"/>
    <xf numFmtId="203" fontId="39" fillId="0" borderId="0" applyFont="0" applyFill="0" applyBorder="0" applyAlignment="0" applyProtection="0"/>
    <xf numFmtId="199"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99" fontId="39" fillId="0" borderId="0" applyFont="0" applyFill="0" applyBorder="0" applyAlignment="0" applyProtection="0"/>
    <xf numFmtId="199" fontId="39" fillId="0" borderId="0" applyFont="0" applyFill="0" applyBorder="0" applyAlignment="0" applyProtection="0"/>
    <xf numFmtId="43" fontId="39" fillId="0" borderId="0" applyFont="0" applyFill="0" applyBorder="0" applyAlignment="0" applyProtection="0"/>
    <xf numFmtId="199" fontId="39" fillId="0" borderId="0" applyFont="0" applyFill="0" applyBorder="0" applyAlignment="0" applyProtection="0"/>
    <xf numFmtId="184"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92" fontId="43"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4" fontId="16" fillId="0" borderId="0" applyFont="0" applyFill="0" applyBorder="0" applyAlignment="0" applyProtection="0"/>
    <xf numFmtId="194" fontId="43" fillId="0" borderId="0" applyFont="0" applyFill="0" applyBorder="0" applyAlignment="0" applyProtection="0"/>
    <xf numFmtId="193" fontId="24" fillId="0" borderId="0" applyFont="0" applyFill="0" applyBorder="0" applyAlignment="0" applyProtection="0"/>
    <xf numFmtId="192" fontId="43" fillId="0" borderId="0" applyFont="0" applyFill="0" applyBorder="0" applyAlignment="0" applyProtection="0"/>
    <xf numFmtId="195" fontId="24" fillId="0" borderId="0" applyFont="0" applyFill="0" applyBorder="0" applyAlignment="0" applyProtection="0"/>
    <xf numFmtId="180"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67" fontId="39" fillId="0" borderId="0" applyFont="0" applyFill="0" applyBorder="0" applyAlignment="0" applyProtection="0"/>
    <xf numFmtId="0" fontId="29" fillId="0" borderId="0" applyNumberForma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0" fontId="31" fillId="0" borderId="0"/>
    <xf numFmtId="0" fontId="29" fillId="0" borderId="0" applyNumberFormat="0" applyFill="0" applyBorder="0" applyAlignment="0" applyProtection="0"/>
    <xf numFmtId="0" fontId="29" fillId="0" borderId="0" applyNumberFormat="0" applyFill="0" applyBorder="0" applyAlignment="0" applyProtection="0"/>
    <xf numFmtId="167"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9" fillId="0" borderId="0" applyNumberFormat="0" applyFill="0" applyBorder="0" applyAlignment="0" applyProtection="0"/>
    <xf numFmtId="0" fontId="31" fillId="0" borderId="0"/>
    <xf numFmtId="0" fontId="40" fillId="0" borderId="0"/>
    <xf numFmtId="0" fontId="40" fillId="0" borderId="0"/>
    <xf numFmtId="184" fontId="39" fillId="0" borderId="0" applyFont="0" applyFill="0" applyBorder="0" applyAlignment="0" applyProtection="0"/>
    <xf numFmtId="226" fontId="46" fillId="0" borderId="0" applyFont="0" applyFill="0" applyBorder="0" applyAlignment="0" applyProtection="0"/>
    <xf numFmtId="227" fontId="47" fillId="0" borderId="0" applyFont="0" applyFill="0" applyBorder="0" applyAlignment="0" applyProtection="0"/>
    <xf numFmtId="228" fontId="47" fillId="0" borderId="0" applyFont="0" applyFill="0" applyBorder="0" applyAlignment="0" applyProtection="0"/>
    <xf numFmtId="0" fontId="48" fillId="0" borderId="0"/>
    <xf numFmtId="0" fontId="49" fillId="0" borderId="0"/>
    <xf numFmtId="0" fontId="49" fillId="0" borderId="0"/>
    <xf numFmtId="0" fontId="17" fillId="0" borderId="0"/>
    <xf numFmtId="1" fontId="50" fillId="0" borderId="1" applyBorder="0" applyAlignment="0">
      <alignment horizontal="center"/>
    </xf>
    <xf numFmtId="1" fontId="50" fillId="0" borderId="1" applyBorder="0" applyAlignment="0">
      <alignment horizontal="center"/>
    </xf>
    <xf numFmtId="1" fontId="50" fillId="0" borderId="1" applyBorder="0" applyAlignment="0">
      <alignment horizontal="center"/>
    </xf>
    <xf numFmtId="1" fontId="50" fillId="0" borderId="1" applyBorder="0" applyAlignment="0">
      <alignment horizontal="center"/>
    </xf>
    <xf numFmtId="1" fontId="50" fillId="0" borderId="1" applyBorder="0" applyAlignment="0">
      <alignment horizontal="center"/>
    </xf>
    <xf numFmtId="1" fontId="50" fillId="0" borderId="1" applyBorder="0" applyAlignment="0">
      <alignment horizontal="center"/>
    </xf>
    <xf numFmtId="3" fontId="26" fillId="0" borderId="1"/>
    <xf numFmtId="3" fontId="26" fillId="0" borderId="1"/>
    <xf numFmtId="3" fontId="26" fillId="0" borderId="1"/>
    <xf numFmtId="3" fontId="26" fillId="0" borderId="1"/>
    <xf numFmtId="3" fontId="26" fillId="0" borderId="1"/>
    <xf numFmtId="3" fontId="26" fillId="0" borderId="1"/>
    <xf numFmtId="3" fontId="26" fillId="0" borderId="1"/>
    <xf numFmtId="3" fontId="26" fillId="0" borderId="1"/>
    <xf numFmtId="3" fontId="26" fillId="0" borderId="1"/>
    <xf numFmtId="3" fontId="26" fillId="0" borderId="1"/>
    <xf numFmtId="3" fontId="26" fillId="0" borderId="1"/>
    <xf numFmtId="3" fontId="26" fillId="0" borderId="1"/>
    <xf numFmtId="226" fontId="46" fillId="0" borderId="0" applyFont="0" applyFill="0" applyBorder="0" applyAlignment="0" applyProtection="0"/>
    <xf numFmtId="0" fontId="51" fillId="0" borderId="13" applyFont="0" applyAlignment="0">
      <alignment horizontal="left"/>
    </xf>
    <xf numFmtId="0" fontId="51" fillId="0" borderId="13" applyFont="0" applyAlignment="0">
      <alignment horizontal="left"/>
    </xf>
    <xf numFmtId="0" fontId="51" fillId="0" borderId="13" applyFont="0" applyAlignment="0">
      <alignment horizontal="left"/>
    </xf>
    <xf numFmtId="226" fontId="46" fillId="0" borderId="0" applyFont="0" applyFill="0" applyBorder="0" applyAlignment="0" applyProtection="0"/>
    <xf numFmtId="226" fontId="46" fillId="0" borderId="0" applyFont="0" applyFill="0" applyBorder="0" applyAlignment="0" applyProtection="0"/>
    <xf numFmtId="226" fontId="46" fillId="0" borderId="0" applyFont="0" applyFill="0" applyBorder="0" applyAlignment="0" applyProtection="0"/>
    <xf numFmtId="0" fontId="52" fillId="2" borderId="0"/>
    <xf numFmtId="0" fontId="53" fillId="2" borderId="0"/>
    <xf numFmtId="0" fontId="28" fillId="0" borderId="22" applyAlignment="0"/>
    <xf numFmtId="0" fontId="28" fillId="0" borderId="22" applyAlignment="0"/>
    <xf numFmtId="0" fontId="28" fillId="0" borderId="22" applyAlignment="0"/>
    <xf numFmtId="0" fontId="28" fillId="0" borderId="22" applyAlignment="0"/>
    <xf numFmtId="0" fontId="28" fillId="0" borderId="22" applyAlignment="0"/>
    <xf numFmtId="0" fontId="28" fillId="0" borderId="22" applyAlignment="0"/>
    <xf numFmtId="0" fontId="28" fillId="0" borderId="22" applyAlignment="0"/>
    <xf numFmtId="0" fontId="28" fillId="0" borderId="22" applyAlignment="0"/>
    <xf numFmtId="0" fontId="53" fillId="3" borderId="0"/>
    <xf numFmtId="0" fontId="53" fillId="2" borderId="0"/>
    <xf numFmtId="0" fontId="51" fillId="0" borderId="13" applyFont="0" applyAlignment="0">
      <alignment horizontal="left"/>
    </xf>
    <xf numFmtId="0" fontId="28" fillId="0" borderId="22" applyAlignment="0"/>
    <xf numFmtId="0" fontId="28" fillId="0" borderId="22" applyAlignment="0"/>
    <xf numFmtId="0" fontId="28" fillId="0" borderId="22" applyAlignment="0"/>
    <xf numFmtId="0" fontId="28" fillId="0" borderId="22" applyAlignment="0"/>
    <xf numFmtId="0" fontId="28" fillId="0" borderId="22" applyAlignment="0"/>
    <xf numFmtId="0" fontId="28" fillId="0" borderId="22" applyAlignment="0"/>
    <xf numFmtId="0" fontId="28" fillId="0" borderId="22" applyAlignment="0"/>
    <xf numFmtId="0" fontId="28" fillId="0" borderId="22" applyAlignment="0"/>
    <xf numFmtId="0" fontId="28" fillId="0" borderId="22" applyAlignment="0"/>
    <xf numFmtId="0" fontId="28" fillId="0" borderId="22" applyAlignment="0"/>
    <xf numFmtId="0" fontId="28" fillId="0" borderId="22" applyAlignment="0"/>
    <xf numFmtId="0" fontId="28" fillId="0" borderId="22" applyAlignment="0"/>
    <xf numFmtId="0" fontId="53" fillId="2" borderId="0"/>
    <xf numFmtId="0" fontId="53" fillId="2" borderId="0"/>
    <xf numFmtId="0" fontId="53" fillId="2" borderId="0"/>
    <xf numFmtId="0" fontId="53" fillId="2" borderId="0"/>
    <xf numFmtId="0" fontId="51" fillId="0" borderId="13" applyFont="0" applyAlignment="0">
      <alignment horizontal="left"/>
    </xf>
    <xf numFmtId="0" fontId="28" fillId="0" borderId="22" applyAlignment="0"/>
    <xf numFmtId="0" fontId="28" fillId="0" borderId="22" applyAlignment="0"/>
    <xf numFmtId="0" fontId="52" fillId="2" borderId="0"/>
    <xf numFmtId="0" fontId="28" fillId="0" borderId="23" applyFill="0" applyAlignment="0"/>
    <xf numFmtId="0" fontId="28" fillId="0" borderId="23" applyFill="0" applyAlignment="0"/>
    <xf numFmtId="0" fontId="53" fillId="3" borderId="0"/>
    <xf numFmtId="0" fontId="28" fillId="0" borderId="23" applyFill="0" applyAlignment="0"/>
    <xf numFmtId="0" fontId="28" fillId="0" borderId="23" applyFill="0" applyAlignment="0"/>
    <xf numFmtId="0" fontId="53" fillId="2" borderId="0"/>
    <xf numFmtId="0" fontId="53" fillId="2" borderId="0"/>
    <xf numFmtId="0" fontId="28" fillId="0" borderId="22" applyAlignment="0"/>
    <xf numFmtId="0" fontId="28" fillId="0" borderId="22" applyAlignment="0"/>
    <xf numFmtId="0" fontId="28" fillId="0" borderId="22" applyAlignment="0"/>
    <xf numFmtId="0" fontId="28" fillId="0" borderId="22" applyAlignment="0"/>
    <xf numFmtId="0" fontId="52" fillId="2" borderId="0"/>
    <xf numFmtId="226" fontId="46" fillId="0" borderId="0" applyFont="0" applyFill="0" applyBorder="0" applyAlignment="0" applyProtection="0"/>
    <xf numFmtId="0" fontId="28" fillId="0" borderId="22" applyAlignment="0"/>
    <xf numFmtId="0" fontId="28" fillId="0" borderId="22" applyAlignment="0"/>
    <xf numFmtId="0" fontId="28" fillId="0" borderId="22" applyAlignment="0"/>
    <xf numFmtId="0" fontId="28" fillId="0" borderId="22" applyAlignment="0"/>
    <xf numFmtId="0" fontId="28" fillId="0" borderId="22" applyAlignment="0"/>
    <xf numFmtId="0" fontId="28" fillId="0" borderId="22" applyAlignment="0"/>
    <xf numFmtId="0" fontId="28" fillId="0" borderId="22" applyAlignment="0"/>
    <xf numFmtId="0" fontId="28" fillId="0" borderId="22" applyAlignment="0"/>
    <xf numFmtId="226" fontId="46" fillId="0" borderId="0" applyFont="0" applyFill="0" applyBorder="0" applyAlignment="0" applyProtection="0"/>
    <xf numFmtId="226" fontId="46" fillId="0" borderId="0" applyFont="0" applyFill="0" applyBorder="0" applyAlignment="0" applyProtection="0"/>
    <xf numFmtId="0" fontId="25" fillId="2" borderId="0"/>
    <xf numFmtId="0" fontId="53" fillId="2" borderId="0"/>
    <xf numFmtId="0" fontId="52" fillId="2" borderId="0"/>
    <xf numFmtId="0" fontId="53" fillId="2" borderId="0"/>
    <xf numFmtId="0" fontId="51" fillId="0" borderId="13" applyFont="0" applyAlignment="0">
      <alignment horizontal="left"/>
    </xf>
    <xf numFmtId="0" fontId="52" fillId="2" borderId="0"/>
    <xf numFmtId="0" fontId="51" fillId="0" borderId="13" applyFont="0" applyAlignment="0">
      <alignment horizontal="left"/>
    </xf>
    <xf numFmtId="0" fontId="28" fillId="0" borderId="22" applyAlignment="0"/>
    <xf numFmtId="0" fontId="28" fillId="0" borderId="22" applyAlignment="0"/>
    <xf numFmtId="0" fontId="28" fillId="0" borderId="22" applyAlignment="0"/>
    <xf numFmtId="0" fontId="28" fillId="0" borderId="22" applyAlignment="0"/>
    <xf numFmtId="0" fontId="54" fillId="0" borderId="0" applyFont="0" applyFill="0" applyBorder="0" applyAlignment="0">
      <alignment horizontal="left"/>
    </xf>
    <xf numFmtId="0" fontId="53" fillId="2" borderId="0"/>
    <xf numFmtId="0" fontId="51" fillId="0" borderId="13" applyFont="0" applyAlignment="0">
      <alignment horizontal="left"/>
    </xf>
    <xf numFmtId="0" fontId="53" fillId="2" borderId="0"/>
    <xf numFmtId="0" fontId="52" fillId="2" borderId="0"/>
    <xf numFmtId="0" fontId="53" fillId="2" borderId="0"/>
    <xf numFmtId="0" fontId="25" fillId="0" borderId="23" applyAlignment="0"/>
    <xf numFmtId="0" fontId="25" fillId="0" borderId="23" applyAlignment="0"/>
    <xf numFmtId="0" fontId="25" fillId="0" borderId="23" applyAlignment="0"/>
    <xf numFmtId="0" fontId="25" fillId="0" borderId="23" applyAlignment="0"/>
    <xf numFmtId="0" fontId="25" fillId="0" borderId="23" applyAlignment="0"/>
    <xf numFmtId="0" fontId="25" fillId="0" borderId="23" applyAlignment="0"/>
    <xf numFmtId="0" fontId="25" fillId="0" borderId="23" applyAlignment="0"/>
    <xf numFmtId="0" fontId="25" fillId="0" borderId="23" applyAlignment="0"/>
    <xf numFmtId="0" fontId="25" fillId="0" borderId="23" applyAlignment="0"/>
    <xf numFmtId="0" fontId="25" fillId="0" borderId="23" applyAlignment="0"/>
    <xf numFmtId="0" fontId="25" fillId="0" borderId="23" applyAlignment="0"/>
    <xf numFmtId="0" fontId="25" fillId="0" borderId="23" applyAlignment="0"/>
    <xf numFmtId="0" fontId="51" fillId="0" borderId="13" applyFont="0" applyAlignment="0">
      <alignment horizontal="left"/>
    </xf>
    <xf numFmtId="0" fontId="28" fillId="0" borderId="22" applyAlignment="0"/>
    <xf numFmtId="0" fontId="28" fillId="0" borderId="22" applyAlignment="0"/>
    <xf numFmtId="0" fontId="28" fillId="0" borderId="22" applyAlignment="0"/>
    <xf numFmtId="0" fontId="28" fillId="0" borderId="22" applyAlignment="0"/>
    <xf numFmtId="0" fontId="52" fillId="2" borderId="0"/>
    <xf numFmtId="0" fontId="52" fillId="2" borderId="0"/>
    <xf numFmtId="0" fontId="53" fillId="2" borderId="0"/>
    <xf numFmtId="0" fontId="53" fillId="2" borderId="0"/>
    <xf numFmtId="0" fontId="51" fillId="0" borderId="13" applyFont="0" applyAlignment="0">
      <alignment horizontal="left"/>
    </xf>
    <xf numFmtId="0" fontId="28" fillId="0" borderId="22" applyAlignment="0"/>
    <xf numFmtId="0" fontId="28" fillId="0" borderId="22" applyAlignment="0"/>
    <xf numFmtId="0" fontId="55" fillId="0" borderId="1" applyNumberFormat="0" applyFont="0" applyBorder="0">
      <alignment horizontal="left" indent="2"/>
    </xf>
    <xf numFmtId="0" fontId="55" fillId="0" borderId="1" applyNumberFormat="0" applyFont="0" applyBorder="0">
      <alignment horizontal="left" indent="2"/>
    </xf>
    <xf numFmtId="0" fontId="54" fillId="0" borderId="0" applyFont="0" applyFill="0" applyBorder="0" applyAlignment="0">
      <alignment horizontal="left"/>
    </xf>
    <xf numFmtId="0" fontId="55" fillId="0" borderId="1" applyNumberFormat="0" applyFont="0" applyBorder="0">
      <alignment horizontal="left" indent="2"/>
    </xf>
    <xf numFmtId="0" fontId="55" fillId="0" borderId="1" applyNumberFormat="0" applyFont="0" applyBorder="0">
      <alignment horizontal="left" indent="2"/>
    </xf>
    <xf numFmtId="0" fontId="53" fillId="2" borderId="0"/>
    <xf numFmtId="0" fontId="53" fillId="2" borderId="0"/>
    <xf numFmtId="0" fontId="56" fillId="0" borderId="0"/>
    <xf numFmtId="0" fontId="57" fillId="4" borderId="24" applyFont="0" applyFill="0" applyAlignment="0">
      <alignment vertical="center" wrapText="1"/>
    </xf>
    <xf numFmtId="9" fontId="58" fillId="0" borderId="0" applyBorder="0" applyAlignment="0" applyProtection="0"/>
    <xf numFmtId="0" fontId="59" fillId="2" borderId="0"/>
    <xf numFmtId="0" fontId="52" fillId="2" borderId="0"/>
    <xf numFmtId="0" fontId="59" fillId="3" borderId="0"/>
    <xf numFmtId="0" fontId="25" fillId="0" borderId="22" applyNumberFormat="0" applyFill="0"/>
    <xf numFmtId="0" fontId="25" fillId="0" borderId="22" applyNumberFormat="0" applyFill="0"/>
    <xf numFmtId="0" fontId="52" fillId="2" borderId="0"/>
    <xf numFmtId="0" fontId="25" fillId="0" borderId="22" applyNumberFormat="0" applyFill="0"/>
    <xf numFmtId="0" fontId="25" fillId="0" borderId="22" applyNumberFormat="0" applyFill="0"/>
    <xf numFmtId="0" fontId="25" fillId="0" borderId="22" applyNumberFormat="0" applyFill="0"/>
    <xf numFmtId="0" fontId="25" fillId="0" borderId="22" applyNumberFormat="0" applyFill="0"/>
    <xf numFmtId="0" fontId="25" fillId="0" borderId="22" applyNumberFormat="0" applyFill="0"/>
    <xf numFmtId="0" fontId="25" fillId="0" borderId="22" applyNumberFormat="0" applyFill="0"/>
    <xf numFmtId="0" fontId="59" fillId="2" borderId="0"/>
    <xf numFmtId="0" fontId="25" fillId="0" borderId="22" applyNumberFormat="0" applyFill="0"/>
    <xf numFmtId="0" fontId="25" fillId="0" borderId="22" applyNumberFormat="0" applyFill="0"/>
    <xf numFmtId="0" fontId="52" fillId="2" borderId="0"/>
    <xf numFmtId="0" fontId="25" fillId="2" borderId="0"/>
    <xf numFmtId="0" fontId="52" fillId="2" borderId="0"/>
    <xf numFmtId="0" fontId="52" fillId="2" borderId="0"/>
    <xf numFmtId="0" fontId="59" fillId="2" borderId="0"/>
    <xf numFmtId="0" fontId="52" fillId="2" borderId="0"/>
    <xf numFmtId="0" fontId="25" fillId="0" borderId="22" applyNumberFormat="0" applyAlignment="0"/>
    <xf numFmtId="0" fontId="25" fillId="0" borderId="22" applyNumberFormat="0" applyAlignment="0"/>
    <xf numFmtId="0" fontId="25" fillId="0" borderId="22" applyNumberFormat="0" applyAlignment="0"/>
    <xf numFmtId="0" fontId="25" fillId="0" borderId="22" applyNumberFormat="0" applyAlignment="0"/>
    <xf numFmtId="0" fontId="25" fillId="0" borderId="22" applyNumberFormat="0" applyAlignment="0"/>
    <xf numFmtId="0" fontId="25" fillId="0" borderId="22" applyNumberFormat="0" applyAlignment="0"/>
    <xf numFmtId="0" fontId="25" fillId="0" borderId="22" applyNumberFormat="0" applyAlignment="0"/>
    <xf numFmtId="0" fontId="25" fillId="0" borderId="22" applyNumberFormat="0" applyAlignment="0"/>
    <xf numFmtId="0" fontId="25" fillId="0" borderId="22" applyNumberFormat="0" applyAlignment="0"/>
    <xf numFmtId="0" fontId="25" fillId="0" borderId="22" applyNumberFormat="0" applyAlignment="0"/>
    <xf numFmtId="0" fontId="25" fillId="0" borderId="22" applyNumberFormat="0" applyAlignment="0"/>
    <xf numFmtId="0" fontId="25" fillId="0" borderId="22" applyNumberFormat="0" applyAlignment="0"/>
    <xf numFmtId="0" fontId="52" fillId="2" borderId="0"/>
    <xf numFmtId="0" fontId="52" fillId="2" borderId="0"/>
    <xf numFmtId="0" fontId="25" fillId="0" borderId="22" applyNumberFormat="0" applyFill="0"/>
    <xf numFmtId="0" fontId="25" fillId="0" borderId="22" applyNumberFormat="0" applyFill="0"/>
    <xf numFmtId="0" fontId="25" fillId="0" borderId="22" applyNumberFormat="0" applyFill="0"/>
    <xf numFmtId="0" fontId="25" fillId="0" borderId="22" applyNumberFormat="0" applyFill="0"/>
    <xf numFmtId="0" fontId="25" fillId="0" borderId="22" applyNumberFormat="0" applyFill="0"/>
    <xf numFmtId="0" fontId="25" fillId="0" borderId="22" applyNumberFormat="0" applyFill="0"/>
    <xf numFmtId="0" fontId="25" fillId="0" borderId="22" applyNumberFormat="0" applyFill="0"/>
    <xf numFmtId="0" fontId="25" fillId="0" borderId="22" applyNumberFormat="0" applyFill="0"/>
    <xf numFmtId="0" fontId="25" fillId="0" borderId="22" applyNumberFormat="0" applyFill="0"/>
    <xf numFmtId="0" fontId="25" fillId="0" borderId="22" applyNumberFormat="0" applyFill="0"/>
    <xf numFmtId="0" fontId="59" fillId="2" borderId="0"/>
    <xf numFmtId="0" fontId="59" fillId="2" borderId="0"/>
    <xf numFmtId="0" fontId="59" fillId="2" borderId="0"/>
    <xf numFmtId="0" fontId="55" fillId="0" borderId="1" applyNumberFormat="0" applyFont="0" applyBorder="0" applyAlignment="0">
      <alignment horizontal="center"/>
    </xf>
    <xf numFmtId="0" fontId="55" fillId="0" borderId="1" applyNumberFormat="0" applyFont="0" applyBorder="0" applyAlignment="0">
      <alignment horizontal="center"/>
    </xf>
    <xf numFmtId="0" fontId="55" fillId="0" borderId="1" applyNumberFormat="0" applyFont="0" applyBorder="0" applyAlignment="0">
      <alignment horizontal="center"/>
    </xf>
    <xf numFmtId="0" fontId="55" fillId="0" borderId="1" applyNumberFormat="0" applyFont="0" applyBorder="0" applyAlignment="0">
      <alignment horizontal="center"/>
    </xf>
    <xf numFmtId="0" fontId="25" fillId="0" borderId="0"/>
    <xf numFmtId="0" fontId="60" fillId="5" borderId="0" applyNumberFormat="0" applyBorder="0" applyAlignment="0" applyProtection="0"/>
    <xf numFmtId="0" fontId="61"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0" fillId="9" borderId="0" applyNumberFormat="0" applyBorder="0" applyAlignment="0" applyProtection="0"/>
    <xf numFmtId="0" fontId="61" fillId="10" borderId="0" applyNumberFormat="0" applyBorder="0" applyAlignment="0" applyProtection="0"/>
    <xf numFmtId="0" fontId="60" fillId="11" borderId="0" applyNumberFormat="0" applyBorder="0" applyAlignment="0" applyProtection="0"/>
    <xf numFmtId="0" fontId="61"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0" fillId="15" borderId="0" applyNumberFormat="0" applyBorder="0" applyAlignment="0" applyProtection="0"/>
    <xf numFmtId="0" fontId="61" fillId="16" borderId="0" applyNumberFormat="0" applyBorder="0" applyAlignment="0" applyProtection="0"/>
    <xf numFmtId="0" fontId="61" fillId="5" borderId="0" applyNumberFormat="0" applyBorder="0" applyAlignment="0" applyProtection="0"/>
    <xf numFmtId="0" fontId="61" fillId="7" borderId="0" applyNumberFormat="0" applyBorder="0" applyAlignment="0" applyProtection="0"/>
    <xf numFmtId="0" fontId="61" fillId="9" borderId="0" applyNumberFormat="0" applyBorder="0" applyAlignment="0" applyProtection="0"/>
    <xf numFmtId="0" fontId="61" fillId="11" borderId="0" applyNumberFormat="0" applyBorder="0" applyAlignment="0" applyProtection="0"/>
    <xf numFmtId="0" fontId="61" fillId="13" borderId="0" applyNumberFormat="0" applyBorder="0" applyAlignment="0" applyProtection="0"/>
    <xf numFmtId="0" fontId="61" fillId="15" borderId="0" applyNumberFormat="0" applyBorder="0" applyAlignment="0" applyProtection="0"/>
    <xf numFmtId="0" fontId="16" fillId="0" borderId="0"/>
    <xf numFmtId="0" fontId="62" fillId="2" borderId="0"/>
    <xf numFmtId="0" fontId="52" fillId="2" borderId="0"/>
    <xf numFmtId="0" fontId="62" fillId="3" borderId="0"/>
    <xf numFmtId="0" fontId="52" fillId="2" borderId="0"/>
    <xf numFmtId="0" fontId="52" fillId="2" borderId="0"/>
    <xf numFmtId="0" fontId="25" fillId="2" borderId="0"/>
    <xf numFmtId="0" fontId="52" fillId="2" borderId="0"/>
    <xf numFmtId="0" fontId="52" fillId="2" borderId="0"/>
    <xf numFmtId="0" fontId="62" fillId="2" borderId="0"/>
    <xf numFmtId="0" fontId="52" fillId="2" borderId="0"/>
    <xf numFmtId="0" fontId="52" fillId="2" borderId="0"/>
    <xf numFmtId="0" fontId="52" fillId="2" borderId="0"/>
    <xf numFmtId="0" fontId="62" fillId="2" borderId="0"/>
    <xf numFmtId="0" fontId="62" fillId="2" borderId="0"/>
    <xf numFmtId="0" fontId="63" fillId="0" borderId="0">
      <alignment wrapText="1"/>
    </xf>
    <xf numFmtId="0" fontId="52" fillId="0" borderId="0">
      <alignment wrapText="1"/>
    </xf>
    <xf numFmtId="0" fontId="63" fillId="0" borderId="0">
      <alignment wrapText="1"/>
    </xf>
    <xf numFmtId="0" fontId="52" fillId="0" borderId="0">
      <alignment wrapText="1"/>
    </xf>
    <xf numFmtId="0" fontId="52" fillId="0" borderId="0">
      <alignment wrapText="1"/>
    </xf>
    <xf numFmtId="0" fontId="25" fillId="0" borderId="0">
      <alignment wrapText="1"/>
    </xf>
    <xf numFmtId="0" fontId="52" fillId="0" borderId="0">
      <alignment wrapText="1"/>
    </xf>
    <xf numFmtId="0" fontId="52" fillId="0" borderId="0">
      <alignment wrapText="1"/>
    </xf>
    <xf numFmtId="0" fontId="63" fillId="0" borderId="0">
      <alignment wrapText="1"/>
    </xf>
    <xf numFmtId="0" fontId="52" fillId="0" borderId="0">
      <alignment wrapText="1"/>
    </xf>
    <xf numFmtId="0" fontId="52" fillId="0" borderId="0">
      <alignment wrapText="1"/>
    </xf>
    <xf numFmtId="0" fontId="52" fillId="0" borderId="0">
      <alignment wrapText="1"/>
    </xf>
    <xf numFmtId="0" fontId="63" fillId="0" borderId="0">
      <alignment wrapText="1"/>
    </xf>
    <xf numFmtId="0" fontId="60" fillId="17" borderId="0" applyNumberFormat="0" applyBorder="0" applyAlignment="0" applyProtection="0"/>
    <xf numFmtId="0" fontId="61"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0" fillId="21" borderId="0" applyNumberFormat="0" applyBorder="0" applyAlignment="0" applyProtection="0"/>
    <xf numFmtId="0" fontId="61" fillId="22" borderId="0" applyNumberFormat="0" applyBorder="0" applyAlignment="0" applyProtection="0"/>
    <xf numFmtId="0" fontId="60" fillId="11" borderId="0" applyNumberFormat="0" applyBorder="0" applyAlignment="0" applyProtection="0"/>
    <xf numFmtId="0" fontId="61" fillId="12" borderId="0" applyNumberFormat="0" applyBorder="0" applyAlignment="0" applyProtection="0"/>
    <xf numFmtId="0" fontId="60" fillId="17" borderId="0" applyNumberFormat="0" applyBorder="0" applyAlignment="0" applyProtection="0"/>
    <xf numFmtId="0" fontId="61" fillId="18"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17" borderId="0" applyNumberFormat="0" applyBorder="0" applyAlignment="0" applyProtection="0"/>
    <xf numFmtId="0" fontId="61" fillId="19" borderId="0" applyNumberFormat="0" applyBorder="0" applyAlignment="0" applyProtection="0"/>
    <xf numFmtId="0" fontId="61" fillId="21" borderId="0" applyNumberFormat="0" applyBorder="0" applyAlignment="0" applyProtection="0"/>
    <xf numFmtId="0" fontId="61" fillId="11" borderId="0" applyNumberFormat="0" applyBorder="0" applyAlignment="0" applyProtection="0"/>
    <xf numFmtId="0" fontId="61" fillId="17" borderId="0" applyNumberFormat="0" applyBorder="0" applyAlignment="0" applyProtection="0"/>
    <xf numFmtId="0" fontId="61" fillId="23" borderId="0" applyNumberFormat="0" applyBorder="0" applyAlignment="0" applyProtection="0"/>
    <xf numFmtId="0" fontId="29" fillId="0" borderId="0"/>
    <xf numFmtId="0" fontId="29" fillId="0" borderId="0"/>
    <xf numFmtId="0" fontId="29" fillId="0" borderId="0"/>
    <xf numFmtId="0" fontId="25" fillId="0" borderId="0"/>
    <xf numFmtId="0" fontId="29" fillId="0" borderId="0"/>
    <xf numFmtId="0" fontId="64" fillId="25" borderId="0" applyNumberFormat="0" applyBorder="0" applyAlignment="0" applyProtection="0"/>
    <xf numFmtId="0" fontId="65" fillId="26"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4" fillId="21" borderId="0" applyNumberFormat="0" applyBorder="0" applyAlignment="0" applyProtection="0"/>
    <xf numFmtId="0" fontId="65" fillId="22" borderId="0" applyNumberFormat="0" applyBorder="0" applyAlignment="0" applyProtection="0"/>
    <xf numFmtId="0" fontId="64" fillId="27" borderId="0" applyNumberFormat="0" applyBorder="0" applyAlignment="0" applyProtection="0"/>
    <xf numFmtId="0" fontId="65" fillId="28" borderId="0" applyNumberFormat="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4" fillId="31" borderId="0" applyNumberFormat="0" applyBorder="0" applyAlignment="0" applyProtection="0"/>
    <xf numFmtId="0" fontId="65" fillId="32" borderId="0" applyNumberFormat="0" applyBorder="0" applyAlignment="0" applyProtection="0"/>
    <xf numFmtId="0" fontId="65" fillId="25" borderId="0" applyNumberFormat="0" applyBorder="0" applyAlignment="0" applyProtection="0"/>
    <xf numFmtId="0" fontId="65" fillId="19" borderId="0" applyNumberFormat="0" applyBorder="0" applyAlignment="0" applyProtection="0"/>
    <xf numFmtId="0" fontId="65" fillId="21" borderId="0" applyNumberFormat="0" applyBorder="0" applyAlignment="0" applyProtection="0"/>
    <xf numFmtId="0" fontId="65" fillId="27" borderId="0" applyNumberFormat="0" applyBorder="0" applyAlignment="0" applyProtection="0"/>
    <xf numFmtId="0" fontId="65" fillId="29" borderId="0" applyNumberFormat="0" applyBorder="0" applyAlignment="0" applyProtection="0"/>
    <xf numFmtId="0" fontId="65" fillId="31" borderId="0" applyNumberFormat="0" applyBorder="0" applyAlignment="0" applyProtection="0"/>
    <xf numFmtId="0" fontId="66" fillId="0" borderId="0"/>
    <xf numFmtId="0" fontId="64" fillId="33" borderId="0" applyNumberFormat="0" applyBorder="0" applyAlignment="0" applyProtection="0"/>
    <xf numFmtId="0" fontId="65" fillId="34" borderId="0" applyNumberFormat="0" applyBorder="0" applyAlignment="0" applyProtection="0"/>
    <xf numFmtId="0" fontId="64" fillId="35" borderId="0" applyNumberFormat="0" applyBorder="0" applyAlignment="0" applyProtection="0"/>
    <xf numFmtId="0" fontId="65" fillId="36" borderId="0" applyNumberFormat="0" applyBorder="0" applyAlignment="0" applyProtection="0"/>
    <xf numFmtId="0" fontId="64" fillId="37" borderId="0" applyNumberFormat="0" applyBorder="0" applyAlignment="0" applyProtection="0"/>
    <xf numFmtId="0" fontId="65" fillId="38" borderId="0" applyNumberFormat="0" applyBorder="0" applyAlignment="0" applyProtection="0"/>
    <xf numFmtId="0" fontId="64" fillId="27" borderId="0" applyNumberFormat="0" applyBorder="0" applyAlignment="0" applyProtection="0"/>
    <xf numFmtId="0" fontId="65" fillId="28" borderId="0" applyNumberFormat="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4" fillId="39" borderId="0" applyNumberFormat="0" applyBorder="0" applyAlignment="0" applyProtection="0"/>
    <xf numFmtId="0" fontId="65" fillId="40" borderId="0" applyNumberFormat="0" applyBorder="0" applyAlignment="0" applyProtection="0"/>
    <xf numFmtId="229" fontId="16" fillId="0" borderId="0" applyFont="0" applyFill="0" applyBorder="0" applyAlignment="0" applyProtection="0"/>
    <xf numFmtId="0" fontId="67" fillId="0" borderId="0" applyFont="0" applyFill="0" applyBorder="0" applyAlignment="0" applyProtection="0"/>
    <xf numFmtId="230" fontId="24" fillId="0" borderId="0" applyFont="0" applyFill="0" applyBorder="0" applyAlignment="0" applyProtection="0"/>
    <xf numFmtId="231" fontId="16" fillId="0" borderId="0" applyFont="0" applyFill="0" applyBorder="0" applyAlignment="0" applyProtection="0"/>
    <xf numFmtId="0" fontId="67" fillId="0" borderId="0" applyFont="0" applyFill="0" applyBorder="0" applyAlignment="0" applyProtection="0"/>
    <xf numFmtId="229" fontId="24" fillId="0" borderId="0" applyFont="0" applyFill="0" applyBorder="0" applyAlignment="0" applyProtection="0"/>
    <xf numFmtId="0" fontId="68" fillId="0" borderId="0">
      <alignment horizontal="center" wrapText="1"/>
      <protection locked="0"/>
    </xf>
    <xf numFmtId="0" fontId="69" fillId="0" borderId="0" applyNumberFormat="0" applyBorder="0" applyAlignment="0">
      <alignment horizontal="center"/>
    </xf>
    <xf numFmtId="215" fontId="70" fillId="0" borderId="0" applyFont="0" applyFill="0" applyBorder="0" applyAlignment="0" applyProtection="0"/>
    <xf numFmtId="0" fontId="67" fillId="0" borderId="0" applyFont="0" applyFill="0" applyBorder="0" applyAlignment="0" applyProtection="0"/>
    <xf numFmtId="215" fontId="70" fillId="0" borderId="0" applyFont="0" applyFill="0" applyBorder="0" applyAlignment="0" applyProtection="0"/>
    <xf numFmtId="198" fontId="70" fillId="0" borderId="0" applyFont="0" applyFill="0" applyBorder="0" applyAlignment="0" applyProtection="0"/>
    <xf numFmtId="0" fontId="67" fillId="0" borderId="0" applyFont="0" applyFill="0" applyBorder="0" applyAlignment="0" applyProtection="0"/>
    <xf numFmtId="198" fontId="70" fillId="0" borderId="0" applyFont="0" applyFill="0" applyBorder="0" applyAlignment="0" applyProtection="0"/>
    <xf numFmtId="184" fontId="2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71" fillId="7" borderId="0" applyNumberFormat="0" applyBorder="0" applyAlignment="0" applyProtection="0"/>
    <xf numFmtId="0" fontId="72" fillId="8" borderId="0" applyNumberFormat="0" applyBorder="0" applyAlignment="0" applyProtection="0"/>
    <xf numFmtId="0" fontId="73" fillId="0" borderId="0" applyNumberFormat="0" applyFill="0" applyBorder="0" applyAlignment="0" applyProtection="0"/>
    <xf numFmtId="0" fontId="67" fillId="0" borderId="0"/>
    <xf numFmtId="0" fontId="44" fillId="0" borderId="0"/>
    <xf numFmtId="0" fontId="17" fillId="0" borderId="0"/>
    <xf numFmtId="0" fontId="67" fillId="0" borderId="0"/>
    <xf numFmtId="0" fontId="74" fillId="0" borderId="0"/>
    <xf numFmtId="0" fontId="75" fillId="0" borderId="0"/>
    <xf numFmtId="0" fontId="76" fillId="0" borderId="0"/>
    <xf numFmtId="0" fontId="16" fillId="0" borderId="0" applyFill="0" applyBorder="0" applyAlignment="0"/>
    <xf numFmtId="232" fontId="77" fillId="0" borderId="0" applyFill="0" applyBorder="0" applyAlignment="0"/>
    <xf numFmtId="233" fontId="77" fillId="0" borderId="0" applyFill="0" applyBorder="0" applyAlignment="0"/>
    <xf numFmtId="234" fontId="77" fillId="0" borderId="0" applyFill="0" applyBorder="0" applyAlignment="0"/>
    <xf numFmtId="235" fontId="16" fillId="0" borderId="0" applyFill="0" applyBorder="0" applyAlignment="0"/>
    <xf numFmtId="185" fontId="77" fillId="0" borderId="0" applyFill="0" applyBorder="0" applyAlignment="0"/>
    <xf numFmtId="236" fontId="77" fillId="0" borderId="0" applyFill="0" applyBorder="0" applyAlignment="0"/>
    <xf numFmtId="232" fontId="77" fillId="0" borderId="0" applyFill="0" applyBorder="0" applyAlignment="0"/>
    <xf numFmtId="0" fontId="78" fillId="41" borderId="25" applyNumberFormat="0" applyAlignment="0" applyProtection="0"/>
    <xf numFmtId="0" fontId="78" fillId="41" borderId="25" applyNumberFormat="0" applyAlignment="0" applyProtection="0"/>
    <xf numFmtId="0" fontId="79" fillId="3" borderId="25" applyNumberFormat="0" applyAlignment="0" applyProtection="0"/>
    <xf numFmtId="0" fontId="80" fillId="0" borderId="0"/>
    <xf numFmtId="237" fontId="39" fillId="0" borderId="0" applyFont="0" applyFill="0" applyBorder="0" applyAlignment="0" applyProtection="0"/>
    <xf numFmtId="0" fontId="81" fillId="42" borderId="26" applyNumberFormat="0" applyAlignment="0" applyProtection="0"/>
    <xf numFmtId="0" fontId="82" fillId="43" borderId="26" applyNumberFormat="0" applyAlignment="0" applyProtection="0"/>
    <xf numFmtId="173" fontId="30" fillId="0" borderId="0" applyFont="0" applyFill="0" applyBorder="0" applyAlignment="0" applyProtection="0"/>
    <xf numFmtId="4" fontId="83" fillId="0" borderId="0" applyAlignment="0"/>
    <xf numFmtId="1" fontId="84" fillId="0" borderId="5" applyBorder="0"/>
    <xf numFmtId="1" fontId="84" fillId="0" borderId="5" applyBorder="0"/>
    <xf numFmtId="1" fontId="84" fillId="0" borderId="5" applyBorder="0"/>
    <xf numFmtId="1" fontId="84" fillId="0" borderId="5" applyBorder="0"/>
    <xf numFmtId="197" fontId="85" fillId="0" borderId="0" applyFont="0" applyFill="0" applyBorder="0" applyAlignment="0" applyProtection="0"/>
    <xf numFmtId="238" fontId="86" fillId="0" borderId="0"/>
    <xf numFmtId="238" fontId="86" fillId="0" borderId="0"/>
    <xf numFmtId="238" fontId="86" fillId="0" borderId="0"/>
    <xf numFmtId="238" fontId="86" fillId="0" borderId="0"/>
    <xf numFmtId="238" fontId="86" fillId="0" borderId="0"/>
    <xf numFmtId="238" fontId="86" fillId="0" borderId="0"/>
    <xf numFmtId="238" fontId="86" fillId="0" borderId="0"/>
    <xf numFmtId="238" fontId="86" fillId="0" borderId="0"/>
    <xf numFmtId="239" fontId="28" fillId="0" borderId="0" applyFill="0" applyBorder="0" applyAlignment="0" applyProtection="0"/>
    <xf numFmtId="168" fontId="61" fillId="0" borderId="0" applyFont="0" applyFill="0" applyBorder="0" applyAlignment="0" applyProtection="0"/>
    <xf numFmtId="239" fontId="28" fillId="0" borderId="0" applyFill="0" applyBorder="0" applyAlignment="0" applyProtection="0"/>
    <xf numFmtId="239" fontId="28" fillId="0" borderId="0" applyFill="0" applyBorder="0" applyAlignment="0" applyProtection="0"/>
    <xf numFmtId="41" fontId="30" fillId="0" borderId="0" applyFont="0" applyFill="0" applyBorder="0" applyAlignment="0" applyProtection="0"/>
    <xf numFmtId="168" fontId="61" fillId="0" borderId="0" applyFont="0" applyFill="0" applyBorder="0" applyAlignment="0" applyProtection="0"/>
    <xf numFmtId="185" fontId="77" fillId="0" borderId="0" applyFont="0" applyFill="0" applyBorder="0" applyAlignment="0" applyProtection="0"/>
    <xf numFmtId="170" fontId="16" fillId="0" borderId="0" applyFont="0" applyFill="0" applyBorder="0" applyAlignment="0" applyProtection="0"/>
    <xf numFmtId="170" fontId="61" fillId="0" borderId="0" applyFont="0" applyFill="0" applyBorder="0" applyAlignment="0" applyProtection="0"/>
    <xf numFmtId="172" fontId="16" fillId="0" borderId="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87" fillId="0" borderId="0" applyFont="0" applyFill="0" applyBorder="0" applyAlignment="0" applyProtection="0"/>
    <xf numFmtId="170" fontId="61"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61"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43" fontId="88" fillId="0" borderId="0" applyFont="0" applyFill="0" applyBorder="0" applyAlignment="0" applyProtection="0"/>
    <xf numFmtId="170" fontId="89" fillId="0" borderId="0" applyFont="0" applyFill="0" applyBorder="0" applyAlignment="0" applyProtection="0"/>
    <xf numFmtId="0" fontId="61" fillId="0" borderId="0" applyFont="0" applyFill="0" applyBorder="0" applyAlignment="0" applyProtection="0"/>
    <xf numFmtId="172" fontId="16" fillId="0" borderId="0" applyFill="0" applyBorder="0" applyAlignment="0" applyProtection="0"/>
    <xf numFmtId="170" fontId="90" fillId="0" borderId="0" applyFont="0" applyFill="0" applyBorder="0" applyAlignment="0" applyProtection="0"/>
    <xf numFmtId="172" fontId="16" fillId="0" borderId="0" applyFill="0" applyBorder="0" applyAlignment="0" applyProtection="0"/>
    <xf numFmtId="179" fontId="16" fillId="0" borderId="0" applyFont="0" applyFill="0" applyBorder="0" applyAlignment="0" applyProtection="0"/>
    <xf numFmtId="170" fontId="16" fillId="0" borderId="0" applyFont="0" applyFill="0" applyBorder="0" applyAlignment="0" applyProtection="0"/>
    <xf numFmtId="199" fontId="16" fillId="0" borderId="0" applyFont="0" applyFill="0" applyBorder="0" applyAlignment="0" applyProtection="0"/>
    <xf numFmtId="170" fontId="15" fillId="0" borderId="0" applyFont="0" applyFill="0" applyBorder="0" applyAlignment="0" applyProtection="0"/>
    <xf numFmtId="170" fontId="16" fillId="0" borderId="0" applyFont="0" applyFill="0" applyBorder="0" applyAlignment="0" applyProtection="0"/>
    <xf numFmtId="170" fontId="1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3" fontId="91" fillId="0" borderId="0" applyFont="0" applyFill="0" applyBorder="0" applyAlignment="0" applyProtection="0"/>
    <xf numFmtId="170" fontId="15" fillId="0" borderId="0" applyFont="0" applyFill="0" applyBorder="0" applyAlignment="0" applyProtection="0"/>
    <xf numFmtId="43" fontId="91" fillId="0" borderId="0" applyFont="0" applyFill="0" applyBorder="0" applyAlignment="0" applyProtection="0"/>
    <xf numFmtId="170" fontId="16"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72" fontId="16" fillId="0" borderId="0" applyFill="0" applyBorder="0" applyAlignment="0" applyProtection="0"/>
    <xf numFmtId="170" fontId="16" fillId="0" borderId="0" applyFont="0" applyFill="0" applyBorder="0" applyAlignment="0" applyProtection="0"/>
    <xf numFmtId="172" fontId="25" fillId="0" borderId="0" applyFill="0" applyBorder="0" applyAlignment="0" applyProtection="0"/>
    <xf numFmtId="172" fontId="16" fillId="0" borderId="0" applyFill="0" applyBorder="0" applyAlignment="0" applyProtection="0"/>
    <xf numFmtId="43" fontId="89" fillId="0" borderId="0" applyFont="0" applyFill="0" applyBorder="0" applyAlignment="0" applyProtection="0"/>
    <xf numFmtId="170" fontId="16" fillId="0" borderId="0" applyFont="0" applyFill="0" applyBorder="0" applyAlignment="0" applyProtection="0"/>
    <xf numFmtId="172" fontId="16" fillId="0" borderId="0" applyFill="0" applyBorder="0" applyAlignment="0" applyProtection="0"/>
    <xf numFmtId="172" fontId="16" fillId="0" borderId="0" applyFill="0" applyBorder="0" applyAlignment="0" applyProtection="0"/>
    <xf numFmtId="43" fontId="15" fillId="0" borderId="0" applyFont="0" applyFill="0" applyBorder="0" applyAlignment="0" applyProtection="0"/>
    <xf numFmtId="170" fontId="16" fillId="0" borderId="0" applyFont="0" applyFill="0" applyBorder="0" applyAlignment="0" applyProtection="0"/>
    <xf numFmtId="43" fontId="89" fillId="0" borderId="0" applyFont="0" applyFill="0" applyBorder="0" applyAlignment="0" applyProtection="0"/>
    <xf numFmtId="0" fontId="61" fillId="0" borderId="0" applyFont="0" applyFill="0" applyBorder="0" applyAlignment="0" applyProtection="0"/>
    <xf numFmtId="240" fontId="89" fillId="0" borderId="0" applyFont="0" applyFill="0" applyBorder="0" applyAlignment="0" applyProtection="0"/>
    <xf numFmtId="170" fontId="16" fillId="0" borderId="0" applyFont="0" applyFill="0" applyBorder="0" applyAlignment="0" applyProtection="0"/>
    <xf numFmtId="43" fontId="30" fillId="0" borderId="0" applyFont="0" applyFill="0" applyBorder="0" applyAlignment="0" applyProtection="0"/>
    <xf numFmtId="170" fontId="61" fillId="0" borderId="0" applyFont="0" applyFill="0" applyBorder="0" applyAlignment="0" applyProtection="0"/>
    <xf numFmtId="170" fontId="16" fillId="0" borderId="0" applyFont="0" applyFill="0" applyBorder="0" applyAlignment="0" applyProtection="0"/>
    <xf numFmtId="43" fontId="61"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41" fontId="17" fillId="0" borderId="0"/>
    <xf numFmtId="3" fontId="16" fillId="0" borderId="0" applyFill="0" applyBorder="0" applyAlignment="0" applyProtection="0"/>
    <xf numFmtId="0" fontId="92" fillId="0" borderId="0"/>
    <xf numFmtId="0" fontId="77" fillId="0" borderId="0"/>
    <xf numFmtId="3" fontId="16" fillId="0" borderId="0" applyFont="0" applyFill="0" applyBorder="0" applyAlignment="0" applyProtection="0"/>
    <xf numFmtId="3" fontId="16" fillId="0" borderId="0" applyFill="0" applyBorder="0" applyAlignment="0" applyProtection="0"/>
    <xf numFmtId="3" fontId="16" fillId="0" borderId="0" applyFill="0" applyBorder="0" applyAlignment="0" applyProtection="0"/>
    <xf numFmtId="3" fontId="16" fillId="0" borderId="0" applyFont="0" applyFill="0" applyBorder="0" applyAlignment="0" applyProtection="0"/>
    <xf numFmtId="0" fontId="92" fillId="0" borderId="0"/>
    <xf numFmtId="0" fontId="77" fillId="0" borderId="0"/>
    <xf numFmtId="0" fontId="93" fillId="0" borderId="0">
      <alignment horizontal="center"/>
    </xf>
    <xf numFmtId="0" fontId="94" fillId="0" borderId="0" applyNumberFormat="0" applyAlignment="0">
      <alignment horizontal="left"/>
    </xf>
    <xf numFmtId="242" fontId="44" fillId="0" borderId="0" applyFont="0" applyFill="0" applyBorder="0" applyAlignment="0" applyProtection="0"/>
    <xf numFmtId="232" fontId="7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43" fontId="16" fillId="0" borderId="0" applyFill="0" applyBorder="0" applyAlignment="0" applyProtection="0"/>
    <xf numFmtId="244" fontId="16" fillId="0" borderId="0" applyFont="0" applyFill="0" applyBorder="0" applyAlignment="0" applyProtection="0"/>
    <xf numFmtId="244" fontId="16" fillId="0" borderId="0" applyFont="0" applyFill="0" applyBorder="0" applyAlignment="0" applyProtection="0"/>
    <xf numFmtId="244" fontId="16" fillId="0" borderId="0" applyFont="0" applyFill="0" applyBorder="0" applyAlignment="0" applyProtection="0"/>
    <xf numFmtId="244" fontId="16" fillId="0" borderId="0" applyFont="0" applyFill="0" applyBorder="0" applyAlignment="0" applyProtection="0"/>
    <xf numFmtId="245" fontId="16" fillId="0" borderId="0" applyFont="0" applyFill="0" applyBorder="0" applyAlignment="0" applyProtection="0"/>
    <xf numFmtId="245" fontId="16" fillId="0" borderId="0" applyFont="0" applyFill="0" applyBorder="0" applyAlignment="0" applyProtection="0"/>
    <xf numFmtId="245" fontId="16" fillId="0" borderId="0" applyFont="0" applyFill="0" applyBorder="0" applyAlignment="0" applyProtection="0"/>
    <xf numFmtId="243" fontId="16" fillId="0" borderId="0" applyFill="0" applyBorder="0" applyAlignment="0" applyProtection="0"/>
    <xf numFmtId="243" fontId="16" fillId="0" borderId="0" applyFill="0" applyBorder="0" applyAlignment="0" applyProtection="0"/>
    <xf numFmtId="244" fontId="16" fillId="0" borderId="0" applyFont="0" applyFill="0" applyBorder="0" applyAlignment="0" applyProtection="0"/>
    <xf numFmtId="246" fontId="16" fillId="0" borderId="0"/>
    <xf numFmtId="247" fontId="25" fillId="0" borderId="27"/>
    <xf numFmtId="0" fontId="16" fillId="0" borderId="0" applyFill="0" applyBorder="0" applyAlignment="0" applyProtection="0"/>
    <xf numFmtId="0" fontId="16" fillId="0" borderId="0" applyFont="0" applyFill="0" applyBorder="0" applyAlignment="0" applyProtection="0"/>
    <xf numFmtId="0" fontId="16" fillId="0" borderId="0" applyFill="0" applyBorder="0" applyAlignment="0" applyProtection="0"/>
    <xf numFmtId="14" fontId="41" fillId="0" borderId="0" applyFill="0" applyBorder="0" applyAlignment="0"/>
    <xf numFmtId="0" fontId="16" fillId="0" borderId="0" applyFont="0" applyFill="0" applyBorder="0" applyAlignment="0" applyProtection="0"/>
    <xf numFmtId="0" fontId="95" fillId="41" borderId="28" applyNumberFormat="0" applyAlignment="0" applyProtection="0"/>
    <xf numFmtId="0" fontId="95" fillId="41" borderId="28" applyNumberFormat="0" applyAlignment="0" applyProtection="0"/>
    <xf numFmtId="0" fontId="96" fillId="15" borderId="25" applyNumberFormat="0" applyAlignment="0" applyProtection="0"/>
    <xf numFmtId="0" fontId="96" fillId="15" borderId="25" applyNumberFormat="0" applyAlignment="0" applyProtection="0"/>
    <xf numFmtId="3" fontId="97" fillId="0" borderId="4">
      <alignment horizontal="left" vertical="top" wrapText="1"/>
    </xf>
    <xf numFmtId="0" fontId="98" fillId="0" borderId="29" applyNumberFormat="0" applyFill="0" applyAlignment="0" applyProtection="0"/>
    <xf numFmtId="0" fontId="99" fillId="0" borderId="30" applyNumberFormat="0" applyFill="0" applyAlignment="0" applyProtection="0"/>
    <xf numFmtId="0" fontId="100" fillId="0" borderId="31" applyNumberFormat="0" applyFill="0" applyAlignment="0" applyProtection="0"/>
    <xf numFmtId="0" fontId="100" fillId="0" borderId="0" applyNumberFormat="0" applyFill="0" applyBorder="0" applyAlignment="0" applyProtection="0"/>
    <xf numFmtId="248" fontId="28" fillId="0" borderId="0" applyFill="0" applyBorder="0" applyProtection="0">
      <alignment vertical="center"/>
    </xf>
    <xf numFmtId="249" fontId="25" fillId="0" borderId="0" applyFont="0" applyFill="0" applyBorder="0" applyProtection="0">
      <alignment vertical="center"/>
    </xf>
    <xf numFmtId="249" fontId="25" fillId="0" borderId="0" applyFont="0" applyFill="0" applyBorder="0" applyProtection="0">
      <alignment vertical="center"/>
    </xf>
    <xf numFmtId="249" fontId="25" fillId="0" borderId="0" applyFont="0" applyFill="0" applyBorder="0" applyProtection="0">
      <alignment vertical="center"/>
    </xf>
    <xf numFmtId="250" fontId="16" fillId="0" borderId="32">
      <alignment vertical="center"/>
    </xf>
    <xf numFmtId="0" fontId="16" fillId="0" borderId="0" applyFont="0" applyFill="0" applyBorder="0" applyAlignment="0" applyProtection="0"/>
    <xf numFmtId="0" fontId="16" fillId="0" borderId="0" applyFont="0" applyFill="0" applyBorder="0" applyAlignment="0" applyProtection="0"/>
    <xf numFmtId="251" fontId="25" fillId="0" borderId="0"/>
    <xf numFmtId="252" fontId="29" fillId="0" borderId="1"/>
    <xf numFmtId="252" fontId="29" fillId="0" borderId="1"/>
    <xf numFmtId="0" fontId="101" fillId="0" borderId="0">
      <protection locked="0"/>
    </xf>
    <xf numFmtId="253" fontId="16" fillId="0" borderId="0"/>
    <xf numFmtId="254" fontId="29" fillId="0" borderId="0"/>
    <xf numFmtId="0" fontId="85" fillId="0" borderId="0">
      <alignment vertical="top" wrapText="1"/>
    </xf>
    <xf numFmtId="0" fontId="85" fillId="0" borderId="0">
      <alignment vertical="top" wrapText="1"/>
    </xf>
    <xf numFmtId="164" fontId="102" fillId="0" borderId="0" applyFont="0" applyFill="0" applyBorder="0" applyAlignment="0" applyProtection="0"/>
    <xf numFmtId="165" fontId="102" fillId="0" borderId="0" applyFont="0" applyFill="0" applyBorder="0" applyAlignment="0" applyProtection="0"/>
    <xf numFmtId="164" fontId="102" fillId="0" borderId="0" applyFont="0" applyFill="0" applyBorder="0" applyAlignment="0" applyProtection="0"/>
    <xf numFmtId="41" fontId="102" fillId="0" borderId="0" applyFont="0" applyFill="0" applyBorder="0" applyAlignment="0" applyProtection="0"/>
    <xf numFmtId="255" fontId="16" fillId="0" borderId="0" applyFont="0" applyFill="0" applyBorder="0" applyAlignment="0" applyProtection="0"/>
    <xf numFmtId="255" fontId="16" fillId="0" borderId="0" applyFont="0" applyFill="0" applyBorder="0" applyAlignment="0" applyProtection="0"/>
    <xf numFmtId="255" fontId="16" fillId="0" borderId="0" applyFont="0" applyFill="0" applyBorder="0" applyAlignment="0" applyProtection="0"/>
    <xf numFmtId="255" fontId="16"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255" fontId="16" fillId="0" borderId="0" applyFont="0" applyFill="0" applyBorder="0" applyAlignment="0" applyProtection="0"/>
    <xf numFmtId="255" fontId="16" fillId="0" borderId="0" applyFont="0" applyFill="0" applyBorder="0" applyAlignment="0" applyProtection="0"/>
    <xf numFmtId="256" fontId="25" fillId="0" borderId="0" applyFont="0" applyFill="0" applyBorder="0" applyAlignment="0" applyProtection="0"/>
    <xf numFmtId="256" fontId="25" fillId="0" borderId="0" applyFont="0" applyFill="0" applyBorder="0" applyAlignment="0" applyProtection="0"/>
    <xf numFmtId="257" fontId="25" fillId="0" borderId="0" applyFont="0" applyFill="0" applyBorder="0" applyAlignment="0" applyProtection="0"/>
    <xf numFmtId="257" fontId="25"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164" fontId="102" fillId="0" borderId="0" applyFont="0" applyFill="0" applyBorder="0" applyAlignment="0" applyProtection="0"/>
    <xf numFmtId="41" fontId="102" fillId="0" borderId="0" applyFont="0" applyFill="0" applyBorder="0" applyAlignment="0" applyProtection="0"/>
    <xf numFmtId="164"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165" fontId="102" fillId="0" borderId="0" applyFont="0" applyFill="0" applyBorder="0" applyAlignment="0" applyProtection="0"/>
    <xf numFmtId="43" fontId="102" fillId="0" borderId="0" applyFont="0" applyFill="0" applyBorder="0" applyAlignment="0" applyProtection="0"/>
    <xf numFmtId="258" fontId="16" fillId="0" borderId="0" applyFont="0" applyFill="0" applyBorder="0" applyAlignment="0" applyProtection="0"/>
    <xf numFmtId="258" fontId="16" fillId="0" borderId="0" applyFont="0" applyFill="0" applyBorder="0" applyAlignment="0" applyProtection="0"/>
    <xf numFmtId="258" fontId="16" fillId="0" borderId="0" applyFont="0" applyFill="0" applyBorder="0" applyAlignment="0" applyProtection="0"/>
    <xf numFmtId="258" fontId="16" fillId="0" borderId="0" applyFont="0" applyFill="0" applyBorder="0" applyAlignment="0" applyProtection="0"/>
    <xf numFmtId="165" fontId="102" fillId="0" borderId="0" applyFont="0" applyFill="0" applyBorder="0" applyAlignment="0" applyProtection="0"/>
    <xf numFmtId="165" fontId="102" fillId="0" borderId="0" applyFont="0" applyFill="0" applyBorder="0" applyAlignment="0" applyProtection="0"/>
    <xf numFmtId="258" fontId="16" fillId="0" borderId="0" applyFont="0" applyFill="0" applyBorder="0" applyAlignment="0" applyProtection="0"/>
    <xf numFmtId="258" fontId="16" fillId="0" borderId="0" applyFont="0" applyFill="0" applyBorder="0" applyAlignment="0" applyProtection="0"/>
    <xf numFmtId="259" fontId="25" fillId="0" borderId="0" applyFont="0" applyFill="0" applyBorder="0" applyAlignment="0" applyProtection="0"/>
    <xf numFmtId="259" fontId="25" fillId="0" borderId="0" applyFont="0" applyFill="0" applyBorder="0" applyAlignment="0" applyProtection="0"/>
    <xf numFmtId="260" fontId="25" fillId="0" borderId="0" applyFont="0" applyFill="0" applyBorder="0" applyAlignment="0" applyProtection="0"/>
    <xf numFmtId="260" fontId="25"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165" fontId="102" fillId="0" borderId="0" applyFont="0" applyFill="0" applyBorder="0" applyAlignment="0" applyProtection="0"/>
    <xf numFmtId="43" fontId="102" fillId="0" borderId="0" applyFont="0" applyFill="0" applyBorder="0" applyAlignment="0" applyProtection="0"/>
    <xf numFmtId="165"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3" fontId="25" fillId="0" borderId="0" applyFont="0" applyBorder="0" applyAlignment="0"/>
    <xf numFmtId="0" fontId="103" fillId="0" borderId="0">
      <protection locked="0"/>
    </xf>
    <xf numFmtId="0" fontId="103" fillId="0" borderId="0">
      <protection locked="0"/>
    </xf>
    <xf numFmtId="185" fontId="77" fillId="0" borderId="0" applyFill="0" applyBorder="0" applyAlignment="0"/>
    <xf numFmtId="232" fontId="77" fillId="0" borderId="0" applyFill="0" applyBorder="0" applyAlignment="0"/>
    <xf numFmtId="185" fontId="77" fillId="0" borderId="0" applyFill="0" applyBorder="0" applyAlignment="0"/>
    <xf numFmtId="236" fontId="77" fillId="0" borderId="0" applyFill="0" applyBorder="0" applyAlignment="0"/>
    <xf numFmtId="232" fontId="77" fillId="0" borderId="0" applyFill="0" applyBorder="0" applyAlignment="0"/>
    <xf numFmtId="0" fontId="104" fillId="0" borderId="0" applyNumberFormat="0" applyAlignment="0">
      <alignment horizontal="left"/>
    </xf>
    <xf numFmtId="175" fontId="105" fillId="0" borderId="0">
      <protection locked="0"/>
    </xf>
    <xf numFmtId="175" fontId="105" fillId="0" borderId="0">
      <protection locked="0"/>
    </xf>
    <xf numFmtId="175" fontId="105" fillId="0" borderId="0">
      <protection locked="0"/>
    </xf>
    <xf numFmtId="175" fontId="105" fillId="0" borderId="0">
      <protection locked="0"/>
    </xf>
    <xf numFmtId="261" fontId="16"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3" fontId="25" fillId="0" borderId="0" applyFont="0" applyBorder="0" applyAlignment="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4" fontId="101" fillId="0" borderId="0">
      <protection locked="0"/>
    </xf>
    <xf numFmtId="0" fontId="101" fillId="0" borderId="0">
      <protection locked="0"/>
    </xf>
    <xf numFmtId="262" fontId="25" fillId="0" borderId="0">
      <protection locked="0"/>
    </xf>
    <xf numFmtId="2" fontId="16" fillId="0" borderId="0" applyFill="0" applyBorder="0" applyAlignment="0" applyProtection="0"/>
    <xf numFmtId="2" fontId="16" fillId="0" borderId="0" applyFont="0" applyFill="0" applyBorder="0" applyAlignment="0" applyProtection="0"/>
    <xf numFmtId="2" fontId="16" fillId="0" borderId="0" applyFill="0" applyBorder="0" applyAlignment="0" applyProtection="0"/>
    <xf numFmtId="0" fontId="108" fillId="0" borderId="0" applyNumberFormat="0" applyFill="0" applyBorder="0" applyAlignment="0" applyProtection="0"/>
    <xf numFmtId="0" fontId="109" fillId="0" borderId="0" applyNumberFormat="0" applyFill="0" applyBorder="0" applyProtection="0">
      <alignment vertical="center"/>
    </xf>
    <xf numFmtId="0" fontId="110" fillId="0" borderId="0" applyNumberFormat="0" applyFill="0" applyBorder="0" applyAlignment="0" applyProtection="0"/>
    <xf numFmtId="0" fontId="111" fillId="0" borderId="0" applyNumberFormat="0" applyFill="0" applyBorder="0" applyProtection="0">
      <alignment vertical="center"/>
    </xf>
    <xf numFmtId="0" fontId="112" fillId="0" borderId="0" applyNumberFormat="0" applyFill="0" applyBorder="0" applyAlignment="0" applyProtection="0"/>
    <xf numFmtId="0" fontId="113" fillId="0" borderId="0" applyNumberFormat="0" applyFill="0" applyBorder="0" applyAlignment="0" applyProtection="0"/>
    <xf numFmtId="263" fontId="27" fillId="0" borderId="33" applyNumberFormat="0" applyFill="0" applyBorder="0" applyAlignment="0" applyProtection="0"/>
    <xf numFmtId="263" fontId="27" fillId="0" borderId="33" applyNumberFormat="0" applyFill="0" applyBorder="0" applyAlignment="0" applyProtection="0"/>
    <xf numFmtId="0" fontId="114" fillId="0" borderId="0" applyNumberFormat="0" applyFill="0" applyBorder="0" applyAlignment="0" applyProtection="0"/>
    <xf numFmtId="0" fontId="115" fillId="44" borderId="34" applyNumberFormat="0" applyAlignment="0">
      <protection locked="0"/>
    </xf>
    <xf numFmtId="0" fontId="115" fillId="44" borderId="34" applyNumberFormat="0" applyAlignment="0">
      <protection locked="0"/>
    </xf>
    <xf numFmtId="0" fontId="115" fillId="44" borderId="34" applyNumberFormat="0" applyAlignment="0">
      <protection locked="0"/>
    </xf>
    <xf numFmtId="0" fontId="16" fillId="45" borderId="35" applyNumberFormat="0" applyFont="0" applyAlignment="0" applyProtection="0"/>
    <xf numFmtId="0" fontId="16" fillId="45" borderId="35" applyNumberFormat="0" applyFont="0" applyAlignment="0" applyProtection="0"/>
    <xf numFmtId="0" fontId="116" fillId="0" borderId="0">
      <alignment vertical="top" wrapText="1"/>
    </xf>
    <xf numFmtId="0" fontId="117" fillId="9" borderId="0" applyNumberFormat="0" applyBorder="0" applyAlignment="0" applyProtection="0"/>
    <xf numFmtId="0" fontId="118" fillId="10" borderId="0" applyNumberFormat="0" applyBorder="0" applyAlignment="0" applyProtection="0"/>
    <xf numFmtId="38" fontId="8" fillId="46" borderId="0" applyNumberFormat="0" applyBorder="0" applyAlignment="0" applyProtection="0"/>
    <xf numFmtId="264" fontId="119" fillId="2" borderId="0" applyBorder="0" applyProtection="0"/>
    <xf numFmtId="0" fontId="120" fillId="0" borderId="18" applyNumberFormat="0" applyFill="0" applyBorder="0" applyAlignment="0" applyProtection="0">
      <alignment horizontal="center" vertical="center"/>
    </xf>
    <xf numFmtId="0" fontId="121" fillId="0" borderId="0" applyNumberFormat="0" applyFont="0" applyBorder="0" applyAlignment="0">
      <alignment horizontal="left" vertical="center"/>
    </xf>
    <xf numFmtId="265" fontId="122" fillId="0" borderId="36" applyFont="0" applyFill="0" applyBorder="0" applyAlignment="0" applyProtection="0">
      <alignment horizontal="right"/>
    </xf>
    <xf numFmtId="0" fontId="123" fillId="47" borderId="0"/>
    <xf numFmtId="0" fontId="124" fillId="0" borderId="0">
      <alignment horizontal="left"/>
    </xf>
    <xf numFmtId="0" fontId="125" fillId="0" borderId="37" applyNumberFormat="0" applyAlignment="0" applyProtection="0">
      <alignment horizontal="left" vertical="center"/>
    </xf>
    <xf numFmtId="0" fontId="125" fillId="0" borderId="15">
      <alignment horizontal="left" vertical="center"/>
    </xf>
    <xf numFmtId="0" fontId="125" fillId="0" borderId="15">
      <alignment horizontal="left" vertical="center"/>
    </xf>
    <xf numFmtId="0" fontId="126" fillId="0" borderId="0" applyNumberFormat="0" applyFill="0" applyBorder="0" applyAlignment="0" applyProtection="0"/>
    <xf numFmtId="0" fontId="98" fillId="0" borderId="29" applyNumberFormat="0" applyFill="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99" fillId="0" borderId="30" applyNumberFormat="0" applyFill="0" applyAlignment="0" applyProtection="0"/>
    <xf numFmtId="0" fontId="125" fillId="0" borderId="0" applyNumberFormat="0" applyFill="0" applyBorder="0" applyAlignment="0" applyProtection="0"/>
    <xf numFmtId="0" fontId="127" fillId="0" borderId="31" applyNumberFormat="0" applyFill="0" applyAlignment="0" applyProtection="0"/>
    <xf numFmtId="0" fontId="100" fillId="0" borderId="31" applyNumberFormat="0" applyFill="0" applyAlignment="0" applyProtection="0"/>
    <xf numFmtId="0" fontId="127" fillId="0" borderId="0" applyNumberFormat="0" applyFill="0" applyBorder="0" applyAlignment="0" applyProtection="0"/>
    <xf numFmtId="0" fontId="100" fillId="0" borderId="0" applyNumberFormat="0" applyFill="0" applyBorder="0" applyAlignment="0" applyProtection="0"/>
    <xf numFmtId="266" fontId="24" fillId="0" borderId="0">
      <protection locked="0"/>
    </xf>
    <xf numFmtId="266" fontId="24" fillId="0" borderId="0">
      <protection locked="0"/>
    </xf>
    <xf numFmtId="0" fontId="128" fillId="0" borderId="38">
      <alignment horizontal="center"/>
    </xf>
    <xf numFmtId="0" fontId="128" fillId="0" borderId="0">
      <alignment horizontal="center"/>
    </xf>
    <xf numFmtId="222" fontId="129" fillId="48" borderId="1" applyNumberFormat="0" applyAlignment="0">
      <alignment horizontal="left" vertical="top"/>
    </xf>
    <xf numFmtId="222" fontId="129" fillId="48" borderId="1" applyNumberFormat="0" applyAlignment="0">
      <alignment horizontal="left" vertical="top"/>
    </xf>
    <xf numFmtId="0" fontId="130" fillId="0" borderId="0"/>
    <xf numFmtId="49" fontId="131" fillId="0" borderId="1">
      <alignment vertical="center"/>
    </xf>
    <xf numFmtId="49" fontId="131" fillId="0" borderId="1">
      <alignment vertical="center"/>
    </xf>
    <xf numFmtId="0" fontId="17" fillId="0" borderId="0"/>
    <xf numFmtId="164" fontId="25" fillId="0" borderId="0" applyFont="0" applyFill="0" applyBorder="0" applyAlignment="0" applyProtection="0"/>
    <xf numFmtId="38" fontId="40" fillId="0" borderId="0" applyFont="0" applyFill="0" applyBorder="0" applyAlignment="0" applyProtection="0"/>
    <xf numFmtId="216" fontId="39" fillId="0" borderId="0" applyFont="0" applyFill="0" applyBorder="0" applyAlignment="0" applyProtection="0"/>
    <xf numFmtId="267" fontId="132" fillId="0" borderId="0" applyFont="0" applyFill="0" applyBorder="0" applyAlignment="0" applyProtection="0"/>
    <xf numFmtId="10" fontId="8" fillId="46" borderId="1" applyNumberFormat="0" applyBorder="0" applyAlignment="0" applyProtection="0"/>
    <xf numFmtId="10" fontId="8" fillId="46" borderId="1" applyNumberFormat="0" applyBorder="0" applyAlignment="0" applyProtection="0"/>
    <xf numFmtId="0" fontId="133" fillId="15" borderId="25" applyNumberFormat="0" applyAlignment="0" applyProtection="0"/>
    <xf numFmtId="0" fontId="133" fillId="15" borderId="25" applyNumberFormat="0" applyAlignment="0" applyProtection="0"/>
    <xf numFmtId="0" fontId="96" fillId="16" borderId="25" applyNumberFormat="0" applyAlignment="0" applyProtection="0"/>
    <xf numFmtId="0" fontId="96" fillId="16" borderId="25" applyNumberFormat="0" applyAlignment="0" applyProtection="0"/>
    <xf numFmtId="0" fontId="96" fillId="16" borderId="25" applyNumberFormat="0" applyAlignment="0" applyProtection="0"/>
    <xf numFmtId="0" fontId="96" fillId="16" borderId="25" applyNumberFormat="0" applyAlignment="0" applyProtection="0"/>
    <xf numFmtId="0" fontId="96" fillId="16" borderId="25" applyNumberFormat="0" applyAlignment="0" applyProtection="0"/>
    <xf numFmtId="2" fontId="43" fillId="0" borderId="14" applyBorder="0"/>
    <xf numFmtId="2" fontId="43" fillId="0" borderId="14" applyBorder="0"/>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164" fontId="25" fillId="0" borderId="0" applyFont="0" applyFill="0" applyBorder="0" applyAlignment="0" applyProtection="0"/>
    <xf numFmtId="0" fontId="25" fillId="0" borderId="0"/>
    <xf numFmtId="2" fontId="137" fillId="0" borderId="3" applyBorder="0"/>
    <xf numFmtId="2" fontId="137" fillId="0" borderId="3" applyBorder="0"/>
    <xf numFmtId="0" fontId="68" fillId="0" borderId="39">
      <alignment horizontal="centerContinuous"/>
    </xf>
    <xf numFmtId="0" fontId="68" fillId="0" borderId="39">
      <alignment horizontal="centerContinuous"/>
    </xf>
    <xf numFmtId="0" fontId="82" fillId="42" borderId="26" applyNumberFormat="0" applyAlignment="0" applyProtection="0"/>
    <xf numFmtId="0" fontId="138" fillId="0" borderId="40">
      <alignment horizontal="center" vertical="center" wrapText="1"/>
    </xf>
    <xf numFmtId="0" fontId="85" fillId="46" borderId="0" applyNumberFormat="0" applyFont="0" applyBorder="0" applyAlignment="0"/>
    <xf numFmtId="0" fontId="85" fillId="46" borderId="0" applyNumberFormat="0" applyFont="0" applyBorder="0" applyAlignment="0"/>
    <xf numFmtId="0" fontId="40" fillId="0" borderId="0"/>
    <xf numFmtId="0" fontId="61" fillId="0" borderId="0"/>
    <xf numFmtId="0" fontId="139" fillId="0" borderId="0"/>
    <xf numFmtId="0" fontId="61" fillId="0" borderId="0"/>
    <xf numFmtId="0" fontId="17" fillId="0" borderId="0" applyNumberFormat="0" applyFont="0" applyFill="0" applyBorder="0" applyProtection="0">
      <alignment horizontal="left" vertical="center"/>
    </xf>
    <xf numFmtId="0" fontId="40" fillId="0" borderId="0"/>
    <xf numFmtId="185" fontId="77" fillId="0" borderId="0" applyFill="0" applyBorder="0" applyAlignment="0"/>
    <xf numFmtId="232" fontId="77" fillId="0" borderId="0" applyFill="0" applyBorder="0" applyAlignment="0"/>
    <xf numFmtId="185" fontId="77" fillId="0" borderId="0" applyFill="0" applyBorder="0" applyAlignment="0"/>
    <xf numFmtId="236" fontId="77" fillId="0" borderId="0" applyFill="0" applyBorder="0" applyAlignment="0"/>
    <xf numFmtId="232" fontId="77" fillId="0" borderId="0" applyFill="0" applyBorder="0" applyAlignment="0"/>
    <xf numFmtId="0" fontId="140" fillId="0" borderId="41" applyNumberFormat="0" applyFill="0" applyAlignment="0" applyProtection="0"/>
    <xf numFmtId="0" fontId="141" fillId="0" borderId="41" applyNumberFormat="0" applyFill="0" applyAlignment="0" applyProtection="0"/>
    <xf numFmtId="247" fontId="142" fillId="0" borderId="17" applyNumberFormat="0" applyFont="0" applyFill="0" applyBorder="0">
      <alignment horizontal="center"/>
    </xf>
    <xf numFmtId="38" fontId="40" fillId="0" borderId="0" applyFont="0" applyFill="0" applyBorder="0" applyAlignment="0" applyProtection="0"/>
    <xf numFmtId="4" fontId="77" fillId="0" borderId="0" applyFont="0" applyFill="0" applyBorder="0" applyAlignment="0" applyProtection="0"/>
    <xf numFmtId="214" fontId="17" fillId="0" borderId="0" applyFont="0" applyFill="0" applyBorder="0" applyAlignment="0" applyProtection="0"/>
    <xf numFmtId="40" fontId="40" fillId="0" borderId="0" applyFont="0" applyFill="0" applyBorder="0" applyAlignment="0" applyProtection="0"/>
    <xf numFmtId="164" fontId="16" fillId="0" borderId="0" applyFont="0" applyFill="0" applyBorder="0" applyAlignment="0" applyProtection="0"/>
    <xf numFmtId="165" fontId="16" fillId="0" borderId="0" applyFont="0" applyFill="0" applyBorder="0" applyAlignment="0" applyProtection="0"/>
    <xf numFmtId="0" fontId="143" fillId="0" borderId="38"/>
    <xf numFmtId="268" fontId="144" fillId="0" borderId="17"/>
    <xf numFmtId="269" fontId="40" fillId="0" borderId="0" applyFont="0" applyFill="0" applyBorder="0" applyAlignment="0" applyProtection="0"/>
    <xf numFmtId="270" fontId="40" fillId="0" borderId="0" applyFont="0" applyFill="0" applyBorder="0" applyAlignment="0" applyProtection="0"/>
    <xf numFmtId="165" fontId="105" fillId="0" borderId="0">
      <protection locked="0"/>
    </xf>
    <xf numFmtId="271" fontId="16" fillId="0" borderId="0" applyFont="0" applyFill="0" applyBorder="0" applyAlignment="0" applyProtection="0"/>
    <xf numFmtId="165" fontId="105" fillId="0" borderId="0">
      <protection locked="0"/>
    </xf>
    <xf numFmtId="165" fontId="105" fillId="0" borderId="0">
      <protection locked="0"/>
    </xf>
    <xf numFmtId="272" fontId="16" fillId="0" borderId="0" applyFont="0" applyFill="0" applyBorder="0" applyAlignment="0" applyProtection="0"/>
    <xf numFmtId="0" fontId="139" fillId="0" borderId="0" applyNumberFormat="0" applyFont="0" applyFill="0" applyAlignment="0"/>
    <xf numFmtId="0" fontId="139" fillId="0" borderId="0" applyNumberFormat="0" applyFont="0" applyFill="0" applyAlignment="0"/>
    <xf numFmtId="0" fontId="28" fillId="0" borderId="0" applyNumberFormat="0" applyFill="0" applyAlignment="0"/>
    <xf numFmtId="0" fontId="28" fillId="0" borderId="0" applyNumberFormat="0" applyFill="0" applyAlignment="0"/>
    <xf numFmtId="0" fontId="139" fillId="0" borderId="0" applyNumberFormat="0" applyFont="0" applyFill="0" applyAlignment="0"/>
    <xf numFmtId="0" fontId="145" fillId="49" borderId="0" applyNumberFormat="0" applyBorder="0" applyAlignment="0" applyProtection="0"/>
    <xf numFmtId="0" fontId="146" fillId="50" borderId="0" applyNumberFormat="0" applyBorder="0" applyAlignment="0" applyProtection="0"/>
    <xf numFmtId="0" fontId="44" fillId="0" borderId="1"/>
    <xf numFmtId="0" fontId="44" fillId="0" borderId="1"/>
    <xf numFmtId="0" fontId="17" fillId="0" borderId="0"/>
    <xf numFmtId="0" fontId="29" fillId="0" borderId="13" applyNumberFormat="0" applyAlignment="0">
      <alignment horizontal="center"/>
    </xf>
    <xf numFmtId="0" fontId="65" fillId="33" borderId="0" applyNumberFormat="0" applyBorder="0" applyAlignment="0" applyProtection="0"/>
    <xf numFmtId="0" fontId="65" fillId="35" borderId="0" applyNumberFormat="0" applyBorder="0" applyAlignment="0" applyProtection="0"/>
    <xf numFmtId="0" fontId="65" fillId="37" borderId="0" applyNumberFormat="0" applyBorder="0" applyAlignment="0" applyProtection="0"/>
    <xf numFmtId="0" fontId="65" fillId="27" borderId="0" applyNumberFormat="0" applyBorder="0" applyAlignment="0" applyProtection="0"/>
    <xf numFmtId="0" fontId="65" fillId="29" borderId="0" applyNumberFormat="0" applyBorder="0" applyAlignment="0" applyProtection="0"/>
    <xf numFmtId="0" fontId="65" fillId="39" borderId="0" applyNumberFormat="0" applyBorder="0" applyAlignment="0" applyProtection="0"/>
    <xf numFmtId="37" fontId="147" fillId="0" borderId="0"/>
    <xf numFmtId="0" fontId="148" fillId="0" borderId="1" applyNumberFormat="0" applyFont="0" applyFill="0" applyBorder="0" applyAlignment="0">
      <alignment horizontal="center"/>
    </xf>
    <xf numFmtId="0" fontId="148" fillId="0" borderId="1" applyNumberFormat="0" applyFont="0" applyFill="0" applyBorder="0" applyAlignment="0">
      <alignment horizontal="center"/>
    </xf>
    <xf numFmtId="0" fontId="149" fillId="0" borderId="0"/>
    <xf numFmtId="273" fontId="27" fillId="0" borderId="0"/>
    <xf numFmtId="274" fontId="25" fillId="0" borderId="0"/>
    <xf numFmtId="274" fontId="25" fillId="0" borderId="0"/>
    <xf numFmtId="0" fontId="16" fillId="0" borderId="0"/>
    <xf numFmtId="274" fontId="25" fillId="0" borderId="0"/>
    <xf numFmtId="274" fontId="25" fillId="0" borderId="0"/>
    <xf numFmtId="275" fontId="42" fillId="0" borderId="0"/>
    <xf numFmtId="275" fontId="42" fillId="0" borderId="0"/>
    <xf numFmtId="275" fontId="42" fillId="0" borderId="0"/>
    <xf numFmtId="275" fontId="42" fillId="0" borderId="0"/>
    <xf numFmtId="275" fontId="42" fillId="0" borderId="0"/>
    <xf numFmtId="273" fontId="27" fillId="0" borderId="0"/>
    <xf numFmtId="273" fontId="27" fillId="0" borderId="0"/>
    <xf numFmtId="276" fontId="25" fillId="0" borderId="0"/>
    <xf numFmtId="0" fontId="150" fillId="0" borderId="0"/>
    <xf numFmtId="0" fontId="91" fillId="0" borderId="0"/>
    <xf numFmtId="0" fontId="61" fillId="0" borderId="0"/>
    <xf numFmtId="0" fontId="61" fillId="0" borderId="0"/>
    <xf numFmtId="0" fontId="151" fillId="0" borderId="0"/>
    <xf numFmtId="0" fontId="61" fillId="0" borderId="0"/>
    <xf numFmtId="0" fontId="89" fillId="0" borderId="0"/>
    <xf numFmtId="0" fontId="61" fillId="0" borderId="0"/>
    <xf numFmtId="0" fontId="15" fillId="0" borderId="0"/>
    <xf numFmtId="0" fontId="6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2" fillId="0" borderId="0"/>
    <xf numFmtId="0" fontId="15" fillId="0" borderId="0"/>
    <xf numFmtId="0" fontId="15" fillId="0" borderId="0"/>
    <xf numFmtId="0" fontId="15" fillId="0" borderId="0"/>
    <xf numFmtId="0" fontId="153" fillId="0" borderId="0"/>
    <xf numFmtId="0" fontId="16" fillId="0" borderId="0"/>
    <xf numFmtId="0" fontId="30" fillId="0" borderId="0"/>
    <xf numFmtId="3" fontId="44" fillId="0" borderId="0"/>
    <xf numFmtId="0" fontId="16" fillId="0" borderId="0"/>
    <xf numFmtId="0" fontId="28" fillId="0" borderId="0"/>
    <xf numFmtId="0" fontId="21"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91" fillId="0" borderId="0"/>
    <xf numFmtId="0" fontId="91" fillId="0" borderId="0"/>
    <xf numFmtId="0" fontId="16" fillId="0" borderId="0"/>
    <xf numFmtId="0" fontId="154" fillId="0" borderId="0" applyProtection="0"/>
    <xf numFmtId="0" fontId="154" fillId="0" borderId="0" applyProtection="0"/>
    <xf numFmtId="0" fontId="155" fillId="0" borderId="0"/>
    <xf numFmtId="0" fontId="61" fillId="0" borderId="0"/>
    <xf numFmtId="0" fontId="16" fillId="0" borderId="0"/>
    <xf numFmtId="0" fontId="61" fillId="0" borderId="0"/>
    <xf numFmtId="0" fontId="89" fillId="0" borderId="0"/>
    <xf numFmtId="0" fontId="61" fillId="0" borderId="0"/>
    <xf numFmtId="0" fontId="61" fillId="0" borderId="0"/>
    <xf numFmtId="0" fontId="16" fillId="0" borderId="0"/>
    <xf numFmtId="0" fontId="156" fillId="0" borderId="0"/>
    <xf numFmtId="0" fontId="156" fillId="0" borderId="0"/>
    <xf numFmtId="0" fontId="156" fillId="0" borderId="0"/>
    <xf numFmtId="0" fontId="156" fillId="0" borderId="0"/>
    <xf numFmtId="0" fontId="16" fillId="0" borderId="0"/>
    <xf numFmtId="0" fontId="16" fillId="0" borderId="0"/>
    <xf numFmtId="0" fontId="16" fillId="0" borderId="0"/>
    <xf numFmtId="0" fontId="15" fillId="0" borderId="0"/>
    <xf numFmtId="0" fontId="156" fillId="0" borderId="0"/>
    <xf numFmtId="0" fontId="157" fillId="0" borderId="0"/>
    <xf numFmtId="0" fontId="89" fillId="0" borderId="0"/>
    <xf numFmtId="0" fontId="158" fillId="0" borderId="0"/>
    <xf numFmtId="0" fontId="15" fillId="0" borderId="0"/>
    <xf numFmtId="0" fontId="159" fillId="0" borderId="0"/>
    <xf numFmtId="0" fontId="16" fillId="0" borderId="0"/>
    <xf numFmtId="0" fontId="28" fillId="0" borderId="0"/>
    <xf numFmtId="0" fontId="89" fillId="0" borderId="0"/>
    <xf numFmtId="0" fontId="16" fillId="0" borderId="0"/>
    <xf numFmtId="0" fontId="16" fillId="0" borderId="0"/>
    <xf numFmtId="0" fontId="16" fillId="0" borderId="0"/>
    <xf numFmtId="0" fontId="89" fillId="0" borderId="0"/>
    <xf numFmtId="0" fontId="21" fillId="0" borderId="0"/>
    <xf numFmtId="0" fontId="15" fillId="0" borderId="0"/>
    <xf numFmtId="0" fontId="21" fillId="0" borderId="0"/>
    <xf numFmtId="0" fontId="21" fillId="0" borderId="0"/>
    <xf numFmtId="0" fontId="21" fillId="0" borderId="0"/>
    <xf numFmtId="0" fontId="21" fillId="0" borderId="0"/>
    <xf numFmtId="0" fontId="15" fillId="0" borderId="0"/>
    <xf numFmtId="0" fontId="160" fillId="0" borderId="0"/>
    <xf numFmtId="0" fontId="161" fillId="0" borderId="0" applyNumberFormat="0" applyFill="0" applyBorder="0" applyProtection="0">
      <alignment vertical="top"/>
    </xf>
    <xf numFmtId="0" fontId="15" fillId="0" borderId="0"/>
    <xf numFmtId="0" fontId="89" fillId="0" borderId="0"/>
    <xf numFmtId="0" fontId="151" fillId="0" borderId="0"/>
    <xf numFmtId="0" fontId="15" fillId="0" borderId="0"/>
    <xf numFmtId="0" fontId="61" fillId="0" borderId="0"/>
    <xf numFmtId="0" fontId="15" fillId="0" borderId="0"/>
    <xf numFmtId="0" fontId="15" fillId="0" borderId="0"/>
    <xf numFmtId="0" fontId="61" fillId="0" borderId="0"/>
    <xf numFmtId="0" fontId="16" fillId="0" borderId="0"/>
    <xf numFmtId="0" fontId="25" fillId="0" borderId="0"/>
    <xf numFmtId="0" fontId="50" fillId="0" borderId="0" applyFont="0"/>
    <xf numFmtId="0" fontId="162" fillId="0" borderId="0">
      <alignment horizontal="left" vertical="top"/>
    </xf>
    <xf numFmtId="0" fontId="77" fillId="46" borderId="0"/>
    <xf numFmtId="0" fontId="102" fillId="0" borderId="0"/>
    <xf numFmtId="0" fontId="16" fillId="45" borderId="35" applyNumberFormat="0" applyFont="0" applyAlignment="0" applyProtection="0"/>
    <xf numFmtId="0" fontId="16" fillId="45" borderId="35" applyNumberFormat="0" applyFont="0" applyAlignment="0" applyProtection="0"/>
    <xf numFmtId="0" fontId="16" fillId="51" borderId="35" applyNumberFormat="0" applyAlignment="0" applyProtection="0"/>
    <xf numFmtId="277" fontId="45" fillId="0" borderId="0" applyFont="0" applyFill="0" applyBorder="0" applyProtection="0">
      <alignment vertical="top" wrapText="1"/>
    </xf>
    <xf numFmtId="0" fontId="141" fillId="0" borderId="41" applyNumberFormat="0" applyFill="0" applyAlignment="0" applyProtection="0"/>
    <xf numFmtId="0" fontId="29" fillId="0" borderId="0"/>
    <xf numFmtId="165" fontId="48" fillId="0" borderId="0" applyFont="0" applyFill="0" applyBorder="0" applyAlignment="0" applyProtection="0"/>
    <xf numFmtId="164" fontId="48" fillId="0" borderId="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44" fillId="0" borderId="0" applyNumberFormat="0" applyFill="0" applyBorder="0" applyAlignment="0" applyProtection="0"/>
    <xf numFmtId="0" fontId="25" fillId="0" borderId="0" applyNumberFormat="0" applyFill="0" applyBorder="0" applyAlignment="0" applyProtection="0"/>
    <xf numFmtId="0" fontId="28" fillId="0" borderId="0" applyFill="0" applyBorder="0" applyAlignment="0" applyProtection="0"/>
    <xf numFmtId="0" fontId="17" fillId="0" borderId="0"/>
    <xf numFmtId="0" fontId="164" fillId="41" borderId="28" applyNumberFormat="0" applyAlignment="0" applyProtection="0"/>
    <xf numFmtId="0" fontId="164" fillId="41" borderId="28" applyNumberFormat="0" applyAlignment="0" applyProtection="0"/>
    <xf numFmtId="0" fontId="95" fillId="3" borderId="28" applyNumberFormat="0" applyAlignment="0" applyProtection="0"/>
    <xf numFmtId="173" fontId="165" fillId="0" borderId="13" applyFont="0" applyBorder="0" applyAlignment="0"/>
    <xf numFmtId="0" fontId="166" fillId="46" borderId="0"/>
    <xf numFmtId="41" fontId="16" fillId="0" borderId="0" applyFont="0" applyFill="0" applyBorder="0" applyAlignment="0" applyProtection="0"/>
    <xf numFmtId="14" fontId="68" fillId="0" borderId="0">
      <alignment horizontal="center" wrapText="1"/>
      <protection locked="0"/>
    </xf>
    <xf numFmtId="235" fontId="16" fillId="0" borderId="0" applyFont="0" applyFill="0" applyBorder="0" applyAlignment="0" applyProtection="0"/>
    <xf numFmtId="245"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61" fillId="0" borderId="0" applyFont="0" applyFill="0" applyBorder="0" applyAlignment="0" applyProtection="0"/>
    <xf numFmtId="9" fontId="158" fillId="0" borderId="0" applyFont="0" applyFill="0" applyBorder="0" applyAlignment="0" applyProtection="0"/>
    <xf numFmtId="9" fontId="6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6" fillId="0" borderId="0" applyFont="0" applyFill="0" applyBorder="0" applyAlignment="0" applyProtection="0"/>
    <xf numFmtId="9" fontId="40" fillId="0" borderId="42" applyNumberFormat="0" applyBorder="0"/>
    <xf numFmtId="0" fontId="16" fillId="0" borderId="0"/>
    <xf numFmtId="173" fontId="105" fillId="0" borderId="0">
      <protection locked="0"/>
    </xf>
    <xf numFmtId="173" fontId="105" fillId="0" borderId="0">
      <protection locked="0"/>
    </xf>
    <xf numFmtId="185" fontId="77" fillId="0" borderId="0" applyFill="0" applyBorder="0" applyAlignment="0"/>
    <xf numFmtId="232" fontId="77" fillId="0" borderId="0" applyFill="0" applyBorder="0" applyAlignment="0"/>
    <xf numFmtId="185" fontId="77" fillId="0" borderId="0" applyFill="0" applyBorder="0" applyAlignment="0"/>
    <xf numFmtId="236" fontId="77" fillId="0" borderId="0" applyFill="0" applyBorder="0" applyAlignment="0"/>
    <xf numFmtId="232" fontId="77" fillId="0" borderId="0" applyFill="0" applyBorder="0" applyAlignment="0"/>
    <xf numFmtId="0" fontId="167" fillId="0" borderId="0"/>
    <xf numFmtId="0" fontId="40" fillId="0" borderId="0" applyNumberFormat="0" applyFont="0" applyFill="0" applyBorder="0" applyAlignment="0" applyProtection="0">
      <alignment horizontal="left"/>
    </xf>
    <xf numFmtId="0" fontId="168" fillId="0" borderId="38">
      <alignment horizontal="center"/>
    </xf>
    <xf numFmtId="0" fontId="169" fillId="52" borderId="0" applyNumberFormat="0" applyFont="0" applyBorder="0" applyAlignment="0">
      <alignment horizontal="center"/>
    </xf>
    <xf numFmtId="14" fontId="170" fillId="0" borderId="0" applyNumberFormat="0" applyFill="0" applyBorder="0" applyAlignment="0" applyProtection="0">
      <alignment horizontal="left"/>
    </xf>
    <xf numFmtId="0" fontId="135" fillId="0" borderId="0" applyNumberFormat="0" applyFill="0" applyBorder="0" applyAlignment="0" applyProtection="0">
      <alignment vertical="top"/>
      <protection locked="0"/>
    </xf>
    <xf numFmtId="0" fontId="29" fillId="0" borderId="0"/>
    <xf numFmtId="216" fontId="39" fillId="0" borderId="0" applyFont="0" applyFill="0" applyBorder="0" applyAlignment="0" applyProtection="0"/>
    <xf numFmtId="0" fontId="25" fillId="0" borderId="0" applyNumberFormat="0" applyFill="0" applyBorder="0" applyAlignment="0" applyProtection="0"/>
    <xf numFmtId="4" fontId="171" fillId="53" borderId="43" applyNumberFormat="0" applyProtection="0">
      <alignment vertical="center"/>
    </xf>
    <xf numFmtId="4" fontId="171" fillId="53" borderId="43" applyNumberFormat="0" applyProtection="0">
      <alignment vertical="center"/>
    </xf>
    <xf numFmtId="4" fontId="172" fillId="53" borderId="43" applyNumberFormat="0" applyProtection="0">
      <alignment vertical="center"/>
    </xf>
    <xf numFmtId="4" fontId="172" fillId="53" borderId="43" applyNumberFormat="0" applyProtection="0">
      <alignment vertical="center"/>
    </xf>
    <xf numFmtId="4" fontId="173" fillId="53" borderId="43" applyNumberFormat="0" applyProtection="0">
      <alignment horizontal="left" vertical="center" indent="1"/>
    </xf>
    <xf numFmtId="4" fontId="173" fillId="53" borderId="43" applyNumberFormat="0" applyProtection="0">
      <alignment horizontal="left" vertical="center" indent="1"/>
    </xf>
    <xf numFmtId="4" fontId="173" fillId="54" borderId="0" applyNumberFormat="0" applyProtection="0">
      <alignment horizontal="left" vertical="center" indent="1"/>
    </xf>
    <xf numFmtId="4" fontId="173" fillId="55" borderId="43" applyNumberFormat="0" applyProtection="0">
      <alignment horizontal="right" vertical="center"/>
    </xf>
    <xf numFmtId="4" fontId="173" fillId="55" borderId="43" applyNumberFormat="0" applyProtection="0">
      <alignment horizontal="right" vertical="center"/>
    </xf>
    <xf numFmtId="4" fontId="173" fillId="56" borderId="43" applyNumberFormat="0" applyProtection="0">
      <alignment horizontal="right" vertical="center"/>
    </xf>
    <xf numFmtId="4" fontId="173" fillId="56" borderId="43" applyNumberFormat="0" applyProtection="0">
      <alignment horizontal="right" vertical="center"/>
    </xf>
    <xf numFmtId="4" fontId="173" fillId="57" borderId="43" applyNumberFormat="0" applyProtection="0">
      <alignment horizontal="right" vertical="center"/>
    </xf>
    <xf numFmtId="4" fontId="173" fillId="57" borderId="43" applyNumberFormat="0" applyProtection="0">
      <alignment horizontal="right" vertical="center"/>
    </xf>
    <xf numFmtId="4" fontId="173" fillId="58" borderId="43" applyNumberFormat="0" applyProtection="0">
      <alignment horizontal="right" vertical="center"/>
    </xf>
    <xf numFmtId="4" fontId="173" fillId="58" borderId="43" applyNumberFormat="0" applyProtection="0">
      <alignment horizontal="right" vertical="center"/>
    </xf>
    <xf numFmtId="4" fontId="173" fillId="59" borderId="43" applyNumberFormat="0" applyProtection="0">
      <alignment horizontal="right" vertical="center"/>
    </xf>
    <xf numFmtId="4" fontId="173" fillId="59" borderId="43" applyNumberFormat="0" applyProtection="0">
      <alignment horizontal="right" vertical="center"/>
    </xf>
    <xf numFmtId="4" fontId="173" fillId="60" borderId="43" applyNumberFormat="0" applyProtection="0">
      <alignment horizontal="right" vertical="center"/>
    </xf>
    <xf numFmtId="4" fontId="173" fillId="60" borderId="43" applyNumberFormat="0" applyProtection="0">
      <alignment horizontal="right" vertical="center"/>
    </xf>
    <xf numFmtId="4" fontId="173" fillId="61" borderId="43" applyNumberFormat="0" applyProtection="0">
      <alignment horizontal="right" vertical="center"/>
    </xf>
    <xf numFmtId="4" fontId="173" fillId="61" borderId="43" applyNumberFormat="0" applyProtection="0">
      <alignment horizontal="right" vertical="center"/>
    </xf>
    <xf numFmtId="4" fontId="173" fillId="62" borderId="43" applyNumberFormat="0" applyProtection="0">
      <alignment horizontal="right" vertical="center"/>
    </xf>
    <xf numFmtId="4" fontId="173" fillId="62" borderId="43" applyNumberFormat="0" applyProtection="0">
      <alignment horizontal="right" vertical="center"/>
    </xf>
    <xf numFmtId="4" fontId="173" fillId="63" borderId="43" applyNumberFormat="0" applyProtection="0">
      <alignment horizontal="right" vertical="center"/>
    </xf>
    <xf numFmtId="4" fontId="173" fillId="63" borderId="43" applyNumberFormat="0" applyProtection="0">
      <alignment horizontal="right" vertical="center"/>
    </xf>
    <xf numFmtId="4" fontId="171" fillId="64" borderId="44" applyNumberFormat="0" applyProtection="0">
      <alignment horizontal="left" vertical="center" indent="1"/>
    </xf>
    <xf numFmtId="4" fontId="171" fillId="65" borderId="0" applyNumberFormat="0" applyProtection="0">
      <alignment horizontal="left" vertical="center" indent="1"/>
    </xf>
    <xf numFmtId="4" fontId="171" fillId="54" borderId="0" applyNumberFormat="0" applyProtection="0">
      <alignment horizontal="left" vertical="center" indent="1"/>
    </xf>
    <xf numFmtId="4" fontId="173" fillId="65" borderId="43" applyNumberFormat="0" applyProtection="0">
      <alignment horizontal="right" vertical="center"/>
    </xf>
    <xf numFmtId="4" fontId="173" fillId="65" borderId="43" applyNumberFormat="0" applyProtection="0">
      <alignment horizontal="right" vertical="center"/>
    </xf>
    <xf numFmtId="4" fontId="41" fillId="65" borderId="0" applyNumberFormat="0" applyProtection="0">
      <alignment horizontal="left" vertical="center" indent="1"/>
    </xf>
    <xf numFmtId="4" fontId="41" fillId="54" borderId="0" applyNumberFormat="0" applyProtection="0">
      <alignment horizontal="left" vertical="center" indent="1"/>
    </xf>
    <xf numFmtId="4" fontId="173" fillId="66" borderId="43" applyNumberFormat="0" applyProtection="0">
      <alignment vertical="center"/>
    </xf>
    <xf numFmtId="4" fontId="173" fillId="66" borderId="43" applyNumberFormat="0" applyProtection="0">
      <alignment vertical="center"/>
    </xf>
    <xf numFmtId="4" fontId="174" fillId="66" borderId="43" applyNumberFormat="0" applyProtection="0">
      <alignment vertical="center"/>
    </xf>
    <xf numFmtId="4" fontId="174" fillId="66" borderId="43" applyNumberFormat="0" applyProtection="0">
      <alignment vertical="center"/>
    </xf>
    <xf numFmtId="4" fontId="171" fillId="65" borderId="45" applyNumberFormat="0" applyProtection="0">
      <alignment horizontal="left" vertical="center" indent="1"/>
    </xf>
    <xf numFmtId="4" fontId="171" fillId="65" borderId="45" applyNumberFormat="0" applyProtection="0">
      <alignment horizontal="left" vertical="center" indent="1"/>
    </xf>
    <xf numFmtId="4" fontId="173" fillId="66" borderId="43" applyNumberFormat="0" applyProtection="0">
      <alignment horizontal="right" vertical="center"/>
    </xf>
    <xf numFmtId="4" fontId="173" fillId="66" borderId="43" applyNumberFormat="0" applyProtection="0">
      <alignment horizontal="right" vertical="center"/>
    </xf>
    <xf numFmtId="4" fontId="174" fillId="66" borderId="43" applyNumberFormat="0" applyProtection="0">
      <alignment horizontal="right" vertical="center"/>
    </xf>
    <xf numFmtId="4" fontId="174" fillId="66" borderId="43" applyNumberFormat="0" applyProtection="0">
      <alignment horizontal="right" vertical="center"/>
    </xf>
    <xf numFmtId="4" fontId="171" fillId="65" borderId="43" applyNumberFormat="0" applyProtection="0">
      <alignment horizontal="left" vertical="center" indent="1"/>
    </xf>
    <xf numFmtId="4" fontId="171" fillId="65" borderId="43" applyNumberFormat="0" applyProtection="0">
      <alignment horizontal="left" vertical="center" indent="1"/>
    </xf>
    <xf numFmtId="4" fontId="175" fillId="48" borderId="45" applyNumberFormat="0" applyProtection="0">
      <alignment horizontal="left" vertical="center" indent="1"/>
    </xf>
    <xf numFmtId="4" fontId="175" fillId="48" borderId="45" applyNumberFormat="0" applyProtection="0">
      <alignment horizontal="left" vertical="center" indent="1"/>
    </xf>
    <xf numFmtId="4" fontId="176" fillId="66" borderId="43" applyNumberFormat="0" applyProtection="0">
      <alignment horizontal="right" vertical="center"/>
    </xf>
    <xf numFmtId="4" fontId="176" fillId="66" borderId="43" applyNumberFormat="0" applyProtection="0">
      <alignment horizontal="right" vertical="center"/>
    </xf>
    <xf numFmtId="278" fontId="177" fillId="0" borderId="0" applyFont="0" applyFill="0" applyBorder="0" applyAlignment="0" applyProtection="0"/>
    <xf numFmtId="0" fontId="169" fillId="1" borderId="15" applyNumberFormat="0" applyFont="0" applyAlignment="0">
      <alignment horizontal="center"/>
    </xf>
    <xf numFmtId="0" fontId="169" fillId="1" borderId="15" applyNumberFormat="0" applyFont="0" applyAlignment="0">
      <alignment horizontal="center"/>
    </xf>
    <xf numFmtId="4" fontId="16" fillId="0" borderId="4" applyBorder="0"/>
    <xf numFmtId="2" fontId="16" fillId="0" borderId="4"/>
    <xf numFmtId="279" fontId="16" fillId="0" borderId="0"/>
    <xf numFmtId="3" fontId="24" fillId="0" borderId="0"/>
    <xf numFmtId="0" fontId="178" fillId="0" borderId="0" applyNumberFormat="0" applyFill="0" applyBorder="0" applyAlignment="0">
      <alignment horizontal="center"/>
    </xf>
    <xf numFmtId="0" fontId="179" fillId="0" borderId="46" applyNumberFormat="0" applyFill="0" applyBorder="0" applyAlignment="0" applyProtection="0"/>
    <xf numFmtId="0" fontId="179" fillId="0" borderId="46" applyNumberFormat="0" applyFill="0" applyBorder="0" applyAlignment="0" applyProtection="0"/>
    <xf numFmtId="0" fontId="16" fillId="0" borderId="0"/>
    <xf numFmtId="1" fontId="16" fillId="0" borderId="0"/>
    <xf numFmtId="173" fontId="180" fillId="0" borderId="0" applyNumberFormat="0" applyBorder="0" applyAlignment="0">
      <alignment horizontal="centerContinuous"/>
    </xf>
    <xf numFmtId="0" fontId="25" fillId="0" borderId="4">
      <alignment horizontal="center"/>
    </xf>
    <xf numFmtId="0" fontId="31" fillId="0" borderId="0"/>
    <xf numFmtId="173" fontId="30" fillId="0" borderId="0" applyFont="0" applyFill="0" applyBorder="0" applyAlignment="0" applyProtection="0"/>
    <xf numFmtId="216" fontId="39" fillId="0" borderId="0" applyFont="0" applyFill="0" applyBorder="0" applyAlignment="0" applyProtection="0"/>
    <xf numFmtId="218" fontId="39" fillId="0" borderId="0" applyFont="0" applyFill="0" applyBorder="0" applyAlignment="0" applyProtection="0"/>
    <xf numFmtId="218" fontId="39" fillId="0" borderId="0" applyFont="0" applyFill="0" applyBorder="0" applyAlignment="0" applyProtection="0"/>
    <xf numFmtId="188" fontId="39" fillId="0" borderId="0" applyFont="0" applyFill="0" applyBorder="0" applyAlignment="0" applyProtection="0"/>
    <xf numFmtId="221" fontId="39" fillId="0" borderId="0" applyFont="0" applyFill="0" applyBorder="0" applyAlignment="0" applyProtection="0"/>
    <xf numFmtId="41" fontId="39" fillId="0" borderId="0" applyFont="0" applyFill="0" applyBorder="0" applyAlignment="0" applyProtection="0"/>
    <xf numFmtId="216" fontId="39" fillId="0" borderId="0" applyFont="0" applyFill="0" applyBorder="0" applyAlignment="0" applyProtection="0"/>
    <xf numFmtId="222" fontId="24"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164" fontId="25"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188" fontId="39" fillId="0" borderId="0" applyFont="0" applyFill="0" applyBorder="0" applyAlignment="0" applyProtection="0"/>
    <xf numFmtId="180" fontId="43" fillId="0" borderId="0" applyFont="0" applyFill="0" applyBorder="0" applyAlignment="0" applyProtection="0"/>
    <xf numFmtId="223" fontId="39" fillId="0" borderId="0" applyFont="0" applyFill="0" applyBorder="0" applyAlignment="0" applyProtection="0"/>
    <xf numFmtId="223" fontId="39" fillId="0" borderId="0" applyFont="0" applyFill="0" applyBorder="0" applyAlignment="0" applyProtection="0"/>
    <xf numFmtId="224" fontId="16" fillId="0" borderId="0" applyFont="0" applyFill="0" applyBorder="0" applyAlignment="0" applyProtection="0"/>
    <xf numFmtId="192" fontId="43" fillId="0" borderId="0" applyFont="0" applyFill="0" applyBorder="0" applyAlignment="0" applyProtection="0"/>
    <xf numFmtId="164" fontId="25" fillId="0" borderId="0" applyFont="0" applyFill="0" applyBorder="0" applyAlignment="0" applyProtection="0"/>
    <xf numFmtId="223" fontId="39" fillId="0" borderId="0" applyFont="0" applyFill="0" applyBorder="0" applyAlignment="0" applyProtection="0"/>
    <xf numFmtId="180" fontId="43" fillId="0" borderId="0" applyFont="0" applyFill="0" applyBorder="0" applyAlignment="0" applyProtection="0"/>
    <xf numFmtId="225" fontId="44" fillId="0" borderId="0" applyFont="0" applyFill="0" applyBorder="0" applyAlignment="0" applyProtection="0"/>
    <xf numFmtId="216"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41" fontId="39" fillId="0" borderId="0" applyFont="0" applyFill="0" applyBorder="0" applyAlignment="0" applyProtection="0"/>
    <xf numFmtId="216" fontId="39" fillId="0" borderId="0" applyFont="0" applyFill="0" applyBorder="0" applyAlignment="0" applyProtection="0"/>
    <xf numFmtId="164" fontId="25" fillId="0" borderId="0" applyFont="0" applyFill="0" applyBorder="0" applyAlignment="0" applyProtection="0"/>
    <xf numFmtId="184" fontId="39" fillId="0" borderId="0" applyFont="0" applyFill="0" applyBorder="0" applyAlignment="0" applyProtection="0"/>
    <xf numFmtId="189" fontId="24"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90" fontId="39" fillId="0" borderId="0" applyFont="0" applyFill="0" applyBorder="0" applyAlignment="0" applyProtection="0"/>
    <xf numFmtId="180" fontId="42" fillId="0" borderId="0" applyFont="0" applyFill="0" applyBorder="0" applyAlignment="0" applyProtection="0"/>
    <xf numFmtId="180" fontId="42" fillId="0" borderId="0" applyFont="0" applyFill="0" applyBorder="0" applyAlignment="0" applyProtection="0"/>
    <xf numFmtId="167" fontId="39" fillId="0" borderId="0" applyFont="0" applyFill="0" applyBorder="0" applyAlignment="0" applyProtection="0"/>
    <xf numFmtId="174" fontId="24" fillId="0" borderId="0" applyFont="0" applyFill="0" applyBorder="0" applyAlignment="0" applyProtection="0"/>
    <xf numFmtId="167" fontId="39" fillId="0" borderId="0" applyFont="0" applyFill="0" applyBorder="0" applyAlignment="0" applyProtection="0"/>
    <xf numFmtId="190" fontId="39" fillId="0" borderId="0" applyFont="0" applyFill="0" applyBorder="0" applyAlignment="0" applyProtection="0"/>
    <xf numFmtId="173" fontId="30" fillId="0" borderId="0" applyFont="0" applyFill="0" applyBorder="0" applyAlignment="0" applyProtection="0"/>
    <xf numFmtId="180" fontId="42" fillId="0" borderId="0" applyFont="0" applyFill="0" applyBorder="0" applyAlignment="0" applyProtection="0"/>
    <xf numFmtId="180" fontId="42" fillId="0" borderId="0" applyFont="0" applyFill="0" applyBorder="0" applyAlignment="0" applyProtection="0"/>
    <xf numFmtId="181" fontId="39" fillId="0" borderId="0" applyFont="0" applyFill="0" applyBorder="0" applyAlignment="0" applyProtection="0"/>
    <xf numFmtId="189" fontId="24" fillId="0" borderId="0" applyFont="0" applyFill="0" applyBorder="0" applyAlignment="0" applyProtection="0"/>
    <xf numFmtId="208" fontId="43"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10" fontId="43" fillId="0" borderId="0" applyFont="0" applyFill="0" applyBorder="0" applyAlignment="0" applyProtection="0"/>
    <xf numFmtId="209" fontId="39" fillId="0" borderId="0" applyFont="0" applyFill="0" applyBorder="0" applyAlignment="0" applyProtection="0"/>
    <xf numFmtId="208" fontId="43" fillId="0" borderId="0" applyFont="0" applyFill="0" applyBorder="0" applyAlignment="0" applyProtection="0"/>
    <xf numFmtId="209" fontId="39" fillId="0" borderId="0" applyFont="0" applyFill="0" applyBorder="0" applyAlignment="0" applyProtection="0"/>
    <xf numFmtId="173" fontId="30"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210" fontId="43"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2" fontId="16" fillId="0" borderId="0" applyFont="0" applyFill="0" applyBorder="0" applyAlignment="0" applyProtection="0"/>
    <xf numFmtId="164" fontId="43" fillId="0" borderId="0" applyFont="0" applyFill="0" applyBorder="0" applyAlignment="0" applyProtection="0"/>
    <xf numFmtId="211" fontId="39" fillId="0" borderId="0" applyFont="0" applyFill="0" applyBorder="0" applyAlignment="0" applyProtection="0"/>
    <xf numFmtId="210" fontId="43" fillId="0" borderId="0" applyFont="0" applyFill="0" applyBorder="0" applyAlignment="0" applyProtection="0"/>
    <xf numFmtId="213" fontId="44" fillId="0" borderId="0" applyFont="0" applyFill="0" applyBorder="0" applyAlignment="0" applyProtection="0"/>
    <xf numFmtId="41" fontId="39" fillId="0" borderId="0" applyFont="0" applyFill="0" applyBorder="0" applyAlignment="0" applyProtection="0"/>
    <xf numFmtId="214" fontId="39" fillId="0" borderId="0" applyFont="0" applyFill="0" applyBorder="0" applyAlignment="0" applyProtection="0"/>
    <xf numFmtId="167" fontId="39" fillId="0" borderId="0" applyFont="0" applyFill="0" applyBorder="0" applyAlignment="0" applyProtection="0"/>
    <xf numFmtId="0" fontId="29" fillId="0" borderId="0"/>
    <xf numFmtId="280" fontId="44"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88" fontId="39" fillId="0" borderId="0" applyFont="0" applyFill="0" applyBorder="0" applyAlignment="0" applyProtection="0"/>
    <xf numFmtId="173" fontId="30"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67" fontId="39" fillId="0" borderId="0" applyFont="0" applyFill="0" applyBorder="0" applyAlignment="0" applyProtection="0"/>
    <xf numFmtId="209" fontId="39" fillId="0" borderId="0" applyFont="0" applyFill="0" applyBorder="0" applyAlignment="0" applyProtection="0"/>
    <xf numFmtId="189" fontId="24" fillId="0" borderId="0" applyFont="0" applyFill="0" applyBorder="0" applyAlignment="0" applyProtection="0"/>
    <xf numFmtId="189" fontId="39" fillId="0" borderId="0" applyFont="0" applyFill="0" applyBorder="0" applyAlignment="0" applyProtection="0"/>
    <xf numFmtId="0" fontId="29" fillId="0" borderId="0"/>
    <xf numFmtId="280" fontId="44"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8" fontId="39" fillId="0" borderId="0" applyFont="0" applyFill="0" applyBorder="0" applyAlignment="0" applyProtection="0"/>
    <xf numFmtId="188" fontId="39" fillId="0" borderId="0" applyFont="0" applyFill="0" applyBorder="0" applyAlignment="0" applyProtection="0"/>
    <xf numFmtId="221" fontId="39" fillId="0" borderId="0" applyFont="0" applyFill="0" applyBorder="0" applyAlignment="0" applyProtection="0"/>
    <xf numFmtId="41" fontId="39" fillId="0" borderId="0" applyFont="0" applyFill="0" applyBorder="0" applyAlignment="0" applyProtection="0"/>
    <xf numFmtId="216" fontId="39" fillId="0" borderId="0" applyFont="0" applyFill="0" applyBorder="0" applyAlignment="0" applyProtection="0"/>
    <xf numFmtId="41" fontId="39" fillId="0" borderId="0" applyFont="0" applyFill="0" applyBorder="0" applyAlignment="0" applyProtection="0"/>
    <xf numFmtId="222" fontId="24"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188" fontId="39" fillId="0" borderId="0" applyFont="0" applyFill="0" applyBorder="0" applyAlignment="0" applyProtection="0"/>
    <xf numFmtId="180" fontId="43" fillId="0" borderId="0" applyFont="0" applyFill="0" applyBorder="0" applyAlignment="0" applyProtection="0"/>
    <xf numFmtId="223" fontId="39" fillId="0" borderId="0" applyFont="0" applyFill="0" applyBorder="0" applyAlignment="0" applyProtection="0"/>
    <xf numFmtId="188" fontId="39" fillId="0" borderId="0" applyFont="0" applyFill="0" applyBorder="0" applyAlignment="0" applyProtection="0"/>
    <xf numFmtId="223" fontId="39" fillId="0" borderId="0" applyFont="0" applyFill="0" applyBorder="0" applyAlignment="0" applyProtection="0"/>
    <xf numFmtId="224" fontId="16" fillId="0" borderId="0" applyFont="0" applyFill="0" applyBorder="0" applyAlignment="0" applyProtection="0"/>
    <xf numFmtId="192" fontId="43" fillId="0" borderId="0" applyFont="0" applyFill="0" applyBorder="0" applyAlignment="0" applyProtection="0"/>
    <xf numFmtId="223" fontId="39" fillId="0" borderId="0" applyFont="0" applyFill="0" applyBorder="0" applyAlignment="0" applyProtection="0"/>
    <xf numFmtId="180" fontId="43" fillId="0" borderId="0" applyFont="0" applyFill="0" applyBorder="0" applyAlignment="0" applyProtection="0"/>
    <xf numFmtId="225" fontId="44" fillId="0" borderId="0" applyFont="0" applyFill="0" applyBorder="0" applyAlignment="0" applyProtection="0"/>
    <xf numFmtId="216"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216" fontId="39" fillId="0" borderId="0" applyFont="0" applyFill="0" applyBorder="0" applyAlignment="0" applyProtection="0"/>
    <xf numFmtId="41" fontId="39" fillId="0" borderId="0" applyFont="0" applyFill="0" applyBorder="0" applyAlignment="0" applyProtection="0"/>
    <xf numFmtId="216" fontId="39" fillId="0" borderId="0" applyFont="0" applyFill="0" applyBorder="0" applyAlignment="0" applyProtection="0"/>
    <xf numFmtId="41" fontId="39" fillId="0" borderId="0" applyFont="0" applyFill="0" applyBorder="0" applyAlignment="0" applyProtection="0"/>
    <xf numFmtId="216" fontId="39" fillId="0" borderId="0" applyFont="0" applyFill="0" applyBorder="0" applyAlignment="0" applyProtection="0"/>
    <xf numFmtId="173" fontId="30"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88"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215" fontId="39" fillId="0" borderId="0" applyFont="0" applyFill="0" applyBorder="0" applyAlignment="0" applyProtection="0"/>
    <xf numFmtId="216" fontId="39"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88" fontId="39" fillId="0" borderId="0" applyFont="0" applyFill="0" applyBorder="0" applyAlignment="0" applyProtection="0"/>
    <xf numFmtId="215" fontId="39" fillId="0" borderId="0" applyFont="0" applyFill="0" applyBorder="0" applyAlignment="0" applyProtection="0"/>
    <xf numFmtId="217" fontId="39" fillId="0" borderId="0" applyFont="0" applyFill="0" applyBorder="0" applyAlignment="0" applyProtection="0"/>
    <xf numFmtId="41" fontId="39" fillId="0" borderId="0" applyFont="0" applyFill="0" applyBorder="0" applyAlignment="0" applyProtection="0"/>
    <xf numFmtId="188" fontId="24" fillId="0" borderId="0" applyFont="0" applyFill="0" applyBorder="0" applyAlignment="0" applyProtection="0"/>
    <xf numFmtId="41" fontId="39" fillId="0" borderId="0" applyFont="0" applyFill="0" applyBorder="0" applyAlignment="0" applyProtection="0"/>
    <xf numFmtId="188" fontId="24"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215" fontId="39" fillId="0" borderId="0" applyFont="0" applyFill="0" applyBorder="0" applyAlignment="0" applyProtection="0"/>
    <xf numFmtId="218" fontId="39" fillId="0" borderId="0" applyFont="0" applyFill="0" applyBorder="0" applyAlignment="0" applyProtection="0"/>
    <xf numFmtId="216" fontId="39" fillId="0" borderId="0" applyFont="0" applyFill="0" applyBorder="0" applyAlignment="0" applyProtection="0"/>
    <xf numFmtId="219" fontId="39" fillId="0" borderId="0" applyFont="0" applyFill="0" applyBorder="0" applyAlignment="0" applyProtection="0"/>
    <xf numFmtId="220" fontId="39" fillId="0" borderId="0" applyFont="0" applyFill="0" applyBorder="0" applyAlignment="0" applyProtection="0"/>
    <xf numFmtId="41" fontId="39" fillId="0" borderId="0" applyFont="0" applyFill="0" applyBorder="0" applyAlignment="0" applyProtection="0"/>
    <xf numFmtId="219" fontId="39" fillId="0" borderId="0" applyFont="0" applyFill="0" applyBorder="0" applyAlignment="0" applyProtection="0"/>
    <xf numFmtId="215"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41" fontId="39" fillId="0" borderId="0" applyFont="0" applyFill="0" applyBorder="0" applyAlignment="0" applyProtection="0"/>
    <xf numFmtId="216" fontId="39" fillId="0" borderId="0" applyFont="0" applyFill="0" applyBorder="0" applyAlignment="0" applyProtection="0"/>
    <xf numFmtId="41" fontId="39" fillId="0" borderId="0" applyFont="0" applyFill="0" applyBorder="0" applyAlignment="0" applyProtection="0"/>
    <xf numFmtId="188" fontId="39" fillId="0" borderId="0" applyFont="0" applyFill="0" applyBorder="0" applyAlignment="0" applyProtection="0"/>
    <xf numFmtId="216" fontId="39" fillId="0" borderId="0" applyFont="0" applyFill="0" applyBorder="0" applyAlignment="0" applyProtection="0"/>
    <xf numFmtId="216" fontId="39" fillId="0" borderId="0" applyFont="0" applyFill="0" applyBorder="0" applyAlignment="0" applyProtection="0"/>
    <xf numFmtId="14" fontId="181" fillId="0" borderId="0"/>
    <xf numFmtId="14" fontId="181" fillId="0" borderId="0"/>
    <xf numFmtId="0" fontId="182" fillId="0" borderId="0"/>
    <xf numFmtId="0" fontId="143" fillId="0" borderId="0"/>
    <xf numFmtId="40" fontId="183" fillId="0" borderId="0" applyBorder="0">
      <alignment horizontal="right"/>
    </xf>
    <xf numFmtId="0" fontId="184" fillId="0" borderId="0"/>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184" fontId="185" fillId="0" borderId="14">
      <alignment horizontal="right" vertical="center"/>
    </xf>
    <xf numFmtId="184" fontId="185" fillId="0" borderId="14">
      <alignment horizontal="right" vertical="center"/>
    </xf>
    <xf numFmtId="204" fontId="66" fillId="0" borderId="14">
      <alignment horizontal="right" vertical="center"/>
    </xf>
    <xf numFmtId="204" fontId="66"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2" fontId="44" fillId="0" borderId="47">
      <alignment horizontal="right" vertical="center"/>
    </xf>
    <xf numFmtId="282" fontId="44" fillId="0" borderId="47">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81" fontId="44" fillId="0" borderId="14">
      <alignment horizontal="right" vertical="center"/>
    </xf>
    <xf numFmtId="281" fontId="44" fillId="0" borderId="14">
      <alignment horizontal="right" vertical="center"/>
    </xf>
    <xf numFmtId="282" fontId="44" fillId="0" borderId="47">
      <alignment horizontal="right" vertical="center"/>
    </xf>
    <xf numFmtId="282" fontId="44" fillId="0" borderId="47">
      <alignment horizontal="right" vertical="center"/>
    </xf>
    <xf numFmtId="185" fontId="29" fillId="0" borderId="14">
      <alignment horizontal="right" vertical="center"/>
    </xf>
    <xf numFmtId="185" fontId="29"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185" fontId="29" fillId="0" borderId="14">
      <alignment horizontal="right" vertical="center"/>
    </xf>
    <xf numFmtId="185" fontId="29" fillId="0" borderId="14">
      <alignment horizontal="right" vertical="center"/>
    </xf>
    <xf numFmtId="206" fontId="25" fillId="0" borderId="14">
      <alignment horizontal="right" vertical="center"/>
    </xf>
    <xf numFmtId="206" fontId="25" fillId="0" borderId="14">
      <alignment horizontal="right" vertical="center"/>
    </xf>
    <xf numFmtId="283" fontId="25" fillId="0" borderId="14">
      <alignment horizontal="right" vertical="center"/>
    </xf>
    <xf numFmtId="283" fontId="25" fillId="0" borderId="14">
      <alignment horizontal="right" vertical="center"/>
    </xf>
    <xf numFmtId="284" fontId="39" fillId="0" borderId="14">
      <alignment horizontal="right" vertical="center"/>
    </xf>
    <xf numFmtId="284" fontId="39" fillId="0" borderId="14">
      <alignment horizontal="right" vertical="center"/>
    </xf>
    <xf numFmtId="285" fontId="25" fillId="0" borderId="14">
      <alignment horizontal="right" vertical="center"/>
    </xf>
    <xf numFmtId="285" fontId="25" fillId="0" borderId="14">
      <alignment horizontal="right" vertical="center"/>
    </xf>
    <xf numFmtId="285" fontId="25" fillId="0" borderId="14">
      <alignment horizontal="right" vertical="center"/>
    </xf>
    <xf numFmtId="285" fontId="25" fillId="0" borderId="14">
      <alignment horizontal="right" vertical="center"/>
    </xf>
    <xf numFmtId="283" fontId="25" fillId="0" borderId="14">
      <alignment horizontal="right" vertical="center"/>
    </xf>
    <xf numFmtId="283" fontId="25" fillId="0" borderId="14">
      <alignment horizontal="right" vertical="center"/>
    </xf>
    <xf numFmtId="185" fontId="29" fillId="0" borderId="14">
      <alignment horizontal="right" vertical="center"/>
    </xf>
    <xf numFmtId="185" fontId="29" fillId="0" borderId="14">
      <alignment horizontal="right" vertical="center"/>
    </xf>
    <xf numFmtId="206" fontId="25" fillId="0" borderId="14">
      <alignment horizontal="right" vertical="center"/>
    </xf>
    <xf numFmtId="206" fontId="25" fillId="0" borderId="14">
      <alignment horizontal="right" vertical="center"/>
    </xf>
    <xf numFmtId="185" fontId="29" fillId="0" borderId="14">
      <alignment horizontal="right" vertical="center"/>
    </xf>
    <xf numFmtId="185" fontId="29"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86" fontId="24" fillId="0" borderId="14">
      <alignment horizontal="right" vertical="center"/>
    </xf>
    <xf numFmtId="286" fontId="24" fillId="0" borderId="14">
      <alignment horizontal="right" vertical="center"/>
    </xf>
    <xf numFmtId="185" fontId="29" fillId="0" borderId="14">
      <alignment horizontal="right" vertical="center"/>
    </xf>
    <xf numFmtId="185" fontId="29" fillId="0" borderId="14">
      <alignment horizontal="right" vertical="center"/>
    </xf>
    <xf numFmtId="282" fontId="44" fillId="0" borderId="47">
      <alignment horizontal="right" vertical="center"/>
    </xf>
    <xf numFmtId="282" fontId="44" fillId="0" borderId="47">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2" fontId="44" fillId="0" borderId="47">
      <alignment horizontal="right" vertical="center"/>
    </xf>
    <xf numFmtId="282" fontId="44" fillId="0" borderId="47">
      <alignment horizontal="right" vertical="center"/>
    </xf>
    <xf numFmtId="283" fontId="25" fillId="0" borderId="14">
      <alignment horizontal="right" vertical="center"/>
    </xf>
    <xf numFmtId="283" fontId="25" fillId="0" borderId="14">
      <alignment horizontal="right" vertical="center"/>
    </xf>
    <xf numFmtId="284" fontId="39" fillId="0" borderId="14">
      <alignment horizontal="right" vertical="center"/>
    </xf>
    <xf numFmtId="284" fontId="39" fillId="0" borderId="14">
      <alignment horizontal="right" vertical="center"/>
    </xf>
    <xf numFmtId="283" fontId="25" fillId="0" borderId="14">
      <alignment horizontal="right" vertical="center"/>
    </xf>
    <xf numFmtId="283" fontId="25" fillId="0" borderId="14">
      <alignment horizontal="right" vertical="center"/>
    </xf>
    <xf numFmtId="285" fontId="25" fillId="0" borderId="14">
      <alignment horizontal="right" vertical="center"/>
    </xf>
    <xf numFmtId="285" fontId="25"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3" fontId="25" fillId="0" borderId="14">
      <alignment horizontal="right" vertical="center"/>
    </xf>
    <xf numFmtId="283" fontId="25" fillId="0" borderId="14">
      <alignment horizontal="right" vertical="center"/>
    </xf>
    <xf numFmtId="287" fontId="186" fillId="2" borderId="48" applyFont="0" applyFill="0" applyBorder="0"/>
    <xf numFmtId="283" fontId="25" fillId="0" borderId="14">
      <alignment horizontal="right" vertical="center"/>
    </xf>
    <xf numFmtId="283" fontId="25" fillId="0" borderId="14">
      <alignment horizontal="right" vertical="center"/>
    </xf>
    <xf numFmtId="282" fontId="44" fillId="0" borderId="47">
      <alignment horizontal="right" vertical="center"/>
    </xf>
    <xf numFmtId="282" fontId="44" fillId="0" borderId="47">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22" fontId="44" fillId="0" borderId="14">
      <alignment horizontal="right" vertical="center"/>
    </xf>
    <xf numFmtId="222" fontId="44" fillId="0" borderId="14">
      <alignment horizontal="right" vertical="center"/>
    </xf>
    <xf numFmtId="287" fontId="186" fillId="2" borderId="48" applyFont="0" applyFill="0" applyBorder="0"/>
    <xf numFmtId="288" fontId="16" fillId="0" borderId="14">
      <alignment horizontal="right" vertical="center"/>
    </xf>
    <xf numFmtId="288" fontId="16"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22" fontId="44" fillId="0" borderId="14">
      <alignment horizontal="right" vertical="center"/>
    </xf>
    <xf numFmtId="222" fontId="44" fillId="0" borderId="14">
      <alignment horizontal="right" vertical="center"/>
    </xf>
    <xf numFmtId="206" fontId="25" fillId="0" borderId="14">
      <alignment horizontal="right" vertical="center"/>
    </xf>
    <xf numFmtId="206" fontId="25" fillId="0" borderId="14">
      <alignment horizontal="right" vertical="center"/>
    </xf>
    <xf numFmtId="282" fontId="44" fillId="0" borderId="47">
      <alignment horizontal="right" vertical="center"/>
    </xf>
    <xf numFmtId="282" fontId="44" fillId="0" borderId="47">
      <alignment horizontal="right" vertical="center"/>
    </xf>
    <xf numFmtId="283" fontId="25" fillId="0" borderId="14">
      <alignment horizontal="right" vertical="center"/>
    </xf>
    <xf numFmtId="283" fontId="25" fillId="0" borderId="14">
      <alignment horizontal="right" vertical="center"/>
    </xf>
    <xf numFmtId="284" fontId="39" fillId="0" borderId="14">
      <alignment horizontal="right" vertical="center"/>
    </xf>
    <xf numFmtId="284" fontId="39" fillId="0" borderId="14">
      <alignment horizontal="right" vertical="center"/>
    </xf>
    <xf numFmtId="283" fontId="25" fillId="0" borderId="14">
      <alignment horizontal="right" vertical="center"/>
    </xf>
    <xf numFmtId="283" fontId="25" fillId="0" borderId="14">
      <alignment horizontal="right" vertical="center"/>
    </xf>
    <xf numFmtId="281" fontId="44" fillId="0" borderId="14">
      <alignment horizontal="right" vertical="center"/>
    </xf>
    <xf numFmtId="281" fontId="44" fillId="0" borderId="14">
      <alignment horizontal="right" vertical="center"/>
    </xf>
    <xf numFmtId="206" fontId="25" fillId="0" borderId="14">
      <alignment horizontal="right" vertical="center"/>
    </xf>
    <xf numFmtId="206" fontId="25" fillId="0" borderId="14">
      <alignment horizontal="right" vertical="center"/>
    </xf>
    <xf numFmtId="206" fontId="25" fillId="0" borderId="14">
      <alignment horizontal="right" vertical="center"/>
    </xf>
    <xf numFmtId="206" fontId="25" fillId="0" borderId="14">
      <alignment horizontal="right" vertical="center"/>
    </xf>
    <xf numFmtId="289" fontId="24" fillId="0" borderId="14">
      <alignment horizontal="right" vertical="center"/>
    </xf>
    <xf numFmtId="289" fontId="24" fillId="0" borderId="14">
      <alignment horizontal="right" vertical="center"/>
    </xf>
    <xf numFmtId="282" fontId="44" fillId="0" borderId="47">
      <alignment horizontal="right" vertical="center"/>
    </xf>
    <xf numFmtId="282" fontId="44" fillId="0" borderId="47">
      <alignment horizontal="right" vertical="center"/>
    </xf>
    <xf numFmtId="290" fontId="25" fillId="0" borderId="14">
      <alignment horizontal="right" vertical="center"/>
    </xf>
    <xf numFmtId="290" fontId="25"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83" fontId="25" fillId="0" borderId="14">
      <alignment horizontal="right" vertical="center"/>
    </xf>
    <xf numFmtId="283" fontId="25" fillId="0" borderId="14">
      <alignment horizontal="right" vertical="center"/>
    </xf>
    <xf numFmtId="285" fontId="25" fillId="0" borderId="14">
      <alignment horizontal="right" vertical="center"/>
    </xf>
    <xf numFmtId="285" fontId="25" fillId="0" borderId="14">
      <alignment horizontal="right" vertical="center"/>
    </xf>
    <xf numFmtId="208" fontId="25" fillId="0" borderId="14">
      <alignment horizontal="right" vertical="center"/>
    </xf>
    <xf numFmtId="208" fontId="25"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87" fontId="186" fillId="2" borderId="48" applyFont="0" applyFill="0" applyBorder="0"/>
    <xf numFmtId="283" fontId="25" fillId="0" borderId="14">
      <alignment horizontal="right" vertical="center"/>
    </xf>
    <xf numFmtId="283" fontId="25"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3" fontId="25" fillId="0" borderId="14">
      <alignment horizontal="right" vertical="center"/>
    </xf>
    <xf numFmtId="283" fontId="25"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91" fontId="66" fillId="0" borderId="14">
      <alignment horizontal="right" vertical="center"/>
    </xf>
    <xf numFmtId="291" fontId="66" fillId="0" borderId="14">
      <alignment horizontal="right" vertical="center"/>
    </xf>
    <xf numFmtId="283" fontId="25" fillId="0" borderId="14">
      <alignment horizontal="right" vertical="center"/>
    </xf>
    <xf numFmtId="283" fontId="25" fillId="0" borderId="14">
      <alignment horizontal="right" vertical="center"/>
    </xf>
    <xf numFmtId="287" fontId="186" fillId="2" borderId="48" applyFont="0" applyFill="0" applyBorder="0"/>
    <xf numFmtId="287" fontId="186" fillId="2" borderId="48" applyFont="0" applyFill="0" applyBorder="0"/>
    <xf numFmtId="207" fontId="44" fillId="0" borderId="14">
      <alignment horizontal="right" vertical="center"/>
    </xf>
    <xf numFmtId="207" fontId="44" fillId="0" borderId="14">
      <alignment horizontal="right" vertical="center"/>
    </xf>
    <xf numFmtId="185" fontId="29" fillId="0" borderId="14">
      <alignment horizontal="right" vertical="center"/>
    </xf>
    <xf numFmtId="185" fontId="29" fillId="0" borderId="14">
      <alignment horizontal="right" vertical="center"/>
    </xf>
    <xf numFmtId="204" fontId="66" fillId="0" borderId="14">
      <alignment horizontal="right" vertical="center"/>
    </xf>
    <xf numFmtId="204" fontId="66" fillId="0" borderId="14">
      <alignment horizontal="right" vertical="center"/>
    </xf>
    <xf numFmtId="283" fontId="25" fillId="0" borderId="14">
      <alignment horizontal="right" vertical="center"/>
    </xf>
    <xf numFmtId="283" fontId="25"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04" fontId="66" fillId="0" borderId="14">
      <alignment horizontal="right" vertical="center"/>
    </xf>
    <xf numFmtId="281" fontId="44" fillId="0" borderId="14">
      <alignment horizontal="right" vertical="center"/>
    </xf>
    <xf numFmtId="281" fontId="44" fillId="0" borderId="14">
      <alignment horizontal="right" vertical="center"/>
    </xf>
    <xf numFmtId="287" fontId="186" fillId="2" borderId="48" applyFont="0" applyFill="0" applyBorder="0"/>
    <xf numFmtId="271" fontId="25" fillId="0" borderId="14">
      <alignment horizontal="right" vertical="center"/>
    </xf>
    <xf numFmtId="271" fontId="25" fillId="0" borderId="14">
      <alignment horizontal="right" vertical="center"/>
    </xf>
    <xf numFmtId="271" fontId="25" fillId="0" borderId="14">
      <alignment horizontal="right" vertical="center"/>
    </xf>
    <xf numFmtId="271" fontId="25" fillId="0" borderId="14">
      <alignment horizontal="right" vertical="center"/>
    </xf>
    <xf numFmtId="271" fontId="25" fillId="0" borderId="14">
      <alignment horizontal="right" vertical="center"/>
    </xf>
    <xf numFmtId="271" fontId="25" fillId="0" borderId="14">
      <alignment horizontal="right" vertical="center"/>
    </xf>
    <xf numFmtId="271" fontId="25" fillId="0" borderId="14">
      <alignment horizontal="right" vertical="center"/>
    </xf>
    <xf numFmtId="271" fontId="25" fillId="0" borderId="14">
      <alignment horizontal="right" vertical="center"/>
    </xf>
    <xf numFmtId="281" fontId="44" fillId="0" borderId="14">
      <alignment horizontal="right" vertical="center"/>
    </xf>
    <xf numFmtId="281" fontId="44" fillId="0" borderId="14">
      <alignment horizontal="right" vertical="center"/>
    </xf>
    <xf numFmtId="271" fontId="25" fillId="0" borderId="14">
      <alignment horizontal="right" vertical="center"/>
    </xf>
    <xf numFmtId="271" fontId="25" fillId="0" borderId="14">
      <alignment horizontal="right" vertical="center"/>
    </xf>
    <xf numFmtId="292" fontId="25" fillId="0" borderId="47">
      <alignment horizontal="right" vertical="center"/>
    </xf>
    <xf numFmtId="292" fontId="25" fillId="0" borderId="47">
      <alignment horizontal="right" vertical="center"/>
    </xf>
    <xf numFmtId="292" fontId="25" fillId="0" borderId="47">
      <alignment horizontal="right" vertical="center"/>
    </xf>
    <xf numFmtId="292" fontId="25" fillId="0" borderId="47">
      <alignment horizontal="right" vertical="center"/>
    </xf>
    <xf numFmtId="292" fontId="25" fillId="0" borderId="47">
      <alignment horizontal="right" vertical="center"/>
    </xf>
    <xf numFmtId="292" fontId="25" fillId="0" borderId="47">
      <alignment horizontal="right" vertical="center"/>
    </xf>
    <xf numFmtId="292" fontId="25" fillId="0" borderId="47">
      <alignment horizontal="right" vertical="center"/>
    </xf>
    <xf numFmtId="292" fontId="25" fillId="0" borderId="47">
      <alignment horizontal="right" vertical="center"/>
    </xf>
    <xf numFmtId="292" fontId="25" fillId="0" borderId="47">
      <alignment horizontal="right" vertical="center"/>
    </xf>
    <xf numFmtId="292" fontId="25" fillId="0" borderId="47">
      <alignment horizontal="right" vertical="center"/>
    </xf>
    <xf numFmtId="184" fontId="185" fillId="0" borderId="14">
      <alignment horizontal="right" vertical="center"/>
    </xf>
    <xf numFmtId="184" fontId="185" fillId="0" borderId="14">
      <alignment horizontal="right" vertical="center"/>
    </xf>
    <xf numFmtId="281" fontId="44" fillId="0" borderId="14">
      <alignment horizontal="right" vertical="center"/>
    </xf>
    <xf numFmtId="281" fontId="44" fillId="0" borderId="14">
      <alignment horizontal="right" vertical="center"/>
    </xf>
    <xf numFmtId="208" fontId="25" fillId="0" borderId="14">
      <alignment horizontal="right" vertical="center"/>
    </xf>
    <xf numFmtId="208" fontId="25" fillId="0" borderId="14">
      <alignment horizontal="right" vertical="center"/>
    </xf>
    <xf numFmtId="185" fontId="29" fillId="0" borderId="14">
      <alignment horizontal="right" vertical="center"/>
    </xf>
    <xf numFmtId="185" fontId="29"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281" fontId="44" fillId="0" borderId="14">
      <alignment horizontal="right" vertical="center"/>
    </xf>
    <xf numFmtId="185" fontId="29" fillId="0" borderId="14">
      <alignment horizontal="right" vertical="center"/>
    </xf>
    <xf numFmtId="185" fontId="29" fillId="0" borderId="14">
      <alignment horizontal="right" vertical="center"/>
    </xf>
    <xf numFmtId="281" fontId="44" fillId="0" borderId="14">
      <alignment horizontal="right" vertical="center"/>
    </xf>
    <xf numFmtId="281" fontId="44" fillId="0" borderId="14">
      <alignment horizontal="right" vertical="center"/>
    </xf>
    <xf numFmtId="283" fontId="25" fillId="0" borderId="14">
      <alignment horizontal="right" vertical="center"/>
    </xf>
    <xf numFmtId="283" fontId="25" fillId="0" borderId="14">
      <alignment horizontal="right" vertical="center"/>
    </xf>
    <xf numFmtId="281" fontId="44" fillId="0" borderId="14">
      <alignment horizontal="right" vertical="center"/>
    </xf>
    <xf numFmtId="281" fontId="44" fillId="0" borderId="14">
      <alignment horizontal="right" vertical="center"/>
    </xf>
    <xf numFmtId="282" fontId="44" fillId="0" borderId="47">
      <alignment horizontal="right" vertical="center"/>
    </xf>
    <xf numFmtId="282" fontId="44" fillId="0" borderId="47">
      <alignment horizontal="right" vertical="center"/>
    </xf>
    <xf numFmtId="282" fontId="44" fillId="0" borderId="47">
      <alignment horizontal="right" vertical="center"/>
    </xf>
    <xf numFmtId="282" fontId="44" fillId="0" borderId="47">
      <alignment horizontal="right" vertical="center"/>
    </xf>
    <xf numFmtId="282" fontId="44" fillId="0" borderId="47">
      <alignment horizontal="right" vertical="center"/>
    </xf>
    <xf numFmtId="282" fontId="44" fillId="0" borderId="47">
      <alignment horizontal="right" vertical="center"/>
    </xf>
    <xf numFmtId="282" fontId="44" fillId="0" borderId="47">
      <alignment horizontal="right" vertical="center"/>
    </xf>
    <xf numFmtId="282" fontId="44" fillId="0" borderId="47">
      <alignment horizontal="right" vertical="center"/>
    </xf>
    <xf numFmtId="282" fontId="44" fillId="0" borderId="47">
      <alignment horizontal="right" vertical="center"/>
    </xf>
    <xf numFmtId="282" fontId="44" fillId="0" borderId="47">
      <alignment horizontal="right" vertical="center"/>
    </xf>
    <xf numFmtId="281" fontId="44" fillId="0" borderId="14">
      <alignment horizontal="right" vertical="center"/>
    </xf>
    <xf numFmtId="281" fontId="44" fillId="0" borderId="14">
      <alignment horizontal="right" vertical="center"/>
    </xf>
    <xf numFmtId="207" fontId="44" fillId="0" borderId="14">
      <alignment horizontal="right" vertical="center"/>
    </xf>
    <xf numFmtId="207" fontId="44" fillId="0" borderId="14">
      <alignment horizontal="right" vertical="center"/>
    </xf>
    <xf numFmtId="293" fontId="187" fillId="0" borderId="14">
      <alignment horizontal="right" vertical="center"/>
    </xf>
    <xf numFmtId="293" fontId="187" fillId="0" borderId="14">
      <alignment horizontal="right" vertical="center"/>
    </xf>
    <xf numFmtId="49" fontId="28" fillId="0" borderId="0" applyFill="0" applyBorder="0" applyProtection="0">
      <alignment horizontal="center" vertical="center" wrapText="1" shrinkToFit="1"/>
    </xf>
    <xf numFmtId="49" fontId="41" fillId="0" borderId="0" applyFill="0" applyBorder="0" applyAlignment="0"/>
    <xf numFmtId="294" fontId="16" fillId="0" borderId="0" applyFill="0" applyBorder="0" applyAlignment="0"/>
    <xf numFmtId="295" fontId="16" fillId="0" borderId="0" applyFill="0" applyBorder="0" applyAlignment="0"/>
    <xf numFmtId="49" fontId="28" fillId="0" borderId="0" applyFill="0" applyBorder="0" applyProtection="0">
      <alignment horizontal="center" vertical="center" wrapText="1" shrinkToFit="1"/>
    </xf>
    <xf numFmtId="189" fontId="44" fillId="0" borderId="14">
      <alignment horizontal="center"/>
    </xf>
    <xf numFmtId="189" fontId="44" fillId="0" borderId="14">
      <alignment horizontal="center"/>
    </xf>
    <xf numFmtId="296" fontId="188" fillId="0" borderId="0" applyNumberFormat="0" applyFont="0" applyFill="0" applyBorder="0" applyAlignment="0">
      <alignment horizontal="centerContinuous"/>
    </xf>
    <xf numFmtId="268" fontId="189" fillId="0" borderId="0">
      <alignment horizontal="center"/>
      <protection locked="0"/>
    </xf>
    <xf numFmtId="0" fontId="25" fillId="0" borderId="49"/>
    <xf numFmtId="0" fontId="4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3" fillId="0" borderId="0" applyNumberFormat="0" applyFill="0" applyBorder="0" applyAlignment="0" applyProtection="0"/>
    <xf numFmtId="0" fontId="30" fillId="0" borderId="13" applyNumberFormat="0" applyBorder="0" applyAlignment="0"/>
    <xf numFmtId="0" fontId="190" fillId="0" borderId="17" applyNumberFormat="0" applyBorder="0" applyAlignment="0">
      <alignment horizontal="center"/>
    </xf>
    <xf numFmtId="3" fontId="191" fillId="0" borderId="18" applyNumberFormat="0" applyBorder="0" applyAlignment="0"/>
    <xf numFmtId="0" fontId="192" fillId="0" borderId="13">
      <alignment horizontal="center" vertical="center" wrapText="1"/>
    </xf>
    <xf numFmtId="0" fontId="193" fillId="0" borderId="0" applyNumberFormat="0" applyFill="0" applyBorder="0" applyAlignment="0" applyProtection="0"/>
    <xf numFmtId="40" fontId="119" fillId="0" borderId="0"/>
    <xf numFmtId="0" fontId="79" fillId="41" borderId="25" applyNumberFormat="0" applyAlignment="0" applyProtection="0"/>
    <xf numFmtId="0" fontId="79" fillId="41" borderId="25" applyNumberFormat="0" applyAlignment="0" applyProtection="0"/>
    <xf numFmtId="3" fontId="194" fillId="0" borderId="0" applyNumberFormat="0" applyFill="0" applyBorder="0" applyAlignment="0" applyProtection="0">
      <alignment horizontal="center" wrapText="1"/>
    </xf>
    <xf numFmtId="0" fontId="195" fillId="0" borderId="3" applyBorder="0" applyAlignment="0">
      <alignment horizontal="center" vertical="center"/>
    </xf>
    <xf numFmtId="0" fontId="195" fillId="0" borderId="3" applyBorder="0" applyAlignment="0">
      <alignment horizontal="center" vertical="center"/>
    </xf>
    <xf numFmtId="0" fontId="196" fillId="0" borderId="0" applyNumberFormat="0" applyFill="0" applyBorder="0" applyAlignment="0" applyProtection="0">
      <alignment horizontal="centerContinuous"/>
    </xf>
    <xf numFmtId="0" fontId="120" fillId="0" borderId="50" applyNumberFormat="0" applyFill="0" applyBorder="0" applyAlignment="0" applyProtection="0">
      <alignment horizontal="center" vertical="center" wrapText="1"/>
    </xf>
    <xf numFmtId="0" fontId="193" fillId="0" borderId="0" applyNumberFormat="0" applyFill="0" applyBorder="0" applyAlignment="0" applyProtection="0"/>
    <xf numFmtId="0" fontId="193" fillId="0" borderId="0" applyNumberFormat="0" applyFill="0" applyBorder="0" applyAlignment="0" applyProtection="0"/>
    <xf numFmtId="0" fontId="197" fillId="0" borderId="51" applyNumberFormat="0" applyFill="0" applyAlignment="0" applyProtection="0"/>
    <xf numFmtId="0" fontId="197" fillId="0" borderId="51" applyNumberFormat="0" applyFill="0" applyAlignment="0" applyProtection="0"/>
    <xf numFmtId="0" fontId="198" fillId="0" borderId="52" applyNumberFormat="0" applyBorder="0" applyAlignment="0">
      <alignment vertical="center"/>
    </xf>
    <xf numFmtId="0" fontId="198" fillId="0" borderId="52" applyNumberFormat="0" applyBorder="0" applyAlignment="0">
      <alignment vertical="center"/>
    </xf>
    <xf numFmtId="0" fontId="118" fillId="9" borderId="0" applyNumberFormat="0" applyBorder="0" applyAlignment="0" applyProtection="0"/>
    <xf numFmtId="0" fontId="16" fillId="0" borderId="24" applyNumberFormat="0" applyFont="0" applyFill="0" applyAlignment="0" applyProtection="0"/>
    <xf numFmtId="0" fontId="197" fillId="0" borderId="51" applyNumberFormat="0" applyFill="0" applyAlignment="0" applyProtection="0"/>
    <xf numFmtId="0" fontId="197" fillId="0" borderId="51" applyNumberFormat="0" applyFill="0" applyAlignment="0" applyProtection="0"/>
    <xf numFmtId="0" fontId="16" fillId="0" borderId="53" applyNumberFormat="0" applyFill="0" applyAlignment="0" applyProtection="0"/>
    <xf numFmtId="0" fontId="144" fillId="0" borderId="54" applyNumberFormat="0" applyAlignment="0">
      <alignment horizontal="center"/>
    </xf>
    <xf numFmtId="0" fontId="146" fillId="49" borderId="0" applyNumberFormat="0" applyBorder="0" applyAlignment="0" applyProtection="0"/>
    <xf numFmtId="0" fontId="199" fillId="0" borderId="55">
      <alignment horizontal="center"/>
    </xf>
    <xf numFmtId="3" fontId="200" fillId="0" borderId="0" applyFill="0">
      <alignment vertical="center"/>
    </xf>
    <xf numFmtId="164" fontId="16" fillId="0" borderId="0" applyFont="0" applyFill="0" applyBorder="0" applyAlignment="0" applyProtection="0"/>
    <xf numFmtId="196" fontId="16" fillId="0" borderId="0" applyFont="0" applyFill="0" applyBorder="0" applyAlignment="0" applyProtection="0"/>
    <xf numFmtId="173" fontId="201" fillId="0" borderId="56" applyNumberFormat="0" applyFont="0" applyAlignment="0">
      <alignment horizontal="centerContinuous"/>
    </xf>
    <xf numFmtId="259" fontId="132" fillId="0" borderId="0" applyFont="0" applyFill="0" applyBorder="0" applyAlignment="0" applyProtection="0"/>
    <xf numFmtId="297" fontId="25" fillId="0" borderId="0" applyFont="0" applyFill="0" applyBorder="0" applyAlignment="0" applyProtection="0"/>
    <xf numFmtId="298" fontId="25" fillId="0" borderId="0" applyFont="0" applyFill="0" applyBorder="0" applyAlignment="0" applyProtection="0"/>
    <xf numFmtId="0" fontId="202" fillId="0" borderId="0" applyNumberFormat="0" applyFill="0" applyBorder="0" applyAlignment="0" applyProtection="0"/>
    <xf numFmtId="0" fontId="107" fillId="0" borderId="0" applyNumberFormat="0" applyFill="0" applyBorder="0" applyAlignment="0" applyProtection="0"/>
    <xf numFmtId="0" fontId="125" fillId="0" borderId="57">
      <alignment horizontal="center"/>
    </xf>
    <xf numFmtId="295" fontId="44" fillId="0" borderId="0"/>
    <xf numFmtId="207" fontId="44" fillId="0" borderId="1"/>
    <xf numFmtId="207" fontId="44" fillId="0" borderId="1"/>
    <xf numFmtId="0" fontId="203" fillId="0" borderId="0"/>
    <xf numFmtId="0" fontId="42" fillId="0" borderId="0"/>
    <xf numFmtId="0" fontId="42" fillId="0" borderId="0"/>
    <xf numFmtId="0" fontId="204" fillId="0" borderId="0"/>
    <xf numFmtId="3" fontId="44" fillId="0" borderId="0" applyNumberFormat="0" applyBorder="0" applyAlignment="0" applyProtection="0">
      <alignment horizontal="centerContinuous"/>
      <protection locked="0"/>
    </xf>
    <xf numFmtId="3" fontId="205" fillId="0" borderId="0">
      <protection locked="0"/>
    </xf>
    <xf numFmtId="0" fontId="42" fillId="0" borderId="0"/>
    <xf numFmtId="0" fontId="42" fillId="0" borderId="0"/>
    <xf numFmtId="0" fontId="206" fillId="0" borderId="58" applyFill="0" applyBorder="0" applyAlignment="0">
      <alignment horizontal="center"/>
    </xf>
    <xf numFmtId="222" fontId="207" fillId="67" borderId="3">
      <alignment vertical="top"/>
    </xf>
    <xf numFmtId="222" fontId="207" fillId="67" borderId="3">
      <alignment vertical="top"/>
    </xf>
    <xf numFmtId="0" fontId="208" fillId="68" borderId="1">
      <alignment horizontal="left" vertical="center"/>
    </xf>
    <xf numFmtId="0" fontId="208" fillId="68" borderId="1">
      <alignment horizontal="left" vertical="center"/>
    </xf>
    <xf numFmtId="204" fontId="209" fillId="51" borderId="3"/>
    <xf numFmtId="204" fontId="209" fillId="51" borderId="3"/>
    <xf numFmtId="222" fontId="129" fillId="0" borderId="3">
      <alignment horizontal="left" vertical="top"/>
    </xf>
    <xf numFmtId="222" fontId="129" fillId="0" borderId="3">
      <alignment horizontal="left" vertical="top"/>
    </xf>
    <xf numFmtId="0" fontId="210" fillId="69" borderId="0">
      <alignment horizontal="left" vertical="center"/>
    </xf>
    <xf numFmtId="222" fontId="29" fillId="0" borderId="4">
      <alignment horizontal="left" vertical="top"/>
    </xf>
    <xf numFmtId="0" fontId="211" fillId="0" borderId="4">
      <alignment horizontal="left" vertical="center"/>
    </xf>
    <xf numFmtId="0" fontId="16" fillId="0" borderId="0" applyFont="0" applyFill="0" applyBorder="0" applyAlignment="0" applyProtection="0"/>
    <xf numFmtId="0" fontId="16" fillId="0" borderId="0" applyFont="0" applyFill="0" applyBorder="0" applyAlignment="0" applyProtection="0"/>
    <xf numFmtId="299" fontId="16" fillId="0" borderId="0" applyFont="0" applyFill="0" applyBorder="0" applyAlignment="0" applyProtection="0"/>
    <xf numFmtId="300" fontId="16" fillId="0" borderId="0" applyFont="0" applyFill="0" applyBorder="0" applyAlignment="0" applyProtection="0"/>
    <xf numFmtId="167" fontId="102" fillId="0" borderId="0" applyFont="0" applyFill="0" applyBorder="0" applyAlignment="0" applyProtection="0"/>
    <xf numFmtId="169" fontId="102" fillId="0" borderId="0" applyFont="0" applyFill="0" applyBorder="0" applyAlignment="0" applyProtection="0"/>
    <xf numFmtId="0" fontId="212" fillId="0" borderId="0" applyNumberFormat="0" applyFill="0" applyBorder="0" applyAlignment="0" applyProtection="0"/>
    <xf numFmtId="0" fontId="20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16" fillId="0" borderId="0" applyFont="0" applyFill="0" applyBorder="0" applyAlignment="0" applyProtection="0"/>
    <xf numFmtId="0" fontId="16" fillId="0" borderId="0" applyFont="0" applyFill="0" applyBorder="0" applyAlignment="0" applyProtection="0"/>
    <xf numFmtId="0" fontId="72" fillId="7" borderId="0" applyNumberFormat="0" applyBorder="0" applyAlignment="0" applyProtection="0"/>
    <xf numFmtId="0" fontId="214" fillId="0" borderId="0" applyNumberFormat="0" applyFill="0" applyBorder="0" applyAlignment="0" applyProtection="0"/>
    <xf numFmtId="0" fontId="66" fillId="0" borderId="59" applyFont="0" applyBorder="0" applyAlignment="0">
      <alignment horizontal="center"/>
    </xf>
    <xf numFmtId="164" fontId="25"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0" fontId="34" fillId="0" borderId="0"/>
    <xf numFmtId="0" fontId="215" fillId="0" borderId="0" applyFont="0" applyFill="0" applyBorder="0" applyAlignment="0" applyProtection="0"/>
    <xf numFmtId="0" fontId="215" fillId="0" borderId="0" applyFont="0" applyFill="0" applyBorder="0" applyAlignment="0" applyProtection="0"/>
    <xf numFmtId="0" fontId="89" fillId="0" borderId="0">
      <alignment vertical="center"/>
    </xf>
    <xf numFmtId="40" fontId="16" fillId="0" borderId="0" applyFill="0" applyBorder="0" applyAlignment="0" applyProtection="0"/>
    <xf numFmtId="38"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9" fontId="216" fillId="0" borderId="0" applyBorder="0" applyAlignment="0" applyProtection="0"/>
    <xf numFmtId="0" fontId="217" fillId="0" borderId="0"/>
    <xf numFmtId="0" fontId="218" fillId="0" borderId="21"/>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0" fillId="0" borderId="0" applyFont="0" applyFill="0" applyBorder="0" applyAlignment="0" applyProtection="0"/>
    <xf numFmtId="0" fontId="150" fillId="0" borderId="0" applyFont="0" applyFill="0" applyBorder="0" applyAlignment="0" applyProtection="0"/>
    <xf numFmtId="180" fontId="16" fillId="0" borderId="0" applyFont="0" applyFill="0" applyBorder="0" applyAlignment="0" applyProtection="0"/>
    <xf numFmtId="192" fontId="16" fillId="0" borderId="0" applyFont="0" applyFill="0" applyBorder="0" applyAlignment="0" applyProtection="0"/>
    <xf numFmtId="0" fontId="150" fillId="0" borderId="0"/>
    <xf numFmtId="0" fontId="219" fillId="0" borderId="0"/>
    <xf numFmtId="0" fontId="139" fillId="0" borderId="0"/>
    <xf numFmtId="164" fontId="154" fillId="0" borderId="0" applyFont="0" applyFill="0" applyBorder="0" applyAlignment="0" applyProtection="0"/>
    <xf numFmtId="165" fontId="154" fillId="0" borderId="0" applyFont="0" applyFill="0" applyBorder="0" applyAlignment="0" applyProtection="0"/>
    <xf numFmtId="301" fontId="42" fillId="0" borderId="0" applyFont="0" applyFill="0" applyBorder="0" applyAlignment="0" applyProtection="0"/>
    <xf numFmtId="279" fontId="42" fillId="0" borderId="0" applyFont="0" applyFill="0" applyBorder="0" applyAlignment="0" applyProtection="0"/>
    <xf numFmtId="0" fontId="16" fillId="0" borderId="0"/>
    <xf numFmtId="184" fontId="154" fillId="0" borderId="0" applyFont="0" applyFill="0" applyBorder="0" applyAlignment="0" applyProtection="0"/>
    <xf numFmtId="166" fontId="36" fillId="0" borderId="0" applyFont="0" applyFill="0" applyBorder="0" applyAlignment="0" applyProtection="0"/>
    <xf numFmtId="185" fontId="154" fillId="0" borderId="0" applyFont="0" applyFill="0" applyBorder="0" applyAlignment="0" applyProtection="0"/>
    <xf numFmtId="175" fontId="16" fillId="0" borderId="0" applyFont="0" applyFill="0" applyBorder="0" applyAlignment="0" applyProtection="0"/>
    <xf numFmtId="180" fontId="42"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0" fontId="15" fillId="0" borderId="0"/>
    <xf numFmtId="9" fontId="2" fillId="0" borderId="0" applyFont="0" applyFill="0" applyBorder="0" applyAlignment="0" applyProtection="0"/>
    <xf numFmtId="9" fontId="1" fillId="0" borderId="0" applyFont="0" applyFill="0" applyBorder="0" applyAlignment="0" applyProtection="0"/>
  </cellStyleXfs>
  <cellXfs count="726">
    <xf numFmtId="0" fontId="0" fillId="0" borderId="0" xfId="0"/>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xf numFmtId="0" fontId="5" fillId="0" borderId="1" xfId="0" applyFont="1" applyBorder="1" applyAlignment="1">
      <alignment horizontal="center"/>
    </xf>
    <xf numFmtId="0" fontId="6" fillId="0" borderId="1" xfId="0" applyFont="1" applyBorder="1"/>
    <xf numFmtId="171" fontId="6" fillId="0" borderId="1" xfId="0" applyNumberFormat="1" applyFont="1" applyBorder="1"/>
    <xf numFmtId="2" fontId="6" fillId="0" borderId="1" xfId="0" applyNumberFormat="1" applyFont="1" applyBorder="1"/>
    <xf numFmtId="2" fontId="6" fillId="0" borderId="0" xfId="0" applyNumberFormat="1" applyFont="1" applyBorder="1"/>
    <xf numFmtId="2" fontId="6" fillId="0" borderId="0" xfId="0" applyNumberFormat="1" applyFont="1"/>
    <xf numFmtId="0" fontId="5" fillId="0" borderId="1" xfId="0" applyFont="1" applyFill="1" applyBorder="1" applyAlignment="1">
      <alignment horizontal="center" vertical="center" wrapText="1"/>
    </xf>
    <xf numFmtId="0" fontId="5" fillId="0" borderId="1" xfId="0" applyFont="1" applyBorder="1" applyAlignment="1">
      <alignment horizontal="center" wrapText="1"/>
    </xf>
    <xf numFmtId="4" fontId="6" fillId="0" borderId="1" xfId="0" applyNumberFormat="1" applyFont="1" applyBorder="1" applyAlignment="1">
      <alignment vertical="center"/>
    </xf>
    <xf numFmtId="177" fontId="17" fillId="0" borderId="13" xfId="5" applyNumberFormat="1" applyFont="1" applyFill="1" applyBorder="1" applyAlignment="1">
      <alignment horizontal="right" vertical="center"/>
    </xf>
    <xf numFmtId="3" fontId="22" fillId="0" borderId="13" xfId="5" applyNumberFormat="1" applyFont="1" applyFill="1" applyBorder="1" applyAlignment="1">
      <alignment horizontal="right" vertical="center"/>
    </xf>
    <xf numFmtId="0" fontId="18" fillId="0" borderId="0" xfId="0" applyFont="1" applyFill="1" applyAlignment="1">
      <alignment horizontal="center" vertical="center"/>
    </xf>
    <xf numFmtId="0" fontId="22" fillId="0" borderId="0" xfId="0" applyFont="1" applyFill="1"/>
    <xf numFmtId="176" fontId="22" fillId="0" borderId="0" xfId="5" applyNumberFormat="1" applyFont="1" applyFill="1"/>
    <xf numFmtId="0" fontId="17" fillId="0" borderId="0" xfId="0" applyFont="1" applyFill="1" applyAlignment="1">
      <alignment horizontal="center" vertical="center"/>
    </xf>
    <xf numFmtId="176" fontId="22" fillId="0" borderId="0" xfId="0" applyNumberFormat="1" applyFont="1" applyFill="1"/>
    <xf numFmtId="168" fontId="22" fillId="0" borderId="0" xfId="0" applyNumberFormat="1" applyFont="1" applyFill="1"/>
    <xf numFmtId="0" fontId="17" fillId="0" borderId="0" xfId="6" applyFont="1" applyFill="1" applyAlignment="1">
      <alignment horizontal="center"/>
    </xf>
    <xf numFmtId="0" fontId="17" fillId="0" borderId="0" xfId="6" applyFont="1" applyFill="1" applyAlignment="1">
      <alignment wrapText="1"/>
    </xf>
    <xf numFmtId="0" fontId="17" fillId="0" borderId="0" xfId="6" applyFont="1" applyFill="1"/>
    <xf numFmtId="168" fontId="17" fillId="0" borderId="0" xfId="6" applyNumberFormat="1" applyFont="1" applyFill="1"/>
    <xf numFmtId="0" fontId="223" fillId="0" borderId="0" xfId="6" applyFont="1" applyFill="1" applyAlignment="1">
      <alignment horizontal="left" vertical="center"/>
    </xf>
    <xf numFmtId="0" fontId="17" fillId="0" borderId="0" xfId="6" applyFont="1" applyFill="1" applyBorder="1" applyAlignment="1">
      <alignment horizontal="center"/>
    </xf>
    <xf numFmtId="0" fontId="17" fillId="0" borderId="3" xfId="6" applyFont="1" applyFill="1" applyBorder="1" applyAlignment="1">
      <alignment horizontal="center"/>
    </xf>
    <xf numFmtId="0" fontId="17" fillId="0" borderId="1" xfId="4" applyFont="1" applyFill="1" applyBorder="1" applyAlignment="1">
      <alignment horizontal="center" vertical="center"/>
    </xf>
    <xf numFmtId="0" fontId="17" fillId="0" borderId="1" xfId="4" applyFont="1" applyFill="1" applyBorder="1" applyAlignment="1">
      <alignment horizontal="center" vertical="center" wrapText="1"/>
    </xf>
    <xf numFmtId="49" fontId="17" fillId="0" borderId="1" xfId="4" applyNumberFormat="1" applyFont="1" applyFill="1" applyBorder="1" applyAlignment="1">
      <alignment horizontal="center" vertical="center"/>
    </xf>
    <xf numFmtId="3" fontId="17" fillId="0" borderId="1" xfId="4" applyNumberFormat="1" applyFont="1" applyFill="1" applyBorder="1" applyAlignment="1">
      <alignment horizontal="center" vertical="center"/>
    </xf>
    <xf numFmtId="3" fontId="17" fillId="0" borderId="5" xfId="4" applyNumberFormat="1" applyFont="1" applyFill="1" applyBorder="1" applyAlignment="1">
      <alignment horizontal="center" vertical="center"/>
    </xf>
    <xf numFmtId="173" fontId="17" fillId="0" borderId="5" xfId="3" applyNumberFormat="1" applyFont="1" applyFill="1" applyBorder="1" applyAlignment="1">
      <alignment horizontal="center" vertical="center"/>
    </xf>
    <xf numFmtId="0" fontId="18" fillId="0" borderId="17" xfId="4" applyFont="1" applyFill="1" applyBorder="1" applyAlignment="1">
      <alignment horizontal="center" vertical="center"/>
    </xf>
    <xf numFmtId="0" fontId="18" fillId="0" borderId="17" xfId="4" applyFont="1" applyFill="1" applyBorder="1" applyAlignment="1">
      <alignment horizontal="center" vertical="center" wrapText="1"/>
    </xf>
    <xf numFmtId="49" fontId="18" fillId="0" borderId="17" xfId="4" applyNumberFormat="1" applyFont="1" applyFill="1" applyBorder="1" applyAlignment="1">
      <alignment horizontal="center" vertical="center"/>
    </xf>
    <xf numFmtId="173" fontId="18" fillId="0" borderId="17" xfId="4" applyNumberFormat="1" applyFont="1" applyFill="1" applyBorder="1" applyAlignment="1">
      <alignment horizontal="center" vertical="center"/>
    </xf>
    <xf numFmtId="168" fontId="18" fillId="0" borderId="3" xfId="4" applyNumberFormat="1" applyFont="1" applyFill="1" applyBorder="1" applyAlignment="1">
      <alignment horizontal="center" vertical="center"/>
    </xf>
    <xf numFmtId="168" fontId="18" fillId="0" borderId="17" xfId="4" applyNumberFormat="1" applyFont="1" applyFill="1" applyBorder="1" applyAlignment="1">
      <alignment horizontal="center" vertical="center"/>
    </xf>
    <xf numFmtId="0" fontId="18" fillId="0" borderId="13" xfId="4" applyFont="1" applyFill="1" applyBorder="1" applyAlignment="1">
      <alignment horizontal="center" vertical="center"/>
    </xf>
    <xf numFmtId="0" fontId="18" fillId="0" borderId="13" xfId="4" applyFont="1" applyFill="1" applyBorder="1" applyAlignment="1">
      <alignment horizontal="left" vertical="center" wrapText="1"/>
    </xf>
    <xf numFmtId="49" fontId="18" fillId="0" borderId="13" xfId="4" applyNumberFormat="1" applyFont="1" applyFill="1" applyBorder="1" applyAlignment="1">
      <alignment horizontal="center" vertical="center"/>
    </xf>
    <xf numFmtId="173" fontId="18" fillId="0" borderId="13" xfId="4" applyNumberFormat="1" applyFont="1" applyFill="1" applyBorder="1" applyAlignment="1">
      <alignment horizontal="center" vertical="center"/>
    </xf>
    <xf numFmtId="37" fontId="18" fillId="0" borderId="13" xfId="4" applyNumberFormat="1" applyFont="1" applyFill="1" applyBorder="1" applyAlignment="1">
      <alignment horizontal="center" vertical="center"/>
    </xf>
    <xf numFmtId="168" fontId="18" fillId="0" borderId="13" xfId="4" applyNumberFormat="1" applyFont="1" applyFill="1" applyBorder="1" applyAlignment="1">
      <alignment horizontal="center" vertical="center"/>
    </xf>
    <xf numFmtId="0" fontId="18" fillId="0" borderId="13" xfId="7" quotePrefix="1" applyFont="1" applyFill="1" applyBorder="1" applyAlignment="1">
      <alignment horizontal="center" vertical="center"/>
    </xf>
    <xf numFmtId="0" fontId="18" fillId="0" borderId="13" xfId="7" applyFont="1" applyFill="1" applyBorder="1" applyAlignment="1">
      <alignment horizontal="left" vertical="center"/>
    </xf>
    <xf numFmtId="3" fontId="18" fillId="0" borderId="13" xfId="7" applyNumberFormat="1" applyFont="1" applyFill="1" applyBorder="1" applyAlignment="1">
      <alignment vertical="center"/>
    </xf>
    <xf numFmtId="3" fontId="17" fillId="0" borderId="13" xfId="3" applyNumberFormat="1" applyFont="1" applyFill="1" applyBorder="1" applyAlignment="1">
      <alignment horizontal="center" vertical="center" wrapText="1"/>
    </xf>
    <xf numFmtId="173" fontId="17" fillId="0" borderId="13" xfId="3" applyNumberFormat="1" applyFont="1" applyFill="1" applyBorder="1" applyAlignment="1">
      <alignment vertical="center" wrapText="1"/>
    </xf>
    <xf numFmtId="3" fontId="17" fillId="0" borderId="13" xfId="7" applyNumberFormat="1" applyFont="1" applyFill="1" applyBorder="1" applyAlignment="1">
      <alignment vertical="center"/>
    </xf>
    <xf numFmtId="168" fontId="17" fillId="0" borderId="13" xfId="7" applyNumberFormat="1" applyFont="1" applyFill="1" applyBorder="1" applyAlignment="1">
      <alignment vertical="center"/>
    </xf>
    <xf numFmtId="168" fontId="18" fillId="0" borderId="13" xfId="7" applyNumberFormat="1" applyFont="1" applyFill="1" applyBorder="1" applyAlignment="1">
      <alignment vertical="center"/>
    </xf>
    <xf numFmtId="168" fontId="18" fillId="0" borderId="18" xfId="7" applyNumberFormat="1" applyFont="1" applyFill="1" applyBorder="1" applyAlignment="1">
      <alignment vertical="center"/>
    </xf>
    <xf numFmtId="0" fontId="119" fillId="0" borderId="0" xfId="0" applyFont="1" applyFill="1"/>
    <xf numFmtId="173" fontId="18" fillId="0" borderId="13" xfId="3" applyNumberFormat="1" applyFont="1" applyFill="1" applyBorder="1" applyAlignment="1">
      <alignment horizontal="center" vertical="center"/>
    </xf>
    <xf numFmtId="173" fontId="18" fillId="0" borderId="13" xfId="3" applyNumberFormat="1" applyFont="1" applyFill="1" applyBorder="1" applyAlignment="1">
      <alignment horizontal="left" vertical="center" wrapText="1"/>
    </xf>
    <xf numFmtId="49" fontId="18" fillId="0" borderId="13" xfId="3" applyNumberFormat="1" applyFont="1" applyFill="1" applyBorder="1" applyAlignment="1">
      <alignment horizontal="left" vertical="center"/>
    </xf>
    <xf numFmtId="173" fontId="18" fillId="0" borderId="13" xfId="3" applyNumberFormat="1" applyFont="1" applyFill="1" applyBorder="1" applyAlignment="1">
      <alignment vertical="center"/>
    </xf>
    <xf numFmtId="168" fontId="18" fillId="0" borderId="13" xfId="3" applyNumberFormat="1" applyFont="1" applyFill="1" applyBorder="1" applyAlignment="1">
      <alignment vertical="center"/>
    </xf>
    <xf numFmtId="175" fontId="17" fillId="0" borderId="13" xfId="3" quotePrefix="1" applyNumberFormat="1" applyFont="1" applyFill="1" applyBorder="1" applyAlignment="1">
      <alignment horizontal="center" vertical="center" wrapText="1"/>
    </xf>
    <xf numFmtId="173" fontId="17" fillId="0" borderId="13" xfId="3" applyNumberFormat="1" applyFont="1" applyFill="1" applyBorder="1" applyAlignment="1">
      <alignment horizontal="left" vertical="center" wrapText="1"/>
    </xf>
    <xf numFmtId="49" fontId="17" fillId="0" borderId="13" xfId="3" applyNumberFormat="1" applyFont="1" applyFill="1" applyBorder="1" applyAlignment="1">
      <alignment horizontal="center" vertical="center"/>
    </xf>
    <xf numFmtId="173" fontId="17" fillId="0" borderId="13" xfId="3" applyNumberFormat="1" applyFont="1" applyFill="1" applyBorder="1" applyAlignment="1">
      <alignment vertical="center"/>
    </xf>
    <xf numFmtId="168" fontId="17" fillId="0" borderId="13" xfId="3" applyNumberFormat="1" applyFont="1" applyFill="1" applyBorder="1" applyAlignment="1">
      <alignment vertical="center"/>
    </xf>
    <xf numFmtId="173" fontId="17" fillId="0" borderId="13" xfId="3" applyNumberFormat="1" applyFont="1" applyFill="1" applyBorder="1" applyAlignment="1">
      <alignment horizontal="center" vertical="center"/>
    </xf>
    <xf numFmtId="173" fontId="17" fillId="0" borderId="13" xfId="3" quotePrefix="1" applyNumberFormat="1" applyFont="1" applyFill="1" applyBorder="1" applyAlignment="1">
      <alignment horizontal="center" vertical="center"/>
    </xf>
    <xf numFmtId="0" fontId="17" fillId="0" borderId="13" xfId="4" applyFont="1" applyFill="1" applyBorder="1" applyAlignment="1">
      <alignment vertical="center" wrapText="1"/>
    </xf>
    <xf numFmtId="175" fontId="17" fillId="0" borderId="13" xfId="3" quotePrefix="1" applyNumberFormat="1" applyFont="1" applyFill="1" applyBorder="1" applyAlignment="1">
      <alignment horizontal="center" vertical="center"/>
    </xf>
    <xf numFmtId="49" fontId="17" fillId="0" borderId="13" xfId="3" applyNumberFormat="1" applyFont="1" applyFill="1" applyBorder="1" applyAlignment="1">
      <alignment vertical="center"/>
    </xf>
    <xf numFmtId="175" fontId="17" fillId="0" borderId="13" xfId="3" applyNumberFormat="1" applyFont="1" applyFill="1" applyBorder="1" applyAlignment="1">
      <alignment horizontal="center" vertical="center"/>
    </xf>
    <xf numFmtId="49" fontId="17" fillId="0" borderId="13" xfId="3" quotePrefix="1" applyNumberFormat="1" applyFont="1" applyFill="1" applyBorder="1" applyAlignment="1">
      <alignment horizontal="center" vertical="center"/>
    </xf>
    <xf numFmtId="174" fontId="17" fillId="0" borderId="13" xfId="3" applyNumberFormat="1" applyFont="1" applyFill="1" applyBorder="1" applyAlignment="1">
      <alignment vertical="center" wrapText="1"/>
    </xf>
    <xf numFmtId="0" fontId="17" fillId="0" borderId="13" xfId="3" quotePrefix="1" applyNumberFormat="1" applyFont="1" applyFill="1" applyBorder="1" applyAlignment="1">
      <alignment horizontal="center" vertical="center"/>
    </xf>
    <xf numFmtId="175" fontId="17" fillId="0" borderId="13" xfId="3" applyNumberFormat="1" applyFont="1" applyFill="1" applyBorder="1" applyAlignment="1">
      <alignment horizontal="left" vertical="center" wrapText="1"/>
    </xf>
    <xf numFmtId="0" fontId="17" fillId="0" borderId="13" xfId="4" quotePrefix="1" applyFont="1" applyFill="1" applyBorder="1" applyAlignment="1">
      <alignment horizontal="center" vertical="center"/>
    </xf>
    <xf numFmtId="175" fontId="18" fillId="0" borderId="13" xfId="3" applyNumberFormat="1" applyFont="1" applyFill="1" applyBorder="1" applyAlignment="1">
      <alignment horizontal="center" vertical="center"/>
    </xf>
    <xf numFmtId="49" fontId="18" fillId="0" borderId="13" xfId="3" applyNumberFormat="1" applyFont="1" applyFill="1" applyBorder="1" applyAlignment="1">
      <alignment horizontal="center" vertical="center"/>
    </xf>
    <xf numFmtId="0" fontId="18" fillId="0" borderId="0" xfId="6" applyFont="1" applyFill="1"/>
    <xf numFmtId="0" fontId="18" fillId="0" borderId="13" xfId="4" applyFont="1" applyFill="1" applyBorder="1" applyAlignment="1">
      <alignment vertical="center" wrapText="1"/>
    </xf>
    <xf numFmtId="173" fontId="17" fillId="0" borderId="13" xfId="3" quotePrefix="1" applyNumberFormat="1" applyFont="1" applyFill="1" applyBorder="1" applyAlignment="1">
      <alignment vertical="center" wrapText="1"/>
    </xf>
    <xf numFmtId="49" fontId="18" fillId="0" borderId="13" xfId="3" quotePrefix="1" applyNumberFormat="1" applyFont="1" applyFill="1" applyBorder="1" applyAlignment="1">
      <alignment horizontal="center" vertical="center"/>
    </xf>
    <xf numFmtId="173" fontId="18" fillId="0" borderId="13" xfId="3" applyNumberFormat="1" applyFont="1" applyFill="1" applyBorder="1" applyAlignment="1">
      <alignment vertical="center" wrapText="1"/>
    </xf>
    <xf numFmtId="49" fontId="18" fillId="0" borderId="13" xfId="3" applyNumberFormat="1" applyFont="1" applyFill="1" applyBorder="1" applyAlignment="1">
      <alignment vertical="center"/>
    </xf>
    <xf numFmtId="178" fontId="17" fillId="0" borderId="13" xfId="3" quotePrefix="1" applyNumberFormat="1" applyFont="1" applyFill="1" applyBorder="1" applyAlignment="1">
      <alignment vertical="center" wrapText="1"/>
    </xf>
    <xf numFmtId="175" fontId="18" fillId="0" borderId="13" xfId="3" quotePrefix="1" applyNumberFormat="1" applyFont="1" applyFill="1" applyBorder="1" applyAlignment="1">
      <alignment horizontal="center" vertical="center"/>
    </xf>
    <xf numFmtId="173" fontId="18" fillId="0" borderId="13" xfId="3" quotePrefix="1" applyNumberFormat="1" applyFont="1" applyFill="1" applyBorder="1" applyAlignment="1">
      <alignment vertical="center" wrapText="1"/>
    </xf>
    <xf numFmtId="0" fontId="18" fillId="0" borderId="13" xfId="6" applyFont="1" applyFill="1" applyBorder="1" applyAlignment="1">
      <alignment vertical="center" wrapText="1"/>
    </xf>
    <xf numFmtId="0" fontId="18" fillId="0" borderId="13" xfId="6" applyFont="1" applyFill="1" applyBorder="1" applyAlignment="1">
      <alignment horizontal="center" vertical="center" wrapText="1"/>
    </xf>
    <xf numFmtId="0" fontId="17" fillId="0" borderId="13" xfId="7" quotePrefix="1" applyFont="1" applyFill="1" applyBorder="1" applyAlignment="1">
      <alignment horizontal="center" vertical="center"/>
    </xf>
    <xf numFmtId="0" fontId="17" fillId="0" borderId="13" xfId="8" applyFont="1" applyFill="1" applyBorder="1" applyAlignment="1">
      <alignment horizontal="left" vertical="center" wrapText="1"/>
    </xf>
    <xf numFmtId="0" fontId="17" fillId="0" borderId="13" xfId="8" applyFont="1" applyFill="1" applyBorder="1" applyAlignment="1">
      <alignment vertical="center" wrapText="1"/>
    </xf>
    <xf numFmtId="3" fontId="17" fillId="0" borderId="13" xfId="8" applyNumberFormat="1" applyFont="1" applyFill="1" applyBorder="1" applyAlignment="1">
      <alignment vertical="center"/>
    </xf>
    <xf numFmtId="0" fontId="18" fillId="0" borderId="13" xfId="8" applyFont="1" applyFill="1" applyBorder="1" applyAlignment="1">
      <alignment vertical="center" wrapText="1"/>
    </xf>
    <xf numFmtId="3" fontId="18" fillId="0" borderId="13" xfId="8" applyNumberFormat="1" applyFont="1" applyFill="1" applyBorder="1" applyAlignment="1">
      <alignment vertical="center"/>
    </xf>
    <xf numFmtId="0" fontId="17" fillId="0" borderId="13" xfId="0" applyFont="1" applyFill="1" applyBorder="1" applyAlignment="1">
      <alignment horizontal="center" vertical="center" wrapText="1"/>
    </xf>
    <xf numFmtId="0" fontId="17" fillId="0" borderId="13" xfId="0" applyFont="1" applyFill="1" applyBorder="1" applyAlignment="1">
      <alignment vertical="center" wrapText="1"/>
    </xf>
    <xf numFmtId="3" fontId="17" fillId="0" borderId="13" xfId="0" applyNumberFormat="1" applyFont="1" applyFill="1" applyBorder="1" applyAlignment="1">
      <alignment horizontal="right" vertical="center" wrapText="1"/>
    </xf>
    <xf numFmtId="168" fontId="17" fillId="0" borderId="13" xfId="0" applyNumberFormat="1" applyFont="1" applyFill="1" applyBorder="1"/>
    <xf numFmtId="168" fontId="18" fillId="0" borderId="19" xfId="4" applyNumberFormat="1" applyFont="1" applyFill="1" applyBorder="1" applyAlignment="1">
      <alignment horizontal="center" vertical="center"/>
    </xf>
    <xf numFmtId="168" fontId="17" fillId="0" borderId="19" xfId="0" applyNumberFormat="1" applyFont="1" applyFill="1" applyBorder="1"/>
    <xf numFmtId="179" fontId="18" fillId="0" borderId="13" xfId="9" applyNumberFormat="1" applyFont="1" applyFill="1" applyBorder="1" applyAlignment="1">
      <alignment vertical="center" wrapText="1"/>
    </xf>
    <xf numFmtId="168" fontId="18" fillId="0" borderId="18" xfId="4" applyNumberFormat="1" applyFont="1" applyFill="1" applyBorder="1" applyAlignment="1">
      <alignment horizontal="center" vertical="center"/>
    </xf>
    <xf numFmtId="168" fontId="18" fillId="0" borderId="18" xfId="3" applyNumberFormat="1" applyFont="1" applyFill="1" applyBorder="1" applyAlignment="1">
      <alignment vertical="center"/>
    </xf>
    <xf numFmtId="0" fontId="17" fillId="0" borderId="13" xfId="6" applyFont="1" applyFill="1" applyBorder="1" applyAlignment="1">
      <alignment horizontal="center" vertical="center" wrapText="1"/>
    </xf>
    <xf numFmtId="0" fontId="17" fillId="0" borderId="13" xfId="4" quotePrefix="1" applyFont="1" applyFill="1" applyBorder="1" applyAlignment="1">
      <alignment vertical="center" wrapText="1"/>
    </xf>
    <xf numFmtId="178" fontId="17" fillId="0" borderId="13" xfId="2" applyNumberFormat="1" applyFont="1" applyFill="1" applyBorder="1" applyAlignment="1" applyProtection="1">
      <alignment vertical="center" wrapText="1"/>
    </xf>
    <xf numFmtId="175" fontId="17" fillId="0" borderId="19" xfId="3" quotePrefix="1" applyNumberFormat="1" applyFont="1" applyFill="1" applyBorder="1" applyAlignment="1">
      <alignment horizontal="center" vertical="center"/>
    </xf>
    <xf numFmtId="0" fontId="17" fillId="0" borderId="19" xfId="4" applyFont="1" applyFill="1" applyBorder="1" applyAlignment="1">
      <alignment horizontal="left" vertical="center" wrapText="1"/>
    </xf>
    <xf numFmtId="49" fontId="17" fillId="0" borderId="19" xfId="3" applyNumberFormat="1" applyFont="1" applyFill="1" applyBorder="1" applyAlignment="1">
      <alignment horizontal="center" vertical="center"/>
    </xf>
    <xf numFmtId="173" fontId="17" fillId="0" borderId="19" xfId="3" quotePrefix="1" applyNumberFormat="1" applyFont="1" applyFill="1" applyBorder="1" applyAlignment="1">
      <alignment horizontal="center" vertical="center"/>
    </xf>
    <xf numFmtId="168" fontId="17" fillId="0" borderId="19" xfId="3" applyNumberFormat="1" applyFont="1" applyFill="1" applyBorder="1" applyAlignment="1">
      <alignment vertical="center"/>
    </xf>
    <xf numFmtId="0" fontId="227" fillId="0" borderId="0" xfId="0" applyFont="1" applyAlignment="1">
      <alignment vertical="center"/>
    </xf>
    <xf numFmtId="0" fontId="227" fillId="0" borderId="1" xfId="0" applyFont="1" applyBorder="1" applyAlignment="1">
      <alignment horizontal="center" vertical="center" wrapText="1"/>
    </xf>
    <xf numFmtId="0" fontId="227" fillId="0" borderId="0" xfId="0" applyFont="1" applyAlignment="1">
      <alignment horizontal="center" vertical="center" wrapText="1"/>
    </xf>
    <xf numFmtId="0" fontId="228" fillId="0" borderId="17" xfId="0" quotePrefix="1" applyFont="1" applyBorder="1" applyAlignment="1">
      <alignment horizontal="center" vertical="center"/>
    </xf>
    <xf numFmtId="0" fontId="228" fillId="0" borderId="17" xfId="0" applyFont="1" applyBorder="1" applyAlignment="1">
      <alignment vertical="center" wrapText="1"/>
    </xf>
    <xf numFmtId="0" fontId="228" fillId="0" borderId="17" xfId="0" applyFont="1" applyBorder="1" applyAlignment="1">
      <alignment vertical="center"/>
    </xf>
    <xf numFmtId="0" fontId="228" fillId="0" borderId="13" xfId="0" applyFont="1" applyBorder="1" applyAlignment="1">
      <alignment horizontal="center" vertical="center"/>
    </xf>
    <xf numFmtId="0" fontId="228" fillId="0" borderId="0" xfId="0" applyFont="1" applyAlignment="1">
      <alignment vertical="center"/>
    </xf>
    <xf numFmtId="0" fontId="228" fillId="0" borderId="13" xfId="0" applyFont="1" applyBorder="1" applyAlignment="1">
      <alignment vertical="center" wrapText="1"/>
    </xf>
    <xf numFmtId="0" fontId="228" fillId="0" borderId="13" xfId="0" applyFont="1" applyBorder="1" applyAlignment="1">
      <alignment vertical="center"/>
    </xf>
    <xf numFmtId="0" fontId="228" fillId="0" borderId="19" xfId="0" applyFont="1" applyBorder="1" applyAlignment="1">
      <alignment vertical="center"/>
    </xf>
    <xf numFmtId="0" fontId="231" fillId="0" borderId="0" xfId="0" applyFont="1" applyAlignment="1">
      <alignment horizontal="right" vertical="center"/>
    </xf>
    <xf numFmtId="0" fontId="228" fillId="0" borderId="60" xfId="0" applyFont="1" applyBorder="1" applyAlignment="1">
      <alignment horizontal="center" vertical="center"/>
    </xf>
    <xf numFmtId="0" fontId="228" fillId="0" borderId="60" xfId="0" applyFont="1" applyBorder="1" applyAlignment="1">
      <alignment vertical="center" wrapText="1"/>
    </xf>
    <xf numFmtId="0" fontId="235" fillId="0" borderId="0" xfId="0" applyFont="1" applyAlignment="1">
      <alignment vertical="center"/>
    </xf>
    <xf numFmtId="0" fontId="18" fillId="70" borderId="13" xfId="4" applyFont="1" applyFill="1" applyBorder="1" applyAlignment="1">
      <alignment horizontal="center" vertical="center"/>
    </xf>
    <xf numFmtId="0" fontId="18" fillId="70" borderId="13" xfId="4" applyFont="1" applyFill="1" applyBorder="1" applyAlignment="1">
      <alignment horizontal="left" vertical="center" wrapText="1"/>
    </xf>
    <xf numFmtId="49" fontId="18" fillId="70" borderId="13" xfId="4" applyNumberFormat="1" applyFont="1" applyFill="1" applyBorder="1" applyAlignment="1">
      <alignment horizontal="center" vertical="center"/>
    </xf>
    <xf numFmtId="173" fontId="18" fillId="70" borderId="13" xfId="4" applyNumberFormat="1" applyFont="1" applyFill="1" applyBorder="1" applyAlignment="1">
      <alignment horizontal="center" vertical="center"/>
    </xf>
    <xf numFmtId="37" fontId="18" fillId="70" borderId="13" xfId="4" applyNumberFormat="1" applyFont="1" applyFill="1" applyBorder="1" applyAlignment="1">
      <alignment horizontal="center" vertical="center"/>
    </xf>
    <xf numFmtId="168" fontId="18" fillId="70" borderId="13" xfId="4" applyNumberFormat="1" applyFont="1" applyFill="1" applyBorder="1" applyAlignment="1">
      <alignment horizontal="center" vertical="center"/>
    </xf>
    <xf numFmtId="0" fontId="18" fillId="70" borderId="13" xfId="7" quotePrefix="1" applyFont="1" applyFill="1" applyBorder="1" applyAlignment="1">
      <alignment horizontal="center" vertical="center"/>
    </xf>
    <xf numFmtId="0" fontId="18" fillId="70" borderId="13" xfId="7" applyFont="1" applyFill="1" applyBorder="1" applyAlignment="1">
      <alignment horizontal="left" vertical="center"/>
    </xf>
    <xf numFmtId="3" fontId="18" fillId="70" borderId="13" xfId="7" applyNumberFormat="1" applyFont="1" applyFill="1" applyBorder="1" applyAlignment="1">
      <alignment vertical="center"/>
    </xf>
    <xf numFmtId="177" fontId="18" fillId="70" borderId="13" xfId="5" applyNumberFormat="1" applyFont="1" applyFill="1" applyBorder="1" applyAlignment="1">
      <alignment horizontal="right" vertical="center"/>
    </xf>
    <xf numFmtId="3" fontId="17" fillId="70" borderId="13" xfId="3" applyNumberFormat="1" applyFont="1" applyFill="1" applyBorder="1" applyAlignment="1">
      <alignment horizontal="center" vertical="center" wrapText="1"/>
    </xf>
    <xf numFmtId="173" fontId="17" fillId="70" borderId="13" xfId="3" applyNumberFormat="1" applyFont="1" applyFill="1" applyBorder="1" applyAlignment="1">
      <alignment vertical="center" wrapText="1"/>
    </xf>
    <xf numFmtId="3" fontId="17" fillId="70" borderId="13" xfId="7" applyNumberFormat="1" applyFont="1" applyFill="1" applyBorder="1" applyAlignment="1">
      <alignment vertical="center"/>
    </xf>
    <xf numFmtId="177" fontId="17" fillId="70" borderId="13" xfId="5" applyNumberFormat="1" applyFont="1" applyFill="1" applyBorder="1" applyAlignment="1">
      <alignment horizontal="right" vertical="center"/>
    </xf>
    <xf numFmtId="168" fontId="17" fillId="70" borderId="13" xfId="7" applyNumberFormat="1" applyFont="1" applyFill="1" applyBorder="1" applyAlignment="1">
      <alignment vertical="center"/>
    </xf>
    <xf numFmtId="3" fontId="17" fillId="70" borderId="13" xfId="5" applyNumberFormat="1" applyFont="1" applyFill="1" applyBorder="1" applyAlignment="1">
      <alignment horizontal="right" vertical="center"/>
    </xf>
    <xf numFmtId="3" fontId="22" fillId="70" borderId="13" xfId="5" applyNumberFormat="1" applyFont="1" applyFill="1" applyBorder="1" applyAlignment="1">
      <alignment horizontal="right"/>
    </xf>
    <xf numFmtId="177" fontId="17" fillId="70" borderId="13" xfId="5" applyNumberFormat="1" applyFont="1" applyFill="1" applyBorder="1" applyAlignment="1">
      <alignment horizontal="right" vertical="center" wrapText="1"/>
    </xf>
    <xf numFmtId="3" fontId="23" fillId="70" borderId="13" xfId="5" applyNumberFormat="1" applyFont="1" applyFill="1" applyBorder="1" applyAlignment="1">
      <alignment horizontal="right"/>
    </xf>
    <xf numFmtId="3" fontId="17" fillId="70" borderId="13" xfId="3" quotePrefix="1" applyNumberFormat="1" applyFont="1" applyFill="1" applyBorder="1" applyAlignment="1">
      <alignment horizontal="center" vertical="center" wrapText="1"/>
    </xf>
    <xf numFmtId="3" fontId="22" fillId="70" borderId="13" xfId="5" applyNumberFormat="1" applyFont="1" applyFill="1" applyBorder="1" applyAlignment="1">
      <alignment horizontal="right" vertical="center"/>
    </xf>
    <xf numFmtId="173" fontId="89" fillId="0" borderId="0" xfId="1" applyNumberFormat="1" applyFont="1" applyFill="1"/>
    <xf numFmtId="173" fontId="237" fillId="0" borderId="17" xfId="1" applyNumberFormat="1" applyFont="1" applyFill="1" applyBorder="1" applyAlignment="1">
      <alignment horizontal="center" vertical="center" wrapText="1"/>
    </xf>
    <xf numFmtId="173" fontId="237" fillId="0" borderId="60" xfId="1" applyNumberFormat="1" applyFont="1" applyFill="1" applyBorder="1" applyAlignment="1">
      <alignment horizontal="center" vertical="center" wrapText="1"/>
    </xf>
    <xf numFmtId="173" fontId="237" fillId="0" borderId="60" xfId="1" applyNumberFormat="1" applyFont="1" applyFill="1" applyBorder="1" applyAlignment="1">
      <alignment vertical="center"/>
    </xf>
    <xf numFmtId="0" fontId="18" fillId="0" borderId="1" xfId="0" applyFont="1" applyFill="1" applyBorder="1" applyAlignment="1">
      <alignment horizontal="center" vertical="center" wrapText="1"/>
    </xf>
    <xf numFmtId="3" fontId="18" fillId="0" borderId="17" xfId="0" applyNumberFormat="1" applyFont="1" applyFill="1" applyBorder="1" applyAlignment="1">
      <alignment horizontal="right" vertical="center" wrapText="1"/>
    </xf>
    <xf numFmtId="0" fontId="234" fillId="0" borderId="0" xfId="1447" applyFont="1" applyAlignment="1">
      <alignment horizontal="right"/>
    </xf>
    <xf numFmtId="0" fontId="234" fillId="0" borderId="0" xfId="1447" applyFont="1"/>
    <xf numFmtId="176" fontId="18" fillId="0" borderId="61" xfId="5" applyNumberFormat="1" applyFont="1" applyFill="1" applyBorder="1" applyAlignment="1">
      <alignment horizontal="right" vertical="center" wrapText="1"/>
    </xf>
    <xf numFmtId="0" fontId="119" fillId="0" borderId="0" xfId="0" applyFont="1" applyFill="1" applyAlignment="1">
      <alignment vertical="center"/>
    </xf>
    <xf numFmtId="0" fontId="22" fillId="0" borderId="0" xfId="0" applyFont="1" applyFill="1" applyAlignment="1">
      <alignment vertical="center"/>
    </xf>
    <xf numFmtId="3" fontId="22" fillId="0" borderId="0" xfId="0" applyNumberFormat="1" applyFont="1" applyFill="1" applyAlignment="1">
      <alignment vertical="center"/>
    </xf>
    <xf numFmtId="0" fontId="248" fillId="0" borderId="0" xfId="0" applyFont="1" applyFill="1" applyAlignment="1">
      <alignment vertical="center"/>
    </xf>
    <xf numFmtId="0" fontId="250" fillId="0" borderId="13" xfId="0" applyFont="1" applyFill="1" applyBorder="1" applyAlignment="1">
      <alignment horizontal="center" vertical="center" wrapText="1"/>
    </xf>
    <xf numFmtId="0" fontId="250" fillId="0" borderId="13" xfId="0" applyFont="1" applyFill="1" applyBorder="1" applyAlignment="1">
      <alignment vertical="center" wrapText="1"/>
    </xf>
    <xf numFmtId="0" fontId="18" fillId="0" borderId="17" xfId="0" applyFont="1" applyFill="1" applyBorder="1" applyAlignment="1">
      <alignment horizontal="center" vertical="center" wrapText="1"/>
    </xf>
    <xf numFmtId="0" fontId="18" fillId="0" borderId="17" xfId="0" applyFont="1" applyFill="1" applyBorder="1" applyAlignment="1">
      <alignment vertical="center" wrapText="1"/>
    </xf>
    <xf numFmtId="175" fontId="18" fillId="0" borderId="17" xfId="1" applyNumberFormat="1" applyFont="1" applyFill="1" applyBorder="1" applyAlignment="1">
      <alignment horizontal="center" vertical="center" wrapText="1"/>
    </xf>
    <xf numFmtId="0" fontId="18" fillId="0" borderId="13" xfId="0" applyFont="1" applyFill="1" applyBorder="1" applyAlignment="1">
      <alignment vertical="center" wrapText="1"/>
    </xf>
    <xf numFmtId="0" fontId="18" fillId="0" borderId="19" xfId="0" applyFont="1" applyFill="1" applyBorder="1" applyAlignment="1">
      <alignment horizontal="center" vertical="center" wrapText="1"/>
    </xf>
    <xf numFmtId="0" fontId="18" fillId="0" borderId="19" xfId="0" applyFont="1" applyFill="1" applyBorder="1" applyAlignment="1">
      <alignment vertical="center" wrapText="1"/>
    </xf>
    <xf numFmtId="3" fontId="18" fillId="0" borderId="19" xfId="0" applyNumberFormat="1" applyFont="1" applyFill="1" applyBorder="1" applyAlignment="1">
      <alignment horizontal="right" vertical="center" wrapText="1"/>
    </xf>
    <xf numFmtId="175" fontId="18" fillId="0" borderId="19" xfId="1" applyNumberFormat="1" applyFont="1" applyFill="1" applyBorder="1" applyAlignment="1">
      <alignment horizontal="center" vertical="center" wrapText="1"/>
    </xf>
    <xf numFmtId="0" fontId="249" fillId="0" borderId="0" xfId="0" applyFont="1" applyFill="1" applyAlignment="1">
      <alignment vertical="center"/>
    </xf>
    <xf numFmtId="0" fontId="249" fillId="0" borderId="0" xfId="0" applyFont="1" applyFill="1" applyAlignment="1">
      <alignment horizontal="left" vertical="center"/>
    </xf>
    <xf numFmtId="0" fontId="250" fillId="0" borderId="0" xfId="0" applyFont="1" applyFill="1" applyBorder="1" applyAlignment="1">
      <alignment horizontal="center" vertical="center" wrapText="1"/>
    </xf>
    <xf numFmtId="0" fontId="250" fillId="0" borderId="1" xfId="0" applyFont="1" applyFill="1" applyBorder="1" applyAlignment="1">
      <alignment horizontal="center" vertical="center" wrapText="1"/>
    </xf>
    <xf numFmtId="0" fontId="250" fillId="0" borderId="17" xfId="0" applyFont="1" applyFill="1" applyBorder="1" applyAlignment="1">
      <alignment horizontal="center" vertical="center" wrapText="1"/>
    </xf>
    <xf numFmtId="0" fontId="250" fillId="0" borderId="17" xfId="0" applyFont="1" applyFill="1" applyBorder="1" applyAlignment="1">
      <alignment vertical="center" wrapText="1"/>
    </xf>
    <xf numFmtId="3" fontId="250" fillId="0" borderId="17" xfId="0" applyNumberFormat="1" applyFont="1" applyFill="1" applyBorder="1" applyAlignment="1">
      <alignment horizontal="right" vertical="center" wrapText="1"/>
    </xf>
    <xf numFmtId="175" fontId="250" fillId="0" borderId="17" xfId="1" applyNumberFormat="1" applyFont="1" applyFill="1" applyBorder="1" applyAlignment="1">
      <alignment vertical="center" wrapText="1"/>
    </xf>
    <xf numFmtId="3" fontId="249" fillId="0" borderId="0" xfId="0" applyNumberFormat="1" applyFont="1" applyFill="1" applyAlignment="1">
      <alignment vertical="center"/>
    </xf>
    <xf numFmtId="175" fontId="250" fillId="0" borderId="13" xfId="1" applyNumberFormat="1" applyFont="1" applyFill="1" applyBorder="1" applyAlignment="1">
      <alignment vertical="center" wrapText="1"/>
    </xf>
    <xf numFmtId="0" fontId="242" fillId="0" borderId="13" xfId="0" applyFont="1" applyFill="1" applyBorder="1" applyAlignment="1">
      <alignment horizontal="center" vertical="center" wrapText="1"/>
    </xf>
    <xf numFmtId="0" fontId="242" fillId="0" borderId="13" xfId="0" applyFont="1" applyFill="1" applyBorder="1" applyAlignment="1">
      <alignment vertical="center" wrapText="1"/>
    </xf>
    <xf numFmtId="175" fontId="242" fillId="0" borderId="13" xfId="1" applyNumberFormat="1" applyFont="1" applyFill="1" applyBorder="1" applyAlignment="1">
      <alignment vertical="center" wrapText="1"/>
    </xf>
    <xf numFmtId="0" fontId="250" fillId="0" borderId="19" xfId="0" applyFont="1" applyFill="1" applyBorder="1" applyAlignment="1">
      <alignment horizontal="center" vertical="center" wrapText="1"/>
    </xf>
    <xf numFmtId="0" fontId="250" fillId="0" borderId="19" xfId="0" applyFont="1" applyFill="1" applyBorder="1" applyAlignment="1">
      <alignment vertical="center" wrapText="1"/>
    </xf>
    <xf numFmtId="175" fontId="250" fillId="0" borderId="19" xfId="1" applyNumberFormat="1" applyFont="1" applyFill="1" applyBorder="1" applyAlignment="1">
      <alignment vertical="center" wrapText="1"/>
    </xf>
    <xf numFmtId="0" fontId="250" fillId="0" borderId="1" xfId="0" applyFont="1" applyFill="1" applyBorder="1" applyAlignment="1">
      <alignment horizontal="center" vertical="center" wrapText="1"/>
    </xf>
    <xf numFmtId="0" fontId="9" fillId="0" borderId="17" xfId="0" applyFont="1" applyBorder="1" applyAlignment="1">
      <alignment horizontal="center" vertical="center" wrapText="1"/>
    </xf>
    <xf numFmtId="3" fontId="18" fillId="0" borderId="66" xfId="0" applyNumberFormat="1" applyFont="1" applyFill="1" applyBorder="1" applyAlignment="1">
      <alignment vertical="center" wrapText="1"/>
    </xf>
    <xf numFmtId="3" fontId="17" fillId="0" borderId="66" xfId="0" applyNumberFormat="1" applyFont="1" applyFill="1" applyBorder="1" applyAlignment="1">
      <alignment vertical="center" wrapText="1"/>
    </xf>
    <xf numFmtId="3" fontId="250" fillId="0" borderId="13" xfId="0" applyNumberFormat="1" applyFont="1" applyFill="1" applyBorder="1" applyAlignment="1">
      <alignment vertical="center" wrapText="1"/>
    </xf>
    <xf numFmtId="3" fontId="250" fillId="0" borderId="17" xfId="0" applyNumberFormat="1" applyFont="1" applyFill="1" applyBorder="1" applyAlignment="1">
      <alignment vertical="center" wrapText="1"/>
    </xf>
    <xf numFmtId="3" fontId="242" fillId="0" borderId="13" xfId="0" applyNumberFormat="1" applyFont="1" applyFill="1" applyBorder="1" applyAlignment="1">
      <alignment vertical="center" wrapText="1"/>
    </xf>
    <xf numFmtId="0" fontId="23" fillId="0" borderId="0" xfId="0" applyFont="1" applyFill="1" applyAlignment="1">
      <alignment vertical="center"/>
    </xf>
    <xf numFmtId="3" fontId="250" fillId="0" borderId="19" xfId="0" applyNumberFormat="1" applyFont="1" applyFill="1" applyBorder="1" applyAlignment="1">
      <alignment vertical="center" wrapText="1"/>
    </xf>
    <xf numFmtId="0" fontId="250" fillId="0" borderId="1" xfId="0" applyFont="1" applyFill="1" applyBorder="1" applyAlignment="1">
      <alignment horizontal="center" vertical="center" wrapText="1"/>
    </xf>
    <xf numFmtId="0" fontId="248" fillId="0" borderId="0" xfId="0" applyFont="1" applyFill="1" applyAlignment="1">
      <alignment horizontal="center" vertical="center"/>
    </xf>
    <xf numFmtId="0" fontId="249" fillId="0" borderId="0" xfId="0" applyFont="1" applyFill="1" applyAlignment="1">
      <alignment horizontal="center" vertical="center"/>
    </xf>
    <xf numFmtId="0" fontId="250" fillId="0" borderId="1" xfId="0" quotePrefix="1" applyFont="1" applyFill="1" applyBorder="1" applyAlignment="1">
      <alignment horizontal="center" vertical="center" wrapText="1"/>
    </xf>
    <xf numFmtId="0" fontId="250" fillId="0" borderId="1" xfId="0" applyFont="1" applyFill="1" applyBorder="1" applyAlignment="1">
      <alignment horizontal="center" vertical="center" wrapText="1"/>
    </xf>
    <xf numFmtId="3" fontId="17" fillId="0" borderId="66" xfId="0" applyNumberFormat="1" applyFont="1" applyFill="1" applyBorder="1" applyAlignment="1">
      <alignment horizontal="right" vertical="center" wrapText="1"/>
    </xf>
    <xf numFmtId="0" fontId="18" fillId="0" borderId="66" xfId="0" applyFont="1" applyFill="1" applyBorder="1" applyAlignment="1">
      <alignment horizontal="center" vertical="center" wrapText="1"/>
    </xf>
    <xf numFmtId="0" fontId="18" fillId="0" borderId="66" xfId="0" applyFont="1" applyFill="1" applyBorder="1" applyAlignment="1">
      <alignment vertical="center" wrapText="1"/>
    </xf>
    <xf numFmtId="3" fontId="18" fillId="0" borderId="66" xfId="0" applyNumberFormat="1" applyFont="1" applyFill="1" applyBorder="1" applyAlignment="1">
      <alignment horizontal="right" vertical="center" wrapText="1"/>
    </xf>
    <xf numFmtId="175" fontId="18" fillId="0" borderId="66" xfId="1" applyNumberFormat="1" applyFont="1" applyFill="1" applyBorder="1" applyAlignment="1">
      <alignment horizontal="center" vertical="center" wrapText="1"/>
    </xf>
    <xf numFmtId="0" fontId="231" fillId="0" borderId="0" xfId="0" applyFont="1" applyAlignment="1">
      <alignment horizontal="center" vertical="center"/>
    </xf>
    <xf numFmtId="302" fontId="6" fillId="0" borderId="0" xfId="0" applyNumberFormat="1" applyFont="1"/>
    <xf numFmtId="171" fontId="6" fillId="0" borderId="0" xfId="0" applyNumberFormat="1" applyFont="1"/>
    <xf numFmtId="9" fontId="238" fillId="0" borderId="17" xfId="2266" applyFont="1" applyFill="1" applyBorder="1" applyAlignment="1">
      <alignment horizontal="right" vertical="center" wrapText="1"/>
    </xf>
    <xf numFmtId="0" fontId="254" fillId="0" borderId="0" xfId="0" applyFont="1" applyAlignment="1">
      <alignment horizontal="right" vertical="center"/>
    </xf>
    <xf numFmtId="0" fontId="222"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244" fillId="70" borderId="0" xfId="0" applyFont="1" applyFill="1" applyAlignment="1">
      <alignment vertical="center" wrapText="1"/>
    </xf>
    <xf numFmtId="0" fontId="12" fillId="0" borderId="0" xfId="0" applyFont="1" applyAlignment="1">
      <alignment horizontal="right" vertical="center"/>
    </xf>
    <xf numFmtId="4" fontId="12" fillId="0" borderId="0" xfId="0" applyNumberFormat="1" applyFont="1" applyAlignment="1">
      <alignment vertical="center"/>
    </xf>
    <xf numFmtId="3" fontId="222" fillId="0" borderId="0" xfId="0" applyNumberFormat="1" applyFont="1" applyAlignment="1">
      <alignment vertical="center"/>
    </xf>
    <xf numFmtId="4" fontId="222" fillId="0" borderId="0" xfId="0" applyNumberFormat="1" applyFont="1" applyAlignment="1">
      <alignment vertical="center"/>
    </xf>
    <xf numFmtId="0" fontId="224" fillId="0" borderId="0" xfId="0" applyFont="1" applyAlignment="1">
      <alignment vertical="center"/>
    </xf>
    <xf numFmtId="173" fontId="12" fillId="0" borderId="0" xfId="1" applyNumberFormat="1" applyFont="1" applyAlignment="1">
      <alignment vertical="center"/>
    </xf>
    <xf numFmtId="173" fontId="12" fillId="0" borderId="0" xfId="0" applyNumberFormat="1" applyFont="1" applyAlignment="1">
      <alignment vertical="center"/>
    </xf>
    <xf numFmtId="0" fontId="13" fillId="0" borderId="0" xfId="0" applyFont="1" applyAlignment="1">
      <alignment vertical="center"/>
    </xf>
    <xf numFmtId="0" fontId="228" fillId="0" borderId="0" xfId="1487" applyFont="1"/>
    <xf numFmtId="0" fontId="237" fillId="0" borderId="0" xfId="1487" applyFont="1" applyAlignment="1">
      <alignment horizontal="right" vertical="center"/>
    </xf>
    <xf numFmtId="0" fontId="89" fillId="0" borderId="0" xfId="1487" applyFont="1" applyAlignment="1">
      <alignment vertical="center"/>
    </xf>
    <xf numFmtId="0" fontId="228" fillId="0" borderId="0" xfId="1487" applyFont="1" applyAlignment="1">
      <alignment vertical="center" wrapText="1"/>
    </xf>
    <xf numFmtId="0" fontId="228" fillId="0" borderId="0" xfId="1487" applyFont="1" applyAlignment="1">
      <alignment horizontal="center" vertical="center" wrapText="1"/>
    </xf>
    <xf numFmtId="0" fontId="18" fillId="0" borderId="0" xfId="1487" applyFont="1" applyAlignment="1">
      <alignment horizontal="center" vertical="center" wrapText="1"/>
    </xf>
    <xf numFmtId="0" fontId="18" fillId="0" borderId="17" xfId="1487" applyFont="1" applyBorder="1" applyAlignment="1">
      <alignment horizontal="right" vertical="center" wrapText="1"/>
    </xf>
    <xf numFmtId="3" fontId="18" fillId="0" borderId="17" xfId="1487" applyNumberFormat="1" applyFont="1" applyBorder="1" applyAlignment="1">
      <alignment horizontal="left" vertical="center"/>
    </xf>
    <xf numFmtId="3" fontId="18" fillId="0" borderId="17" xfId="1487" applyNumberFormat="1" applyFont="1" applyBorder="1" applyAlignment="1">
      <alignment horizontal="right" vertical="center"/>
    </xf>
    <xf numFmtId="3" fontId="18" fillId="0" borderId="0" xfId="1487" applyNumberFormat="1" applyFont="1" applyAlignment="1">
      <alignment horizontal="center" vertical="center" wrapText="1"/>
    </xf>
    <xf numFmtId="3" fontId="89" fillId="0" borderId="0" xfId="1487" applyNumberFormat="1" applyFont="1" applyAlignment="1">
      <alignment vertical="center"/>
    </xf>
    <xf numFmtId="0" fontId="228" fillId="0" borderId="0" xfId="1487" applyFont="1" applyAlignment="1">
      <alignment vertical="center"/>
    </xf>
    <xf numFmtId="0" fontId="22" fillId="0" borderId="0" xfId="1487" applyFont="1" applyAlignment="1">
      <alignment vertical="center"/>
    </xf>
    <xf numFmtId="3" fontId="22" fillId="0" borderId="0" xfId="1487" applyNumberFormat="1" applyFont="1" applyAlignment="1">
      <alignment vertical="center"/>
    </xf>
    <xf numFmtId="0" fontId="17" fillId="0" borderId="66" xfId="0" applyFont="1" applyFill="1" applyBorder="1" applyAlignment="1">
      <alignment horizontal="center" vertical="center" wrapText="1"/>
    </xf>
    <xf numFmtId="0" fontId="17" fillId="0" borderId="66" xfId="0" applyFont="1" applyFill="1" applyBorder="1" applyAlignment="1">
      <alignment vertical="center" wrapText="1"/>
    </xf>
    <xf numFmtId="175" fontId="17" fillId="0" borderId="66" xfId="1" applyNumberFormat="1" applyFont="1" applyFill="1" applyBorder="1" applyAlignment="1">
      <alignment horizontal="center" vertical="center" wrapText="1"/>
    </xf>
    <xf numFmtId="0" fontId="242" fillId="0" borderId="66" xfId="0" applyFont="1" applyFill="1" applyBorder="1" applyAlignment="1">
      <alignment horizontal="center" vertical="center" wrapText="1"/>
    </xf>
    <xf numFmtId="0" fontId="242" fillId="0" borderId="66" xfId="0" applyFont="1" applyFill="1" applyBorder="1" applyAlignment="1">
      <alignment vertical="center" wrapText="1"/>
    </xf>
    <xf numFmtId="0" fontId="250" fillId="0" borderId="66" xfId="0" applyFont="1" applyFill="1" applyBorder="1" applyAlignment="1">
      <alignment horizontal="center" vertical="center" wrapText="1"/>
    </xf>
    <xf numFmtId="0" fontId="250" fillId="0" borderId="66" xfId="0" applyFont="1" applyFill="1" applyBorder="1" applyAlignment="1">
      <alignment vertical="center" wrapText="1"/>
    </xf>
    <xf numFmtId="3" fontId="250" fillId="0" borderId="66" xfId="0" applyNumberFormat="1" applyFont="1" applyFill="1" applyBorder="1" applyAlignment="1">
      <alignment vertical="center" wrapText="1"/>
    </xf>
    <xf numFmtId="3" fontId="242" fillId="0" borderId="66" xfId="0" applyNumberFormat="1" applyFont="1" applyFill="1" applyBorder="1" applyAlignment="1">
      <alignment vertical="center" wrapText="1"/>
    </xf>
    <xf numFmtId="0" fontId="223" fillId="0" borderId="66" xfId="0" applyFont="1" applyFill="1" applyBorder="1" applyAlignment="1">
      <alignment vertical="center" wrapText="1"/>
    </xf>
    <xf numFmtId="173" fontId="17" fillId="0" borderId="66" xfId="0" applyNumberFormat="1" applyFont="1" applyFill="1" applyBorder="1" applyAlignment="1">
      <alignment horizontal="center" vertical="center" wrapText="1"/>
    </xf>
    <xf numFmtId="173" fontId="18" fillId="0" borderId="66" xfId="0" applyNumberFormat="1" applyFont="1" applyFill="1" applyBorder="1" applyAlignment="1">
      <alignment horizontal="center" vertical="center" wrapText="1"/>
    </xf>
    <xf numFmtId="0" fontId="242" fillId="0" borderId="66" xfId="0" quotePrefix="1" applyFont="1" applyFill="1" applyBorder="1" applyAlignment="1">
      <alignment horizontal="center" vertical="center" wrapText="1"/>
    </xf>
    <xf numFmtId="0" fontId="242" fillId="0" borderId="66" xfId="0" applyFont="1" applyFill="1" applyBorder="1" applyAlignment="1">
      <alignment horizontal="left" vertical="center" wrapText="1"/>
    </xf>
    <xf numFmtId="3" fontId="17" fillId="0" borderId="66" xfId="1" applyNumberFormat="1" applyFont="1" applyFill="1" applyBorder="1" applyAlignment="1">
      <alignment horizontal="right" vertical="center" wrapText="1"/>
    </xf>
    <xf numFmtId="0" fontId="18" fillId="0" borderId="1" xfId="1487" applyFont="1" applyBorder="1" applyAlignment="1">
      <alignment horizontal="center" vertical="center" wrapText="1"/>
    </xf>
    <xf numFmtId="0" fontId="227" fillId="0" borderId="0" xfId="1487" applyFont="1" applyAlignment="1">
      <alignment horizontal="center" vertical="center" wrapText="1"/>
    </xf>
    <xf numFmtId="0" fontId="17" fillId="0" borderId="67" xfId="1487" applyFont="1" applyBorder="1" applyAlignment="1">
      <alignment horizontal="center" vertical="center"/>
    </xf>
    <xf numFmtId="0" fontId="17" fillId="71" borderId="67" xfId="0" applyFont="1" applyFill="1" applyBorder="1" applyAlignment="1">
      <alignment horizontal="left" vertical="center"/>
    </xf>
    <xf numFmtId="3" fontId="17" fillId="0" borderId="67" xfId="1487" applyNumberFormat="1" applyFont="1" applyBorder="1" applyAlignment="1">
      <alignment horizontal="right" vertical="center"/>
    </xf>
    <xf numFmtId="0" fontId="17" fillId="71" borderId="67" xfId="0" applyFont="1" applyFill="1" applyBorder="1" applyAlignment="1">
      <alignment horizontal="left" vertical="center" wrapText="1"/>
    </xf>
    <xf numFmtId="3" fontId="17" fillId="0" borderId="67" xfId="1487" applyNumberFormat="1" applyFont="1" applyBorder="1" applyAlignment="1">
      <alignment horizontal="right"/>
    </xf>
    <xf numFmtId="0" fontId="17" fillId="0" borderId="68" xfId="1487" applyFont="1" applyBorder="1" applyAlignment="1">
      <alignment horizontal="center" vertical="center"/>
    </xf>
    <xf numFmtId="0" fontId="17" fillId="71" borderId="68" xfId="0" applyFont="1" applyFill="1" applyBorder="1" applyAlignment="1">
      <alignment horizontal="left" vertical="center" wrapText="1"/>
    </xf>
    <xf numFmtId="3" fontId="17" fillId="0" borderId="68" xfId="1487" applyNumberFormat="1" applyFont="1" applyBorder="1" applyAlignment="1">
      <alignment horizontal="right"/>
    </xf>
    <xf numFmtId="3" fontId="17" fillId="0" borderId="68" xfId="1487" applyNumberFormat="1" applyFont="1" applyBorder="1" applyAlignment="1">
      <alignment horizontal="right" vertical="center"/>
    </xf>
    <xf numFmtId="0" fontId="22" fillId="0" borderId="0" xfId="0" applyFont="1"/>
    <xf numFmtId="0" fontId="12" fillId="0" borderId="0" xfId="0" applyFont="1"/>
    <xf numFmtId="0" fontId="10" fillId="0" borderId="0" xfId="0" applyFont="1" applyAlignment="1">
      <alignment vertical="center"/>
    </xf>
    <xf numFmtId="0" fontId="244" fillId="0" borderId="0" xfId="0" applyFont="1"/>
    <xf numFmtId="3" fontId="12" fillId="0" borderId="0" xfId="0" applyNumberFormat="1" applyFont="1"/>
    <xf numFmtId="0" fontId="223" fillId="0" borderId="0" xfId="0" applyFont="1" applyAlignment="1">
      <alignment horizontal="center" vertical="center"/>
    </xf>
    <xf numFmtId="0" fontId="17" fillId="0" borderId="1" xfId="0" applyFont="1" applyBorder="1" applyAlignment="1">
      <alignment horizontal="center" vertical="center" wrapText="1"/>
    </xf>
    <xf numFmtId="0" fontId="221" fillId="0" borderId="1" xfId="0" applyFont="1" applyBorder="1" applyAlignment="1">
      <alignment horizontal="center" vertical="center" wrapText="1"/>
    </xf>
    <xf numFmtId="0" fontId="10" fillId="0" borderId="18" xfId="0" applyFont="1" applyBorder="1" applyAlignment="1">
      <alignment horizontal="center" vertical="center" wrapText="1"/>
    </xf>
    <xf numFmtId="0" fontId="9" fillId="0" borderId="18" xfId="0" applyFont="1" applyBorder="1" applyAlignment="1">
      <alignment horizontal="center" vertical="center" wrapText="1"/>
    </xf>
    <xf numFmtId="3" fontId="18" fillId="0" borderId="61" xfId="0" applyNumberFormat="1" applyFont="1" applyBorder="1" applyAlignment="1">
      <alignment horizontal="right" vertical="center" wrapText="1"/>
    </xf>
    <xf numFmtId="3" fontId="9" fillId="0" borderId="61" xfId="0" applyNumberFormat="1" applyFont="1" applyBorder="1" applyAlignment="1">
      <alignment horizontal="right" vertical="center" wrapText="1"/>
    </xf>
    <xf numFmtId="9" fontId="9" fillId="0" borderId="61" xfId="2269" applyFont="1" applyFill="1" applyBorder="1" applyAlignment="1">
      <alignment horizontal="right" vertical="center" wrapText="1"/>
    </xf>
    <xf numFmtId="0" fontId="9" fillId="0" borderId="67" xfId="0" applyFont="1" applyBorder="1" applyAlignment="1">
      <alignment horizontal="center" vertical="center" wrapText="1"/>
    </xf>
    <xf numFmtId="0" fontId="9" fillId="0" borderId="67" xfId="0" applyFont="1" applyBorder="1" applyAlignment="1">
      <alignment vertical="center" wrapText="1"/>
    </xf>
    <xf numFmtId="0" fontId="10" fillId="0" borderId="67" xfId="0" applyFont="1" applyBorder="1" applyAlignment="1">
      <alignment horizontal="center" vertical="center" wrapText="1"/>
    </xf>
    <xf numFmtId="0" fontId="10" fillId="0" borderId="60" xfId="0" applyFont="1" applyBorder="1" applyAlignment="1">
      <alignment vertical="center" wrapText="1"/>
    </xf>
    <xf numFmtId="3" fontId="17" fillId="0" borderId="67" xfId="5" applyNumberFormat="1" applyFont="1" applyFill="1" applyBorder="1" applyAlignment="1">
      <alignment vertical="center" wrapText="1"/>
    </xf>
    <xf numFmtId="3" fontId="17" fillId="0" borderId="67" xfId="0" applyNumberFormat="1" applyFont="1" applyBorder="1" applyAlignment="1">
      <alignment vertical="center" wrapText="1"/>
    </xf>
    <xf numFmtId="3" fontId="17" fillId="0" borderId="61" xfId="0" applyNumberFormat="1" applyFont="1" applyBorder="1" applyAlignment="1">
      <alignment vertical="center" wrapText="1"/>
    </xf>
    <xf numFmtId="3" fontId="10" fillId="0" borderId="67" xfId="5" applyNumberFormat="1" applyFont="1" applyFill="1" applyBorder="1" applyAlignment="1">
      <alignment horizontal="right" vertical="center" wrapText="1"/>
    </xf>
    <xf numFmtId="3" fontId="10" fillId="0" borderId="67" xfId="0" applyNumberFormat="1" applyFont="1" applyBorder="1" applyAlignment="1">
      <alignment horizontal="right" vertical="center" wrapText="1"/>
    </xf>
    <xf numFmtId="3" fontId="221" fillId="0" borderId="67" xfId="0" applyNumberFormat="1" applyFont="1" applyBorder="1" applyAlignment="1">
      <alignment horizontal="right" vertical="center" wrapText="1"/>
    </xf>
    <xf numFmtId="3" fontId="10" fillId="0" borderId="67" xfId="0" applyNumberFormat="1" applyFont="1" applyBorder="1" applyAlignment="1">
      <alignment vertical="center" wrapText="1"/>
    </xf>
    <xf numFmtId="9" fontId="10" fillId="0" borderId="61" xfId="2269" applyFont="1" applyFill="1" applyBorder="1" applyAlignment="1">
      <alignment horizontal="right" vertical="center" wrapText="1"/>
    </xf>
    <xf numFmtId="0" fontId="10" fillId="0" borderId="67" xfId="0" applyFont="1" applyBorder="1" applyAlignment="1">
      <alignment vertical="center" wrapText="1"/>
    </xf>
    <xf numFmtId="3" fontId="10" fillId="0" borderId="61" xfId="0" applyNumberFormat="1" applyFont="1" applyBorder="1" applyAlignment="1">
      <alignment vertical="center" wrapText="1"/>
    </xf>
    <xf numFmtId="9" fontId="10" fillId="0" borderId="62" xfId="2269" applyFont="1" applyFill="1" applyBorder="1" applyAlignment="1">
      <alignment horizontal="right" vertical="center" wrapText="1"/>
    </xf>
    <xf numFmtId="3" fontId="17" fillId="0" borderId="60" xfId="0" applyNumberFormat="1" applyFont="1" applyBorder="1" applyAlignment="1">
      <alignment vertical="center" wrapText="1"/>
    </xf>
    <xf numFmtId="3" fontId="10" fillId="0" borderId="60" xfId="0" applyNumberFormat="1" applyFont="1" applyBorder="1" applyAlignment="1">
      <alignment vertical="center" wrapText="1"/>
    </xf>
    <xf numFmtId="9" fontId="9" fillId="0" borderId="63" xfId="2269" applyFont="1" applyFill="1" applyBorder="1" applyAlignment="1">
      <alignment horizontal="right" vertical="center" wrapText="1"/>
    </xf>
    <xf numFmtId="0" fontId="9" fillId="0" borderId="60" xfId="0" applyFont="1" applyBorder="1" applyAlignment="1">
      <alignment vertical="center" wrapText="1"/>
    </xf>
    <xf numFmtId="0" fontId="222" fillId="0" borderId="0" xfId="0" applyFont="1"/>
    <xf numFmtId="0" fontId="10" fillId="0" borderId="68" xfId="0" applyFont="1" applyBorder="1" applyAlignment="1">
      <alignment horizontal="center" vertical="center" wrapText="1"/>
    </xf>
    <xf numFmtId="0" fontId="10" fillId="0" borderId="5" xfId="0" applyFont="1" applyBorder="1" applyAlignment="1">
      <alignment vertical="center" wrapText="1"/>
    </xf>
    <xf numFmtId="3" fontId="17" fillId="0" borderId="68" xfId="5" applyNumberFormat="1" applyFont="1" applyFill="1" applyBorder="1" applyAlignment="1">
      <alignment vertical="center" wrapText="1"/>
    </xf>
    <xf numFmtId="3" fontId="17" fillId="0" borderId="68" xfId="0" applyNumberFormat="1" applyFont="1" applyBorder="1" applyAlignment="1">
      <alignment vertical="center" wrapText="1"/>
    </xf>
    <xf numFmtId="3" fontId="10" fillId="0" borderId="68" xfId="5" applyNumberFormat="1" applyFont="1" applyFill="1" applyBorder="1" applyAlignment="1">
      <alignment vertical="center" wrapText="1"/>
    </xf>
    <xf numFmtId="3" fontId="10" fillId="0" borderId="68" xfId="0" applyNumberFormat="1" applyFont="1" applyBorder="1" applyAlignment="1">
      <alignment vertical="center" wrapText="1"/>
    </xf>
    <xf numFmtId="9" fontId="10" fillId="0" borderId="64" xfId="2269" applyFont="1" applyFill="1" applyBorder="1" applyAlignment="1">
      <alignment horizontal="right" vertical="center" wrapText="1"/>
    </xf>
    <xf numFmtId="9" fontId="10" fillId="0" borderId="65" xfId="2269" applyFont="1" applyFill="1" applyBorder="1" applyAlignment="1">
      <alignment horizontal="right" vertical="center" wrapText="1"/>
    </xf>
    <xf numFmtId="176" fontId="22" fillId="0" borderId="0" xfId="0" applyNumberFormat="1" applyFont="1"/>
    <xf numFmtId="0" fontId="250" fillId="0" borderId="67" xfId="0" applyFont="1" applyFill="1" applyBorder="1" applyAlignment="1">
      <alignment horizontal="center" vertical="center" wrapText="1"/>
    </xf>
    <xf numFmtId="3" fontId="250" fillId="0" borderId="67" xfId="0" applyNumberFormat="1" applyFont="1" applyFill="1" applyBorder="1" applyAlignment="1">
      <alignment vertical="center" wrapText="1"/>
    </xf>
    <xf numFmtId="175" fontId="250" fillId="0" borderId="67" xfId="1" applyNumberFormat="1" applyFont="1" applyFill="1" applyBorder="1" applyAlignment="1">
      <alignment vertical="center" wrapText="1"/>
    </xf>
    <xf numFmtId="0" fontId="250" fillId="0" borderId="67" xfId="0" applyFont="1" applyFill="1" applyBorder="1" applyAlignment="1">
      <alignment vertical="center" wrapText="1"/>
    </xf>
    <xf numFmtId="0" fontId="242" fillId="0" borderId="67" xfId="0" applyFont="1" applyFill="1" applyBorder="1" applyAlignment="1">
      <alignment vertical="center" wrapText="1"/>
    </xf>
    <xf numFmtId="3" fontId="242" fillId="0" borderId="67" xfId="0" applyNumberFormat="1" applyFont="1" applyFill="1" applyBorder="1" applyAlignment="1">
      <alignment vertical="center" wrapText="1"/>
    </xf>
    <xf numFmtId="175" fontId="242" fillId="0" borderId="67" xfId="1" applyNumberFormat="1" applyFont="1" applyFill="1" applyBorder="1" applyAlignment="1">
      <alignment vertical="center" wrapText="1"/>
    </xf>
    <xf numFmtId="3" fontId="250" fillId="0" borderId="67" xfId="0" applyNumberFormat="1" applyFont="1" applyFill="1" applyBorder="1" applyAlignment="1">
      <alignment horizontal="right" vertical="center" wrapText="1"/>
    </xf>
    <xf numFmtId="0" fontId="9" fillId="0" borderId="1" xfId="0" applyFont="1" applyBorder="1" applyAlignment="1">
      <alignment horizontal="center" vertical="center" wrapText="1"/>
    </xf>
    <xf numFmtId="173" fontId="250" fillId="0" borderId="67" xfId="1" applyNumberFormat="1" applyFont="1" applyFill="1" applyBorder="1" applyAlignment="1">
      <alignment horizontal="right" vertical="center" wrapText="1"/>
    </xf>
    <xf numFmtId="0" fontId="242" fillId="0" borderId="67" xfId="0" applyFont="1" applyFill="1" applyBorder="1" applyAlignment="1">
      <alignment horizontal="center" vertical="center" wrapText="1"/>
    </xf>
    <xf numFmtId="3" fontId="242" fillId="0" borderId="67" xfId="0" applyNumberFormat="1" applyFont="1" applyFill="1" applyBorder="1" applyAlignment="1">
      <alignment horizontal="right" vertical="center" wrapText="1"/>
    </xf>
    <xf numFmtId="0" fontId="253" fillId="0" borderId="67" xfId="0" applyFont="1" applyFill="1" applyBorder="1" applyAlignment="1">
      <alignment vertical="center" wrapText="1"/>
    </xf>
    <xf numFmtId="3" fontId="18" fillId="0" borderId="67" xfId="0" applyNumberFormat="1" applyFont="1" applyFill="1" applyBorder="1" applyAlignment="1">
      <alignment horizontal="right" vertical="center" wrapText="1"/>
    </xf>
    <xf numFmtId="173" fontId="242" fillId="0" borderId="67" xfId="1" applyNumberFormat="1" applyFont="1" applyFill="1" applyBorder="1" applyAlignment="1">
      <alignment horizontal="right" vertical="center" wrapText="1"/>
    </xf>
    <xf numFmtId="0" fontId="242" fillId="0" borderId="67" xfId="1004" applyFont="1" applyFill="1" applyBorder="1" applyAlignment="1">
      <alignment vertical="center" wrapText="1"/>
    </xf>
    <xf numFmtId="175" fontId="17" fillId="0" borderId="67" xfId="1" applyNumberFormat="1" applyFont="1" applyFill="1" applyBorder="1" applyAlignment="1">
      <alignment vertical="center" wrapText="1"/>
    </xf>
    <xf numFmtId="3" fontId="242" fillId="0" borderId="67" xfId="1468" applyNumberFormat="1" applyFont="1" applyFill="1" applyBorder="1" applyAlignment="1">
      <alignment vertical="center" wrapText="1"/>
    </xf>
    <xf numFmtId="175" fontId="18" fillId="0" borderId="67" xfId="1" applyNumberFormat="1" applyFont="1" applyFill="1" applyBorder="1" applyAlignment="1">
      <alignment vertical="center" wrapText="1"/>
    </xf>
    <xf numFmtId="3" fontId="242" fillId="0" borderId="67" xfId="1004" applyNumberFormat="1" applyFont="1" applyFill="1" applyBorder="1" applyAlignment="1">
      <alignment vertical="center" wrapText="1"/>
    </xf>
    <xf numFmtId="0" fontId="242" fillId="0" borderId="67" xfId="1500" applyFont="1" applyFill="1" applyBorder="1" applyAlignment="1">
      <alignment vertical="center" wrapText="1"/>
    </xf>
    <xf numFmtId="3" fontId="250" fillId="0" borderId="67" xfId="1468" applyNumberFormat="1" applyFont="1" applyFill="1" applyBorder="1" applyAlignment="1">
      <alignment vertical="center" wrapText="1"/>
    </xf>
    <xf numFmtId="0" fontId="221" fillId="0" borderId="67" xfId="0" applyFont="1" applyFill="1" applyBorder="1" applyAlignment="1">
      <alignment vertical="center" wrapText="1"/>
    </xf>
    <xf numFmtId="0" fontId="221" fillId="0" borderId="67" xfId="1004" applyFont="1" applyFill="1" applyBorder="1" applyAlignment="1">
      <alignment vertical="center" wrapText="1"/>
    </xf>
    <xf numFmtId="0" fontId="242" fillId="0" borderId="67" xfId="0" quotePrefix="1" applyFont="1" applyFill="1" applyBorder="1" applyAlignment="1">
      <alignment horizontal="center" vertical="center" wrapText="1"/>
    </xf>
    <xf numFmtId="0" fontId="242" fillId="0" borderId="67" xfId="0" applyFont="1" applyFill="1" applyBorder="1" applyAlignment="1">
      <alignment horizontal="left" vertical="center" wrapText="1"/>
    </xf>
    <xf numFmtId="0" fontId="250" fillId="0" borderId="68" xfId="0" applyFont="1" applyFill="1" applyBorder="1" applyAlignment="1">
      <alignment horizontal="center" vertical="center" wrapText="1"/>
    </xf>
    <xf numFmtId="0" fontId="250" fillId="0" borderId="68" xfId="0" applyFont="1" applyFill="1" applyBorder="1" applyAlignment="1">
      <alignment vertical="center" wrapText="1"/>
    </xf>
    <xf numFmtId="3" fontId="250" fillId="0" borderId="68" xfId="0" applyNumberFormat="1" applyFont="1" applyFill="1" applyBorder="1" applyAlignment="1">
      <alignment horizontal="right" vertical="center" wrapText="1"/>
    </xf>
    <xf numFmtId="175" fontId="250" fillId="0" borderId="68" xfId="1" applyNumberFormat="1" applyFont="1" applyFill="1" applyBorder="1" applyAlignment="1">
      <alignment vertical="center" wrapText="1"/>
    </xf>
    <xf numFmtId="173" fontId="17" fillId="0" borderId="67" xfId="1" applyNumberFormat="1" applyFont="1" applyFill="1" applyBorder="1" applyAlignment="1">
      <alignment horizontal="right" vertical="center" wrapText="1"/>
    </xf>
    <xf numFmtId="0" fontId="18" fillId="0" borderId="67" xfId="0" applyFont="1" applyFill="1" applyBorder="1" applyAlignment="1">
      <alignment horizontal="center" vertical="center" wrapText="1"/>
    </xf>
    <xf numFmtId="0" fontId="18" fillId="0" borderId="67" xfId="0" applyFont="1" applyFill="1" applyBorder="1" applyAlignment="1">
      <alignment vertical="center" wrapText="1"/>
    </xf>
    <xf numFmtId="173" fontId="18" fillId="0" borderId="67" xfId="1" applyNumberFormat="1" applyFont="1" applyFill="1" applyBorder="1" applyAlignment="1">
      <alignment horizontal="right" vertical="center" wrapText="1"/>
    </xf>
    <xf numFmtId="3" fontId="250" fillId="0" borderId="66" xfId="1468" applyNumberFormat="1" applyFont="1" applyFill="1" applyBorder="1" applyAlignment="1">
      <alignment vertical="center" wrapText="1"/>
    </xf>
    <xf numFmtId="3" fontId="17" fillId="0" borderId="69" xfId="0" applyNumberFormat="1" applyFont="1" applyBorder="1" applyAlignment="1">
      <alignment horizontal="right" vertical="center" wrapText="1"/>
    </xf>
    <xf numFmtId="3" fontId="18" fillId="0" borderId="69" xfId="0" applyNumberFormat="1" applyFont="1" applyBorder="1" applyAlignment="1">
      <alignment horizontal="right" vertical="center" wrapText="1"/>
    </xf>
    <xf numFmtId="3" fontId="18" fillId="0" borderId="66" xfId="1" applyNumberFormat="1" applyFont="1" applyFill="1" applyBorder="1" applyAlignment="1">
      <alignment vertical="center" wrapText="1"/>
    </xf>
    <xf numFmtId="3" fontId="18" fillId="0" borderId="66" xfId="1" applyNumberFormat="1" applyFont="1" applyFill="1" applyBorder="1" applyAlignment="1">
      <alignment horizontal="right" vertical="center" wrapText="1"/>
    </xf>
    <xf numFmtId="0" fontId="17" fillId="0" borderId="66" xfId="1004" applyFont="1" applyFill="1" applyBorder="1" applyAlignment="1">
      <alignment vertical="center" wrapText="1"/>
    </xf>
    <xf numFmtId="3" fontId="17" fillId="0" borderId="66" xfId="1004" applyNumberFormat="1" applyFont="1" applyFill="1" applyBorder="1" applyAlignment="1">
      <alignment vertical="center" wrapText="1"/>
    </xf>
    <xf numFmtId="0" fontId="17" fillId="0" borderId="66" xfId="1500" applyFont="1" applyFill="1" applyBorder="1" applyAlignment="1">
      <alignment vertical="center" wrapText="1"/>
    </xf>
    <xf numFmtId="3" fontId="17" fillId="0" borderId="66" xfId="1468" applyNumberFormat="1" applyFont="1" applyFill="1" applyBorder="1" applyAlignment="1">
      <alignment vertical="center" wrapText="1"/>
    </xf>
    <xf numFmtId="3" fontId="250" fillId="0" borderId="67" xfId="1" applyNumberFormat="1" applyFont="1" applyFill="1" applyBorder="1" applyAlignment="1">
      <alignment horizontal="right" vertical="center" wrapText="1"/>
    </xf>
    <xf numFmtId="3" fontId="18" fillId="0" borderId="67" xfId="1" applyNumberFormat="1" applyFont="1" applyFill="1" applyBorder="1" applyAlignment="1">
      <alignment horizontal="right" vertical="center" wrapText="1"/>
    </xf>
    <xf numFmtId="3" fontId="242" fillId="0" borderId="67" xfId="1" applyNumberFormat="1" applyFont="1" applyFill="1" applyBorder="1" applyAlignment="1">
      <alignment horizontal="right" vertical="center" wrapText="1"/>
    </xf>
    <xf numFmtId="3" fontId="17" fillId="0" borderId="67" xfId="1" applyNumberFormat="1" applyFont="1" applyFill="1" applyBorder="1" applyAlignment="1">
      <alignment horizontal="right" vertical="center" wrapText="1"/>
    </xf>
    <xf numFmtId="3" fontId="89" fillId="71" borderId="69" xfId="1004" applyNumberFormat="1" applyFont="1" applyFill="1" applyBorder="1" applyAlignment="1">
      <alignment vertical="center" wrapText="1"/>
    </xf>
    <xf numFmtId="173" fontId="261" fillId="71" borderId="69" xfId="1" applyNumberFormat="1" applyFont="1" applyFill="1" applyBorder="1" applyAlignment="1">
      <alignment horizontal="center" vertical="center" wrapText="1"/>
    </xf>
    <xf numFmtId="0" fontId="89" fillId="71" borderId="69" xfId="1004" applyFont="1" applyFill="1" applyBorder="1" applyAlignment="1">
      <alignment vertical="center" wrapText="1"/>
    </xf>
    <xf numFmtId="0" fontId="89" fillId="71" borderId="69" xfId="0" applyFont="1" applyFill="1" applyBorder="1" applyAlignment="1" applyProtection="1">
      <alignment horizontal="left" vertical="center" wrapText="1"/>
      <protection locked="0"/>
    </xf>
    <xf numFmtId="0" fontId="244" fillId="0" borderId="0" xfId="0" applyFont="1" applyAlignment="1">
      <alignment vertical="center"/>
    </xf>
    <xf numFmtId="3" fontId="12" fillId="0" borderId="0" xfId="0" applyNumberFormat="1" applyFont="1" applyAlignment="1">
      <alignment vertical="center"/>
    </xf>
    <xf numFmtId="0" fontId="9" fillId="0" borderId="69" xfId="0" applyFont="1" applyBorder="1" applyAlignment="1">
      <alignment horizontal="center" vertical="center" wrapText="1"/>
    </xf>
    <xf numFmtId="0" fontId="9" fillId="0" borderId="69" xfId="0" applyFont="1" applyBorder="1" applyAlignment="1">
      <alignment vertical="center" wrapText="1"/>
    </xf>
    <xf numFmtId="3" fontId="9" fillId="0" borderId="69" xfId="0" applyNumberFormat="1" applyFont="1" applyBorder="1" applyAlignment="1">
      <alignment horizontal="right" vertical="center" wrapText="1"/>
    </xf>
    <xf numFmtId="303" fontId="9" fillId="0" borderId="69" xfId="2266" applyNumberFormat="1" applyFont="1" applyBorder="1" applyAlignment="1">
      <alignment horizontal="center" vertical="center" wrapText="1"/>
    </xf>
    <xf numFmtId="0" fontId="10" fillId="0" borderId="69" xfId="0" applyFont="1" applyBorder="1" applyAlignment="1">
      <alignment horizontal="center" vertical="center" wrapText="1"/>
    </xf>
    <xf numFmtId="0" fontId="10" fillId="0" borderId="69" xfId="0" applyFont="1" applyBorder="1" applyAlignment="1">
      <alignment vertical="center" wrapText="1"/>
    </xf>
    <xf numFmtId="3" fontId="10" fillId="0" borderId="69" xfId="0" applyNumberFormat="1" applyFont="1" applyBorder="1" applyAlignment="1">
      <alignment horizontal="right" vertical="center" wrapText="1"/>
    </xf>
    <xf numFmtId="303" fontId="10" fillId="0" borderId="69" xfId="2266" applyNumberFormat="1" applyFont="1" applyBorder="1" applyAlignment="1">
      <alignment horizontal="center" vertical="center" wrapText="1"/>
    </xf>
    <xf numFmtId="0" fontId="10" fillId="0" borderId="69" xfId="0" quotePrefix="1" applyFont="1" applyBorder="1" applyAlignment="1">
      <alignment horizontal="center" vertical="center" wrapText="1"/>
    </xf>
    <xf numFmtId="0" fontId="11" fillId="0" borderId="69" xfId="0" applyFont="1" applyBorder="1" applyAlignment="1">
      <alignment horizontal="center" vertical="center" wrapText="1"/>
    </xf>
    <xf numFmtId="0" fontId="11" fillId="0" borderId="69" xfId="0" applyFont="1" applyBorder="1" applyAlignment="1">
      <alignment vertical="center" wrapText="1"/>
    </xf>
    <xf numFmtId="3" fontId="11" fillId="0" borderId="69" xfId="0" applyNumberFormat="1" applyFont="1" applyBorder="1" applyAlignment="1">
      <alignment horizontal="right" vertical="center" wrapText="1"/>
    </xf>
    <xf numFmtId="303" fontId="11" fillId="0" borderId="69" xfId="2266" applyNumberFormat="1" applyFont="1" applyBorder="1" applyAlignment="1">
      <alignment horizontal="center" vertical="center" wrapText="1"/>
    </xf>
    <xf numFmtId="3" fontId="9" fillId="0" borderId="69" xfId="0" applyNumberFormat="1" applyFont="1" applyBorder="1" applyAlignment="1">
      <alignment vertical="center" wrapText="1"/>
    </xf>
    <xf numFmtId="0" fontId="11" fillId="0" borderId="69" xfId="0" quotePrefix="1" applyFont="1" applyBorder="1" applyAlignment="1">
      <alignment horizontal="center" vertical="center" wrapText="1"/>
    </xf>
    <xf numFmtId="0" fontId="11" fillId="70" borderId="69" xfId="0" applyFont="1" applyFill="1" applyBorder="1" applyAlignment="1">
      <alignment vertical="center" wrapText="1"/>
    </xf>
    <xf numFmtId="0" fontId="9" fillId="0" borderId="69" xfId="0" quotePrefix="1" applyFont="1" applyBorder="1" applyAlignment="1">
      <alignment horizontal="center" vertical="center" wrapText="1"/>
    </xf>
    <xf numFmtId="0" fontId="249" fillId="0" borderId="69" xfId="0" applyFont="1" applyBorder="1" applyAlignment="1">
      <alignment vertical="center" wrapText="1"/>
    </xf>
    <xf numFmtId="0" fontId="9" fillId="0" borderId="70" xfId="0" applyFont="1" applyBorder="1" applyAlignment="1">
      <alignment horizontal="center" vertical="center" wrapText="1"/>
    </xf>
    <xf numFmtId="0" fontId="9" fillId="0" borderId="70" xfId="0" applyFont="1" applyBorder="1" applyAlignment="1">
      <alignment vertical="center" wrapText="1"/>
    </xf>
    <xf numFmtId="3" fontId="9" fillId="0" borderId="70" xfId="0" applyNumberFormat="1" applyFont="1" applyBorder="1" applyAlignment="1">
      <alignment horizontal="right" vertical="center" wrapText="1"/>
    </xf>
    <xf numFmtId="303" fontId="9" fillId="0" borderId="70" xfId="2266" applyNumberFormat="1" applyFont="1" applyBorder="1" applyAlignment="1">
      <alignment horizontal="center" vertical="center" wrapText="1"/>
    </xf>
    <xf numFmtId="0" fontId="259" fillId="0" borderId="0" xfId="0" applyFont="1"/>
    <xf numFmtId="0" fontId="258" fillId="0" borderId="0" xfId="0" applyFont="1"/>
    <xf numFmtId="3" fontId="225" fillId="0" borderId="69" xfId="0" applyNumberFormat="1" applyFont="1" applyBorder="1" applyAlignment="1">
      <alignment horizontal="right" vertical="center" wrapText="1"/>
    </xf>
    <xf numFmtId="0" fontId="18" fillId="0" borderId="69" xfId="0" applyFont="1" applyBorder="1" applyAlignment="1">
      <alignment horizontal="center" vertical="center" wrapText="1"/>
    </xf>
    <xf numFmtId="0" fontId="18" fillId="0" borderId="69" xfId="0" applyFont="1" applyBorder="1" applyAlignment="1">
      <alignment vertical="center" wrapText="1"/>
    </xf>
    <xf numFmtId="3" fontId="18" fillId="0" borderId="69" xfId="0" applyNumberFormat="1" applyFont="1" applyBorder="1" applyAlignment="1">
      <alignment vertical="center" wrapText="1"/>
    </xf>
    <xf numFmtId="175" fontId="18" fillId="0" borderId="69" xfId="1" applyNumberFormat="1" applyFont="1" applyFill="1" applyBorder="1" applyAlignment="1">
      <alignment horizontal="center" vertical="center" wrapText="1"/>
    </xf>
    <xf numFmtId="0" fontId="17" fillId="0" borderId="69" xfId="0" applyFont="1" applyBorder="1" applyAlignment="1">
      <alignment horizontal="center" vertical="center" wrapText="1"/>
    </xf>
    <xf numFmtId="0" fontId="17" fillId="0" borderId="69" xfId="0" applyFont="1" applyBorder="1" applyAlignment="1">
      <alignment vertical="center" wrapText="1"/>
    </xf>
    <xf numFmtId="3" fontId="17" fillId="0" borderId="69" xfId="0" applyNumberFormat="1" applyFont="1" applyBorder="1" applyAlignment="1">
      <alignment vertical="center" wrapText="1"/>
    </xf>
    <xf numFmtId="175" fontId="17" fillId="0" borderId="69" xfId="1" applyNumberFormat="1" applyFont="1" applyFill="1" applyBorder="1" applyAlignment="1">
      <alignment horizontal="center" vertical="center" wrapText="1"/>
    </xf>
    <xf numFmtId="3" fontId="18" fillId="71" borderId="69" xfId="0" applyNumberFormat="1" applyFont="1" applyFill="1" applyBorder="1" applyAlignment="1">
      <alignment vertical="center" wrapText="1"/>
    </xf>
    <xf numFmtId="3" fontId="18" fillId="71" borderId="69" xfId="0" applyNumberFormat="1" applyFont="1" applyFill="1" applyBorder="1" applyAlignment="1">
      <alignment horizontal="right" vertical="center" wrapText="1"/>
    </xf>
    <xf numFmtId="0" fontId="18" fillId="0" borderId="70" xfId="0" applyFont="1" applyBorder="1" applyAlignment="1">
      <alignment horizontal="center" vertical="center" wrapText="1"/>
    </xf>
    <xf numFmtId="0" fontId="18" fillId="0" borderId="70" xfId="0" applyFont="1" applyBorder="1" applyAlignment="1">
      <alignment vertical="center" wrapText="1"/>
    </xf>
    <xf numFmtId="3" fontId="17" fillId="0" borderId="69" xfId="0" applyNumberFormat="1" applyFont="1" applyFill="1" applyBorder="1" applyAlignment="1">
      <alignment vertical="center" wrapText="1"/>
    </xf>
    <xf numFmtId="3" fontId="18" fillId="0" borderId="69" xfId="0" applyNumberFormat="1" applyFont="1" applyFill="1" applyBorder="1" applyAlignment="1">
      <alignment vertical="center" wrapText="1"/>
    </xf>
    <xf numFmtId="0" fontId="1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21" fillId="0" borderId="1" xfId="0" applyFont="1" applyBorder="1" applyAlignment="1">
      <alignment horizontal="center" vertical="center" wrapText="1"/>
    </xf>
    <xf numFmtId="0" fontId="17" fillId="0" borderId="1" xfId="0" applyFont="1" applyBorder="1" applyAlignment="1">
      <alignment horizontal="center" vertical="center" wrapText="1"/>
    </xf>
    <xf numFmtId="3" fontId="22" fillId="0" borderId="0" xfId="0" applyNumberFormat="1" applyFont="1"/>
    <xf numFmtId="0" fontId="119" fillId="0" borderId="0" xfId="0" applyFont="1"/>
    <xf numFmtId="0" fontId="18" fillId="0" borderId="69" xfId="0" applyFont="1" applyFill="1" applyBorder="1" applyAlignment="1">
      <alignment horizontal="center" vertical="center" wrapText="1"/>
    </xf>
    <xf numFmtId="0" fontId="18" fillId="0" borderId="69" xfId="0" applyFont="1" applyFill="1" applyBorder="1" applyAlignment="1">
      <alignment vertical="center" wrapText="1"/>
    </xf>
    <xf numFmtId="3" fontId="18" fillId="0" borderId="69" xfId="0" applyNumberFormat="1" applyFont="1" applyFill="1" applyBorder="1" applyAlignment="1">
      <alignment horizontal="right" vertical="center" wrapText="1"/>
    </xf>
    <xf numFmtId="0" fontId="223" fillId="0" borderId="66" xfId="0" applyFont="1" applyFill="1" applyBorder="1" applyAlignment="1">
      <alignment horizontal="center" vertical="center" wrapText="1"/>
    </xf>
    <xf numFmtId="3" fontId="223" fillId="0" borderId="66" xfId="0" applyNumberFormat="1" applyFont="1" applyFill="1" applyBorder="1" applyAlignment="1">
      <alignment horizontal="right" vertical="center" wrapText="1"/>
    </xf>
    <xf numFmtId="173" fontId="223" fillId="0" borderId="66" xfId="0" applyNumberFormat="1" applyFont="1" applyFill="1" applyBorder="1" applyAlignment="1">
      <alignment horizontal="center" vertical="center" wrapText="1"/>
    </xf>
    <xf numFmtId="175" fontId="223" fillId="0" borderId="66" xfId="1" applyNumberFormat="1" applyFont="1" applyFill="1" applyBorder="1" applyAlignment="1">
      <alignment horizontal="center" vertical="center" wrapText="1"/>
    </xf>
    <xf numFmtId="3" fontId="23" fillId="0" borderId="0" xfId="0" applyNumberFormat="1" applyFont="1" applyFill="1" applyAlignment="1">
      <alignment vertical="center"/>
    </xf>
    <xf numFmtId="0" fontId="255" fillId="0" borderId="0" xfId="0" applyFont="1" applyAlignment="1">
      <alignment horizontal="left" vertical="center"/>
    </xf>
    <xf numFmtId="173" fontId="89" fillId="0" borderId="0" xfId="0" applyNumberFormat="1" applyFont="1"/>
    <xf numFmtId="0" fontId="89" fillId="0" borderId="0" xfId="0" applyFont="1"/>
    <xf numFmtId="0" fontId="237" fillId="0" borderId="0" xfId="0" applyFont="1" applyAlignment="1">
      <alignment horizontal="left" vertical="center"/>
    </xf>
    <xf numFmtId="0" fontId="89" fillId="0" borderId="0" xfId="0" applyFont="1" applyAlignment="1">
      <alignment horizontal="center" vertical="center"/>
    </xf>
    <xf numFmtId="0" fontId="256" fillId="0" borderId="0" xfId="0" applyFont="1" applyAlignment="1">
      <alignment horizontal="center" vertical="center" wrapText="1"/>
    </xf>
    <xf numFmtId="173" fontId="256" fillId="0" borderId="0" xfId="0" applyNumberFormat="1" applyFont="1" applyAlignment="1">
      <alignment horizontal="center" vertical="center" wrapText="1"/>
    </xf>
    <xf numFmtId="173" fontId="260" fillId="0" borderId="0" xfId="0" applyNumberFormat="1" applyFont="1" applyAlignment="1">
      <alignment horizontal="center" vertical="center" wrapText="1"/>
    </xf>
    <xf numFmtId="304" fontId="237" fillId="0" borderId="0" xfId="0" applyNumberFormat="1" applyFont="1"/>
    <xf numFmtId="0" fontId="119" fillId="0" borderId="15" xfId="0" applyFont="1" applyBorder="1" applyAlignment="1">
      <alignment horizontal="center" vertical="center" wrapText="1"/>
    </xf>
    <xf numFmtId="0" fontId="119" fillId="0" borderId="1" xfId="0" applyFont="1" applyBorder="1" applyAlignment="1">
      <alignment horizontal="center" vertical="center" wrapText="1"/>
    </xf>
    <xf numFmtId="0" fontId="245" fillId="0" borderId="1" xfId="0" applyFont="1" applyBorder="1" applyAlignment="1">
      <alignment horizontal="center" vertical="center" wrapText="1"/>
    </xf>
    <xf numFmtId="0" fontId="18" fillId="0" borderId="0" xfId="0" applyFont="1"/>
    <xf numFmtId="0" fontId="239" fillId="0" borderId="1" xfId="0" applyFont="1" applyBorder="1" applyAlignment="1">
      <alignment horizontal="center" vertical="center" wrapText="1"/>
    </xf>
    <xf numFmtId="0" fontId="68" fillId="0" borderId="1" xfId="0" applyFont="1" applyBorder="1" applyAlignment="1">
      <alignment horizontal="center" vertical="center" wrapText="1"/>
    </xf>
    <xf numFmtId="0" fontId="239" fillId="0" borderId="0" xfId="0" applyFont="1"/>
    <xf numFmtId="173" fontId="237" fillId="0" borderId="69" xfId="1" applyNumberFormat="1" applyFont="1" applyFill="1" applyBorder="1" applyAlignment="1">
      <alignment horizontal="center" vertical="center" wrapText="1"/>
    </xf>
    <xf numFmtId="175" fontId="237" fillId="0" borderId="69" xfId="1" applyNumberFormat="1" applyFont="1" applyFill="1" applyBorder="1" applyAlignment="1">
      <alignment horizontal="center" vertical="center" wrapText="1"/>
    </xf>
    <xf numFmtId="0" fontId="237" fillId="0" borderId="0" xfId="0" applyFont="1" applyAlignment="1">
      <alignment vertical="center"/>
    </xf>
    <xf numFmtId="173" fontId="237" fillId="0" borderId="69" xfId="1" applyNumberFormat="1" applyFont="1" applyFill="1" applyBorder="1" applyAlignment="1">
      <alignment vertical="center" wrapText="1"/>
    </xf>
    <xf numFmtId="173" fontId="237" fillId="0" borderId="0" xfId="0" applyNumberFormat="1" applyFont="1" applyAlignment="1">
      <alignment vertical="center"/>
    </xf>
    <xf numFmtId="0" fontId="237" fillId="0" borderId="0" xfId="0" applyFont="1" applyAlignment="1">
      <alignment vertical="center" wrapText="1"/>
    </xf>
    <xf numFmtId="173" fontId="237" fillId="0" borderId="0" xfId="0" applyNumberFormat="1" applyFont="1"/>
    <xf numFmtId="175" fontId="89" fillId="0" borderId="69" xfId="3" quotePrefix="1" applyNumberFormat="1" applyFont="1" applyFill="1" applyBorder="1" applyAlignment="1">
      <alignment horizontal="center" vertical="center" wrapText="1"/>
    </xf>
    <xf numFmtId="173" fontId="89" fillId="0" borderId="69" xfId="3" applyNumberFormat="1" applyFont="1" applyFill="1" applyBorder="1" applyAlignment="1">
      <alignment horizontal="left" vertical="center" wrapText="1"/>
    </xf>
    <xf numFmtId="173" fontId="89" fillId="0" borderId="69" xfId="1" applyNumberFormat="1" applyFont="1" applyFill="1" applyBorder="1" applyAlignment="1">
      <alignment horizontal="center" vertical="center" wrapText="1"/>
    </xf>
    <xf numFmtId="173" fontId="89" fillId="0" borderId="69" xfId="1" applyNumberFormat="1" applyFont="1" applyFill="1" applyBorder="1" applyAlignment="1">
      <alignment vertical="center"/>
    </xf>
    <xf numFmtId="175" fontId="89" fillId="0" borderId="69" xfId="1" applyNumberFormat="1" applyFont="1" applyFill="1" applyBorder="1" applyAlignment="1">
      <alignment horizontal="center" vertical="center" wrapText="1"/>
    </xf>
    <xf numFmtId="0" fontId="89" fillId="0" borderId="0" xfId="0" applyFont="1" applyAlignment="1">
      <alignment vertical="center"/>
    </xf>
    <xf numFmtId="173" fontId="89" fillId="0" borderId="69" xfId="3" quotePrefix="1" applyNumberFormat="1" applyFont="1" applyFill="1" applyBorder="1" applyAlignment="1">
      <alignment horizontal="center" vertical="center"/>
    </xf>
    <xf numFmtId="0" fontId="89" fillId="0" borderId="69" xfId="4" applyFont="1" applyBorder="1" applyAlignment="1">
      <alignment vertical="center" wrapText="1"/>
    </xf>
    <xf numFmtId="173" fontId="89" fillId="0" borderId="69" xfId="3" applyNumberFormat="1" applyFont="1" applyFill="1" applyBorder="1" applyAlignment="1">
      <alignment vertical="center" wrapText="1"/>
    </xf>
    <xf numFmtId="173" fontId="89" fillId="0" borderId="69" xfId="1" applyNumberFormat="1" applyFont="1" applyFill="1" applyBorder="1" applyAlignment="1">
      <alignment horizontal="right" vertical="center" wrapText="1"/>
    </xf>
    <xf numFmtId="173" fontId="89" fillId="0" borderId="0" xfId="0" applyNumberFormat="1" applyFont="1" applyAlignment="1">
      <alignment vertical="center"/>
    </xf>
    <xf numFmtId="3" fontId="89" fillId="0" borderId="69" xfId="1" applyNumberFormat="1" applyFont="1" applyFill="1" applyBorder="1" applyAlignment="1">
      <alignment horizontal="right" vertical="center" wrapText="1"/>
    </xf>
    <xf numFmtId="0" fontId="89" fillId="0" borderId="69" xfId="0" applyFont="1" applyBorder="1" applyAlignment="1" applyProtection="1">
      <alignment horizontal="left" vertical="center" wrapText="1"/>
      <protection locked="0"/>
    </xf>
    <xf numFmtId="3" fontId="89" fillId="0" borderId="69" xfId="1004" applyNumberFormat="1" applyFont="1" applyBorder="1" applyAlignment="1">
      <alignment vertical="center" wrapText="1"/>
    </xf>
    <xf numFmtId="0" fontId="89" fillId="0" borderId="69" xfId="1004" applyFont="1" applyBorder="1" applyAlignment="1">
      <alignment vertical="center" wrapText="1"/>
    </xf>
    <xf numFmtId="0" fontId="89" fillId="0" borderId="69" xfId="0" applyFont="1" applyBorder="1" applyAlignment="1">
      <alignment horizontal="left" vertical="center" wrapText="1"/>
    </xf>
    <xf numFmtId="173" fontId="237" fillId="0" borderId="69" xfId="1" quotePrefix="1" applyNumberFormat="1" applyFont="1" applyFill="1" applyBorder="1" applyAlignment="1">
      <alignment horizontal="center" vertical="center" wrapText="1"/>
    </xf>
    <xf numFmtId="3" fontId="237" fillId="0" borderId="69" xfId="1004" applyNumberFormat="1" applyFont="1" applyBorder="1" applyAlignment="1">
      <alignment horizontal="left" vertical="center" wrapText="1"/>
    </xf>
    <xf numFmtId="173" fontId="89" fillId="0" borderId="69" xfId="1" quotePrefix="1" applyNumberFormat="1" applyFont="1" applyFill="1" applyBorder="1" applyAlignment="1">
      <alignment horizontal="center" vertical="center" wrapText="1"/>
    </xf>
    <xf numFmtId="173" fontId="89" fillId="0" borderId="69" xfId="1" applyNumberFormat="1" applyFont="1" applyFill="1" applyBorder="1" applyAlignment="1">
      <alignment horizontal="left" vertical="center" wrapText="1"/>
    </xf>
    <xf numFmtId="173" fontId="237" fillId="0" borderId="69" xfId="1" applyNumberFormat="1" applyFont="1" applyFill="1" applyBorder="1" applyAlignment="1">
      <alignment horizontal="left" vertical="center" wrapText="1"/>
    </xf>
    <xf numFmtId="173" fontId="237" fillId="0" borderId="69" xfId="1" applyNumberFormat="1" applyFont="1" applyFill="1" applyBorder="1" applyAlignment="1">
      <alignment vertical="center"/>
    </xf>
    <xf numFmtId="0" fontId="237" fillId="0" borderId="69" xfId="0" applyFont="1" applyBorder="1" applyAlignment="1">
      <alignment horizontal="center" vertical="center" wrapText="1"/>
    </xf>
    <xf numFmtId="0" fontId="237" fillId="0" borderId="69" xfId="0" applyFont="1" applyBorder="1" applyAlignment="1">
      <alignment vertical="center" wrapText="1"/>
    </xf>
    <xf numFmtId="0" fontId="237" fillId="0" borderId="60" xfId="0" applyFont="1" applyBorder="1" applyAlignment="1">
      <alignment horizontal="center" vertical="center" wrapText="1"/>
    </xf>
    <xf numFmtId="0" fontId="237" fillId="0" borderId="60" xfId="0" applyFont="1" applyBorder="1" applyAlignment="1">
      <alignment vertical="center" wrapText="1"/>
    </xf>
    <xf numFmtId="0" fontId="237" fillId="0" borderId="70" xfId="0" applyFont="1" applyBorder="1" applyAlignment="1">
      <alignment horizontal="center" vertical="center" wrapText="1"/>
    </xf>
    <xf numFmtId="0" fontId="237" fillId="0" borderId="70" xfId="0" applyFont="1" applyBorder="1" applyAlignment="1">
      <alignment vertical="center" wrapText="1"/>
    </xf>
    <xf numFmtId="173" fontId="237" fillId="0" borderId="70" xfId="1" applyNumberFormat="1" applyFont="1" applyFill="1" applyBorder="1" applyAlignment="1">
      <alignment horizontal="center" vertical="center" wrapText="1"/>
    </xf>
    <xf numFmtId="173" fontId="237" fillId="0" borderId="70" xfId="1" applyNumberFormat="1" applyFont="1" applyFill="1" applyBorder="1" applyAlignment="1">
      <alignment vertical="center"/>
    </xf>
    <xf numFmtId="175" fontId="89" fillId="0" borderId="70" xfId="1" applyNumberFormat="1" applyFont="1" applyFill="1" applyBorder="1" applyAlignment="1">
      <alignment horizontal="center" vertical="center" wrapText="1"/>
    </xf>
    <xf numFmtId="173" fontId="239" fillId="0" borderId="0" xfId="0" applyNumberFormat="1" applyFont="1"/>
    <xf numFmtId="173" fontId="262" fillId="0" borderId="0" xfId="0" applyNumberFormat="1" applyFont="1"/>
    <xf numFmtId="3" fontId="17" fillId="0" borderId="69" xfId="0" applyNumberFormat="1" applyFont="1" applyFill="1" applyBorder="1" applyAlignment="1">
      <alignment horizontal="right" vertical="center" wrapText="1"/>
    </xf>
    <xf numFmtId="3" fontId="17" fillId="0" borderId="69" xfId="1" applyNumberFormat="1" applyFont="1" applyFill="1" applyBorder="1" applyAlignment="1">
      <alignment horizontal="right" vertical="center" wrapText="1"/>
    </xf>
    <xf numFmtId="3" fontId="17" fillId="0" borderId="70" xfId="0" applyNumberFormat="1" applyFont="1" applyFill="1" applyBorder="1" applyAlignment="1">
      <alignment horizontal="right" vertical="center" wrapText="1"/>
    </xf>
    <xf numFmtId="3" fontId="17" fillId="0" borderId="70" xfId="1" applyNumberFormat="1" applyFont="1" applyFill="1" applyBorder="1" applyAlignment="1">
      <alignment horizontal="right" vertical="center" wrapText="1"/>
    </xf>
    <xf numFmtId="176" fontId="10" fillId="0" borderId="70" xfId="5" applyNumberFormat="1" applyFont="1" applyFill="1" applyBorder="1" applyAlignment="1">
      <alignment horizontal="right" vertical="center" wrapText="1"/>
    </xf>
    <xf numFmtId="0" fontId="224" fillId="0" borderId="0" xfId="0" applyFont="1" applyAlignment="1">
      <alignment horizontal="center" vertical="center"/>
    </xf>
    <xf numFmtId="3" fontId="224" fillId="0" borderId="0" xfId="0" applyNumberFormat="1" applyFont="1" applyAlignment="1">
      <alignment horizontal="center" vertical="center"/>
    </xf>
    <xf numFmtId="0" fontId="12" fillId="0" borderId="0" xfId="0" applyFont="1" applyAlignment="1">
      <alignment horizontal="center" vertical="center"/>
    </xf>
    <xf numFmtId="3" fontId="12" fillId="0" borderId="0" xfId="0" applyNumberFormat="1" applyFont="1" applyAlignment="1">
      <alignment horizontal="center" vertical="center"/>
    </xf>
    <xf numFmtId="0" fontId="9" fillId="0" borderId="17" xfId="0" applyFont="1" applyBorder="1" applyAlignment="1">
      <alignment vertical="center" wrapText="1"/>
    </xf>
    <xf numFmtId="3" fontId="9" fillId="0" borderId="17" xfId="0" applyNumberFormat="1" applyFont="1" applyBorder="1" applyAlignment="1">
      <alignment horizontal="right" vertical="center" wrapText="1"/>
    </xf>
    <xf numFmtId="213" fontId="18" fillId="0" borderId="17" xfId="0" applyNumberFormat="1" applyFont="1" applyBorder="1" applyAlignment="1">
      <alignment horizontal="right" vertical="center" wrapText="1"/>
    </xf>
    <xf numFmtId="9" fontId="17" fillId="0" borderId="69" xfId="2266" applyFont="1" applyFill="1" applyBorder="1" applyAlignment="1">
      <alignment horizontal="right" vertical="center" wrapText="1"/>
    </xf>
    <xf numFmtId="0" fontId="17" fillId="0" borderId="69" xfId="0" applyFont="1" applyBorder="1" applyAlignment="1">
      <alignment horizontal="right" vertical="center" wrapText="1"/>
    </xf>
    <xf numFmtId="4" fontId="17" fillId="0" borderId="69" xfId="1" applyNumberFormat="1" applyFont="1" applyFill="1" applyBorder="1" applyAlignment="1">
      <alignment horizontal="right" vertical="center" wrapText="1"/>
    </xf>
    <xf numFmtId="170" fontId="17" fillId="0" borderId="69" xfId="1" applyFont="1" applyFill="1" applyBorder="1" applyAlignment="1">
      <alignment horizontal="right" vertical="center" wrapText="1"/>
    </xf>
    <xf numFmtId="3" fontId="242" fillId="0" borderId="69" xfId="0" applyNumberFormat="1" applyFont="1" applyBorder="1" applyAlignment="1">
      <alignment horizontal="right" vertical="center" wrapText="1"/>
    </xf>
    <xf numFmtId="3" fontId="225" fillId="0" borderId="69" xfId="0" applyNumberFormat="1" applyFont="1" applyFill="1" applyBorder="1" applyAlignment="1">
      <alignment horizontal="right" vertical="center" wrapText="1"/>
    </xf>
    <xf numFmtId="177" fontId="17" fillId="0" borderId="69" xfId="5" applyNumberFormat="1" applyFont="1" applyFill="1" applyBorder="1" applyAlignment="1">
      <alignment horizontal="right" vertical="center" wrapText="1"/>
    </xf>
    <xf numFmtId="3" fontId="17" fillId="0" borderId="69" xfId="5" applyNumberFormat="1" applyFont="1" applyFill="1" applyBorder="1" applyAlignment="1">
      <alignment horizontal="right" vertical="center" wrapText="1"/>
    </xf>
    <xf numFmtId="174" fontId="17" fillId="0" borderId="69" xfId="1" applyNumberFormat="1" applyFont="1" applyFill="1" applyBorder="1" applyAlignment="1">
      <alignment horizontal="right" vertical="center" wrapText="1"/>
    </xf>
    <xf numFmtId="174" fontId="17" fillId="0" borderId="69" xfId="1" applyNumberFormat="1" applyFont="1" applyFill="1" applyBorder="1" applyAlignment="1">
      <alignment horizontal="center" vertical="center" wrapText="1"/>
    </xf>
    <xf numFmtId="1" fontId="17" fillId="0" borderId="69" xfId="0" applyNumberFormat="1" applyFont="1" applyBorder="1" applyAlignment="1">
      <alignment horizontal="right" vertical="center" wrapText="1"/>
    </xf>
    <xf numFmtId="0" fontId="10" fillId="0" borderId="70" xfId="0" applyFont="1" applyBorder="1" applyAlignment="1">
      <alignment horizontal="center" vertical="center" wrapText="1"/>
    </xf>
    <xf numFmtId="0" fontId="10" fillId="0" borderId="70" xfId="0" applyFont="1" applyBorder="1" applyAlignment="1">
      <alignment vertical="center" wrapText="1"/>
    </xf>
    <xf numFmtId="3" fontId="10" fillId="0" borderId="70" xfId="0" applyNumberFormat="1" applyFont="1" applyBorder="1" applyAlignment="1">
      <alignment horizontal="right" vertical="center" wrapText="1"/>
    </xf>
    <xf numFmtId="3" fontId="225" fillId="0" borderId="70" xfId="0" applyNumberFormat="1" applyFont="1" applyFill="1" applyBorder="1" applyAlignment="1">
      <alignment horizontal="right" vertical="center" wrapText="1"/>
    </xf>
    <xf numFmtId="3" fontId="17" fillId="0" borderId="70" xfId="0" applyNumberFormat="1" applyFont="1" applyBorder="1" applyAlignment="1">
      <alignment horizontal="right" vertical="center" wrapText="1"/>
    </xf>
    <xf numFmtId="176" fontId="10" fillId="0" borderId="70" xfId="0" applyNumberFormat="1" applyFont="1" applyBorder="1" applyAlignment="1">
      <alignment horizontal="right" vertical="center" wrapText="1"/>
    </xf>
    <xf numFmtId="0" fontId="10" fillId="0" borderId="70" xfId="0" applyFont="1" applyBorder="1" applyAlignment="1">
      <alignment horizontal="right" vertical="center" wrapText="1"/>
    </xf>
    <xf numFmtId="1" fontId="10" fillId="0" borderId="70" xfId="0" applyNumberFormat="1" applyFont="1" applyBorder="1" applyAlignment="1">
      <alignment horizontal="right" vertical="center" wrapText="1"/>
    </xf>
    <xf numFmtId="9" fontId="17" fillId="0" borderId="70" xfId="2266" applyFont="1" applyFill="1" applyBorder="1" applyAlignment="1">
      <alignment horizontal="right" vertical="center" wrapText="1"/>
    </xf>
    <xf numFmtId="0" fontId="17" fillId="0" borderId="70" xfId="0" applyFont="1" applyBorder="1" applyAlignment="1">
      <alignment horizontal="right" vertical="center" wrapText="1"/>
    </xf>
    <xf numFmtId="0" fontId="11" fillId="0" borderId="0" xfId="0" applyFont="1" applyAlignment="1">
      <alignment vertical="center"/>
    </xf>
    <xf numFmtId="3" fontId="244" fillId="0" borderId="0" xfId="0" applyNumberFormat="1" applyFont="1" applyAlignment="1">
      <alignment vertical="center"/>
    </xf>
    <xf numFmtId="213" fontId="12" fillId="0" borderId="0" xfId="0" applyNumberFormat="1" applyFont="1" applyAlignment="1">
      <alignment vertical="center"/>
    </xf>
    <xf numFmtId="0" fontId="236" fillId="0" borderId="0" xfId="0" applyFont="1"/>
    <xf numFmtId="0" fontId="14" fillId="0" borderId="1" xfId="0" applyFont="1" applyBorder="1" applyAlignment="1">
      <alignment horizontal="center" vertical="center" wrapText="1"/>
    </xf>
    <xf numFmtId="3" fontId="18" fillId="0" borderId="17" xfId="0" applyNumberFormat="1" applyFont="1" applyBorder="1" applyAlignment="1">
      <alignment horizontal="right" vertical="center" wrapText="1"/>
    </xf>
    <xf numFmtId="9" fontId="238" fillId="0" borderId="17" xfId="0" applyNumberFormat="1" applyFont="1" applyBorder="1" applyAlignment="1">
      <alignment horizontal="right" vertical="center" wrapText="1"/>
    </xf>
    <xf numFmtId="9" fontId="17" fillId="0" borderId="69" xfId="0" applyNumberFormat="1" applyFont="1" applyBorder="1" applyAlignment="1">
      <alignment horizontal="right" vertical="center" wrapText="1"/>
    </xf>
    <xf numFmtId="305" fontId="12" fillId="0" borderId="0" xfId="0" applyNumberFormat="1" applyFont="1"/>
    <xf numFmtId="301" fontId="12" fillId="0" borderId="0" xfId="0" applyNumberFormat="1" applyFont="1"/>
    <xf numFmtId="9" fontId="17" fillId="0" borderId="70" xfId="0" applyNumberFormat="1" applyFont="1" applyBorder="1" applyAlignment="1">
      <alignment horizontal="right" vertical="center" wrapText="1"/>
    </xf>
    <xf numFmtId="9" fontId="9" fillId="0" borderId="61" xfId="2270" applyFont="1" applyFill="1" applyBorder="1" applyAlignment="1">
      <alignment horizontal="right" vertical="center" wrapText="1"/>
    </xf>
    <xf numFmtId="3" fontId="17" fillId="0" borderId="69" xfId="5" applyNumberFormat="1" applyFont="1" applyFill="1" applyBorder="1" applyAlignment="1">
      <alignment vertical="center" wrapText="1"/>
    </xf>
    <xf numFmtId="3" fontId="10" fillId="0" borderId="69" xfId="5" applyNumberFormat="1" applyFont="1" applyFill="1" applyBorder="1" applyAlignment="1">
      <alignment horizontal="right" vertical="center" wrapText="1"/>
    </xf>
    <xf numFmtId="3" fontId="221" fillId="0" borderId="69" xfId="0" applyNumberFormat="1" applyFont="1" applyBorder="1" applyAlignment="1">
      <alignment horizontal="right" vertical="center" wrapText="1"/>
    </xf>
    <xf numFmtId="3" fontId="10" fillId="0" borderId="69" xfId="0" applyNumberFormat="1" applyFont="1" applyBorder="1" applyAlignment="1">
      <alignment vertical="center" wrapText="1"/>
    </xf>
    <xf numFmtId="9" fontId="10" fillId="0" borderId="61" xfId="2270" applyFont="1" applyFill="1" applyBorder="1" applyAlignment="1">
      <alignment horizontal="right" vertical="center" wrapText="1"/>
    </xf>
    <xf numFmtId="9" fontId="10" fillId="0" borderId="62" xfId="2270" applyFont="1" applyFill="1" applyBorder="1" applyAlignment="1">
      <alignment horizontal="right" vertical="center" wrapText="1"/>
    </xf>
    <xf numFmtId="3" fontId="17" fillId="0" borderId="70" xfId="5" applyNumberFormat="1" applyFont="1" applyFill="1" applyBorder="1" applyAlignment="1">
      <alignment vertical="center" wrapText="1"/>
    </xf>
    <xf numFmtId="3" fontId="17" fillId="0" borderId="70" xfId="0" applyNumberFormat="1" applyFont="1" applyBorder="1" applyAlignment="1">
      <alignment vertical="center" wrapText="1"/>
    </xf>
    <xf numFmtId="3" fontId="10" fillId="0" borderId="70" xfId="5" applyNumberFormat="1" applyFont="1" applyFill="1" applyBorder="1" applyAlignment="1">
      <alignment vertical="center" wrapText="1"/>
    </xf>
    <xf numFmtId="3" fontId="10" fillId="0" borderId="70" xfId="0" applyNumberFormat="1" applyFont="1" applyBorder="1" applyAlignment="1">
      <alignment vertical="center" wrapText="1"/>
    </xf>
    <xf numFmtId="9" fontId="10" fillId="0" borderId="64" xfId="2270" applyFont="1" applyFill="1" applyBorder="1" applyAlignment="1">
      <alignment horizontal="right" vertical="center" wrapText="1"/>
    </xf>
    <xf numFmtId="9" fontId="10" fillId="0" borderId="65" xfId="2270" applyFont="1" applyFill="1" applyBorder="1" applyAlignment="1">
      <alignment horizontal="right" vertical="center" wrapText="1"/>
    </xf>
    <xf numFmtId="0" fontId="263" fillId="0" borderId="0" xfId="0" applyFont="1" applyFill="1" applyAlignment="1">
      <alignment vertical="center"/>
    </xf>
    <xf numFmtId="0" fontId="263" fillId="0" borderId="0" xfId="0" applyFont="1" applyFill="1" applyAlignment="1">
      <alignment horizontal="left" vertical="center"/>
    </xf>
    <xf numFmtId="3" fontId="263" fillId="0" borderId="0" xfId="0" applyNumberFormat="1" applyFont="1" applyFill="1" applyAlignment="1">
      <alignment vertical="center"/>
    </xf>
    <xf numFmtId="173" fontId="263" fillId="0" borderId="0" xfId="0" applyNumberFormat="1" applyFont="1" applyFill="1" applyAlignment="1">
      <alignment vertical="center"/>
    </xf>
    <xf numFmtId="0" fontId="264" fillId="0" borderId="0" xfId="0" applyFont="1" applyFill="1" applyAlignment="1">
      <alignment vertical="center"/>
    </xf>
    <xf numFmtId="0" fontId="265" fillId="0" borderId="0" xfId="0" applyFont="1" applyFill="1" applyAlignment="1">
      <alignment vertical="center"/>
    </xf>
    <xf numFmtId="0" fontId="249" fillId="0" borderId="0" xfId="0" applyFont="1" applyFill="1" applyBorder="1" applyAlignment="1">
      <alignment vertical="center"/>
    </xf>
    <xf numFmtId="3" fontId="249" fillId="0" borderId="0" xfId="0" applyNumberFormat="1" applyFont="1" applyFill="1" applyBorder="1" applyAlignment="1">
      <alignment vertical="center"/>
    </xf>
    <xf numFmtId="0" fontId="10" fillId="0" borderId="0" xfId="0" applyFont="1" applyFill="1" applyBorder="1" applyAlignment="1">
      <alignment vertical="center" wrapText="1"/>
    </xf>
    <xf numFmtId="0" fontId="18" fillId="0" borderId="0" xfId="0" applyFont="1" applyAlignment="1">
      <alignment horizontal="center"/>
    </xf>
    <xf numFmtId="0" fontId="18" fillId="0" borderId="1" xfId="0" applyFont="1" applyBorder="1" applyAlignment="1">
      <alignment horizontal="center" vertical="center" wrapText="1"/>
    </xf>
    <xf numFmtId="0" fontId="233" fillId="0" borderId="0" xfId="1487" applyFont="1" applyAlignment="1">
      <alignment horizontal="center" vertical="center" wrapText="1"/>
    </xf>
    <xf numFmtId="0" fontId="5" fillId="0" borderId="0" xfId="0" applyFont="1"/>
    <xf numFmtId="0" fontId="10" fillId="0" borderId="71" xfId="0" applyFont="1" applyBorder="1" applyAlignment="1">
      <alignment horizontal="center" vertical="center" wrapText="1"/>
    </xf>
    <xf numFmtId="0" fontId="10" fillId="0" borderId="72" xfId="0" applyFont="1" applyBorder="1" applyAlignment="1">
      <alignment vertical="center" wrapText="1"/>
    </xf>
    <xf numFmtId="0" fontId="6" fillId="0" borderId="72" xfId="0" applyFont="1" applyBorder="1"/>
    <xf numFmtId="0" fontId="6" fillId="0" borderId="73" xfId="0" applyFont="1" applyBorder="1"/>
    <xf numFmtId="0" fontId="6" fillId="0" borderId="0" xfId="0" quotePrefix="1" applyFont="1"/>
    <xf numFmtId="0" fontId="10" fillId="0" borderId="74" xfId="0" applyFont="1" applyBorder="1" applyAlignment="1">
      <alignment horizontal="center" vertical="center" wrapText="1"/>
    </xf>
    <xf numFmtId="0" fontId="10" fillId="0" borderId="75" xfId="0" applyFont="1" applyBorder="1" applyAlignment="1">
      <alignment vertical="center" wrapText="1"/>
    </xf>
    <xf numFmtId="302" fontId="10" fillId="0" borderId="75" xfId="0" applyNumberFormat="1" applyFont="1" applyBorder="1" applyAlignment="1">
      <alignment vertical="center" wrapText="1"/>
    </xf>
    <xf numFmtId="0" fontId="10" fillId="0" borderId="76" xfId="0" applyFont="1" applyBorder="1" applyAlignment="1">
      <alignment vertical="center" wrapText="1"/>
    </xf>
    <xf numFmtId="0" fontId="9" fillId="0" borderId="1" xfId="0" applyFont="1" applyBorder="1" applyAlignment="1">
      <alignment horizontal="center" vertical="center" wrapText="1"/>
    </xf>
    <xf numFmtId="0" fontId="266" fillId="0" borderId="0" xfId="0" applyFont="1" applyFill="1" applyAlignment="1">
      <alignment vertical="center"/>
    </xf>
    <xf numFmtId="3" fontId="266" fillId="0" borderId="0" xfId="0" applyNumberFormat="1" applyFont="1" applyFill="1" applyAlignment="1">
      <alignment vertical="center"/>
    </xf>
    <xf numFmtId="3" fontId="267" fillId="0" borderId="0" xfId="0" applyNumberFormat="1" applyFont="1" applyFill="1" applyAlignment="1">
      <alignment vertical="center"/>
    </xf>
    <xf numFmtId="0" fontId="18" fillId="0" borderId="17" xfId="0" applyFont="1" applyBorder="1" applyAlignment="1">
      <alignment horizontal="center" vertical="center" wrapText="1"/>
    </xf>
    <xf numFmtId="0" fontId="18" fillId="0" borderId="17" xfId="0" applyFont="1" applyBorder="1" applyAlignment="1">
      <alignment vertical="center" wrapText="1"/>
    </xf>
    <xf numFmtId="3" fontId="18" fillId="0" borderId="17" xfId="0" applyNumberFormat="1" applyFont="1" applyBorder="1" applyAlignment="1">
      <alignment vertical="center" wrapText="1"/>
    </xf>
    <xf numFmtId="3" fontId="17" fillId="0" borderId="69" xfId="1" applyNumberFormat="1" applyFont="1" applyFill="1" applyBorder="1" applyAlignment="1">
      <alignment vertical="center" wrapText="1"/>
    </xf>
    <xf numFmtId="3" fontId="17" fillId="0" borderId="69" xfId="2" applyNumberFormat="1" applyFont="1" applyFill="1" applyBorder="1" applyAlignment="1">
      <alignment vertical="center" wrapText="1"/>
    </xf>
    <xf numFmtId="3" fontId="18" fillId="71" borderId="70" xfId="0" applyNumberFormat="1" applyFont="1" applyFill="1" applyBorder="1" applyAlignment="1">
      <alignment vertical="center" wrapText="1"/>
    </xf>
    <xf numFmtId="173" fontId="18" fillId="71" borderId="70" xfId="1" applyNumberFormat="1" applyFont="1" applyFill="1" applyBorder="1" applyAlignment="1">
      <alignment vertical="center" wrapText="1"/>
    </xf>
    <xf numFmtId="173" fontId="18" fillId="71" borderId="70" xfId="1" applyNumberFormat="1" applyFont="1" applyFill="1" applyBorder="1" applyAlignment="1">
      <alignment horizontal="right" vertical="center" wrapText="1"/>
    </xf>
    <xf numFmtId="175" fontId="18" fillId="71" borderId="70" xfId="1" applyNumberFormat="1" applyFont="1" applyFill="1" applyBorder="1" applyAlignment="1">
      <alignment horizontal="center" vertical="center" wrapText="1"/>
    </xf>
    <xf numFmtId="0" fontId="10" fillId="0" borderId="77" xfId="0" applyFont="1" applyBorder="1" applyAlignment="1">
      <alignment horizontal="center" vertical="center" wrapText="1"/>
    </xf>
    <xf numFmtId="0" fontId="9" fillId="0" borderId="77" xfId="0" applyFont="1" applyBorder="1" applyAlignment="1">
      <alignment vertical="center" wrapText="1"/>
    </xf>
    <xf numFmtId="0" fontId="9" fillId="0" borderId="77" xfId="0" applyFont="1" applyBorder="1" applyAlignment="1">
      <alignment horizontal="center" vertical="center" wrapText="1"/>
    </xf>
    <xf numFmtId="0" fontId="10" fillId="0" borderId="77" xfId="0" applyFont="1" applyBorder="1" applyAlignment="1">
      <alignment vertical="center" wrapText="1"/>
    </xf>
    <xf numFmtId="0" fontId="11" fillId="0" borderId="77" xfId="0" applyFont="1" applyBorder="1" applyAlignment="1">
      <alignment vertical="center" wrapText="1"/>
    </xf>
    <xf numFmtId="0" fontId="221" fillId="0" borderId="77" xfId="0" applyFont="1" applyBorder="1" applyAlignment="1">
      <alignment horizontal="center" vertical="center" wrapText="1"/>
    </xf>
    <xf numFmtId="0" fontId="241" fillId="0" borderId="77" xfId="0" applyFont="1" applyBorder="1" applyAlignment="1">
      <alignment vertical="center" wrapText="1"/>
    </xf>
    <xf numFmtId="0" fontId="221" fillId="0" borderId="77" xfId="0" applyFont="1" applyBorder="1" applyAlignment="1">
      <alignment vertical="center" wrapText="1"/>
    </xf>
    <xf numFmtId="0" fontId="221" fillId="0" borderId="77" xfId="0" quotePrefix="1" applyFont="1" applyBorder="1" applyAlignment="1">
      <alignment horizontal="center" vertical="center" wrapText="1"/>
    </xf>
    <xf numFmtId="0" fontId="221" fillId="0" borderId="77" xfId="0" applyFont="1" applyBorder="1" applyAlignment="1">
      <alignment horizontal="justify" vertical="center" wrapText="1"/>
    </xf>
    <xf numFmtId="0" fontId="220" fillId="0" borderId="77" xfId="0" applyFont="1" applyBorder="1" applyAlignment="1">
      <alignment horizontal="center" vertical="center" wrapText="1"/>
    </xf>
    <xf numFmtId="0" fontId="220" fillId="0" borderId="77" xfId="0" applyFont="1" applyBorder="1" applyAlignment="1">
      <alignment vertical="center" wrapText="1"/>
    </xf>
    <xf numFmtId="0" fontId="221" fillId="0" borderId="77" xfId="2268" applyFont="1" applyBorder="1" applyAlignment="1">
      <alignment vertical="center" wrapText="1"/>
    </xf>
    <xf numFmtId="0" fontId="10" fillId="0" borderId="77" xfId="2268" applyFont="1" applyBorder="1" applyAlignment="1">
      <alignment vertical="center" wrapText="1"/>
    </xf>
    <xf numFmtId="0" fontId="10" fillId="0" borderId="77" xfId="0" quotePrefix="1" applyFont="1" applyBorder="1" applyAlignment="1">
      <alignment horizontal="center" vertical="center" wrapText="1"/>
    </xf>
    <xf numFmtId="0" fontId="10" fillId="0" borderId="79" xfId="0" applyFont="1" applyBorder="1" applyAlignment="1">
      <alignment horizontal="center" vertical="center" wrapText="1"/>
    </xf>
    <xf numFmtId="0" fontId="10" fillId="0" borderId="80" xfId="0" applyFont="1" applyBorder="1" applyAlignment="1">
      <alignment vertical="center" wrapText="1"/>
    </xf>
    <xf numFmtId="302" fontId="10" fillId="0" borderId="80" xfId="0" applyNumberFormat="1" applyFont="1" applyBorder="1" applyAlignment="1">
      <alignment vertical="center" wrapText="1"/>
    </xf>
    <xf numFmtId="0" fontId="10" fillId="0" borderId="81" xfId="0" applyFont="1" applyBorder="1" applyAlignment="1">
      <alignment vertical="center" wrapText="1"/>
    </xf>
    <xf numFmtId="0" fontId="10" fillId="0" borderId="80" xfId="2268" applyFont="1" applyBorder="1" applyAlignment="1">
      <alignment vertical="center" wrapText="1"/>
    </xf>
    <xf numFmtId="0" fontId="221" fillId="0" borderId="80" xfId="0" applyFont="1" applyBorder="1"/>
    <xf numFmtId="0" fontId="6" fillId="0" borderId="80" xfId="0" applyFont="1" applyBorder="1"/>
    <xf numFmtId="0" fontId="6" fillId="0" borderId="81" xfId="0" applyFont="1" applyBorder="1"/>
    <xf numFmtId="0" fontId="232" fillId="0" borderId="80" xfId="0" applyFont="1" applyBorder="1"/>
    <xf numFmtId="0" fontId="232" fillId="0" borderId="81" xfId="0" applyFont="1" applyBorder="1"/>
    <xf numFmtId="0" fontId="10" fillId="0" borderId="82" xfId="0" applyFont="1" applyBorder="1" applyAlignment="1">
      <alignment horizontal="center" vertical="center" wrapText="1"/>
    </xf>
    <xf numFmtId="0" fontId="10" fillId="0" borderId="82" xfId="2268" applyFont="1" applyBorder="1" applyAlignment="1">
      <alignment vertical="center" wrapText="1"/>
    </xf>
    <xf numFmtId="173" fontId="242" fillId="0" borderId="83" xfId="1" applyNumberFormat="1" applyFont="1" applyFill="1" applyBorder="1" applyAlignment="1">
      <alignment vertical="center" wrapText="1"/>
    </xf>
    <xf numFmtId="0" fontId="268" fillId="0" borderId="0" xfId="0" applyFont="1" applyFill="1" applyAlignment="1">
      <alignment horizontal="center" vertical="center"/>
    </xf>
    <xf numFmtId="0" fontId="269" fillId="0" borderId="0" xfId="0" applyFont="1" applyFill="1" applyAlignment="1">
      <alignment vertical="center"/>
    </xf>
    <xf numFmtId="173" fontId="270" fillId="0" borderId="0" xfId="0" applyNumberFormat="1" applyFont="1"/>
    <xf numFmtId="3" fontId="242" fillId="0" borderId="83" xfId="0" applyNumberFormat="1" applyFont="1" applyFill="1" applyBorder="1" applyAlignment="1">
      <alignment vertical="center" wrapText="1"/>
    </xf>
    <xf numFmtId="3" fontId="250" fillId="0" borderId="83" xfId="0" applyNumberFormat="1" applyFont="1" applyFill="1" applyBorder="1" applyAlignment="1">
      <alignment vertical="center" wrapText="1"/>
    </xf>
    <xf numFmtId="3" fontId="242" fillId="0" borderId="83" xfId="0" applyNumberFormat="1" applyFont="1" applyFill="1" applyBorder="1" applyAlignment="1">
      <alignment horizontal="right" vertical="center" wrapText="1"/>
    </xf>
    <xf numFmtId="3" fontId="9" fillId="0" borderId="77" xfId="0" applyNumberFormat="1" applyFont="1" applyBorder="1" applyAlignment="1">
      <alignment vertical="center" wrapText="1"/>
    </xf>
    <xf numFmtId="3" fontId="10" fillId="0" borderId="77" xfId="1" applyNumberFormat="1" applyFont="1" applyBorder="1" applyAlignment="1">
      <alignment vertical="center" wrapText="1"/>
    </xf>
    <xf numFmtId="3" fontId="221" fillId="0" borderId="77" xfId="0" applyNumberFormat="1" applyFont="1" applyBorder="1" applyAlignment="1">
      <alignment vertical="center" wrapText="1"/>
    </xf>
    <xf numFmtId="3" fontId="10" fillId="0" borderId="77" xfId="0" applyNumberFormat="1" applyFont="1" applyBorder="1" applyAlignment="1">
      <alignment vertical="center" wrapText="1"/>
    </xf>
    <xf numFmtId="3" fontId="10" fillId="0" borderId="77" xfId="1" applyNumberFormat="1" applyFont="1" applyFill="1" applyBorder="1" applyAlignment="1">
      <alignment vertical="center" wrapText="1"/>
    </xf>
    <xf numFmtId="3" fontId="221" fillId="0" borderId="77" xfId="1" applyNumberFormat="1" applyFont="1" applyFill="1" applyBorder="1" applyAlignment="1">
      <alignment vertical="center" wrapText="1"/>
    </xf>
    <xf numFmtId="3" fontId="221" fillId="0" borderId="77" xfId="1" applyNumberFormat="1" applyFont="1" applyFill="1" applyBorder="1" applyAlignment="1">
      <alignment horizontal="right" vertical="center" wrapText="1"/>
    </xf>
    <xf numFmtId="3" fontId="221" fillId="0" borderId="77" xfId="0" applyNumberFormat="1" applyFont="1" applyFill="1" applyBorder="1" applyAlignment="1">
      <alignment vertical="center" wrapText="1"/>
    </xf>
    <xf numFmtId="3" fontId="221" fillId="0" borderId="77" xfId="0" applyNumberFormat="1" applyFont="1" applyBorder="1" applyAlignment="1">
      <alignment horizontal="right" vertical="center" wrapText="1"/>
    </xf>
    <xf numFmtId="3" fontId="220" fillId="0" borderId="77" xfId="0" applyNumberFormat="1" applyFont="1" applyBorder="1" applyAlignment="1">
      <alignment vertical="center" wrapText="1"/>
    </xf>
    <xf numFmtId="3" fontId="10" fillId="0" borderId="78" xfId="0" applyNumberFormat="1" applyFont="1" applyBorder="1" applyAlignment="1">
      <alignment vertical="center" wrapText="1"/>
    </xf>
    <xf numFmtId="3" fontId="10" fillId="0" borderId="82" xfId="0" applyNumberFormat="1" applyFont="1" applyBorder="1" applyAlignment="1">
      <alignment vertical="center" wrapText="1"/>
    </xf>
    <xf numFmtId="3" fontId="18" fillId="0" borderId="83" xfId="0" applyNumberFormat="1" applyFont="1" applyFill="1" applyBorder="1" applyAlignment="1">
      <alignment horizontal="right" vertical="center" wrapText="1"/>
    </xf>
    <xf numFmtId="3" fontId="223" fillId="0" borderId="66" xfId="0" applyNumberFormat="1" applyFont="1" applyFill="1" applyBorder="1" applyAlignment="1">
      <alignment vertical="center" wrapText="1"/>
    </xf>
    <xf numFmtId="3" fontId="223" fillId="0" borderId="66" xfId="1" applyNumberFormat="1" applyFont="1" applyFill="1" applyBorder="1" applyAlignment="1">
      <alignment horizontal="right" vertical="center" wrapText="1"/>
    </xf>
    <xf numFmtId="171" fontId="6" fillId="0" borderId="1" xfId="0" applyNumberFormat="1" applyFont="1" applyBorder="1" applyAlignment="1">
      <alignment horizontal="center" vertical="center"/>
    </xf>
    <xf numFmtId="0" fontId="6" fillId="0" borderId="1" xfId="0" applyFont="1" applyBorder="1" applyAlignment="1">
      <alignment horizontal="center" vertical="center"/>
    </xf>
    <xf numFmtId="171" fontId="6" fillId="0" borderId="3" xfId="0" applyNumberFormat="1" applyFont="1" applyBorder="1" applyAlignment="1">
      <alignment horizontal="center" vertical="center" wrapText="1"/>
    </xf>
    <xf numFmtId="171" fontId="6" fillId="0" borderId="4" xfId="0" applyNumberFormat="1" applyFont="1" applyBorder="1" applyAlignment="1">
      <alignment horizontal="center" vertical="center" wrapText="1"/>
    </xf>
    <xf numFmtId="171" fontId="6" fillId="0" borderId="5"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171" fontId="6" fillId="0" borderId="3" xfId="0" applyNumberFormat="1" applyFont="1" applyBorder="1" applyAlignment="1">
      <alignment horizontal="center" vertical="center"/>
    </xf>
    <xf numFmtId="171" fontId="6" fillId="0" borderId="4" xfId="0" applyNumberFormat="1" applyFont="1" applyBorder="1" applyAlignment="1">
      <alignment horizontal="center" vertical="center"/>
    </xf>
    <xf numFmtId="171" fontId="6" fillId="0" borderId="5" xfId="0" applyNumberFormat="1" applyFont="1" applyBorder="1" applyAlignment="1">
      <alignment horizontal="center" vertical="center"/>
    </xf>
    <xf numFmtId="0" fontId="227" fillId="0" borderId="0" xfId="0" applyFont="1" applyAlignment="1">
      <alignment horizontal="center" vertical="center"/>
    </xf>
    <xf numFmtId="0" fontId="229" fillId="0" borderId="3" xfId="0" applyFont="1" applyBorder="1" applyAlignment="1">
      <alignment horizontal="center" vertical="center" wrapText="1"/>
    </xf>
    <xf numFmtId="0" fontId="229" fillId="0" borderId="4" xfId="0" applyFont="1" applyBorder="1" applyAlignment="1">
      <alignment horizontal="center" vertical="center" wrapText="1"/>
    </xf>
    <xf numFmtId="0" fontId="229" fillId="0" borderId="18" xfId="0" applyFont="1" applyBorder="1" applyAlignment="1">
      <alignment horizontal="center" vertical="center" wrapText="1"/>
    </xf>
    <xf numFmtId="0" fontId="23" fillId="0" borderId="0" xfId="0" applyFont="1" applyAlignment="1">
      <alignment horizontal="left" vertical="center" wrapText="1"/>
    </xf>
    <xf numFmtId="0" fontId="259" fillId="0" borderId="0" xfId="0" applyFont="1" applyAlignment="1">
      <alignment horizontal="center"/>
    </xf>
    <xf numFmtId="0" fontId="18" fillId="0" borderId="0" xfId="0" applyFont="1" applyAlignment="1">
      <alignment horizontal="center"/>
    </xf>
    <xf numFmtId="0" fontId="223" fillId="0" borderId="0" xfId="0" applyFont="1" applyAlignment="1">
      <alignment horizontal="center"/>
    </xf>
    <xf numFmtId="0" fontId="223" fillId="0" borderId="9" xfId="0" applyFont="1" applyBorder="1" applyAlignment="1">
      <alignment horizontal="right"/>
    </xf>
    <xf numFmtId="0" fontId="18" fillId="0" borderId="1" xfId="0" applyFont="1" applyBorder="1" applyAlignment="1">
      <alignment horizontal="center" vertical="center" wrapText="1"/>
    </xf>
    <xf numFmtId="0" fontId="9" fillId="0" borderId="0" xfId="0" applyFont="1" applyAlignment="1">
      <alignment horizontal="center" vertical="center" wrapText="1"/>
    </xf>
    <xf numFmtId="0" fontId="224" fillId="0" borderId="0" xfId="0" applyFont="1" applyAlignment="1">
      <alignment horizontal="center" vertical="center" wrapText="1"/>
    </xf>
    <xf numFmtId="0" fontId="11" fillId="0" borderId="9" xfId="0" applyFont="1" applyBorder="1" applyAlignment="1">
      <alignment horizontal="right" vertical="center"/>
    </xf>
    <xf numFmtId="0" fontId="9" fillId="0" borderId="1" xfId="0" applyFont="1" applyBorder="1" applyAlignment="1">
      <alignment horizontal="center" vertical="center" wrapText="1"/>
    </xf>
    <xf numFmtId="0" fontId="11" fillId="0" borderId="0" xfId="0" applyFont="1" applyAlignment="1">
      <alignment horizontal="left" vertical="center" wrapText="1"/>
    </xf>
    <xf numFmtId="0" fontId="223" fillId="0" borderId="0" xfId="0" applyFont="1" applyFill="1" applyAlignment="1">
      <alignment horizontal="left" vertical="center" wrapText="1"/>
    </xf>
    <xf numFmtId="0" fontId="252" fillId="0" borderId="0" xfId="0" applyFont="1" applyFill="1" applyAlignment="1">
      <alignment horizontal="left" vertical="center" wrapText="1"/>
    </xf>
    <xf numFmtId="0" fontId="248" fillId="0" borderId="0" xfId="0" applyFont="1" applyFill="1" applyAlignment="1">
      <alignment horizontal="center" vertical="center"/>
    </xf>
    <xf numFmtId="0" fontId="250" fillId="0" borderId="0" xfId="0" applyFont="1" applyFill="1" applyAlignment="1">
      <alignment horizontal="center" vertical="center" wrapText="1"/>
    </xf>
    <xf numFmtId="0" fontId="253" fillId="0" borderId="0" xfId="0" applyFont="1" applyFill="1" applyBorder="1" applyAlignment="1">
      <alignment horizontal="center" vertical="center" wrapText="1"/>
    </xf>
    <xf numFmtId="0" fontId="251" fillId="0" borderId="9" xfId="0" applyFont="1" applyBorder="1" applyAlignment="1">
      <alignment horizontal="right"/>
    </xf>
    <xf numFmtId="0" fontId="253" fillId="0" borderId="0" xfId="0" applyFont="1" applyFill="1" applyAlignment="1">
      <alignment vertical="center" wrapText="1"/>
    </xf>
    <xf numFmtId="0" fontId="223" fillId="0" borderId="0" xfId="0" applyFont="1" applyFill="1" applyAlignment="1">
      <alignment horizontal="center" vertical="center"/>
    </xf>
    <xf numFmtId="0" fontId="251" fillId="0" borderId="9" xfId="0" applyFont="1" applyBorder="1" applyAlignment="1">
      <alignment vertical="center"/>
    </xf>
    <xf numFmtId="0" fontId="252" fillId="0" borderId="0" xfId="0" applyFont="1" applyFill="1" applyAlignment="1">
      <alignment vertical="center" wrapText="1"/>
    </xf>
    <xf numFmtId="0" fontId="250" fillId="0" borderId="1" xfId="0" applyFont="1" applyFill="1" applyBorder="1" applyAlignment="1">
      <alignment horizontal="center" vertical="center" wrapText="1"/>
    </xf>
    <xf numFmtId="0" fontId="247" fillId="0" borderId="0" xfId="0" applyFont="1" applyFill="1" applyAlignment="1">
      <alignment horizontal="left" vertical="center" wrapText="1"/>
    </xf>
    <xf numFmtId="0" fontId="18" fillId="0" borderId="0" xfId="0" applyFont="1" applyFill="1" applyAlignment="1">
      <alignment horizontal="center" vertical="center" wrapText="1"/>
    </xf>
    <xf numFmtId="0" fontId="18" fillId="0" borderId="1" xfId="0" applyFont="1" applyFill="1" applyBorder="1" applyAlignment="1">
      <alignment horizontal="center" vertical="center" wrapText="1"/>
    </xf>
    <xf numFmtId="0" fontId="7" fillId="0" borderId="9" xfId="0" applyFont="1" applyBorder="1" applyAlignment="1">
      <alignment horizontal="right"/>
    </xf>
    <xf numFmtId="0" fontId="223" fillId="0" borderId="0" xfId="0" applyFont="1" applyAlignment="1">
      <alignment horizontal="left" vertical="center" wrapText="1"/>
    </xf>
    <xf numFmtId="0" fontId="119" fillId="0" borderId="1" xfId="0" applyFont="1" applyBorder="1" applyAlignment="1">
      <alignment horizontal="center" vertical="center" wrapText="1"/>
    </xf>
    <xf numFmtId="0" fontId="238" fillId="0" borderId="1" xfId="0" applyFont="1" applyBorder="1" applyAlignment="1">
      <alignment horizontal="center" vertical="center" wrapText="1"/>
    </xf>
    <xf numFmtId="0" fontId="119" fillId="0" borderId="14" xfId="0" applyFont="1" applyBorder="1" applyAlignment="1">
      <alignment horizontal="center" vertical="center" wrapText="1"/>
    </xf>
    <xf numFmtId="0" fontId="119" fillId="0" borderId="16" xfId="0" applyFont="1" applyBorder="1" applyAlignment="1">
      <alignment horizontal="center" vertical="center" wrapText="1"/>
    </xf>
    <xf numFmtId="0" fontId="119" fillId="0" borderId="0" xfId="0" applyFont="1" applyAlignment="1">
      <alignment horizontal="left"/>
    </xf>
    <xf numFmtId="0" fontId="255" fillId="0" borderId="0" xfId="0" applyFont="1" applyAlignment="1">
      <alignment horizontal="center" vertical="center" wrapText="1"/>
    </xf>
    <xf numFmtId="0" fontId="256" fillId="0" borderId="0" xfId="0" applyFont="1" applyAlignment="1">
      <alignment horizontal="center" vertical="center" wrapText="1"/>
    </xf>
    <xf numFmtId="0" fontId="257" fillId="0" borderId="9" xfId="0" applyFont="1" applyBorder="1" applyAlignment="1">
      <alignment horizontal="right"/>
    </xf>
    <xf numFmtId="0" fontId="119" fillId="0" borderId="15" xfId="0" applyFont="1" applyBorder="1" applyAlignment="1">
      <alignment horizontal="center" vertical="center" wrapText="1"/>
    </xf>
    <xf numFmtId="0" fontId="245" fillId="0" borderId="14" xfId="0" applyFont="1" applyBorder="1" applyAlignment="1">
      <alignment horizontal="center" vertical="center" wrapText="1"/>
    </xf>
    <xf numFmtId="0" fontId="245" fillId="0" borderId="16" xfId="0" applyFont="1" applyBorder="1" applyAlignment="1">
      <alignment horizontal="center" vertical="center" wrapText="1"/>
    </xf>
    <xf numFmtId="0" fontId="18" fillId="0" borderId="0" xfId="0" applyFont="1" applyFill="1" applyAlignment="1">
      <alignment horizontal="center" vertical="center"/>
    </xf>
    <xf numFmtId="0" fontId="17" fillId="0" borderId="1" xfId="4" applyFont="1" applyFill="1" applyBorder="1" applyAlignment="1">
      <alignment horizontal="center" vertical="center" wrapText="1"/>
    </xf>
    <xf numFmtId="173" fontId="17" fillId="0" borderId="1" xfId="3" applyNumberFormat="1" applyFont="1" applyFill="1" applyBorder="1" applyAlignment="1">
      <alignment horizontal="center" vertical="center" wrapText="1"/>
    </xf>
    <xf numFmtId="0" fontId="17" fillId="0" borderId="3" xfId="4" applyFont="1" applyFill="1" applyBorder="1" applyAlignment="1">
      <alignment horizontal="center" vertical="center" wrapText="1"/>
    </xf>
    <xf numFmtId="0" fontId="17" fillId="0" borderId="4" xfId="4" applyFont="1" applyFill="1" applyBorder="1" applyAlignment="1">
      <alignment horizontal="center" vertical="center" wrapText="1"/>
    </xf>
    <xf numFmtId="0" fontId="17" fillId="0" borderId="5" xfId="4" applyFont="1" applyFill="1" applyBorder="1" applyAlignment="1">
      <alignment horizontal="center" vertical="center" wrapText="1"/>
    </xf>
    <xf numFmtId="0" fontId="17" fillId="0" borderId="14" xfId="6" applyFont="1" applyFill="1" applyBorder="1" applyAlignment="1">
      <alignment horizontal="center"/>
    </xf>
    <xf numFmtId="0" fontId="17" fillId="0" borderId="15" xfId="6" applyFont="1" applyFill="1" applyBorder="1" applyAlignment="1">
      <alignment horizontal="center"/>
    </xf>
    <xf numFmtId="0" fontId="17" fillId="0" borderId="16" xfId="6" applyFont="1" applyFill="1" applyBorder="1" applyAlignment="1">
      <alignment horizontal="center"/>
    </xf>
    <xf numFmtId="0" fontId="17" fillId="0" borderId="1" xfId="4" applyFont="1" applyFill="1" applyBorder="1" applyAlignment="1">
      <alignment horizontal="center" vertical="center"/>
    </xf>
    <xf numFmtId="0" fontId="17" fillId="0" borderId="11" xfId="4" applyFont="1" applyFill="1" applyBorder="1" applyAlignment="1">
      <alignment horizontal="center" vertical="center" wrapText="1"/>
    </xf>
    <xf numFmtId="0" fontId="17" fillId="0" borderId="6" xfId="4" applyFont="1" applyFill="1" applyBorder="1" applyAlignment="1">
      <alignment horizontal="center" vertical="center" wrapText="1"/>
    </xf>
    <xf numFmtId="0" fontId="17" fillId="0" borderId="7" xfId="4" applyFont="1" applyFill="1" applyBorder="1" applyAlignment="1">
      <alignment horizontal="center" vertical="center" wrapText="1"/>
    </xf>
    <xf numFmtId="0" fontId="17" fillId="0" borderId="2" xfId="4" applyFont="1" applyFill="1" applyBorder="1" applyAlignment="1">
      <alignment horizontal="center" vertical="center" wrapText="1"/>
    </xf>
    <xf numFmtId="0" fontId="17" fillId="0" borderId="0" xfId="4" applyFont="1" applyFill="1" applyBorder="1" applyAlignment="1">
      <alignment horizontal="center" vertical="center" wrapText="1"/>
    </xf>
    <xf numFmtId="0" fontId="17" fillId="0" borderId="8" xfId="4" applyFont="1" applyFill="1" applyBorder="1" applyAlignment="1">
      <alignment horizontal="center" vertical="center" wrapText="1"/>
    </xf>
    <xf numFmtId="0" fontId="17" fillId="0" borderId="14" xfId="4" applyFont="1" applyFill="1" applyBorder="1" applyAlignment="1">
      <alignment horizontal="center" vertical="center"/>
    </xf>
    <xf numFmtId="0" fontId="17" fillId="0" borderId="15" xfId="4" applyFont="1" applyFill="1" applyBorder="1" applyAlignment="1">
      <alignment horizontal="center" vertical="center"/>
    </xf>
    <xf numFmtId="0" fontId="17" fillId="0" borderId="16" xfId="4" applyFont="1" applyFill="1" applyBorder="1" applyAlignment="1">
      <alignment horizontal="center" vertical="center"/>
    </xf>
    <xf numFmtId="49" fontId="17" fillId="0" borderId="1" xfId="4" applyNumberFormat="1" applyFont="1" applyFill="1" applyBorder="1" applyAlignment="1">
      <alignment horizontal="center" vertical="center"/>
    </xf>
    <xf numFmtId="0" fontId="17" fillId="0" borderId="1" xfId="6" applyFont="1" applyFill="1" applyBorder="1" applyAlignment="1">
      <alignment horizontal="center"/>
    </xf>
    <xf numFmtId="0" fontId="222" fillId="0" borderId="0" xfId="0" applyFont="1" applyAlignment="1">
      <alignment horizontal="center"/>
    </xf>
    <xf numFmtId="0" fontId="241" fillId="0" borderId="0" xfId="0" applyFont="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224" fillId="0" borderId="0" xfId="0" applyFont="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222" fillId="0" borderId="0" xfId="0" applyFont="1" applyAlignment="1">
      <alignment horizontal="left"/>
    </xf>
    <xf numFmtId="0" fontId="9" fillId="0" borderId="0" xfId="0" applyFont="1" applyAlignment="1">
      <alignment horizontal="center" wrapText="1"/>
    </xf>
    <xf numFmtId="0" fontId="11" fillId="0" borderId="0" xfId="0" applyFont="1" applyAlignment="1">
      <alignment horizontal="center"/>
    </xf>
    <xf numFmtId="0" fontId="241" fillId="0" borderId="9" xfId="0" applyFont="1" applyBorder="1" applyAlignment="1">
      <alignment horizont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220" fillId="0" borderId="1" xfId="0" applyFont="1" applyBorder="1" applyAlignment="1">
      <alignment horizontal="center" vertical="center" wrapText="1"/>
    </xf>
    <xf numFmtId="0" fontId="119" fillId="0" borderId="1" xfId="0" applyFont="1" applyBorder="1" applyAlignment="1">
      <alignment horizontal="center" vertical="center"/>
    </xf>
    <xf numFmtId="0" fontId="22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9" fillId="0" borderId="0" xfId="0" applyFont="1" applyAlignment="1">
      <alignment horizontal="left" vertical="center" wrapText="1"/>
    </xf>
    <xf numFmtId="0" fontId="18" fillId="0" borderId="0" xfId="0" applyFont="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221" fillId="0" borderId="1" xfId="0" applyFont="1" applyBorder="1" applyAlignment="1">
      <alignment horizontal="center" vertical="center" wrapText="1"/>
    </xf>
    <xf numFmtId="0" fontId="18" fillId="0" borderId="1" xfId="1487" applyFont="1" applyBorder="1" applyAlignment="1">
      <alignment horizontal="center" vertical="center" wrapText="1"/>
    </xf>
    <xf numFmtId="0" fontId="227" fillId="0" borderId="0" xfId="1487" applyFont="1" applyAlignment="1">
      <alignment horizontal="center" vertical="center" wrapText="1"/>
    </xf>
    <xf numFmtId="0" fontId="234" fillId="0" borderId="0" xfId="0" applyFont="1" applyAlignment="1">
      <alignment horizontal="center"/>
    </xf>
    <xf numFmtId="0" fontId="228" fillId="0" borderId="0" xfId="1487" applyFont="1" applyAlignment="1">
      <alignment horizontal="left" vertical="center" wrapText="1"/>
    </xf>
    <xf numFmtId="0" fontId="18" fillId="0" borderId="1" xfId="1487" applyFont="1" applyBorder="1" applyAlignment="1">
      <alignment horizontal="center" vertical="center"/>
    </xf>
    <xf numFmtId="0" fontId="6" fillId="0" borderId="2" xfId="0" applyFont="1" applyBorder="1" applyAlignment="1">
      <alignment horizontal="center"/>
    </xf>
    <xf numFmtId="0" fontId="230" fillId="0" borderId="0" xfId="0" applyFont="1" applyAlignment="1">
      <alignment horizontal="right" vertical="center"/>
    </xf>
    <xf numFmtId="0" fontId="230" fillId="0" borderId="0" xfId="0" applyFont="1" applyAlignment="1">
      <alignment horizontal="center" vertical="center"/>
    </xf>
    <xf numFmtId="0" fontId="231" fillId="0" borderId="0" xfId="0" applyFont="1" applyAlignment="1">
      <alignment horizontal="center" vertical="center" wrapText="1"/>
    </xf>
    <xf numFmtId="0" fontId="246" fillId="0" borderId="0" xfId="0" applyFont="1" applyAlignment="1">
      <alignment horizontal="left" vertical="center"/>
    </xf>
  </cellXfs>
  <cellStyles count="2271">
    <cellStyle name="_x0001_" xfId="10"/>
    <cellStyle name="          _x000d__x000a_shell=progman.exe_x000d__x000a_m" xfId="11"/>
    <cellStyle name="#,##0" xfId="12"/>
    <cellStyle name="#,##0 2" xfId="13"/>
    <cellStyle name="#,##0 2 2" xfId="14"/>
    <cellStyle name="#,##0 3" xfId="15"/>
    <cellStyle name="#,##0 3 2" xfId="16"/>
    <cellStyle name="#,##0 4" xfId="17"/>
    <cellStyle name="." xfId="18"/>
    <cellStyle name=". 2" xfId="19"/>
    <cellStyle name="._Book1" xfId="20"/>
    <cellStyle name="._VBPL kiểm toán Đầu tư XDCB 2010" xfId="21"/>
    <cellStyle name="._VBPL kiểm toán Đầu tư XDCB 2010 2" xfId="22"/>
    <cellStyle name=".d©y" xfId="23"/>
    <cellStyle name="??" xfId="24"/>
    <cellStyle name="?? [ - ??1" xfId="25"/>
    <cellStyle name="?? [ - ??2" xfId="26"/>
    <cellStyle name="?? [ - ??3" xfId="27"/>
    <cellStyle name="?? [ - ??4" xfId="28"/>
    <cellStyle name="?? [ - ??5" xfId="29"/>
    <cellStyle name="?? [ - ??6" xfId="30"/>
    <cellStyle name="?? [ - ??7" xfId="31"/>
    <cellStyle name="?? [ - ??8" xfId="32"/>
    <cellStyle name="?? [0.00]_        " xfId="33"/>
    <cellStyle name="?? [0]" xfId="34"/>
    <cellStyle name="?_x001d_??%U©÷u&amp;H©÷9_x0008_? s_x000a__x0007__x0001__x0001_" xfId="35"/>
    <cellStyle name="?_x001d_??%U©÷u&amp;H©÷9_x0008_?_x0009_s_x000a__x0007__x0001__x0001_" xfId="36"/>
    <cellStyle name="???? [0.00]_      " xfId="37"/>
    <cellStyle name="??????" xfId="38"/>
    <cellStyle name="??????????????????? [0]_FTC_OFFER" xfId="39"/>
    <cellStyle name="???????????????????_FTC_OFFER" xfId="40"/>
    <cellStyle name="????_      " xfId="41"/>
    <cellStyle name="???[0]_?? DI" xfId="42"/>
    <cellStyle name="???_?? DI" xfId="43"/>
    <cellStyle name="??[0]_BRE" xfId="44"/>
    <cellStyle name="??_      " xfId="45"/>
    <cellStyle name="??A? [0]_laroux_1_¢¬???¢â? " xfId="46"/>
    <cellStyle name="??A?_laroux_1_¢¬???¢â? " xfId="47"/>
    <cellStyle name="?¡±¢¥?_?¨ù??¢´¢¥_¢¬???¢â? " xfId="48"/>
    <cellStyle name="?ðÇ%U?&amp;H?_x0008_?s_x000a__x0007__x0001__x0001_" xfId="49"/>
    <cellStyle name="[0]_Chi phÝ kh¸c_V" xfId="50"/>
    <cellStyle name="_1 TONG HOP - CA NA" xfId="51"/>
    <cellStyle name="_130307 So sanh thuc hien 2012 - du toan 2012 moi (pan khac)" xfId="52"/>
    <cellStyle name="_130313 Mau  bieu bao cao nguon luc cua dia phuong sua" xfId="53"/>
    <cellStyle name="_130818 Tong hop Danh gia thu 2013" xfId="54"/>
    <cellStyle name="_130818 Tong hop Danh gia thu 2013_140921 bu giam thu ND 209" xfId="55"/>
    <cellStyle name="_130818 Tong hop Danh gia thu 2013_140921 bu giam thu ND 209_Phu luc so 5 - sua ngay 04-01" xfId="56"/>
    <cellStyle name="_Bang Chi tieu (2)" xfId="57"/>
    <cellStyle name="_BAO GIA NGAY 24-10-08 (co dam)" xfId="58"/>
    <cellStyle name="_Bao gia TB Kon Dao 2010" xfId="59"/>
    <cellStyle name="_Bieu tong hop nhu cau ung_Mien Trung" xfId="61"/>
    <cellStyle name="_Bieu ung von 2011 NSNN - TPCP vung DBSClong (10-6-2010)" xfId="62"/>
    <cellStyle name="_Biểu KH 5 năm gửi UB sửa biểu VHXH" xfId="60"/>
    <cellStyle name="_Book1" xfId="63"/>
    <cellStyle name="_Book1_1" xfId="64"/>
    <cellStyle name="_Book1_2" xfId="65"/>
    <cellStyle name="_Book1_BC-QT-WB-dthao" xfId="66"/>
    <cellStyle name="_Book1_Book1" xfId="67"/>
    <cellStyle name="_Book1_DT truong thinh phu" xfId="68"/>
    <cellStyle name="_Book1_Kiem Tra Don Gia" xfId="71"/>
    <cellStyle name="_Book1_Kh ql62 (2010) 11-09" xfId="69"/>
    <cellStyle name="_Book1_khoiluongbdacdoa" xfId="70"/>
    <cellStyle name="_Book1_TH KHAI TOAN THU THIEM cac tuyen TT noi" xfId="72"/>
    <cellStyle name="_C.cong+B.luong-Sanluong" xfId="73"/>
    <cellStyle name="_DG 2012-DT2013 - Theo sac thue -sua" xfId="74"/>
    <cellStyle name="_DG 2012-DT2013 - Theo sac thue -sua_27-8Tong hop PA uoc 2012-DT 2013 -PA 420.000 ty-490.000 ty chuyen doi" xfId="75"/>
    <cellStyle name="_DO-D1500-KHONG CO TRONG DT" xfId="76"/>
    <cellStyle name="_DT truong thinh phu" xfId="77"/>
    <cellStyle name="_DTDT BL-DL" xfId="78"/>
    <cellStyle name="_DTDT BL-DL 2" xfId="79"/>
    <cellStyle name="_du toan lan 3" xfId="80"/>
    <cellStyle name="_Duyet TK thay đôi" xfId="81"/>
    <cellStyle name="_GOITHAUSO2" xfId="82"/>
    <cellStyle name="_GOITHAUSO3" xfId="83"/>
    <cellStyle name="_GOITHAUSO4" xfId="84"/>
    <cellStyle name="_GTXD GOI 2" xfId="85"/>
    <cellStyle name="_GTXD GOI1" xfId="86"/>
    <cellStyle name="_GTXD GOI3" xfId="87"/>
    <cellStyle name="_HaHoa_TDT_DienCSang" xfId="88"/>
    <cellStyle name="_HaHoa19-5-07" xfId="89"/>
    <cellStyle name="_Huong CHI tieu Nhiem vu CTMTQG 2014(1)" xfId="90"/>
    <cellStyle name="_Kiem Tra Don Gia" xfId="94"/>
    <cellStyle name="_KT (2)" xfId="95"/>
    <cellStyle name="_KT (2)_1" xfId="96"/>
    <cellStyle name="_KT (2)_1_Book1" xfId="97"/>
    <cellStyle name="_KT (2)_1_Lora-tungchau" xfId="98"/>
    <cellStyle name="_KT (2)_1_Qt-HT3PQ1(CauKho)" xfId="99"/>
    <cellStyle name="_KT (2)_1_Qt-HT3PQ1(CauKho)_Book1" xfId="100"/>
    <cellStyle name="_KT (2)_1_Qt-HT3PQ1(CauKho)_Don gia quy 3 nam 2003 - Ban Dien Luc" xfId="101"/>
    <cellStyle name="_KT (2)_1_Qt-HT3PQ1(CauKho)_Kiem Tra Don Gia" xfId="102"/>
    <cellStyle name="_KT (2)_1_Qt-HT3PQ1(CauKho)_NC-VL2-2003" xfId="103"/>
    <cellStyle name="_KT (2)_1_Qt-HT3PQ1(CauKho)_NC-VL2-2003_1" xfId="104"/>
    <cellStyle name="_KT (2)_1_Qt-HT3PQ1(CauKho)_XL4Test5" xfId="105"/>
    <cellStyle name="_KT (2)_1_quy luong con lai nam 2004" xfId="106"/>
    <cellStyle name="_KT (2)_1_" xfId="107"/>
    <cellStyle name="_KT (2)_2" xfId="108"/>
    <cellStyle name="_KT (2)_2_Book1" xfId="109"/>
    <cellStyle name="_KT (2)_2_DTDuong dong tien -sua tham tra 2009 - luong 650" xfId="110"/>
    <cellStyle name="_KT (2)_2_quy luong con lai nam 2004" xfId="111"/>
    <cellStyle name="_KT (2)_2_TG-TH" xfId="112"/>
    <cellStyle name="_KT (2)_2_TG-TH_BANG TONG HOP TINH HINH THANH QUYET TOAN (MOI I)" xfId="113"/>
    <cellStyle name="_KT (2)_2_TG-TH_BAO CAO KLCT PT2000" xfId="114"/>
    <cellStyle name="_KT (2)_2_TG-TH_BAO CAO PT2000" xfId="115"/>
    <cellStyle name="_KT (2)_2_TG-TH_BAO CAO PT2000_Book1" xfId="116"/>
    <cellStyle name="_KT (2)_2_TG-TH_Bao cao XDCB 2001 - T11 KH dieu chinh 20-11-THAI" xfId="117"/>
    <cellStyle name="_KT (2)_2_TG-TH_BAO GIA NGAY 24-10-08 (co dam)" xfId="118"/>
    <cellStyle name="_KT (2)_2_TG-TH_Biểu KH 5 năm gửi UB sửa biểu VHXH" xfId="119"/>
    <cellStyle name="_KT (2)_2_TG-TH_Book1" xfId="120"/>
    <cellStyle name="_KT (2)_2_TG-TH_Book1_1" xfId="121"/>
    <cellStyle name="_KT (2)_2_TG-TH_Book1_1_Book1" xfId="122"/>
    <cellStyle name="_KT (2)_2_TG-TH_Book1_1_DanhMucDonGiaVTTB_Dien_TAM" xfId="123"/>
    <cellStyle name="_KT (2)_2_TG-TH_Book1_1_khoiluongbdacdoa" xfId="124"/>
    <cellStyle name="_KT (2)_2_TG-TH_Book1_2" xfId="125"/>
    <cellStyle name="_KT (2)_2_TG-TH_Book1_2_Book1" xfId="126"/>
    <cellStyle name="_KT (2)_2_TG-TH_Book1_3" xfId="127"/>
    <cellStyle name="_KT (2)_2_TG-TH_Book1_3_Book1" xfId="128"/>
    <cellStyle name="_KT (2)_2_TG-TH_Book1_3_DT truong thinh phu" xfId="129"/>
    <cellStyle name="_KT (2)_2_TG-TH_Book1_3_XL4Test5" xfId="130"/>
    <cellStyle name="_KT (2)_2_TG-TH_Book1_4" xfId="131"/>
    <cellStyle name="_KT (2)_2_TG-TH_Book1_Book1" xfId="132"/>
    <cellStyle name="_KT (2)_2_TG-TH_Book1_DanhMucDonGiaVTTB_Dien_TAM" xfId="133"/>
    <cellStyle name="_KT (2)_2_TG-TH_Book1_Kiem Tra Don Gia" xfId="135"/>
    <cellStyle name="_KT (2)_2_TG-TH_Book1_khoiluongbdacdoa" xfId="134"/>
    <cellStyle name="_KT (2)_2_TG-TH_Book1_Tong hop 3 tinh (11_5)-TTH-QN-QT" xfId="136"/>
    <cellStyle name="_KT (2)_2_TG-TH_Book1_" xfId="137"/>
    <cellStyle name="_KT (2)_2_TG-TH_CAU Khanh Nam(Thi Cong)" xfId="138"/>
    <cellStyle name="_KT (2)_2_TG-TH_DAU NOI PL-CL TAI PHU LAMHC" xfId="139"/>
    <cellStyle name="_KT (2)_2_TG-TH_Dcdtoan-bcnckt " xfId="140"/>
    <cellStyle name="_KT (2)_2_TG-TH_DN_MTP" xfId="141"/>
    <cellStyle name="_KT (2)_2_TG-TH_Dongia2-2003" xfId="142"/>
    <cellStyle name="_KT (2)_2_TG-TH_Dongia2-2003_DT truong thinh phu" xfId="143"/>
    <cellStyle name="_KT (2)_2_TG-TH_DT truong thinh phu" xfId="144"/>
    <cellStyle name="_KT (2)_2_TG-TH_DTCDT MR.2N110.HOCMON.TDTOAN.CCUNG" xfId="145"/>
    <cellStyle name="_KT (2)_2_TG-TH_DTDuong dong tien -sua tham tra 2009 - luong 650" xfId="146"/>
    <cellStyle name="_KT (2)_2_TG-TH_DU TRU VAT TU" xfId="147"/>
    <cellStyle name="_KT (2)_2_TG-TH_Kiem Tra Don Gia" xfId="149"/>
    <cellStyle name="_KT (2)_2_TG-TH_khoiluongbdacdoa" xfId="148"/>
    <cellStyle name="_KT (2)_2_TG-TH_Lora-tungchau" xfId="150"/>
    <cellStyle name="_KT (2)_2_TG-TH_moi" xfId="151"/>
    <cellStyle name="_KT (2)_2_TG-TH_PGIA-phieu tham tra Kho bac" xfId="152"/>
    <cellStyle name="_KT (2)_2_TG-TH_PT02-02" xfId="153"/>
    <cellStyle name="_KT (2)_2_TG-TH_PT02-02_Book1" xfId="154"/>
    <cellStyle name="_KT (2)_2_TG-TH_PT02-03" xfId="155"/>
    <cellStyle name="_KT (2)_2_TG-TH_PT02-03_Book1" xfId="156"/>
    <cellStyle name="_KT (2)_2_TG-TH_Qt-HT3PQ1(CauKho)" xfId="157"/>
    <cellStyle name="_KT (2)_2_TG-TH_Qt-HT3PQ1(CauKho)_Book1" xfId="158"/>
    <cellStyle name="_KT (2)_2_TG-TH_Qt-HT3PQ1(CauKho)_Don gia quy 3 nam 2003 - Ban Dien Luc" xfId="159"/>
    <cellStyle name="_KT (2)_2_TG-TH_Qt-HT3PQ1(CauKho)_Kiem Tra Don Gia" xfId="160"/>
    <cellStyle name="_KT (2)_2_TG-TH_Qt-HT3PQ1(CauKho)_NC-VL2-2003" xfId="161"/>
    <cellStyle name="_KT (2)_2_TG-TH_Qt-HT3PQ1(CauKho)_NC-VL2-2003_1" xfId="162"/>
    <cellStyle name="_KT (2)_2_TG-TH_Qt-HT3PQ1(CauKho)_XL4Test5" xfId="163"/>
    <cellStyle name="_KT (2)_2_TG-TH_QT-LCTP-AE" xfId="164"/>
    <cellStyle name="_KT (2)_2_TG-TH_quy luong con lai nam 2004" xfId="165"/>
    <cellStyle name="_KT (2)_2_TG-TH_Sheet2" xfId="166"/>
    <cellStyle name="_KT (2)_2_TG-TH_TEL OUT 2004" xfId="167"/>
    <cellStyle name="_KT (2)_2_TG-TH_Tong hop 3 tinh (11_5)-TTH-QN-QT" xfId="168"/>
    <cellStyle name="_KT (2)_2_TG-TH_XL4Poppy" xfId="169"/>
    <cellStyle name="_KT (2)_2_TG-TH_XL4Test5" xfId="170"/>
    <cellStyle name="_KT (2)_2_TG-TH_ÿÿÿÿÿ" xfId="171"/>
    <cellStyle name="_KT (2)_2_TG-TH_" xfId="172"/>
    <cellStyle name="_KT (2)_3" xfId="173"/>
    <cellStyle name="_KT (2)_3_TG-TH" xfId="174"/>
    <cellStyle name="_KT (2)_3_TG-TH_Book1" xfId="175"/>
    <cellStyle name="_KT (2)_3_TG-TH_Book1_1" xfId="176"/>
    <cellStyle name="_KT (2)_3_TG-TH_Book1_BC-QT-WB-dthao" xfId="177"/>
    <cellStyle name="_KT (2)_3_TG-TH_Book1_Book1" xfId="178"/>
    <cellStyle name="_KT (2)_3_TG-TH_Book1_Kiem Tra Don Gia" xfId="179"/>
    <cellStyle name="_KT (2)_3_TG-TH_Book1_Kiem Tra Don Gia 2" xfId="180"/>
    <cellStyle name="_KT (2)_3_TG-TH_Kiem Tra Don Gia" xfId="182"/>
    <cellStyle name="_KT (2)_3_TG-TH_khoiluongbdacdoa" xfId="181"/>
    <cellStyle name="_KT (2)_3_TG-TH_Lora-tungchau" xfId="183"/>
    <cellStyle name="_KT (2)_3_TG-TH_Lora-tungchau_Book1" xfId="184"/>
    <cellStyle name="_KT (2)_3_TG-TH_Lora-tungchau_Kiem Tra Don Gia" xfId="185"/>
    <cellStyle name="_KT (2)_3_TG-TH_Lora-tungchau_Kiem Tra Don Gia 2" xfId="186"/>
    <cellStyle name="_KT (2)_3_TG-TH_PERSONAL" xfId="187"/>
    <cellStyle name="_KT (2)_3_TG-TH_PERSONAL_Book1" xfId="188"/>
    <cellStyle name="_KT (2)_3_TG-TH_PERSONAL_HTQ.8 GD1" xfId="189"/>
    <cellStyle name="_KT (2)_3_TG-TH_PERSONAL_HTQ.8 GD1_Book1" xfId="190"/>
    <cellStyle name="_KT (2)_3_TG-TH_PERSONAL_HTQ.8 GD1_Don gia quy 3 nam 2003 - Ban Dien Luc" xfId="191"/>
    <cellStyle name="_KT (2)_3_TG-TH_PERSONAL_HTQ.8 GD1_NC-VL2-2003" xfId="192"/>
    <cellStyle name="_KT (2)_3_TG-TH_PERSONAL_HTQ.8 GD1_NC-VL2-2003_1" xfId="193"/>
    <cellStyle name="_KT (2)_3_TG-TH_PERSONAL_HTQ.8 GD1_XL4Test5" xfId="194"/>
    <cellStyle name="_KT (2)_3_TG-TH_PERSONAL_khoiluongbdacdoa" xfId="195"/>
    <cellStyle name="_KT (2)_3_TG-TH_PERSONAL_Tong hop KHCB 2001" xfId="196"/>
    <cellStyle name="_KT (2)_3_TG-TH_PERSONAL_" xfId="197"/>
    <cellStyle name="_KT (2)_3_TG-TH_Qt-HT3PQ1(CauKho)" xfId="198"/>
    <cellStyle name="_KT (2)_3_TG-TH_Qt-HT3PQ1(CauKho)_Book1" xfId="199"/>
    <cellStyle name="_KT (2)_3_TG-TH_Qt-HT3PQ1(CauKho)_Don gia quy 3 nam 2003 - Ban Dien Luc" xfId="200"/>
    <cellStyle name="_KT (2)_3_TG-TH_Qt-HT3PQ1(CauKho)_Kiem Tra Don Gia" xfId="201"/>
    <cellStyle name="_KT (2)_3_TG-TH_Qt-HT3PQ1(CauKho)_NC-VL2-2003" xfId="202"/>
    <cellStyle name="_KT (2)_3_TG-TH_Qt-HT3PQ1(CauKho)_NC-VL2-2003_1" xfId="203"/>
    <cellStyle name="_KT (2)_3_TG-TH_Qt-HT3PQ1(CauKho)_XL4Test5" xfId="204"/>
    <cellStyle name="_KT (2)_3_TG-TH_QT-LCTP-AE" xfId="205"/>
    <cellStyle name="_KT (2)_3_TG-TH_quy luong con lai nam 2004" xfId="206"/>
    <cellStyle name="_KT (2)_3_TG-TH_" xfId="207"/>
    <cellStyle name="_KT (2)_4" xfId="208"/>
    <cellStyle name="_KT (2)_4_BANG TONG HOP TINH HINH THANH QUYET TOAN (MOI I)" xfId="209"/>
    <cellStyle name="_KT (2)_4_BAO CAO KLCT PT2000" xfId="210"/>
    <cellStyle name="_KT (2)_4_BAO CAO PT2000" xfId="211"/>
    <cellStyle name="_KT (2)_4_BAO CAO PT2000_Book1" xfId="212"/>
    <cellStyle name="_KT (2)_4_Bao cao XDCB 2001 - T11 KH dieu chinh 20-11-THAI" xfId="213"/>
    <cellStyle name="_KT (2)_4_BAO GIA NGAY 24-10-08 (co dam)" xfId="214"/>
    <cellStyle name="_KT (2)_4_Biểu KH 5 năm gửi UB sửa biểu VHXH" xfId="215"/>
    <cellStyle name="_KT (2)_4_Book1" xfId="216"/>
    <cellStyle name="_KT (2)_4_Book1_1" xfId="217"/>
    <cellStyle name="_KT (2)_4_Book1_1_Book1" xfId="218"/>
    <cellStyle name="_KT (2)_4_Book1_1_DanhMucDonGiaVTTB_Dien_TAM" xfId="219"/>
    <cellStyle name="_KT (2)_4_Book1_1_khoiluongbdacdoa" xfId="220"/>
    <cellStyle name="_KT (2)_4_Book1_2" xfId="221"/>
    <cellStyle name="_KT (2)_4_Book1_2_Book1" xfId="222"/>
    <cellStyle name="_KT (2)_4_Book1_3" xfId="223"/>
    <cellStyle name="_KT (2)_4_Book1_3_Book1" xfId="224"/>
    <cellStyle name="_KT (2)_4_Book1_3_DT truong thinh phu" xfId="225"/>
    <cellStyle name="_KT (2)_4_Book1_3_XL4Test5" xfId="226"/>
    <cellStyle name="_KT (2)_4_Book1_4" xfId="227"/>
    <cellStyle name="_KT (2)_4_Book1_Book1" xfId="228"/>
    <cellStyle name="_KT (2)_4_Book1_DanhMucDonGiaVTTB_Dien_TAM" xfId="229"/>
    <cellStyle name="_KT (2)_4_Book1_Kiem Tra Don Gia" xfId="231"/>
    <cellStyle name="_KT (2)_4_Book1_khoiluongbdacdoa" xfId="230"/>
    <cellStyle name="_KT (2)_4_Book1_Tong hop 3 tinh (11_5)-TTH-QN-QT" xfId="232"/>
    <cellStyle name="_KT (2)_4_Book1_" xfId="233"/>
    <cellStyle name="_KT (2)_4_CAU Khanh Nam(Thi Cong)" xfId="234"/>
    <cellStyle name="_KT (2)_4_DAU NOI PL-CL TAI PHU LAMHC" xfId="235"/>
    <cellStyle name="_KT (2)_4_Dcdtoan-bcnckt " xfId="236"/>
    <cellStyle name="_KT (2)_4_DN_MTP" xfId="237"/>
    <cellStyle name="_KT (2)_4_Dongia2-2003" xfId="238"/>
    <cellStyle name="_KT (2)_4_Dongia2-2003_DT truong thinh phu" xfId="239"/>
    <cellStyle name="_KT (2)_4_DT truong thinh phu" xfId="240"/>
    <cellStyle name="_KT (2)_4_DTCDT MR.2N110.HOCMON.TDTOAN.CCUNG" xfId="241"/>
    <cellStyle name="_KT (2)_4_DTDuong dong tien -sua tham tra 2009 - luong 650" xfId="242"/>
    <cellStyle name="_KT (2)_4_DU TRU VAT TU" xfId="243"/>
    <cellStyle name="_KT (2)_4_Kiem Tra Don Gia" xfId="245"/>
    <cellStyle name="_KT (2)_4_khoiluongbdacdoa" xfId="244"/>
    <cellStyle name="_KT (2)_4_Lora-tungchau" xfId="246"/>
    <cellStyle name="_KT (2)_4_moi" xfId="247"/>
    <cellStyle name="_KT (2)_4_PGIA-phieu tham tra Kho bac" xfId="248"/>
    <cellStyle name="_KT (2)_4_PT02-02" xfId="249"/>
    <cellStyle name="_KT (2)_4_PT02-02_Book1" xfId="250"/>
    <cellStyle name="_KT (2)_4_PT02-03" xfId="251"/>
    <cellStyle name="_KT (2)_4_PT02-03_Book1" xfId="252"/>
    <cellStyle name="_KT (2)_4_Qt-HT3PQ1(CauKho)" xfId="253"/>
    <cellStyle name="_KT (2)_4_Qt-HT3PQ1(CauKho)_Book1" xfId="254"/>
    <cellStyle name="_KT (2)_4_Qt-HT3PQ1(CauKho)_Don gia quy 3 nam 2003 - Ban Dien Luc" xfId="255"/>
    <cellStyle name="_KT (2)_4_Qt-HT3PQ1(CauKho)_Kiem Tra Don Gia" xfId="256"/>
    <cellStyle name="_KT (2)_4_Qt-HT3PQ1(CauKho)_NC-VL2-2003" xfId="257"/>
    <cellStyle name="_KT (2)_4_Qt-HT3PQ1(CauKho)_NC-VL2-2003_1" xfId="258"/>
    <cellStyle name="_KT (2)_4_Qt-HT3PQ1(CauKho)_XL4Test5" xfId="259"/>
    <cellStyle name="_KT (2)_4_QT-LCTP-AE" xfId="260"/>
    <cellStyle name="_KT (2)_4_quy luong con lai nam 2004" xfId="261"/>
    <cellStyle name="_KT (2)_4_Sheet2" xfId="262"/>
    <cellStyle name="_KT (2)_4_TEL OUT 2004" xfId="263"/>
    <cellStyle name="_KT (2)_4_TG-TH" xfId="264"/>
    <cellStyle name="_KT (2)_4_TG-TH_Book1" xfId="265"/>
    <cellStyle name="_KT (2)_4_TG-TH_DTDuong dong tien -sua tham tra 2009 - luong 650" xfId="266"/>
    <cellStyle name="_KT (2)_4_TG-TH_quy luong con lai nam 2004" xfId="267"/>
    <cellStyle name="_KT (2)_4_Tong hop 3 tinh (11_5)-TTH-QN-QT" xfId="268"/>
    <cellStyle name="_KT (2)_4_XL4Poppy" xfId="269"/>
    <cellStyle name="_KT (2)_4_XL4Test5" xfId="270"/>
    <cellStyle name="_KT (2)_4_ÿÿÿÿÿ" xfId="271"/>
    <cellStyle name="_KT (2)_4_" xfId="272"/>
    <cellStyle name="_KT (2)_5" xfId="273"/>
    <cellStyle name="_KT (2)_5_BANG TONG HOP TINH HINH THANH QUYET TOAN (MOI I)" xfId="274"/>
    <cellStyle name="_KT (2)_5_BAO CAO KLCT PT2000" xfId="275"/>
    <cellStyle name="_KT (2)_5_BAO CAO PT2000" xfId="276"/>
    <cellStyle name="_KT (2)_5_BAO CAO PT2000_Book1" xfId="277"/>
    <cellStyle name="_KT (2)_5_Bao cao XDCB 2001 - T11 KH dieu chinh 20-11-THAI" xfId="278"/>
    <cellStyle name="_KT (2)_5_BAO GIA NGAY 24-10-08 (co dam)" xfId="279"/>
    <cellStyle name="_KT (2)_5_Biểu KH 5 năm gửi UB sửa biểu VHXH" xfId="280"/>
    <cellStyle name="_KT (2)_5_Book1" xfId="281"/>
    <cellStyle name="_KT (2)_5_Book1_1" xfId="282"/>
    <cellStyle name="_KT (2)_5_Book1_1_Book1" xfId="283"/>
    <cellStyle name="_KT (2)_5_Book1_1_DanhMucDonGiaVTTB_Dien_TAM" xfId="284"/>
    <cellStyle name="_KT (2)_5_Book1_1_khoiluongbdacdoa" xfId="285"/>
    <cellStyle name="_KT (2)_5_Book1_2" xfId="286"/>
    <cellStyle name="_KT (2)_5_Book1_2_Book1" xfId="287"/>
    <cellStyle name="_KT (2)_5_Book1_3" xfId="288"/>
    <cellStyle name="_KT (2)_5_Book1_3_Book1" xfId="289"/>
    <cellStyle name="_KT (2)_5_Book1_3_DT truong thinh phu" xfId="290"/>
    <cellStyle name="_KT (2)_5_Book1_3_XL4Test5" xfId="291"/>
    <cellStyle name="_KT (2)_5_Book1_4" xfId="292"/>
    <cellStyle name="_KT (2)_5_Book1_BC-QT-WB-dthao" xfId="293"/>
    <cellStyle name="_KT (2)_5_Book1_Book1" xfId="294"/>
    <cellStyle name="_KT (2)_5_Book1_DanhMucDonGiaVTTB_Dien_TAM" xfId="295"/>
    <cellStyle name="_KT (2)_5_Book1_Kiem Tra Don Gia" xfId="297"/>
    <cellStyle name="_KT (2)_5_Book1_khoiluongbdacdoa" xfId="296"/>
    <cellStyle name="_KT (2)_5_Book1_Tong hop 3 tinh (11_5)-TTH-QN-QT" xfId="298"/>
    <cellStyle name="_KT (2)_5_Book1_" xfId="299"/>
    <cellStyle name="_KT (2)_5_CAU Khanh Nam(Thi Cong)" xfId="300"/>
    <cellStyle name="_KT (2)_5_DAU NOI PL-CL TAI PHU LAMHC" xfId="301"/>
    <cellStyle name="_KT (2)_5_Dcdtoan-bcnckt " xfId="302"/>
    <cellStyle name="_KT (2)_5_DN_MTP" xfId="303"/>
    <cellStyle name="_KT (2)_5_Dongia2-2003" xfId="304"/>
    <cellStyle name="_KT (2)_5_Dongia2-2003_DT truong thinh phu" xfId="305"/>
    <cellStyle name="_KT (2)_5_DT truong thinh phu" xfId="306"/>
    <cellStyle name="_KT (2)_5_DTCDT MR.2N110.HOCMON.TDTOAN.CCUNG" xfId="307"/>
    <cellStyle name="_KT (2)_5_DTDuong dong tien -sua tham tra 2009 - luong 650" xfId="308"/>
    <cellStyle name="_KT (2)_5_DU TRU VAT TU" xfId="309"/>
    <cellStyle name="_KT (2)_5_Kiem Tra Don Gia" xfId="311"/>
    <cellStyle name="_KT (2)_5_khoiluongbdacdoa" xfId="310"/>
    <cellStyle name="_KT (2)_5_Lora-tungchau" xfId="312"/>
    <cellStyle name="_KT (2)_5_moi" xfId="313"/>
    <cellStyle name="_KT (2)_5_PGIA-phieu tham tra Kho bac" xfId="314"/>
    <cellStyle name="_KT (2)_5_PT02-02" xfId="315"/>
    <cellStyle name="_KT (2)_5_PT02-02_Book1" xfId="316"/>
    <cellStyle name="_KT (2)_5_PT02-03" xfId="317"/>
    <cellStyle name="_KT (2)_5_PT02-03_Book1" xfId="318"/>
    <cellStyle name="_KT (2)_5_Qt-HT3PQ1(CauKho)" xfId="319"/>
    <cellStyle name="_KT (2)_5_Qt-HT3PQ1(CauKho)_Book1" xfId="320"/>
    <cellStyle name="_KT (2)_5_Qt-HT3PQ1(CauKho)_Don gia quy 3 nam 2003 - Ban Dien Luc" xfId="321"/>
    <cellStyle name="_KT (2)_5_Qt-HT3PQ1(CauKho)_Kiem Tra Don Gia" xfId="322"/>
    <cellStyle name="_KT (2)_5_Qt-HT3PQ1(CauKho)_NC-VL2-2003" xfId="323"/>
    <cellStyle name="_KT (2)_5_Qt-HT3PQ1(CauKho)_NC-VL2-2003_1" xfId="324"/>
    <cellStyle name="_KT (2)_5_Qt-HT3PQ1(CauKho)_XL4Test5" xfId="325"/>
    <cellStyle name="_KT (2)_5_QT-LCTP-AE" xfId="326"/>
    <cellStyle name="_KT (2)_5_Sheet2" xfId="327"/>
    <cellStyle name="_KT (2)_5_TEL OUT 2004" xfId="328"/>
    <cellStyle name="_KT (2)_5_Tong hop 3 tinh (11_5)-TTH-QN-QT" xfId="329"/>
    <cellStyle name="_KT (2)_5_XL4Poppy" xfId="330"/>
    <cellStyle name="_KT (2)_5_XL4Test5" xfId="331"/>
    <cellStyle name="_KT (2)_5_ÿÿÿÿÿ" xfId="332"/>
    <cellStyle name="_KT (2)_5_" xfId="333"/>
    <cellStyle name="_KT (2)_Book1" xfId="334"/>
    <cellStyle name="_KT (2)_Book1_1" xfId="335"/>
    <cellStyle name="_KT (2)_Book1_BC-QT-WB-dthao" xfId="336"/>
    <cellStyle name="_KT (2)_Book1_Book1" xfId="337"/>
    <cellStyle name="_KT (2)_Book1_Kiem Tra Don Gia" xfId="338"/>
    <cellStyle name="_KT (2)_Book1_Kiem Tra Don Gia 2" xfId="339"/>
    <cellStyle name="_KT (2)_Kiem Tra Don Gia" xfId="341"/>
    <cellStyle name="_KT (2)_khoiluongbdacdoa" xfId="340"/>
    <cellStyle name="_KT (2)_Lora-tungchau" xfId="342"/>
    <cellStyle name="_KT (2)_Lora-tungchau_Book1" xfId="343"/>
    <cellStyle name="_KT (2)_Lora-tungchau_Kiem Tra Don Gia" xfId="344"/>
    <cellStyle name="_KT (2)_Lora-tungchau_Kiem Tra Don Gia 2" xfId="345"/>
    <cellStyle name="_KT (2)_PERSONAL" xfId="346"/>
    <cellStyle name="_KT (2)_PERSONAL_Book1" xfId="347"/>
    <cellStyle name="_KT (2)_PERSONAL_HTQ.8 GD1" xfId="348"/>
    <cellStyle name="_KT (2)_PERSONAL_HTQ.8 GD1_Book1" xfId="349"/>
    <cellStyle name="_KT (2)_PERSONAL_HTQ.8 GD1_Don gia quy 3 nam 2003 - Ban Dien Luc" xfId="350"/>
    <cellStyle name="_KT (2)_PERSONAL_HTQ.8 GD1_NC-VL2-2003" xfId="351"/>
    <cellStyle name="_KT (2)_PERSONAL_HTQ.8 GD1_NC-VL2-2003_1" xfId="352"/>
    <cellStyle name="_KT (2)_PERSONAL_HTQ.8 GD1_XL4Test5" xfId="353"/>
    <cellStyle name="_KT (2)_PERSONAL_khoiluongbdacdoa" xfId="354"/>
    <cellStyle name="_KT (2)_PERSONAL_Tong hop KHCB 2001" xfId="355"/>
    <cellStyle name="_KT (2)_PERSONAL_" xfId="356"/>
    <cellStyle name="_KT (2)_Qt-HT3PQ1(CauKho)" xfId="357"/>
    <cellStyle name="_KT (2)_Qt-HT3PQ1(CauKho)_Book1" xfId="358"/>
    <cellStyle name="_KT (2)_Qt-HT3PQ1(CauKho)_Don gia quy 3 nam 2003 - Ban Dien Luc" xfId="359"/>
    <cellStyle name="_KT (2)_Qt-HT3PQ1(CauKho)_Kiem Tra Don Gia" xfId="360"/>
    <cellStyle name="_KT (2)_Qt-HT3PQ1(CauKho)_NC-VL2-2003" xfId="361"/>
    <cellStyle name="_KT (2)_Qt-HT3PQ1(CauKho)_NC-VL2-2003_1" xfId="362"/>
    <cellStyle name="_KT (2)_Qt-HT3PQ1(CauKho)_XL4Test5" xfId="363"/>
    <cellStyle name="_KT (2)_QT-LCTP-AE" xfId="364"/>
    <cellStyle name="_KT (2)_quy luong con lai nam 2004" xfId="365"/>
    <cellStyle name="_KT (2)_TG-TH" xfId="366"/>
    <cellStyle name="_KT (2)_" xfId="367"/>
    <cellStyle name="_KT_TG" xfId="368"/>
    <cellStyle name="_KT_TG_1" xfId="369"/>
    <cellStyle name="_KT_TG_1_BANG TONG HOP TINH HINH THANH QUYET TOAN (MOI I)" xfId="370"/>
    <cellStyle name="_KT_TG_1_BAO CAO KLCT PT2000" xfId="371"/>
    <cellStyle name="_KT_TG_1_BAO CAO PT2000" xfId="372"/>
    <cellStyle name="_KT_TG_1_BAO CAO PT2000_Book1" xfId="373"/>
    <cellStyle name="_KT_TG_1_Bao cao XDCB 2001 - T11 KH dieu chinh 20-11-THAI" xfId="374"/>
    <cellStyle name="_KT_TG_1_BAO GIA NGAY 24-10-08 (co dam)" xfId="375"/>
    <cellStyle name="_KT_TG_1_Biểu KH 5 năm gửi UB sửa biểu VHXH" xfId="376"/>
    <cellStyle name="_KT_TG_1_Book1" xfId="377"/>
    <cellStyle name="_KT_TG_1_Book1_1" xfId="378"/>
    <cellStyle name="_KT_TG_1_Book1_1_Book1" xfId="379"/>
    <cellStyle name="_KT_TG_1_Book1_1_DanhMucDonGiaVTTB_Dien_TAM" xfId="380"/>
    <cellStyle name="_KT_TG_1_Book1_1_khoiluongbdacdoa" xfId="381"/>
    <cellStyle name="_KT_TG_1_Book1_2" xfId="382"/>
    <cellStyle name="_KT_TG_1_Book1_2_Book1" xfId="383"/>
    <cellStyle name="_KT_TG_1_Book1_3" xfId="384"/>
    <cellStyle name="_KT_TG_1_Book1_3_Book1" xfId="385"/>
    <cellStyle name="_KT_TG_1_Book1_3_DT truong thinh phu" xfId="386"/>
    <cellStyle name="_KT_TG_1_Book1_3_XL4Test5" xfId="387"/>
    <cellStyle name="_KT_TG_1_Book1_4" xfId="388"/>
    <cellStyle name="_KT_TG_1_Book1_BC-QT-WB-dthao" xfId="389"/>
    <cellStyle name="_KT_TG_1_Book1_Book1" xfId="390"/>
    <cellStyle name="_KT_TG_1_Book1_DanhMucDonGiaVTTB_Dien_TAM" xfId="391"/>
    <cellStyle name="_KT_TG_1_Book1_Kiem Tra Don Gia" xfId="393"/>
    <cellStyle name="_KT_TG_1_Book1_khoiluongbdacdoa" xfId="392"/>
    <cellStyle name="_KT_TG_1_Book1_Tong hop 3 tinh (11_5)-TTH-QN-QT" xfId="394"/>
    <cellStyle name="_KT_TG_1_Book1_" xfId="395"/>
    <cellStyle name="_KT_TG_1_CAU Khanh Nam(Thi Cong)" xfId="396"/>
    <cellStyle name="_KT_TG_1_DAU NOI PL-CL TAI PHU LAMHC" xfId="397"/>
    <cellStyle name="_KT_TG_1_Dcdtoan-bcnckt " xfId="398"/>
    <cellStyle name="_KT_TG_1_DN_MTP" xfId="399"/>
    <cellStyle name="_KT_TG_1_Dongia2-2003" xfId="400"/>
    <cellStyle name="_KT_TG_1_Dongia2-2003_DT truong thinh phu" xfId="401"/>
    <cellStyle name="_KT_TG_1_DT truong thinh phu" xfId="402"/>
    <cellStyle name="_KT_TG_1_DTCDT MR.2N110.HOCMON.TDTOAN.CCUNG" xfId="403"/>
    <cellStyle name="_KT_TG_1_DTDuong dong tien -sua tham tra 2009 - luong 650" xfId="404"/>
    <cellStyle name="_KT_TG_1_DU TRU VAT TU" xfId="405"/>
    <cellStyle name="_KT_TG_1_Kiem Tra Don Gia" xfId="407"/>
    <cellStyle name="_KT_TG_1_khoiluongbdacdoa" xfId="406"/>
    <cellStyle name="_KT_TG_1_Lora-tungchau" xfId="408"/>
    <cellStyle name="_KT_TG_1_moi" xfId="409"/>
    <cellStyle name="_KT_TG_1_PGIA-phieu tham tra Kho bac" xfId="410"/>
    <cellStyle name="_KT_TG_1_PT02-02" xfId="411"/>
    <cellStyle name="_KT_TG_1_PT02-02_Book1" xfId="412"/>
    <cellStyle name="_KT_TG_1_PT02-03" xfId="413"/>
    <cellStyle name="_KT_TG_1_PT02-03_Book1" xfId="414"/>
    <cellStyle name="_KT_TG_1_Qt-HT3PQ1(CauKho)" xfId="415"/>
    <cellStyle name="_KT_TG_1_Qt-HT3PQ1(CauKho)_Book1" xfId="416"/>
    <cellStyle name="_KT_TG_1_Qt-HT3PQ1(CauKho)_Don gia quy 3 nam 2003 - Ban Dien Luc" xfId="417"/>
    <cellStyle name="_KT_TG_1_Qt-HT3PQ1(CauKho)_Kiem Tra Don Gia" xfId="418"/>
    <cellStyle name="_KT_TG_1_Qt-HT3PQ1(CauKho)_NC-VL2-2003" xfId="419"/>
    <cellStyle name="_KT_TG_1_Qt-HT3PQ1(CauKho)_NC-VL2-2003_1" xfId="420"/>
    <cellStyle name="_KT_TG_1_Qt-HT3PQ1(CauKho)_XL4Test5" xfId="421"/>
    <cellStyle name="_KT_TG_1_QT-LCTP-AE" xfId="422"/>
    <cellStyle name="_KT_TG_1_Sheet2" xfId="423"/>
    <cellStyle name="_KT_TG_1_TEL OUT 2004" xfId="424"/>
    <cellStyle name="_KT_TG_1_Tong hop 3 tinh (11_5)-TTH-QN-QT" xfId="425"/>
    <cellStyle name="_KT_TG_1_XL4Poppy" xfId="426"/>
    <cellStyle name="_KT_TG_1_XL4Test5" xfId="427"/>
    <cellStyle name="_KT_TG_1_ÿÿÿÿÿ" xfId="428"/>
    <cellStyle name="_KT_TG_1_" xfId="429"/>
    <cellStyle name="_KT_TG_2" xfId="430"/>
    <cellStyle name="_KT_TG_2_BANG TONG HOP TINH HINH THANH QUYET TOAN (MOI I)" xfId="431"/>
    <cellStyle name="_KT_TG_2_BAO CAO KLCT PT2000" xfId="432"/>
    <cellStyle name="_KT_TG_2_BAO CAO PT2000" xfId="433"/>
    <cellStyle name="_KT_TG_2_BAO CAO PT2000_Book1" xfId="434"/>
    <cellStyle name="_KT_TG_2_Bao cao XDCB 2001 - T11 KH dieu chinh 20-11-THAI" xfId="435"/>
    <cellStyle name="_KT_TG_2_BAO GIA NGAY 24-10-08 (co dam)" xfId="436"/>
    <cellStyle name="_KT_TG_2_Biểu KH 5 năm gửi UB sửa biểu VHXH" xfId="437"/>
    <cellStyle name="_KT_TG_2_Book1" xfId="438"/>
    <cellStyle name="_KT_TG_2_Book1_1" xfId="439"/>
    <cellStyle name="_KT_TG_2_Book1_1_Book1" xfId="440"/>
    <cellStyle name="_KT_TG_2_Book1_1_DanhMucDonGiaVTTB_Dien_TAM" xfId="441"/>
    <cellStyle name="_KT_TG_2_Book1_1_khoiluongbdacdoa" xfId="442"/>
    <cellStyle name="_KT_TG_2_Book1_2" xfId="443"/>
    <cellStyle name="_KT_TG_2_Book1_2_Book1" xfId="444"/>
    <cellStyle name="_KT_TG_2_Book1_3" xfId="445"/>
    <cellStyle name="_KT_TG_2_Book1_3_Book1" xfId="446"/>
    <cellStyle name="_KT_TG_2_Book1_3_DT truong thinh phu" xfId="447"/>
    <cellStyle name="_KT_TG_2_Book1_3_XL4Test5" xfId="448"/>
    <cellStyle name="_KT_TG_2_Book1_4" xfId="449"/>
    <cellStyle name="_KT_TG_2_Book1_Book1" xfId="450"/>
    <cellStyle name="_KT_TG_2_Book1_DanhMucDonGiaVTTB_Dien_TAM" xfId="451"/>
    <cellStyle name="_KT_TG_2_Book1_Kiem Tra Don Gia" xfId="453"/>
    <cellStyle name="_KT_TG_2_Book1_khoiluongbdacdoa" xfId="452"/>
    <cellStyle name="_KT_TG_2_Book1_Tong hop 3 tinh (11_5)-TTH-QN-QT" xfId="454"/>
    <cellStyle name="_KT_TG_2_Book1_" xfId="455"/>
    <cellStyle name="_KT_TG_2_CAU Khanh Nam(Thi Cong)" xfId="456"/>
    <cellStyle name="_KT_TG_2_DAU NOI PL-CL TAI PHU LAMHC" xfId="457"/>
    <cellStyle name="_KT_TG_2_Dcdtoan-bcnckt " xfId="458"/>
    <cellStyle name="_KT_TG_2_DN_MTP" xfId="459"/>
    <cellStyle name="_KT_TG_2_Dongia2-2003" xfId="460"/>
    <cellStyle name="_KT_TG_2_Dongia2-2003_DT truong thinh phu" xfId="461"/>
    <cellStyle name="_KT_TG_2_DT truong thinh phu" xfId="462"/>
    <cellStyle name="_KT_TG_2_DTCDT MR.2N110.HOCMON.TDTOAN.CCUNG" xfId="463"/>
    <cellStyle name="_KT_TG_2_DTDuong dong tien -sua tham tra 2009 - luong 650" xfId="464"/>
    <cellStyle name="_KT_TG_2_DU TRU VAT TU" xfId="465"/>
    <cellStyle name="_KT_TG_2_Kiem Tra Don Gia" xfId="467"/>
    <cellStyle name="_KT_TG_2_khoiluongbdacdoa" xfId="466"/>
    <cellStyle name="_KT_TG_2_Lora-tungchau" xfId="468"/>
    <cellStyle name="_KT_TG_2_moi" xfId="469"/>
    <cellStyle name="_KT_TG_2_PGIA-phieu tham tra Kho bac" xfId="470"/>
    <cellStyle name="_KT_TG_2_PT02-02" xfId="471"/>
    <cellStyle name="_KT_TG_2_PT02-02_Book1" xfId="472"/>
    <cellStyle name="_KT_TG_2_PT02-03" xfId="473"/>
    <cellStyle name="_KT_TG_2_PT02-03_Book1" xfId="474"/>
    <cellStyle name="_KT_TG_2_Qt-HT3PQ1(CauKho)" xfId="475"/>
    <cellStyle name="_KT_TG_2_Qt-HT3PQ1(CauKho)_Book1" xfId="476"/>
    <cellStyle name="_KT_TG_2_Qt-HT3PQ1(CauKho)_Don gia quy 3 nam 2003 - Ban Dien Luc" xfId="477"/>
    <cellStyle name="_KT_TG_2_Qt-HT3PQ1(CauKho)_Kiem Tra Don Gia" xfId="478"/>
    <cellStyle name="_KT_TG_2_Qt-HT3PQ1(CauKho)_NC-VL2-2003" xfId="479"/>
    <cellStyle name="_KT_TG_2_Qt-HT3PQ1(CauKho)_NC-VL2-2003_1" xfId="480"/>
    <cellStyle name="_KT_TG_2_Qt-HT3PQ1(CauKho)_XL4Test5" xfId="481"/>
    <cellStyle name="_KT_TG_2_QT-LCTP-AE" xfId="482"/>
    <cellStyle name="_KT_TG_2_quy luong con lai nam 2004" xfId="483"/>
    <cellStyle name="_KT_TG_2_Sheet2" xfId="484"/>
    <cellStyle name="_KT_TG_2_TEL OUT 2004" xfId="485"/>
    <cellStyle name="_KT_TG_2_Tong hop 3 tinh (11_5)-TTH-QN-QT" xfId="486"/>
    <cellStyle name="_KT_TG_2_XL4Poppy" xfId="487"/>
    <cellStyle name="_KT_TG_2_XL4Test5" xfId="488"/>
    <cellStyle name="_KT_TG_2_ÿÿÿÿÿ" xfId="489"/>
    <cellStyle name="_KT_TG_2_" xfId="490"/>
    <cellStyle name="_KT_TG_3" xfId="491"/>
    <cellStyle name="_KT_TG_4" xfId="492"/>
    <cellStyle name="_KT_TG_4_Book1" xfId="493"/>
    <cellStyle name="_KT_TG_4_Lora-tungchau" xfId="494"/>
    <cellStyle name="_KT_TG_4_Qt-HT3PQ1(CauKho)" xfId="495"/>
    <cellStyle name="_KT_TG_4_Qt-HT3PQ1(CauKho)_Book1" xfId="496"/>
    <cellStyle name="_KT_TG_4_Qt-HT3PQ1(CauKho)_Don gia quy 3 nam 2003 - Ban Dien Luc" xfId="497"/>
    <cellStyle name="_KT_TG_4_Qt-HT3PQ1(CauKho)_Kiem Tra Don Gia" xfId="498"/>
    <cellStyle name="_KT_TG_4_Qt-HT3PQ1(CauKho)_NC-VL2-2003" xfId="499"/>
    <cellStyle name="_KT_TG_4_Qt-HT3PQ1(CauKho)_NC-VL2-2003_1" xfId="500"/>
    <cellStyle name="_KT_TG_4_Qt-HT3PQ1(CauKho)_XL4Test5" xfId="501"/>
    <cellStyle name="_KT_TG_4_quy luong con lai nam 2004" xfId="502"/>
    <cellStyle name="_KT_TG_4_" xfId="503"/>
    <cellStyle name="_KT_TG_Book1" xfId="504"/>
    <cellStyle name="_KT_TG_DTDuong dong tien -sua tham tra 2009 - luong 650" xfId="505"/>
    <cellStyle name="_KT_TG_quy luong con lai nam 2004" xfId="506"/>
    <cellStyle name="_Kh ql62 (2010) 11-09" xfId="91"/>
    <cellStyle name="_KH.DTC.gd2016-2020 tinh (T2-2015)" xfId="92"/>
    <cellStyle name="_khoiluongbdacdoa" xfId="93"/>
    <cellStyle name="_Lora-tungchau" xfId="507"/>
    <cellStyle name="_Lora-tungchau_Book1" xfId="508"/>
    <cellStyle name="_Lora-tungchau_Kiem Tra Don Gia" xfId="509"/>
    <cellStyle name="_Lora-tungchau_Kiem Tra Don Gia 2" xfId="510"/>
    <cellStyle name="_MauThanTKKT-goi7-DonGia2143(vl t7)" xfId="511"/>
    <cellStyle name="_Nhu cau von ung truoc 2011 Tha h Hoa + Nge An gui TW" xfId="512"/>
    <cellStyle name="_PERSONAL" xfId="513"/>
    <cellStyle name="_PERSONAL_Book1" xfId="514"/>
    <cellStyle name="_PERSONAL_HTQ.8 GD1" xfId="515"/>
    <cellStyle name="_PERSONAL_HTQ.8 GD1_Book1" xfId="516"/>
    <cellStyle name="_PERSONAL_HTQ.8 GD1_Don gia quy 3 nam 2003 - Ban Dien Luc" xfId="517"/>
    <cellStyle name="_PERSONAL_HTQ.8 GD1_NC-VL2-2003" xfId="518"/>
    <cellStyle name="_PERSONAL_HTQ.8 GD1_NC-VL2-2003_1" xfId="519"/>
    <cellStyle name="_PERSONAL_HTQ.8 GD1_XL4Test5" xfId="520"/>
    <cellStyle name="_PERSONAL_khoiluongbdacdoa" xfId="521"/>
    <cellStyle name="_PERSONAL_Tong hop KHCB 2001" xfId="522"/>
    <cellStyle name="_PERSONAL_" xfId="523"/>
    <cellStyle name="_Phu luc kem BC gui VP Bo (18.2)" xfId="524"/>
    <cellStyle name="_Q TOAN  SCTX QL.62 QUI I ( oanh)" xfId="525"/>
    <cellStyle name="_Q TOAN  SCTX QL.62 QUI II ( oanh)" xfId="526"/>
    <cellStyle name="_QT SCTXQL62_QT1 (Cty QL)" xfId="527"/>
    <cellStyle name="_Qt-HT3PQ1(CauKho)" xfId="528"/>
    <cellStyle name="_Qt-HT3PQ1(CauKho)_Book1" xfId="529"/>
    <cellStyle name="_Qt-HT3PQ1(CauKho)_Don gia quy 3 nam 2003 - Ban Dien Luc" xfId="530"/>
    <cellStyle name="_Qt-HT3PQ1(CauKho)_Kiem Tra Don Gia" xfId="531"/>
    <cellStyle name="_Qt-HT3PQ1(CauKho)_NC-VL2-2003" xfId="532"/>
    <cellStyle name="_Qt-HT3PQ1(CauKho)_NC-VL2-2003_1" xfId="533"/>
    <cellStyle name="_Qt-HT3PQ1(CauKho)_XL4Test5" xfId="534"/>
    <cellStyle name="_QT-LCTP-AE" xfId="535"/>
    <cellStyle name="_quy luong con lai nam 2004" xfId="536"/>
    <cellStyle name="_Sheet1" xfId="537"/>
    <cellStyle name="_Sheet2" xfId="538"/>
    <cellStyle name="_TG-TH" xfId="539"/>
    <cellStyle name="_TG-TH_1" xfId="540"/>
    <cellStyle name="_TG-TH_1_BANG TONG HOP TINH HINH THANH QUYET TOAN (MOI I)" xfId="541"/>
    <cellStyle name="_TG-TH_1_BAO CAO KLCT PT2000" xfId="542"/>
    <cellStyle name="_TG-TH_1_BAO CAO PT2000" xfId="543"/>
    <cellStyle name="_TG-TH_1_BAO CAO PT2000_Book1" xfId="544"/>
    <cellStyle name="_TG-TH_1_Bao cao XDCB 2001 - T11 KH dieu chinh 20-11-THAI" xfId="545"/>
    <cellStyle name="_TG-TH_1_BAO GIA NGAY 24-10-08 (co dam)" xfId="546"/>
    <cellStyle name="_TG-TH_1_Biểu KH 5 năm gửi UB sửa biểu VHXH" xfId="547"/>
    <cellStyle name="_TG-TH_1_Book1" xfId="548"/>
    <cellStyle name="_TG-TH_1_Book1_1" xfId="549"/>
    <cellStyle name="_TG-TH_1_Book1_1_Book1" xfId="550"/>
    <cellStyle name="_TG-TH_1_Book1_1_DanhMucDonGiaVTTB_Dien_TAM" xfId="551"/>
    <cellStyle name="_TG-TH_1_Book1_1_khoiluongbdacdoa" xfId="552"/>
    <cellStyle name="_TG-TH_1_Book1_2" xfId="553"/>
    <cellStyle name="_TG-TH_1_Book1_2_Book1" xfId="554"/>
    <cellStyle name="_TG-TH_1_Book1_3" xfId="555"/>
    <cellStyle name="_TG-TH_1_Book1_3_Book1" xfId="556"/>
    <cellStyle name="_TG-TH_1_Book1_3_DT truong thinh phu" xfId="557"/>
    <cellStyle name="_TG-TH_1_Book1_3_XL4Test5" xfId="558"/>
    <cellStyle name="_TG-TH_1_Book1_4" xfId="559"/>
    <cellStyle name="_TG-TH_1_Book1_BC-QT-WB-dthao" xfId="560"/>
    <cellStyle name="_TG-TH_1_Book1_Book1" xfId="561"/>
    <cellStyle name="_TG-TH_1_Book1_DanhMucDonGiaVTTB_Dien_TAM" xfId="562"/>
    <cellStyle name="_TG-TH_1_Book1_Kiem Tra Don Gia" xfId="564"/>
    <cellStyle name="_TG-TH_1_Book1_khoiluongbdacdoa" xfId="563"/>
    <cellStyle name="_TG-TH_1_Book1_Tong hop 3 tinh (11_5)-TTH-QN-QT" xfId="565"/>
    <cellStyle name="_TG-TH_1_Book1_" xfId="566"/>
    <cellStyle name="_TG-TH_1_CAU Khanh Nam(Thi Cong)" xfId="567"/>
    <cellStyle name="_TG-TH_1_DAU NOI PL-CL TAI PHU LAMHC" xfId="568"/>
    <cellStyle name="_TG-TH_1_Dcdtoan-bcnckt " xfId="569"/>
    <cellStyle name="_TG-TH_1_DN_MTP" xfId="570"/>
    <cellStyle name="_TG-TH_1_Dongia2-2003" xfId="571"/>
    <cellStyle name="_TG-TH_1_Dongia2-2003_DT truong thinh phu" xfId="572"/>
    <cellStyle name="_TG-TH_1_DT truong thinh phu" xfId="573"/>
    <cellStyle name="_TG-TH_1_DTCDT MR.2N110.HOCMON.TDTOAN.CCUNG" xfId="574"/>
    <cellStyle name="_TG-TH_1_DTDuong dong tien -sua tham tra 2009 - luong 650" xfId="575"/>
    <cellStyle name="_TG-TH_1_DU TRU VAT TU" xfId="576"/>
    <cellStyle name="_TG-TH_1_Kiem Tra Don Gia" xfId="578"/>
    <cellStyle name="_TG-TH_1_khoiluongbdacdoa" xfId="577"/>
    <cellStyle name="_TG-TH_1_Lora-tungchau" xfId="579"/>
    <cellStyle name="_TG-TH_1_moi" xfId="580"/>
    <cellStyle name="_TG-TH_1_PGIA-phieu tham tra Kho bac" xfId="581"/>
    <cellStyle name="_TG-TH_1_PT02-02" xfId="582"/>
    <cellStyle name="_TG-TH_1_PT02-02_Book1" xfId="583"/>
    <cellStyle name="_TG-TH_1_PT02-03" xfId="584"/>
    <cellStyle name="_TG-TH_1_PT02-03_Book1" xfId="585"/>
    <cellStyle name="_TG-TH_1_Qt-HT3PQ1(CauKho)" xfId="586"/>
    <cellStyle name="_TG-TH_1_Qt-HT3PQ1(CauKho)_Book1" xfId="587"/>
    <cellStyle name="_TG-TH_1_Qt-HT3PQ1(CauKho)_Don gia quy 3 nam 2003 - Ban Dien Luc" xfId="588"/>
    <cellStyle name="_TG-TH_1_Qt-HT3PQ1(CauKho)_Kiem Tra Don Gia" xfId="589"/>
    <cellStyle name="_TG-TH_1_Qt-HT3PQ1(CauKho)_NC-VL2-2003" xfId="590"/>
    <cellStyle name="_TG-TH_1_Qt-HT3PQ1(CauKho)_NC-VL2-2003_1" xfId="591"/>
    <cellStyle name="_TG-TH_1_Qt-HT3PQ1(CauKho)_XL4Test5" xfId="592"/>
    <cellStyle name="_TG-TH_1_QT-LCTP-AE" xfId="593"/>
    <cellStyle name="_TG-TH_1_Sheet2" xfId="594"/>
    <cellStyle name="_TG-TH_1_TEL OUT 2004" xfId="595"/>
    <cellStyle name="_TG-TH_1_Tong hop 3 tinh (11_5)-TTH-QN-QT" xfId="596"/>
    <cellStyle name="_TG-TH_1_XL4Poppy" xfId="597"/>
    <cellStyle name="_TG-TH_1_XL4Test5" xfId="598"/>
    <cellStyle name="_TG-TH_1_ÿÿÿÿÿ" xfId="599"/>
    <cellStyle name="_TG-TH_1_" xfId="600"/>
    <cellStyle name="_TG-TH_2" xfId="601"/>
    <cellStyle name="_TG-TH_2_BANG TONG HOP TINH HINH THANH QUYET TOAN (MOI I)" xfId="602"/>
    <cellStyle name="_TG-TH_2_BAO CAO KLCT PT2000" xfId="603"/>
    <cellStyle name="_TG-TH_2_BAO CAO PT2000" xfId="604"/>
    <cellStyle name="_TG-TH_2_BAO CAO PT2000_Book1" xfId="605"/>
    <cellStyle name="_TG-TH_2_Bao cao XDCB 2001 - T11 KH dieu chinh 20-11-THAI" xfId="606"/>
    <cellStyle name="_TG-TH_2_BAO GIA NGAY 24-10-08 (co dam)" xfId="607"/>
    <cellStyle name="_TG-TH_2_Biểu KH 5 năm gửi UB sửa biểu VHXH" xfId="608"/>
    <cellStyle name="_TG-TH_2_Book1" xfId="609"/>
    <cellStyle name="_TG-TH_2_Book1_1" xfId="610"/>
    <cellStyle name="_TG-TH_2_Book1_1_Book1" xfId="611"/>
    <cellStyle name="_TG-TH_2_Book1_1_DanhMucDonGiaVTTB_Dien_TAM" xfId="612"/>
    <cellStyle name="_TG-TH_2_Book1_1_khoiluongbdacdoa" xfId="613"/>
    <cellStyle name="_TG-TH_2_Book1_2" xfId="614"/>
    <cellStyle name="_TG-TH_2_Book1_2_Book1" xfId="615"/>
    <cellStyle name="_TG-TH_2_Book1_3" xfId="616"/>
    <cellStyle name="_TG-TH_2_Book1_3_Book1" xfId="617"/>
    <cellStyle name="_TG-TH_2_Book1_3_DT truong thinh phu" xfId="618"/>
    <cellStyle name="_TG-TH_2_Book1_3_XL4Test5" xfId="619"/>
    <cellStyle name="_TG-TH_2_Book1_4" xfId="620"/>
    <cellStyle name="_TG-TH_2_Book1_Book1" xfId="621"/>
    <cellStyle name="_TG-TH_2_Book1_DanhMucDonGiaVTTB_Dien_TAM" xfId="622"/>
    <cellStyle name="_TG-TH_2_Book1_Kiem Tra Don Gia" xfId="624"/>
    <cellStyle name="_TG-TH_2_Book1_khoiluongbdacdoa" xfId="623"/>
    <cellStyle name="_TG-TH_2_Book1_Tong hop 3 tinh (11_5)-TTH-QN-QT" xfId="625"/>
    <cellStyle name="_TG-TH_2_Book1_" xfId="626"/>
    <cellStyle name="_TG-TH_2_CAU Khanh Nam(Thi Cong)" xfId="627"/>
    <cellStyle name="_TG-TH_2_DAU NOI PL-CL TAI PHU LAMHC" xfId="628"/>
    <cellStyle name="_TG-TH_2_Dcdtoan-bcnckt " xfId="629"/>
    <cellStyle name="_TG-TH_2_DN_MTP" xfId="630"/>
    <cellStyle name="_TG-TH_2_Dongia2-2003" xfId="631"/>
    <cellStyle name="_TG-TH_2_Dongia2-2003_DT truong thinh phu" xfId="632"/>
    <cellStyle name="_TG-TH_2_DT truong thinh phu" xfId="633"/>
    <cellStyle name="_TG-TH_2_DTCDT MR.2N110.HOCMON.TDTOAN.CCUNG" xfId="634"/>
    <cellStyle name="_TG-TH_2_DTDuong dong tien -sua tham tra 2009 - luong 650" xfId="635"/>
    <cellStyle name="_TG-TH_2_DU TRU VAT TU" xfId="636"/>
    <cellStyle name="_TG-TH_2_Kiem Tra Don Gia" xfId="638"/>
    <cellStyle name="_TG-TH_2_khoiluongbdacdoa" xfId="637"/>
    <cellStyle name="_TG-TH_2_Lora-tungchau" xfId="639"/>
    <cellStyle name="_TG-TH_2_moi" xfId="640"/>
    <cellStyle name="_TG-TH_2_PGIA-phieu tham tra Kho bac" xfId="641"/>
    <cellStyle name="_TG-TH_2_PT02-02" xfId="642"/>
    <cellStyle name="_TG-TH_2_PT02-02_Book1" xfId="643"/>
    <cellStyle name="_TG-TH_2_PT02-03" xfId="644"/>
    <cellStyle name="_TG-TH_2_PT02-03_Book1" xfId="645"/>
    <cellStyle name="_TG-TH_2_Qt-HT3PQ1(CauKho)" xfId="646"/>
    <cellStyle name="_TG-TH_2_Qt-HT3PQ1(CauKho)_Book1" xfId="647"/>
    <cellStyle name="_TG-TH_2_Qt-HT3PQ1(CauKho)_Don gia quy 3 nam 2003 - Ban Dien Luc" xfId="648"/>
    <cellStyle name="_TG-TH_2_Qt-HT3PQ1(CauKho)_Kiem Tra Don Gia" xfId="649"/>
    <cellStyle name="_TG-TH_2_Qt-HT3PQ1(CauKho)_NC-VL2-2003" xfId="650"/>
    <cellStyle name="_TG-TH_2_Qt-HT3PQ1(CauKho)_NC-VL2-2003_1" xfId="651"/>
    <cellStyle name="_TG-TH_2_Qt-HT3PQ1(CauKho)_XL4Test5" xfId="652"/>
    <cellStyle name="_TG-TH_2_QT-LCTP-AE" xfId="653"/>
    <cellStyle name="_TG-TH_2_quy luong con lai nam 2004" xfId="654"/>
    <cellStyle name="_TG-TH_2_Sheet2" xfId="655"/>
    <cellStyle name="_TG-TH_2_TEL OUT 2004" xfId="656"/>
    <cellStyle name="_TG-TH_2_Tong hop 3 tinh (11_5)-TTH-QN-QT" xfId="657"/>
    <cellStyle name="_TG-TH_2_XL4Poppy" xfId="658"/>
    <cellStyle name="_TG-TH_2_XL4Test5" xfId="659"/>
    <cellStyle name="_TG-TH_2_ÿÿÿÿÿ" xfId="660"/>
    <cellStyle name="_TG-TH_2_" xfId="661"/>
    <cellStyle name="_TG-TH_3" xfId="662"/>
    <cellStyle name="_TG-TH_3_Book1" xfId="663"/>
    <cellStyle name="_TG-TH_3_Lora-tungchau" xfId="664"/>
    <cellStyle name="_TG-TH_3_Qt-HT3PQ1(CauKho)" xfId="665"/>
    <cellStyle name="_TG-TH_3_Qt-HT3PQ1(CauKho)_Book1" xfId="666"/>
    <cellStyle name="_TG-TH_3_Qt-HT3PQ1(CauKho)_Don gia quy 3 nam 2003 - Ban Dien Luc" xfId="667"/>
    <cellStyle name="_TG-TH_3_Qt-HT3PQ1(CauKho)_Kiem Tra Don Gia" xfId="668"/>
    <cellStyle name="_TG-TH_3_Qt-HT3PQ1(CauKho)_NC-VL2-2003" xfId="669"/>
    <cellStyle name="_TG-TH_3_Qt-HT3PQ1(CauKho)_NC-VL2-2003_1" xfId="670"/>
    <cellStyle name="_TG-TH_3_Qt-HT3PQ1(CauKho)_XL4Test5" xfId="671"/>
    <cellStyle name="_TG-TH_3_quy luong con lai nam 2004" xfId="672"/>
    <cellStyle name="_TG-TH_3_" xfId="673"/>
    <cellStyle name="_TG-TH_4" xfId="674"/>
    <cellStyle name="_TG-TH_4_Book1" xfId="675"/>
    <cellStyle name="_TG-TH_4_DTDuong dong tien -sua tham tra 2009 - luong 650" xfId="676"/>
    <cellStyle name="_TG-TH_4_quy luong con lai nam 2004" xfId="677"/>
    <cellStyle name="_TKP" xfId="679"/>
    <cellStyle name="_Tong dutoan PP LAHAI" xfId="680"/>
    <cellStyle name="_Tong hop 3 tinh (11_5)-TTH-QN-QT" xfId="681"/>
    <cellStyle name="_Tong hop may cheu nganh 1" xfId="682"/>
    <cellStyle name="_TH KHAI TOAN THU THIEM cac tuyen TT noi" xfId="678"/>
    <cellStyle name="_ung 2011 - 11-6-Thanh hoa-Nghe an" xfId="683"/>
    <cellStyle name="_ung truoc 2011 NSTW Thanh Hoa + Nge An gui Thu 12-5" xfId="684"/>
    <cellStyle name="_ung truoc cua long an (6-5-2010)" xfId="685"/>
    <cellStyle name="_ung von chinh thuc doan kiem tra TAY NAM BO" xfId="686"/>
    <cellStyle name="_Ung von nam 2011 vung TNB - Doan Cong tac (12-5-2010)" xfId="687"/>
    <cellStyle name="_Ung von nam 2011 vung TNB - Doan Cong tac (12-5-2010)_Copy of ghep 3 bieu trinh LD BO 28-6 (TPCP)" xfId="688"/>
    <cellStyle name="_ÿÿÿÿÿ" xfId="689"/>
    <cellStyle name="_ÿÿÿÿÿ_Kh ql62 (2010) 11-09" xfId="690"/>
    <cellStyle name="_" xfId="691"/>
    <cellStyle name="__1" xfId="692"/>
    <cellStyle name="__Bao gia TB Kon Dao 2010" xfId="693"/>
    <cellStyle name="~1" xfId="694"/>
    <cellStyle name="’Ê‰Ý [0.00]_laroux" xfId="695"/>
    <cellStyle name="’Ê‰Ý_laroux" xfId="696"/>
    <cellStyle name="•W?_Format" xfId="697"/>
    <cellStyle name="•W€_¯–ì" xfId="698"/>
    <cellStyle name="•W_¯–ì" xfId="699"/>
    <cellStyle name="W_MARINE" xfId="700"/>
    <cellStyle name="0" xfId="701"/>
    <cellStyle name="0 2" xfId="702"/>
    <cellStyle name="0 2 2" xfId="703"/>
    <cellStyle name="0 3" xfId="704"/>
    <cellStyle name="0 3 2" xfId="705"/>
    <cellStyle name="0 4" xfId="706"/>
    <cellStyle name="0.0" xfId="707"/>
    <cellStyle name="0.0 2" xfId="708"/>
    <cellStyle name="0.0 2 2" xfId="709"/>
    <cellStyle name="0.0 3" xfId="710"/>
    <cellStyle name="0.0 3 2" xfId="711"/>
    <cellStyle name="0.0 4" xfId="712"/>
    <cellStyle name="0.00" xfId="713"/>
    <cellStyle name="0.00 2" xfId="714"/>
    <cellStyle name="0.00 2 2" xfId="715"/>
    <cellStyle name="0.00 3" xfId="716"/>
    <cellStyle name="0.00 3 2" xfId="717"/>
    <cellStyle name="0.00 4" xfId="718"/>
    <cellStyle name="1" xfId="719"/>
    <cellStyle name="1_17 bieu (hung cap nhap)" xfId="720"/>
    <cellStyle name="1_17 bieu (hung cap nhap) 2" xfId="721"/>
    <cellStyle name="1_17 bieu (hung cap nhap) 3" xfId="722"/>
    <cellStyle name="1_2-Ha GiangBB2011-V1" xfId="723"/>
    <cellStyle name="1_50-BB Vung tau 2011" xfId="724"/>
    <cellStyle name="1_52-Long An2011.BB-V1" xfId="725"/>
    <cellStyle name="1_7 noi 48 goi C5 9 vi na" xfId="726"/>
    <cellStyle name="1_BANG KE VAT TU" xfId="727"/>
    <cellStyle name="1_Bao cao doan cong tac cua Bo thang 4-2010" xfId="728"/>
    <cellStyle name="1_Bao cao doan cong tac cua Bo thang 4-2010 2" xfId="729"/>
    <cellStyle name="1_Bao cao giai ngan von dau tu nam 2009 (theo doi)" xfId="730"/>
    <cellStyle name="1_Bao cao giai ngan von dau tu nam 2009 (theo doi) 2" xfId="731"/>
    <cellStyle name="1_Bao cao giai ngan von dau tu nam 2009 (theo doi)_Bao cao doan cong tac cua Bo thang 4-2010" xfId="732"/>
    <cellStyle name="1_Bao cao giai ngan von dau tu nam 2009 (theo doi)_Bao cao doan cong tac cua Bo thang 4-2010 2" xfId="733"/>
    <cellStyle name="1_Bao cao giai ngan von dau tu nam 2009 (theo doi)_Ke hoach 2009 (theo doi) -1" xfId="734"/>
    <cellStyle name="1_Bao cao giai ngan von dau tu nam 2009 (theo doi)_Ke hoach 2009 (theo doi) -1 2" xfId="735"/>
    <cellStyle name="1_Bao cao KP tu chu" xfId="736"/>
    <cellStyle name="1_BAO GIA NGAY 24-10-08 (co dam)" xfId="737"/>
    <cellStyle name="1_Bao gia TB Kon Dao 2010" xfId="738"/>
    <cellStyle name="1_BC 8 thang 2009 ve CT trong diem 5nam" xfId="739"/>
    <cellStyle name="1_BC 8 thang 2009 ve CT trong diem 5nam 2" xfId="740"/>
    <cellStyle name="1_BC 8 thang 2009 ve CT trong diem 5nam_Bao cao doan cong tac cua Bo thang 4-2010" xfId="741"/>
    <cellStyle name="1_BC 8 thang 2009 ve CT trong diem 5nam_Bao cao doan cong tac cua Bo thang 4-2010 2" xfId="742"/>
    <cellStyle name="1_BC 8 thang 2009 ve CT trong diem 5nam_bieu 01" xfId="743"/>
    <cellStyle name="1_BC 8 thang 2009 ve CT trong diem 5nam_bieu 01 2" xfId="744"/>
    <cellStyle name="1_BC 8 thang 2009 ve CT trong diem 5nam_bieu 01_Bao cao doan cong tac cua Bo thang 4-2010" xfId="745"/>
    <cellStyle name="1_BC 8 thang 2009 ve CT trong diem 5nam_bieu 01_Bao cao doan cong tac cua Bo thang 4-2010 2" xfId="746"/>
    <cellStyle name="1_BC nam 2007 (UB)" xfId="747"/>
    <cellStyle name="1_BC nam 2007 (UB) 2" xfId="748"/>
    <cellStyle name="1_BC nam 2007 (UB)_Bao cao doan cong tac cua Bo thang 4-2010" xfId="749"/>
    <cellStyle name="1_BC nam 2007 (UB)_Bao cao doan cong tac cua Bo thang 4-2010 2" xfId="750"/>
    <cellStyle name="1_bieu 1" xfId="751"/>
    <cellStyle name="1_bieu 2" xfId="752"/>
    <cellStyle name="1_bieu 4" xfId="753"/>
    <cellStyle name="1_bieu tong hop" xfId="754"/>
    <cellStyle name="1_Book1" xfId="755"/>
    <cellStyle name="1_Book1_1" xfId="756"/>
    <cellStyle name="1_Book1_1 2" xfId="757"/>
    <cellStyle name="1_Book1_1_VBPL kiểm toán Đầu tư XDCB 2010" xfId="758"/>
    <cellStyle name="1_Book1_Bao cao doan cong tac cua Bo thang 4-2010" xfId="759"/>
    <cellStyle name="1_Book1_Bao cao doan cong tac cua Bo thang 4-2010 2" xfId="760"/>
    <cellStyle name="1_Book1_BL vu" xfId="761"/>
    <cellStyle name="1_Book1_Book1" xfId="762"/>
    <cellStyle name="1_Book1_Book1 2" xfId="763"/>
    <cellStyle name="1_Book1_Gia - Thanh An" xfId="764"/>
    <cellStyle name="1_Book1_VBPL kiểm toán Đầu tư XDCB 2010" xfId="765"/>
    <cellStyle name="1_Book2" xfId="766"/>
    <cellStyle name="1_Book2 2" xfId="767"/>
    <cellStyle name="1_Book2_Bao cao doan cong tac cua Bo thang 4-2010" xfId="768"/>
    <cellStyle name="1_Book2_Bao cao doan cong tac cua Bo thang 4-2010 2" xfId="769"/>
    <cellStyle name="1_Cau thuy dien Ban La (Cu Anh)" xfId="770"/>
    <cellStyle name="1_Copy of ghep 3 bieu trinh LD BO 28-6 (TPCP)" xfId="771"/>
    <cellStyle name="1_Danh sach gui BC thuc hien KH2009" xfId="772"/>
    <cellStyle name="1_Danh sach gui BC thuc hien KH2009 2" xfId="773"/>
    <cellStyle name="1_Danh sach gui BC thuc hien KH2009_Bao cao doan cong tac cua Bo thang 4-2010" xfId="774"/>
    <cellStyle name="1_Danh sach gui BC thuc hien KH2009_Bao cao doan cong tac cua Bo thang 4-2010 2" xfId="775"/>
    <cellStyle name="1_Danh sach gui BC thuc hien KH2009_Ke hoach 2009 (theo doi) -1" xfId="776"/>
    <cellStyle name="1_Danh sach gui BC thuc hien KH2009_Ke hoach 2009 (theo doi) -1 2" xfId="777"/>
    <cellStyle name="1_Don gia Du thau ( XL19)" xfId="778"/>
    <cellStyle name="1_Don gia Du thau ( XL19) 2" xfId="779"/>
    <cellStyle name="1_DT972000" xfId="780"/>
    <cellStyle name="1_dtCau Km3+429,21TL685" xfId="781"/>
    <cellStyle name="1_Dtdchinh2397" xfId="782"/>
    <cellStyle name="1_Du toan 558 (Km17+508.12 - Km 22)" xfId="784"/>
    <cellStyle name="1_du toan lan 3" xfId="785"/>
    <cellStyle name="1_Du thau" xfId="783"/>
    <cellStyle name="1_Gia - Thanh An" xfId="786"/>
    <cellStyle name="1_Gia_VLQL48_duyet " xfId="787"/>
    <cellStyle name="1_GIA-DUTHAUsuaNS" xfId="788"/>
    <cellStyle name="1_KL km 0-km3+300 dieu chinh 4-2008" xfId="795"/>
    <cellStyle name="1_KLNM 1303" xfId="796"/>
    <cellStyle name="1_KlQdinhduyet" xfId="797"/>
    <cellStyle name="1_KH 2007 (theo doi)" xfId="789"/>
    <cellStyle name="1_KH 2007 (theo doi) 2" xfId="790"/>
    <cellStyle name="1_KH 2007 (theo doi)_Bao cao doan cong tac cua Bo thang 4-2010" xfId="791"/>
    <cellStyle name="1_KH 2007 (theo doi)_Bao cao doan cong tac cua Bo thang 4-2010 2" xfId="792"/>
    <cellStyle name="1_Kh ql62 (2010) 11-09" xfId="793"/>
    <cellStyle name="1_khoiluongbdacdoa" xfId="794"/>
    <cellStyle name="1_LuuNgay17-03-2009Đơn KN Cục thuế" xfId="798"/>
    <cellStyle name="1_NTHOC" xfId="799"/>
    <cellStyle name="1_NTHOC 2" xfId="800"/>
    <cellStyle name="1_NTHOC_Tong hop theo doi von TPCP" xfId="801"/>
    <cellStyle name="1_NTHOC_Tong hop theo doi von TPCP 2" xfId="802"/>
    <cellStyle name="1_NTHOC_Tong hop theo doi von TPCP_Bao cao kiem toan kh 2010" xfId="803"/>
    <cellStyle name="1_NTHOC_Tong hop theo doi von TPCP_Bao cao kiem toan kh 2010 2" xfId="804"/>
    <cellStyle name="1_NTHOC_Tong hop theo doi von TPCP_Ke hoach 2010 (theo doi)2" xfId="805"/>
    <cellStyle name="1_NTHOC_Tong hop theo doi von TPCP_Ke hoach 2010 (theo doi)2 2" xfId="806"/>
    <cellStyle name="1_NTHOC_Tong hop theo doi von TPCP_QD UBND tinh" xfId="807"/>
    <cellStyle name="1_NTHOC_Tong hop theo doi von TPCP_QD UBND tinh 2" xfId="808"/>
    <cellStyle name="1_NTHOC_Tong hop theo doi von TPCP_Worksheet in D: My Documents Luc Van ban xu ly Nam 2011 Bao cao ra soat tam ung TPCP" xfId="809"/>
    <cellStyle name="1_NTHOC_Tong hop theo doi von TPCP_Worksheet in D: My Documents Luc Van ban xu ly Nam 2011 Bao cao ra soat tam ung TPCP 2" xfId="810"/>
    <cellStyle name="1_QT Thue GTGT 2008" xfId="811"/>
    <cellStyle name="1_Ra soat Giai ngan 2007 (dang lam)" xfId="812"/>
    <cellStyle name="1_Ra soat Giai ngan 2007 (dang lam) 2" xfId="813"/>
    <cellStyle name="1_TonghopKL_BOY-sual2" xfId="818"/>
    <cellStyle name="1_Theo doi von TPCP (dang lam)" xfId="814"/>
    <cellStyle name="1_Theo doi von TPCP (dang lam) 2" xfId="815"/>
    <cellStyle name="1_Thong ke cong" xfId="816"/>
    <cellStyle name="1_thong ke giao dan sinh" xfId="817"/>
    <cellStyle name="1_TRUNG PMU 5" xfId="819"/>
    <cellStyle name="1_VBPL kiểm toán Đầu tư XDCB 2010" xfId="820"/>
    <cellStyle name="1_ÿÿÿÿÿ" xfId="821"/>
    <cellStyle name="1_ÿÿÿÿÿ 2" xfId="822"/>
    <cellStyle name="1_ÿÿÿÿÿ_Bieu tong hop nhu cau ung 2011 da chon loc -Mien nui" xfId="823"/>
    <cellStyle name="1_ÿÿÿÿÿ_Bieu tong hop nhu cau ung 2011 da chon loc -Mien nui 2" xfId="824"/>
    <cellStyle name="1_ÿÿÿÿÿ_Kh ql62 (2010) 11-09" xfId="825"/>
    <cellStyle name="1_ÿÿÿÿÿ_mau bieu doan giam sat 2010 (version 2)" xfId="826"/>
    <cellStyle name="1_ÿÿÿÿÿ_mau bieu doan giam sat 2010 (version 2) 2" xfId="827"/>
    <cellStyle name="1_ÿÿÿÿÿ_VBPL kiểm toán Đầu tư XDCB 2010" xfId="828"/>
    <cellStyle name="1_" xfId="829"/>
    <cellStyle name="15" xfId="830"/>
    <cellStyle name="18" xfId="831"/>
    <cellStyle name="¹éºÐÀ²_      " xfId="832"/>
    <cellStyle name="2" xfId="833"/>
    <cellStyle name="2_7 noi 48 goi C5 9 vi na" xfId="834"/>
    <cellStyle name="2_BL vu" xfId="835"/>
    <cellStyle name="2_Book1" xfId="836"/>
    <cellStyle name="2_Book1 2" xfId="837"/>
    <cellStyle name="2_Book1_1" xfId="838"/>
    <cellStyle name="2_Book1_Bao cao kiem toan kh 2010" xfId="839"/>
    <cellStyle name="2_Book1_Bao cao kiem toan kh 2010 2" xfId="840"/>
    <cellStyle name="2_Book1_Ke hoach 2010 (theo doi)2" xfId="841"/>
    <cellStyle name="2_Book1_Ke hoach 2010 (theo doi)2 2" xfId="842"/>
    <cellStyle name="2_Book1_QD UBND tinh" xfId="843"/>
    <cellStyle name="2_Book1_QD UBND tinh 2" xfId="844"/>
    <cellStyle name="2_Book1_VBPL kiểm toán Đầu tư XDCB 2010" xfId="845"/>
    <cellStyle name="2_Book1_Worksheet in D: My Documents Luc Van ban xu ly Nam 2011 Bao cao ra soat tam ung TPCP" xfId="846"/>
    <cellStyle name="2_Book1_Worksheet in D: My Documents Luc Van ban xu ly Nam 2011 Bao cao ra soat tam ung TPCP 2" xfId="847"/>
    <cellStyle name="2_Cau thuy dien Ban La (Cu Anh)" xfId="848"/>
    <cellStyle name="2_Dtdchinh2397" xfId="849"/>
    <cellStyle name="2_Du toan 558 (Km17+508.12 - Km 22)" xfId="850"/>
    <cellStyle name="2_Gia_VLQL48_duyet " xfId="851"/>
    <cellStyle name="2_KLNM 1303" xfId="852"/>
    <cellStyle name="2_KlQdinhduyet" xfId="853"/>
    <cellStyle name="2_NTHOC" xfId="854"/>
    <cellStyle name="2_NTHOC 2" xfId="855"/>
    <cellStyle name="2_NTHOC_Tong hop theo doi von TPCP" xfId="856"/>
    <cellStyle name="2_NTHOC_Tong hop theo doi von TPCP 2" xfId="857"/>
    <cellStyle name="2_NTHOC_Tong hop theo doi von TPCP_Bao cao kiem toan kh 2010" xfId="858"/>
    <cellStyle name="2_NTHOC_Tong hop theo doi von TPCP_Bao cao kiem toan kh 2010 2" xfId="859"/>
    <cellStyle name="2_NTHOC_Tong hop theo doi von TPCP_Ke hoach 2010 (theo doi)2" xfId="860"/>
    <cellStyle name="2_NTHOC_Tong hop theo doi von TPCP_Ke hoach 2010 (theo doi)2 2" xfId="861"/>
    <cellStyle name="2_NTHOC_Tong hop theo doi von TPCP_QD UBND tinh" xfId="862"/>
    <cellStyle name="2_NTHOC_Tong hop theo doi von TPCP_QD UBND tinh 2" xfId="863"/>
    <cellStyle name="2_NTHOC_Tong hop theo doi von TPCP_Worksheet in D: My Documents Luc Van ban xu ly Nam 2011 Bao cao ra soat tam ung TPCP" xfId="864"/>
    <cellStyle name="2_NTHOC_Tong hop theo doi von TPCP_Worksheet in D: My Documents Luc Van ban xu ly Nam 2011 Bao cao ra soat tam ung TPCP 2" xfId="865"/>
    <cellStyle name="2_Tong hop theo doi von TPCP" xfId="868"/>
    <cellStyle name="2_Tong hop theo doi von TPCP 2" xfId="869"/>
    <cellStyle name="2_Tong hop theo doi von TPCP_Bao cao kiem toan kh 2010" xfId="870"/>
    <cellStyle name="2_Tong hop theo doi von TPCP_Bao cao kiem toan kh 2010 2" xfId="871"/>
    <cellStyle name="2_Tong hop theo doi von TPCP_Ke hoach 2010 (theo doi)2" xfId="872"/>
    <cellStyle name="2_Tong hop theo doi von TPCP_Ke hoach 2010 (theo doi)2 2" xfId="873"/>
    <cellStyle name="2_Tong hop theo doi von TPCP_QD UBND tinh" xfId="874"/>
    <cellStyle name="2_Tong hop theo doi von TPCP_QD UBND tinh 2" xfId="875"/>
    <cellStyle name="2_Tong hop theo doi von TPCP_Worksheet in D: My Documents Luc Van ban xu ly Nam 2011 Bao cao ra soat tam ung TPCP" xfId="876"/>
    <cellStyle name="2_Tong hop theo doi von TPCP_Worksheet in D: My Documents Luc Van ban xu ly Nam 2011 Bao cao ra soat tam ung TPCP 2" xfId="877"/>
    <cellStyle name="2_Thong ke cong" xfId="866"/>
    <cellStyle name="2_thong ke giao dan sinh" xfId="867"/>
    <cellStyle name="2_TRUNG PMU 5" xfId="878"/>
    <cellStyle name="2_VBPL kiểm toán Đầu tư XDCB 2010" xfId="879"/>
    <cellStyle name="2_ÿÿÿÿÿ" xfId="880"/>
    <cellStyle name="2_ÿÿÿÿÿ_Bieu tong hop nhu cau ung 2011 da chon loc -Mien nui" xfId="881"/>
    <cellStyle name="2_ÿÿÿÿÿ_Bieu tong hop nhu cau ung 2011 da chon loc -Mien nui 2" xfId="882"/>
    <cellStyle name="2_ÿÿÿÿÿ_mau bieu doan giam sat 2010 (version 2)" xfId="883"/>
    <cellStyle name="2_ÿÿÿÿÿ_mau bieu doan giam sat 2010 (version 2) 2" xfId="884"/>
    <cellStyle name="20" xfId="885"/>
    <cellStyle name="20% - Accent1 2" xfId="886"/>
    <cellStyle name="20% - Accent1 3" xfId="887"/>
    <cellStyle name="20% - Accent2 2" xfId="888"/>
    <cellStyle name="20% - Accent2 3" xfId="889"/>
    <cellStyle name="20% - Accent3 2" xfId="890"/>
    <cellStyle name="20% - Accent3 3" xfId="891"/>
    <cellStyle name="20% - Accent4 2" xfId="892"/>
    <cellStyle name="20% - Accent4 3" xfId="893"/>
    <cellStyle name="20% - Accent5 2" xfId="894"/>
    <cellStyle name="20% - Accent5 3" xfId="895"/>
    <cellStyle name="20% - Accent6 2" xfId="896"/>
    <cellStyle name="20% - Accent6 3" xfId="897"/>
    <cellStyle name="20% - Nhấn1" xfId="898"/>
    <cellStyle name="20% - Nhấn2" xfId="899"/>
    <cellStyle name="20% - Nhấn3" xfId="900"/>
    <cellStyle name="20% - Nhấn4" xfId="901"/>
    <cellStyle name="20% - Nhấn5" xfId="902"/>
    <cellStyle name="20% - Nhấn6" xfId="903"/>
    <cellStyle name="-2001" xfId="904"/>
    <cellStyle name="3" xfId="905"/>
    <cellStyle name="3_7 noi 48 goi C5 9 vi na" xfId="906"/>
    <cellStyle name="3_Book1" xfId="907"/>
    <cellStyle name="3_Book1_1" xfId="908"/>
    <cellStyle name="3_Cau thuy dien Ban La (Cu Anh)" xfId="909"/>
    <cellStyle name="3_Dtdchinh2397" xfId="910"/>
    <cellStyle name="3_Du toan 558 (Km17+508.12 - Km 22)" xfId="911"/>
    <cellStyle name="3_Gia_VLQL48_duyet " xfId="912"/>
    <cellStyle name="3_KLNM 1303" xfId="913"/>
    <cellStyle name="3_KlQdinhduyet" xfId="914"/>
    <cellStyle name="3_Thong ke cong" xfId="915"/>
    <cellStyle name="3_thong ke giao dan sinh" xfId="916"/>
    <cellStyle name="3_VBPL kiểm toán Đầu tư XDCB 2010" xfId="917"/>
    <cellStyle name="3_ÿÿÿÿÿ" xfId="918"/>
    <cellStyle name="4" xfId="919"/>
    <cellStyle name="4_7 noi 48 goi C5 9 vi na" xfId="920"/>
    <cellStyle name="4_Book1" xfId="921"/>
    <cellStyle name="4_Book1_1" xfId="922"/>
    <cellStyle name="4_Cau thuy dien Ban La (Cu Anh)" xfId="923"/>
    <cellStyle name="4_Dtdchinh2397" xfId="924"/>
    <cellStyle name="4_Du toan 558 (Km17+508.12 - Km 22)" xfId="925"/>
    <cellStyle name="4_Gia_VLQL48_duyet " xfId="926"/>
    <cellStyle name="4_KLNM 1303" xfId="927"/>
    <cellStyle name="4_KlQdinhduyet" xfId="928"/>
    <cellStyle name="4_Thong ke cong" xfId="929"/>
    <cellStyle name="4_thong ke giao dan sinh" xfId="930"/>
    <cellStyle name="4_ÿÿÿÿÿ" xfId="931"/>
    <cellStyle name="40% - Accent1 2" xfId="932"/>
    <cellStyle name="40% - Accent1 3" xfId="933"/>
    <cellStyle name="40% - Accent2 2" xfId="934"/>
    <cellStyle name="40% - Accent2 3" xfId="935"/>
    <cellStyle name="40% - Accent3 2" xfId="936"/>
    <cellStyle name="40% - Accent3 3" xfId="937"/>
    <cellStyle name="40% - Accent4 2" xfId="938"/>
    <cellStyle name="40% - Accent4 3" xfId="939"/>
    <cellStyle name="40% - Accent5 2" xfId="940"/>
    <cellStyle name="40% - Accent5 3" xfId="941"/>
    <cellStyle name="40% - Accent6 2" xfId="942"/>
    <cellStyle name="40% - Accent6 3" xfId="943"/>
    <cellStyle name="40% - Nhấn1" xfId="944"/>
    <cellStyle name="40% - Nhấn2" xfId="945"/>
    <cellStyle name="40% - Nhấn3" xfId="946"/>
    <cellStyle name="40% - Nhấn4" xfId="947"/>
    <cellStyle name="40% - Nhấn5" xfId="948"/>
    <cellStyle name="40% - Nhấn6" xfId="949"/>
    <cellStyle name="6" xfId="950"/>
    <cellStyle name="6_Bieu mau ung 2011-Mien Trung-TPCP-11-6" xfId="951"/>
    <cellStyle name="6_Copy of ghep 3 bieu trinh LD BO 28-6 (TPCP)" xfId="952"/>
    <cellStyle name="6_DTDuong dong tien -sua tham tra 2009 - luong 650" xfId="953"/>
    <cellStyle name="6_Nhu cau tam ung NSNN&amp;TPCP&amp;ODA theo tieu chi cua Bo (CV410_BKH-TH)_vung Tay Nguyen (11.6.2010)" xfId="954"/>
    <cellStyle name="60% - Accent1 2" xfId="955"/>
    <cellStyle name="60% - Accent1 3" xfId="956"/>
    <cellStyle name="60% - Accent2 2" xfId="957"/>
    <cellStyle name="60% - Accent2 3" xfId="958"/>
    <cellStyle name="60% - Accent3 2" xfId="959"/>
    <cellStyle name="60% - Accent3 3" xfId="960"/>
    <cellStyle name="60% - Accent4 2" xfId="961"/>
    <cellStyle name="60% - Accent4 3" xfId="962"/>
    <cellStyle name="60% - Accent5 2" xfId="963"/>
    <cellStyle name="60% - Accent5 3" xfId="964"/>
    <cellStyle name="60% - Accent6 2" xfId="965"/>
    <cellStyle name="60% - Accent6 3" xfId="966"/>
    <cellStyle name="60% - Nhấn1" xfId="967"/>
    <cellStyle name="60% - Nhấn2" xfId="968"/>
    <cellStyle name="60% - Nhấn3" xfId="969"/>
    <cellStyle name="60% - Nhấn4" xfId="970"/>
    <cellStyle name="60% - Nhấn5" xfId="971"/>
    <cellStyle name="60% - Nhấn6" xfId="972"/>
    <cellStyle name="9" xfId="973"/>
    <cellStyle name="Accent1 2" xfId="974"/>
    <cellStyle name="Accent1 3" xfId="975"/>
    <cellStyle name="Accent2 2" xfId="976"/>
    <cellStyle name="Accent2 3" xfId="977"/>
    <cellStyle name="Accent3 2" xfId="978"/>
    <cellStyle name="Accent3 3" xfId="979"/>
    <cellStyle name="Accent4 2" xfId="980"/>
    <cellStyle name="Accent4 3" xfId="981"/>
    <cellStyle name="Accent5 2" xfId="982"/>
    <cellStyle name="Accent5 3" xfId="983"/>
    <cellStyle name="Accent6 2" xfId="984"/>
    <cellStyle name="Accent6 3" xfId="985"/>
    <cellStyle name="ÅëÈ­ [0]_      " xfId="986"/>
    <cellStyle name="AeE­ [0]_INQUIRY ¿?¾÷AßAø " xfId="987"/>
    <cellStyle name="ÅëÈ­ [0]_L601CPT" xfId="988"/>
    <cellStyle name="ÅëÈ­_      " xfId="989"/>
    <cellStyle name="AeE­_INQUIRY ¿?¾÷AßAø " xfId="990"/>
    <cellStyle name="ÅëÈ­_L601CPT" xfId="991"/>
    <cellStyle name="args.style" xfId="992"/>
    <cellStyle name="at" xfId="993"/>
    <cellStyle name="ÄÞ¸¶ [0]_      " xfId="994"/>
    <cellStyle name="AÞ¸¶ [0]_INQUIRY ¿?¾÷AßAø " xfId="995"/>
    <cellStyle name="ÄÞ¸¶ [0]_L601CPT" xfId="996"/>
    <cellStyle name="ÄÞ¸¶_      " xfId="997"/>
    <cellStyle name="AÞ¸¶_INQUIRY ¿?¾÷AßAø " xfId="998"/>
    <cellStyle name="ÄÞ¸¶_L601CPT" xfId="999"/>
    <cellStyle name="AutoFormat Options" xfId="1000"/>
    <cellStyle name="AutoFormat-Optionen" xfId="1001"/>
    <cellStyle name="AutoFormat-Optionen 2" xfId="1002"/>
    <cellStyle name="AutoFormat-Optionen 2 2" xfId="4"/>
    <cellStyle name="AutoFormat-Optionen 3" xfId="1003"/>
    <cellStyle name="AutoFormat-Optionen 4" xfId="1004"/>
    <cellStyle name="AutoFormat-Optionen_2. Du toan chi tiet nam 2018" xfId="1005"/>
    <cellStyle name="Bad 2" xfId="1006"/>
    <cellStyle name="Bad 3" xfId="1007"/>
    <cellStyle name="Body" xfId="1008"/>
    <cellStyle name="C?AØ_¿?¾÷CoE² " xfId="1009"/>
    <cellStyle name="C~1" xfId="1010"/>
    <cellStyle name="Ç¥ÁØ_      " xfId="1011"/>
    <cellStyle name="C￥AØ_¿μ¾÷CoE² " xfId="1012"/>
    <cellStyle name="Ç¥ÁØ_±¸¹Ì´ëÃ¥" xfId="1013"/>
    <cellStyle name="C￥AØ_Sheet1_¿μ¾÷CoE² " xfId="1014"/>
    <cellStyle name="Ç¥ÁØ_ÿÿÿÿÿÿ_4_ÃÑÇÕ°è " xfId="1015"/>
    <cellStyle name="Calc Currency (0)" xfId="1016"/>
    <cellStyle name="Calc Currency (2)" xfId="1017"/>
    <cellStyle name="Calc Percent (0)" xfId="1018"/>
    <cellStyle name="Calc Percent (1)" xfId="1019"/>
    <cellStyle name="Calc Percent (2)" xfId="1020"/>
    <cellStyle name="Calc Units (0)" xfId="1021"/>
    <cellStyle name="Calc Units (1)" xfId="1022"/>
    <cellStyle name="Calc Units (2)" xfId="1023"/>
    <cellStyle name="Calculation 2" xfId="1024"/>
    <cellStyle name="Calculation 2 2" xfId="1025"/>
    <cellStyle name="Calculation 3" xfId="1026"/>
    <cellStyle name="category" xfId="1027"/>
    <cellStyle name="Cerrency_Sheet2_XANGDAU" xfId="1028"/>
    <cellStyle name="Co?ma_Sheet1" xfId="1037"/>
    <cellStyle name="Comma" xfId="1" builtinId="3"/>
    <cellStyle name="Comma  - Style1" xfId="1038"/>
    <cellStyle name="Comma  - Style2" xfId="1039"/>
    <cellStyle name="Comma  - Style3" xfId="1040"/>
    <cellStyle name="Comma  - Style4" xfId="1041"/>
    <cellStyle name="Comma  - Style5" xfId="1042"/>
    <cellStyle name="Comma  - Style6" xfId="1043"/>
    <cellStyle name="Comma  - Style7" xfId="1044"/>
    <cellStyle name="Comma  - Style8" xfId="1045"/>
    <cellStyle name="Comma [0] 2" xfId="1046"/>
    <cellStyle name="Comma [0] 2 10" xfId="1047"/>
    <cellStyle name="Comma [0] 3" xfId="1048"/>
    <cellStyle name="Comma [0] 4" xfId="1049"/>
    <cellStyle name="Comma [0] 5" xfId="1050"/>
    <cellStyle name="Comma [0] 8 2" xfId="1051"/>
    <cellStyle name="Comma [00]" xfId="1052"/>
    <cellStyle name="Comma 10" xfId="1053"/>
    <cellStyle name="Comma 10 10" xfId="1054"/>
    <cellStyle name="Comma 10 2" xfId="2"/>
    <cellStyle name="Comma 10 2 2" xfId="1055"/>
    <cellStyle name="Comma 10 3" xfId="3"/>
    <cellStyle name="Comma 11" xfId="1056"/>
    <cellStyle name="Comma 12" xfId="1057"/>
    <cellStyle name="Comma 13" xfId="1058"/>
    <cellStyle name="Comma 14" xfId="1059"/>
    <cellStyle name="Comma 14 3" xfId="1060"/>
    <cellStyle name="Comma 15" xfId="1061"/>
    <cellStyle name="Comma 16" xfId="1062"/>
    <cellStyle name="Comma 16 2" xfId="1063"/>
    <cellStyle name="Comma 16 3 3 2 2" xfId="1064"/>
    <cellStyle name="Comma 17" xfId="1065"/>
    <cellStyle name="Comma 18" xfId="1066"/>
    <cellStyle name="Comma 19" xfId="1067"/>
    <cellStyle name="Comma 2" xfId="5"/>
    <cellStyle name="Comma 2 2" xfId="1068"/>
    <cellStyle name="Comma 2 2 2 10" xfId="1069"/>
    <cellStyle name="Comma 2 28" xfId="1070"/>
    <cellStyle name="Comma 2 3" xfId="1071"/>
    <cellStyle name="Comma 2 3 2" xfId="1072"/>
    <cellStyle name="Comma 2 3 3" xfId="1073"/>
    <cellStyle name="Comma 2 4" xfId="1074"/>
    <cellStyle name="Comma 2 5" xfId="1075"/>
    <cellStyle name="Comma 2_bieu 1" xfId="1076"/>
    <cellStyle name="Comma 20" xfId="1077"/>
    <cellStyle name="Comma 20 2" xfId="1078"/>
    <cellStyle name="Comma 21" xfId="1079"/>
    <cellStyle name="Comma 21 2" xfId="1080"/>
    <cellStyle name="Comma 21 2 2" xfId="1081"/>
    <cellStyle name="Comma 21 3" xfId="1082"/>
    <cellStyle name="Comma 21 3 2" xfId="1083"/>
    <cellStyle name="Comma 21 4" xfId="1084"/>
    <cellStyle name="Comma 21 4 2" xfId="1085"/>
    <cellStyle name="Comma 21 5" xfId="1086"/>
    <cellStyle name="Comma 21 6" xfId="1087"/>
    <cellStyle name="Comma 22" xfId="1088"/>
    <cellStyle name="Comma 22 2" xfId="1089"/>
    <cellStyle name="Comma 22 3" xfId="1090"/>
    <cellStyle name="Comma 23" xfId="1091"/>
    <cellStyle name="Comma 23 2" xfId="9"/>
    <cellStyle name="Comma 24" xfId="1092"/>
    <cellStyle name="Comma 25" xfId="1093"/>
    <cellStyle name="Comma 25 2" xfId="1094"/>
    <cellStyle name="Comma 26" xfId="1095"/>
    <cellStyle name="Comma 27" xfId="1096"/>
    <cellStyle name="Comma 28" xfId="1097"/>
    <cellStyle name="Comma 29" xfId="1098"/>
    <cellStyle name="Comma 3" xfId="1099"/>
    <cellStyle name="Comma 3 2" xfId="1100"/>
    <cellStyle name="Comma 3 3" xfId="1101"/>
    <cellStyle name="Comma 3_VBPL kiểm toán Đầu tư XDCB 2010" xfId="1102"/>
    <cellStyle name="Comma 30" xfId="1103"/>
    <cellStyle name="Comma 31" xfId="1104"/>
    <cellStyle name="Comma 32" xfId="1105"/>
    <cellStyle name="Comma 33" xfId="1106"/>
    <cellStyle name="Comma 4" xfId="1107"/>
    <cellStyle name="Comma 4 2" xfId="1108"/>
    <cellStyle name="Comma 4 20" xfId="1109"/>
    <cellStyle name="Comma 4_Bieu mau KH 2011 (gui Vu DP)" xfId="1110"/>
    <cellStyle name="Comma 5" xfId="1111"/>
    <cellStyle name="Comma 5 2" xfId="1112"/>
    <cellStyle name="Comma 53 2" xfId="1113"/>
    <cellStyle name="Comma 6" xfId="1114"/>
    <cellStyle name="Comma 6 2" xfId="1115"/>
    <cellStyle name="Comma 7" xfId="1116"/>
    <cellStyle name="Comma 8" xfId="1117"/>
    <cellStyle name="Comma 8 2" xfId="1118"/>
    <cellStyle name="Comma 9" xfId="1119"/>
    <cellStyle name="comma zerodec" xfId="1120"/>
    <cellStyle name="Comma0" xfId="1121"/>
    <cellStyle name="Comma0 - Modelo1" xfId="1122"/>
    <cellStyle name="Comma0 - Style1" xfId="1123"/>
    <cellStyle name="Comma0 2" xfId="1124"/>
    <cellStyle name="Comma0 3" xfId="1125"/>
    <cellStyle name="Comma0 4" xfId="1126"/>
    <cellStyle name="Comma0_Book1" xfId="1127"/>
    <cellStyle name="Comma1 - Modelo2" xfId="1128"/>
    <cellStyle name="Comma1 - Style2" xfId="1129"/>
    <cellStyle name="cong" xfId="1130"/>
    <cellStyle name="Copied" xfId="1131"/>
    <cellStyle name="Cࡵrrency_Sheet1_PRODUCTĠ" xfId="1132"/>
    <cellStyle name="Currency [00]" xfId="1133"/>
    <cellStyle name="Currency 2" xfId="1134"/>
    <cellStyle name="Currency 3" xfId="1135"/>
    <cellStyle name="Currency0" xfId="1136"/>
    <cellStyle name="Currency0 2" xfId="1137"/>
    <cellStyle name="Currency0 2 2" xfId="1138"/>
    <cellStyle name="Currency0 2 3" xfId="1139"/>
    <cellStyle name="Currency0 2 4" xfId="1140"/>
    <cellStyle name="Currency0 2_Khoi cong moi 1" xfId="1141"/>
    <cellStyle name="Currency0 3" xfId="1142"/>
    <cellStyle name="Currency0 4" xfId="1143"/>
    <cellStyle name="Currency0 5" xfId="1144"/>
    <cellStyle name="Currency0 6" xfId="1145"/>
    <cellStyle name="Currency0_Book1" xfId="1146"/>
    <cellStyle name="Currency1" xfId="1147"/>
    <cellStyle name="Check Cell 2" xfId="1029"/>
    <cellStyle name="Check Cell 3" xfId="1030"/>
    <cellStyle name="Chi phÝ kh¸c_Book1" xfId="1031"/>
    <cellStyle name="chu" xfId="1032"/>
    <cellStyle name="CHUONG" xfId="1033"/>
    <cellStyle name="CHUONG 2" xfId="1034"/>
    <cellStyle name="CHUONG 2 2" xfId="1035"/>
    <cellStyle name="CHUONG 3" xfId="1036"/>
    <cellStyle name="D1" xfId="1148"/>
    <cellStyle name="Date" xfId="1149"/>
    <cellStyle name="Date 2" xfId="1150"/>
    <cellStyle name="Date 3" xfId="1151"/>
    <cellStyle name="Date Short" xfId="1152"/>
    <cellStyle name="Date_17 bieu (hung cap nhap)" xfId="1153"/>
    <cellStyle name="DAUDE" xfId="1158"/>
    <cellStyle name="Decimal" xfId="1163"/>
    <cellStyle name="Decimal 2" xfId="1164"/>
    <cellStyle name="Decimal 3" xfId="1165"/>
    <cellStyle name="Decimal 4" xfId="1166"/>
    <cellStyle name="DELTA" xfId="1167"/>
    <cellStyle name="Dezimal [0]_35ERI8T2gbIEMixb4v26icuOo" xfId="1168"/>
    <cellStyle name="Dezimal_35ERI8T2gbIEMixb4v26icuOo" xfId="1169"/>
    <cellStyle name="Dg" xfId="1170"/>
    <cellStyle name="Dgia" xfId="1171"/>
    <cellStyle name="Dgia 2" xfId="1172"/>
    <cellStyle name="Dia" xfId="1173"/>
    <cellStyle name="Dollar (zero dec)" xfId="1174"/>
    <cellStyle name="Don gia" xfId="1175"/>
    <cellStyle name="DuToanBXD" xfId="1176"/>
    <cellStyle name="DuToanBXD 2" xfId="1177"/>
    <cellStyle name="Dziesi?tny [0]_Invoices2001Slovakia" xfId="1178"/>
    <cellStyle name="Dziesi?tny_Invoices2001Slovakia" xfId="1179"/>
    <cellStyle name="Dziesietny [0]_Invoices2001Slovakia" xfId="1180"/>
    <cellStyle name="Dziesiętny [0]_Invoices2001Slovakia" xfId="1181"/>
    <cellStyle name="Dziesietny [0]_Invoices2001Slovakia_01_Nha so 1_Dien" xfId="1182"/>
    <cellStyle name="Dziesiętny [0]_Invoices2001Slovakia_01_Nha so 1_Dien" xfId="1183"/>
    <cellStyle name="Dziesietny [0]_Invoices2001Slovakia_10_Nha so 10_Dien1" xfId="1184"/>
    <cellStyle name="Dziesiętny [0]_Invoices2001Slovakia_10_Nha so 10_Dien1" xfId="1185"/>
    <cellStyle name="Dziesietny [0]_Invoices2001Slovakia_Book1" xfId="1186"/>
    <cellStyle name="Dziesiętny [0]_Invoices2001Slovakia_Book1" xfId="1187"/>
    <cellStyle name="Dziesietny [0]_Invoices2001Slovakia_Book1_1" xfId="1188"/>
    <cellStyle name="Dziesiętny [0]_Invoices2001Slovakia_Book1_1" xfId="1189"/>
    <cellStyle name="Dziesietny [0]_Invoices2001Slovakia_Book1_1_Book1" xfId="1190"/>
    <cellStyle name="Dziesiętny [0]_Invoices2001Slovakia_Book1_1_Book1" xfId="1191"/>
    <cellStyle name="Dziesietny [0]_Invoices2001Slovakia_Book1_2" xfId="1192"/>
    <cellStyle name="Dziesiętny [0]_Invoices2001Slovakia_Book1_2" xfId="1193"/>
    <cellStyle name="Dziesietny [0]_Invoices2001Slovakia_Book1_Nhu cau von ung truoc 2011 Tha h Hoa + Nge An gui TW" xfId="1194"/>
    <cellStyle name="Dziesiętny [0]_Invoices2001Slovakia_Book1_Nhu cau von ung truoc 2011 Tha h Hoa + Nge An gui TW" xfId="1195"/>
    <cellStyle name="Dziesietny [0]_Invoices2001Slovakia_Book1_Tong hop Cac tuyen(9-1-06)" xfId="1196"/>
    <cellStyle name="Dziesiętny [0]_Invoices2001Slovakia_Book1_Tong hop Cac tuyen(9-1-06)" xfId="1197"/>
    <cellStyle name="Dziesietny [0]_Invoices2001Slovakia_Book1_ung 2011 - 11-6-Thanh hoa-Nghe an" xfId="1198"/>
    <cellStyle name="Dziesiętny [0]_Invoices2001Slovakia_Book1_ung 2011 - 11-6-Thanh hoa-Nghe an" xfId="1199"/>
    <cellStyle name="Dziesietny [0]_Invoices2001Slovakia_Book1_ung truoc 2011 NSTW Thanh Hoa + Nge An gui Thu 12-5" xfId="1200"/>
    <cellStyle name="Dziesiętny [0]_Invoices2001Slovakia_Book1_ung truoc 2011 NSTW Thanh Hoa + Nge An gui Thu 12-5" xfId="1201"/>
    <cellStyle name="Dziesietny [0]_Invoices2001Slovakia_d-uong+TDT" xfId="1202"/>
    <cellStyle name="Dziesiętny [0]_Invoices2001Slovakia_Nhµ ®Ó xe" xfId="1203"/>
    <cellStyle name="Dziesietny [0]_Invoices2001Slovakia_Nha bao ve(28-7-05)" xfId="1204"/>
    <cellStyle name="Dziesiętny [0]_Invoices2001Slovakia_Nha bao ve(28-7-05)" xfId="1205"/>
    <cellStyle name="Dziesietny [0]_Invoices2001Slovakia_NHA de xe nguyen du" xfId="1206"/>
    <cellStyle name="Dziesiętny [0]_Invoices2001Slovakia_NHA de xe nguyen du" xfId="1207"/>
    <cellStyle name="Dziesietny [0]_Invoices2001Slovakia_Nhalamviec VTC(25-1-05)" xfId="1208"/>
    <cellStyle name="Dziesiętny [0]_Invoices2001Slovakia_Nhalamviec VTC(25-1-05)" xfId="1209"/>
    <cellStyle name="Dziesietny [0]_Invoices2001Slovakia_Nhu cau von ung truoc 2011 Tha h Hoa + Nge An gui TW" xfId="1210"/>
    <cellStyle name="Dziesiętny [0]_Invoices2001Slovakia_TDT KHANH HOA" xfId="1211"/>
    <cellStyle name="Dziesietny [0]_Invoices2001Slovakia_TDT KHANH HOA_Tong hop Cac tuyen(9-1-06)" xfId="1212"/>
    <cellStyle name="Dziesiętny [0]_Invoices2001Slovakia_TDT KHANH HOA_Tong hop Cac tuyen(9-1-06)" xfId="1213"/>
    <cellStyle name="Dziesietny [0]_Invoices2001Slovakia_TDT quangngai" xfId="1214"/>
    <cellStyle name="Dziesiętny [0]_Invoices2001Slovakia_TDT quangngai" xfId="1215"/>
    <cellStyle name="Dziesietny [0]_Invoices2001Slovakia_TMDT(10-5-06)" xfId="1216"/>
    <cellStyle name="Dziesietny_Invoices2001Slovakia" xfId="1217"/>
    <cellStyle name="Dziesiętny_Invoices2001Slovakia" xfId="1218"/>
    <cellStyle name="Dziesietny_Invoices2001Slovakia_01_Nha so 1_Dien" xfId="1219"/>
    <cellStyle name="Dziesiętny_Invoices2001Slovakia_01_Nha so 1_Dien" xfId="1220"/>
    <cellStyle name="Dziesietny_Invoices2001Slovakia_10_Nha so 10_Dien1" xfId="1221"/>
    <cellStyle name="Dziesiętny_Invoices2001Slovakia_10_Nha so 10_Dien1" xfId="1222"/>
    <cellStyle name="Dziesietny_Invoices2001Slovakia_Book1" xfId="1223"/>
    <cellStyle name="Dziesiętny_Invoices2001Slovakia_Book1" xfId="1224"/>
    <cellStyle name="Dziesietny_Invoices2001Slovakia_Book1_1" xfId="1225"/>
    <cellStyle name="Dziesiętny_Invoices2001Slovakia_Book1_1" xfId="1226"/>
    <cellStyle name="Dziesietny_Invoices2001Slovakia_Book1_1_Book1" xfId="1227"/>
    <cellStyle name="Dziesiętny_Invoices2001Slovakia_Book1_1_Book1" xfId="1228"/>
    <cellStyle name="Dziesietny_Invoices2001Slovakia_Book1_2" xfId="1229"/>
    <cellStyle name="Dziesiętny_Invoices2001Slovakia_Book1_2" xfId="1230"/>
    <cellStyle name="Dziesietny_Invoices2001Slovakia_Book1_Nhu cau von ung truoc 2011 Tha h Hoa + Nge An gui TW" xfId="1231"/>
    <cellStyle name="Dziesiętny_Invoices2001Slovakia_Book1_Nhu cau von ung truoc 2011 Tha h Hoa + Nge An gui TW" xfId="1232"/>
    <cellStyle name="Dziesietny_Invoices2001Slovakia_Book1_Tong hop Cac tuyen(9-1-06)" xfId="1233"/>
    <cellStyle name="Dziesiętny_Invoices2001Slovakia_Book1_Tong hop Cac tuyen(9-1-06)" xfId="1234"/>
    <cellStyle name="Dziesietny_Invoices2001Slovakia_Book1_ung 2011 - 11-6-Thanh hoa-Nghe an" xfId="1235"/>
    <cellStyle name="Dziesiętny_Invoices2001Slovakia_Book1_ung 2011 - 11-6-Thanh hoa-Nghe an" xfId="1236"/>
    <cellStyle name="Dziesietny_Invoices2001Slovakia_Book1_ung truoc 2011 NSTW Thanh Hoa + Nge An gui Thu 12-5" xfId="1237"/>
    <cellStyle name="Dziesiętny_Invoices2001Slovakia_Book1_ung truoc 2011 NSTW Thanh Hoa + Nge An gui Thu 12-5" xfId="1238"/>
    <cellStyle name="Dziesietny_Invoices2001Slovakia_d-uong+TDT" xfId="1239"/>
    <cellStyle name="Dziesiętny_Invoices2001Slovakia_Nhµ ®Ó xe" xfId="1240"/>
    <cellStyle name="Dziesietny_Invoices2001Slovakia_Nha bao ve(28-7-05)" xfId="1241"/>
    <cellStyle name="Dziesiętny_Invoices2001Slovakia_Nha bao ve(28-7-05)" xfId="1242"/>
    <cellStyle name="Dziesietny_Invoices2001Slovakia_NHA de xe nguyen du" xfId="1243"/>
    <cellStyle name="Dziesiętny_Invoices2001Slovakia_NHA de xe nguyen du" xfId="1244"/>
    <cellStyle name="Dziesietny_Invoices2001Slovakia_Nhalamviec VTC(25-1-05)" xfId="1245"/>
    <cellStyle name="Dziesiętny_Invoices2001Slovakia_Nhalamviec VTC(25-1-05)" xfId="1246"/>
    <cellStyle name="Dziesietny_Invoices2001Slovakia_Nhu cau von ung truoc 2011 Tha h Hoa + Nge An gui TW" xfId="1247"/>
    <cellStyle name="Dziesiętny_Invoices2001Slovakia_TDT KHANH HOA" xfId="1248"/>
    <cellStyle name="Dziesietny_Invoices2001Slovakia_TDT KHANH HOA_Tong hop Cac tuyen(9-1-06)" xfId="1249"/>
    <cellStyle name="Dziesiętny_Invoices2001Slovakia_TDT KHANH HOA_Tong hop Cac tuyen(9-1-06)" xfId="1250"/>
    <cellStyle name="Dziesietny_Invoices2001Slovakia_TDT quangngai" xfId="1251"/>
    <cellStyle name="Dziesiętny_Invoices2001Slovakia_TDT quangngai" xfId="1252"/>
    <cellStyle name="Dziesietny_Invoices2001Slovakia_TMDT(10-5-06)" xfId="1253"/>
    <cellStyle name="Đầu ra" xfId="1154"/>
    <cellStyle name="Đầu ra 2" xfId="1155"/>
    <cellStyle name="Đầu vào" xfId="1156"/>
    <cellStyle name="Đầu vào 2" xfId="1157"/>
    <cellStyle name="Đề mục 1" xfId="1159"/>
    <cellStyle name="Đề mục 2" xfId="1160"/>
    <cellStyle name="Đề mục 3" xfId="1161"/>
    <cellStyle name="Đề mục 4" xfId="1162"/>
    <cellStyle name="e" xfId="1254"/>
    <cellStyle name="Encabez1" xfId="1255"/>
    <cellStyle name="Encabez2" xfId="1256"/>
    <cellStyle name="Enter Currency (0)" xfId="1257"/>
    <cellStyle name="Enter Currency (2)" xfId="1258"/>
    <cellStyle name="Enter Units (0)" xfId="1259"/>
    <cellStyle name="Enter Units (1)" xfId="1260"/>
    <cellStyle name="Enter Units (2)" xfId="1261"/>
    <cellStyle name="Entered" xfId="1262"/>
    <cellStyle name="En-tete1" xfId="1263"/>
    <cellStyle name="En-tete1 2" xfId="1264"/>
    <cellStyle name="En-tete2" xfId="1265"/>
    <cellStyle name="En-tete2 2" xfId="1266"/>
    <cellStyle name="Euro" xfId="1267"/>
    <cellStyle name="Explanatory Text 2" xfId="1268"/>
    <cellStyle name="Explanatory Text 3" xfId="1269"/>
    <cellStyle name="f" xfId="1270"/>
    <cellStyle name="F2" xfId="1271"/>
    <cellStyle name="F3" xfId="1272"/>
    <cellStyle name="F4" xfId="1273"/>
    <cellStyle name="F5" xfId="1274"/>
    <cellStyle name="F6" xfId="1275"/>
    <cellStyle name="F7" xfId="1276"/>
    <cellStyle name="F8" xfId="1277"/>
    <cellStyle name="Fijo" xfId="1278"/>
    <cellStyle name="Financier" xfId="1279"/>
    <cellStyle name="Financiero" xfId="1280"/>
    <cellStyle name="Fixe" xfId="1281"/>
    <cellStyle name="Fixed" xfId="1282"/>
    <cellStyle name="Fixed 2" xfId="1283"/>
    <cellStyle name="Fixed 3" xfId="1284"/>
    <cellStyle name="Font Britannic16" xfId="1285"/>
    <cellStyle name="Font Britannic18" xfId="1286"/>
    <cellStyle name="Font CenturyCond 18" xfId="1287"/>
    <cellStyle name="Font Cond20" xfId="1288"/>
    <cellStyle name="Font LucidaSans16" xfId="1289"/>
    <cellStyle name="Font NewCenturyCond18" xfId="1290"/>
    <cellStyle name="Font Ottawa14" xfId="1291"/>
    <cellStyle name="Font Ottawa14 2" xfId="1292"/>
    <cellStyle name="Font Ottawa16" xfId="1293"/>
    <cellStyle name="Formulas" xfId="1294"/>
    <cellStyle name="Formulas 2" xfId="1295"/>
    <cellStyle name="Formulas 2 2" xfId="1296"/>
    <cellStyle name="Ghi chú" xfId="1297"/>
    <cellStyle name="Ghi chú 2" xfId="1298"/>
    <cellStyle name="Good 2" xfId="1300"/>
    <cellStyle name="Good 3" xfId="1301"/>
    <cellStyle name="Grey" xfId="1302"/>
    <cellStyle name="Group" xfId="1303"/>
    <cellStyle name="gia" xfId="1299"/>
    <cellStyle name="H" xfId="1304"/>
    <cellStyle name="ha" xfId="1305"/>
    <cellStyle name="hai" xfId="1306"/>
    <cellStyle name="Head 1" xfId="1307"/>
    <cellStyle name="HEADER" xfId="1308"/>
    <cellStyle name="Header1" xfId="1309"/>
    <cellStyle name="Header2" xfId="1310"/>
    <cellStyle name="Header2 2" xfId="1311"/>
    <cellStyle name="Heading 1 2" xfId="1312"/>
    <cellStyle name="Heading 1 3" xfId="1313"/>
    <cellStyle name="Heading 1 4" xfId="1314"/>
    <cellStyle name="Heading 2 2" xfId="1315"/>
    <cellStyle name="Heading 2 3" xfId="1316"/>
    <cellStyle name="Heading 2 4" xfId="1317"/>
    <cellStyle name="Heading 3 2" xfId="1318"/>
    <cellStyle name="Heading 3 3" xfId="1319"/>
    <cellStyle name="Heading 4 2" xfId="1320"/>
    <cellStyle name="Heading 4 3" xfId="1321"/>
    <cellStyle name="Heading1" xfId="1322"/>
    <cellStyle name="Heading2" xfId="1323"/>
    <cellStyle name="HEADINGS" xfId="1324"/>
    <cellStyle name="HEADINGSTOP" xfId="1325"/>
    <cellStyle name="headoption" xfId="1326"/>
    <cellStyle name="headoption 2" xfId="1327"/>
    <cellStyle name="hoa" xfId="1328"/>
    <cellStyle name="Hoa-Scholl" xfId="1329"/>
    <cellStyle name="Hoa-Scholl 2" xfId="1330"/>
    <cellStyle name="HUY" xfId="1331"/>
    <cellStyle name="i phÝ kh¸c_B¶ng 2" xfId="1332"/>
    <cellStyle name="I.3" xfId="1333"/>
    <cellStyle name="i·0" xfId="1334"/>
    <cellStyle name="ï-¾È»ê_BiÓu TB" xfId="1335"/>
    <cellStyle name="Input [yellow]" xfId="1336"/>
    <cellStyle name="Input [yellow] 2" xfId="1337"/>
    <cellStyle name="Input 2" xfId="1338"/>
    <cellStyle name="Input 2 2" xfId="1339"/>
    <cellStyle name="Input 3" xfId="1340"/>
    <cellStyle name="Input 4" xfId="1341"/>
    <cellStyle name="Input 5" xfId="1342"/>
    <cellStyle name="Input 6" xfId="1343"/>
    <cellStyle name="Input 7" xfId="1344"/>
    <cellStyle name="k" xfId="1345"/>
    <cellStyle name="k 2" xfId="1346"/>
    <cellStyle name="k_TONG HOP KINH PHI" xfId="1347"/>
    <cellStyle name="k_ÿÿÿÿÿ" xfId="1348"/>
    <cellStyle name="k_ÿÿÿÿÿ_1" xfId="1349"/>
    <cellStyle name="k_ÿÿÿÿÿ_2" xfId="1350"/>
    <cellStyle name="Kiểm tra Ô" xfId="1357"/>
    <cellStyle name="KL" xfId="1358"/>
    <cellStyle name="kh¸c_Bang Chi tieu" xfId="1351"/>
    <cellStyle name="khanh" xfId="1352"/>
    <cellStyle name="khoa2" xfId="1353"/>
    <cellStyle name="khoa2 2" xfId="1354"/>
    <cellStyle name="khung" xfId="1355"/>
    <cellStyle name="khung 2" xfId="1356"/>
    <cellStyle name="LAS - XD 354" xfId="1359"/>
    <cellStyle name="LAS - XD 354 2" xfId="1360"/>
    <cellStyle name="Ledger 17 x 11 in" xfId="1361"/>
    <cellStyle name="Ledger 17 x 11 in 2" xfId="1362"/>
    <cellStyle name="Ledger 17 x 11 in 3" xfId="1363"/>
    <cellStyle name="Ledger 17 x 11 in_bieu 1" xfId="1364"/>
    <cellStyle name="left" xfId="1365"/>
    <cellStyle name="Line" xfId="1366"/>
    <cellStyle name="Link Currency (0)" xfId="1367"/>
    <cellStyle name="Link Currency (2)" xfId="1368"/>
    <cellStyle name="Link Units (0)" xfId="1369"/>
    <cellStyle name="Link Units (1)" xfId="1370"/>
    <cellStyle name="Link Units (2)" xfId="1371"/>
    <cellStyle name="Linked Cell 2" xfId="1372"/>
    <cellStyle name="Linked Cell 3" xfId="1373"/>
    <cellStyle name="MAU" xfId="1374"/>
    <cellStyle name="Migliaia (0)_CALPREZZ" xfId="1375"/>
    <cellStyle name="Migliaia_ PESO ELETTR." xfId="1376"/>
    <cellStyle name="Millares [0]_10 AVERIAS MASIVAS + ANT" xfId="1377"/>
    <cellStyle name="Millares_Well Timing" xfId="1378"/>
    <cellStyle name="Milliers [0]_      " xfId="1379"/>
    <cellStyle name="Milliers_      " xfId="1380"/>
    <cellStyle name="Model" xfId="1381"/>
    <cellStyle name="moi" xfId="1382"/>
    <cellStyle name="Moneda [0]_Well Timing" xfId="1383"/>
    <cellStyle name="Moneda_Well Timing" xfId="1384"/>
    <cellStyle name="Monetaire" xfId="1385"/>
    <cellStyle name="Monétaire [0]_      " xfId="1386"/>
    <cellStyle name="Monetaire 2" xfId="1387"/>
    <cellStyle name="Monetaire 3" xfId="1388"/>
    <cellStyle name="Monétaire_      " xfId="1389"/>
    <cellStyle name="n" xfId="1390"/>
    <cellStyle name="n_17 bieu (hung cap nhap)" xfId="1391"/>
    <cellStyle name="n_Bao cao doan cong tac cua Bo thang 4-2010" xfId="1392"/>
    <cellStyle name="n_goi 4 - qt" xfId="1393"/>
    <cellStyle name="n_VBPL kiểm toán Đầu tư XDCB 2010" xfId="1394"/>
    <cellStyle name="Neutral 2" xfId="1395"/>
    <cellStyle name="Neutral 3" xfId="1396"/>
    <cellStyle name="New" xfId="1397"/>
    <cellStyle name="New 2" xfId="1398"/>
    <cellStyle name="New Times Roman" xfId="1399"/>
    <cellStyle name="no dec" xfId="1407"/>
    <cellStyle name="ÑONVÒ" xfId="1408"/>
    <cellStyle name="ÑONVÒ 2" xfId="1409"/>
    <cellStyle name="Normal" xfId="0" builtinId="0"/>
    <cellStyle name="Normal - ??1" xfId="1410"/>
    <cellStyle name="Normal - Style1" xfId="1411"/>
    <cellStyle name="Normal - Style1 2" xfId="1412"/>
    <cellStyle name="Normal - Style1 2 2" xfId="1413"/>
    <cellStyle name="Normal - Style1 2 2 2" xfId="1414"/>
    <cellStyle name="Normal - Style1 2 3" xfId="1415"/>
    <cellStyle name="Normal - Style1 2 4" xfId="1416"/>
    <cellStyle name="Normal - Style1 2_Khoi cong moi 1" xfId="1417"/>
    <cellStyle name="Normal - Style1 3" xfId="1418"/>
    <cellStyle name="Normal - Style1 3 2" xfId="1419"/>
    <cellStyle name="Normal - Style1 4" xfId="1420"/>
    <cellStyle name="Normal - Style1 4 2" xfId="1421"/>
    <cellStyle name="Normal - Style1 5" xfId="1422"/>
    <cellStyle name="Normal - Style1 6" xfId="1423"/>
    <cellStyle name="Normal - Style1_Bao cao kiem toan kh 2010" xfId="1424"/>
    <cellStyle name="Normal - 유형1" xfId="1425"/>
    <cellStyle name="Normal 10" xfId="1426"/>
    <cellStyle name="Normal 10 2" xfId="1427"/>
    <cellStyle name="Normal 10 2 4" xfId="1428"/>
    <cellStyle name="Normal 10 5 2" xfId="1429"/>
    <cellStyle name="Normal 11" xfId="1430"/>
    <cellStyle name="Normal 11 2 2" xfId="1431"/>
    <cellStyle name="Normal 12" xfId="1432"/>
    <cellStyle name="Normal 12 2" xfId="1433"/>
    <cellStyle name="Normal 13" xfId="1434"/>
    <cellStyle name="Normal 13 2" xfId="6"/>
    <cellStyle name="Normal 14" xfId="1435"/>
    <cellStyle name="Normal 14 2" xfId="1436"/>
    <cellStyle name="Normal 15" xfId="1437"/>
    <cellStyle name="Normal 15 2" xfId="1438"/>
    <cellStyle name="Normal 16" xfId="1439"/>
    <cellStyle name="Normal 16 2" xfId="1440"/>
    <cellStyle name="Normal 17" xfId="1441"/>
    <cellStyle name="Normal 17 2" xfId="1442"/>
    <cellStyle name="Normal 18" xfId="1443"/>
    <cellStyle name="Normal 18 2" xfId="1444"/>
    <cellStyle name="Normal 19" xfId="1445"/>
    <cellStyle name="Normal 19 2" xfId="1446"/>
    <cellStyle name="Normal 2" xfId="1447"/>
    <cellStyle name="Normal 2 2" xfId="1448"/>
    <cellStyle name="Normal 2 3" xfId="1449"/>
    <cellStyle name="Normal 2 3 2" xfId="1450"/>
    <cellStyle name="Normal 2 3 3" xfId="1451"/>
    <cellStyle name="Normal 2 4" xfId="1452"/>
    <cellStyle name="Normal 2 5" xfId="1453"/>
    <cellStyle name="Normal 2_160507 Bieu mau NSDP ND sua ND73" xfId="1454"/>
    <cellStyle name="Normal 20" xfId="1455"/>
    <cellStyle name="Normal 21" xfId="1456"/>
    <cellStyle name="Normal 22" xfId="1457"/>
    <cellStyle name="Normal 22 2" xfId="1458"/>
    <cellStyle name="Normal 23" xfId="1459"/>
    <cellStyle name="Normal 24" xfId="1460"/>
    <cellStyle name="Normal 25" xfId="1461"/>
    <cellStyle name="Normal 26" xfId="1462"/>
    <cellStyle name="Normal 27" xfId="1463"/>
    <cellStyle name="Normal 28" xfId="1464"/>
    <cellStyle name="Normal 29" xfId="1465"/>
    <cellStyle name="Normal 3" xfId="1466"/>
    <cellStyle name="Normal 3 2" xfId="1467"/>
    <cellStyle name="Normal 3 4" xfId="1468"/>
    <cellStyle name="Normal 3_17 bieu (hung cap nhap)" xfId="1469"/>
    <cellStyle name="Normal 30" xfId="1470"/>
    <cellStyle name="Normal 31" xfId="1471"/>
    <cellStyle name="Normal 32" xfId="1472"/>
    <cellStyle name="Normal 33" xfId="1473"/>
    <cellStyle name="Normal 33 2" xfId="1474"/>
    <cellStyle name="Normal 33 4" xfId="1475"/>
    <cellStyle name="Normal 33 4 2" xfId="1476"/>
    <cellStyle name="Normal 34" xfId="1477"/>
    <cellStyle name="Normal 35" xfId="1478"/>
    <cellStyle name="Normal 36" xfId="1479"/>
    <cellStyle name="Normal 37" xfId="1480"/>
    <cellStyle name="Normal 38" xfId="1481"/>
    <cellStyle name="Normal 4" xfId="1482"/>
    <cellStyle name="Normal 4 2" xfId="1483"/>
    <cellStyle name="Normal 4_160513 Bieu mau NSDP ND sua ND73" xfId="1484"/>
    <cellStyle name="Normal 40" xfId="2268"/>
    <cellStyle name="Normal 41 2" xfId="1485"/>
    <cellStyle name="Normal 43" xfId="1486"/>
    <cellStyle name="Normal 5" xfId="1487"/>
    <cellStyle name="Normal 5 2" xfId="1488"/>
    <cellStyle name="Normal 5 2 3" xfId="1489"/>
    <cellStyle name="Normal 5 3" xfId="1490"/>
    <cellStyle name="Normal 5_Book1" xfId="1491"/>
    <cellStyle name="Normal 6" xfId="1492"/>
    <cellStyle name="Normal 6 2" xfId="1493"/>
    <cellStyle name="Normal 6 3" xfId="1494"/>
    <cellStyle name="Normal 6 3 2" xfId="1495"/>
    <cellStyle name="Normal 6 3 2 2" xfId="8"/>
    <cellStyle name="Normal 6 4" xfId="1496"/>
    <cellStyle name="Normal 6 4 2" xfId="1497"/>
    <cellStyle name="Normal 6 5" xfId="1498"/>
    <cellStyle name="Normal 6 5 2" xfId="1499"/>
    <cellStyle name="Normal 6 6" xfId="1500"/>
    <cellStyle name="Normal 6 6 2" xfId="7"/>
    <cellStyle name="Normal 6 7" xfId="1501"/>
    <cellStyle name="Normal 6_Bieu mau KH 2011 (gui Vu DP)" xfId="1502"/>
    <cellStyle name="Normal 7" xfId="1503"/>
    <cellStyle name="Normal 7 2" xfId="1504"/>
    <cellStyle name="Normal 7 5" xfId="1505"/>
    <cellStyle name="Normal 8" xfId="1506"/>
    <cellStyle name="Normal 8 2" xfId="1507"/>
    <cellStyle name="Normal 9" xfId="1508"/>
    <cellStyle name="Normal 9 2" xfId="1509"/>
    <cellStyle name="Normal 9 3" xfId="1510"/>
    <cellStyle name="Normal 9_BieuHD2016-2020Tquang2(OK)" xfId="1511"/>
    <cellStyle name="Normal1" xfId="1512"/>
    <cellStyle name="Normal8" xfId="1513"/>
    <cellStyle name="NORMAL-ADB" xfId="1514"/>
    <cellStyle name="Normale_ PESO ELETTR." xfId="1515"/>
    <cellStyle name="Normalny_Cennik obowiazuje od 06-08-2001 r (1)" xfId="1516"/>
    <cellStyle name="Note 2" xfId="1517"/>
    <cellStyle name="Note 2 2" xfId="1518"/>
    <cellStyle name="Note 3" xfId="1519"/>
    <cellStyle name="NWM" xfId="1520"/>
    <cellStyle name="nga" xfId="1400"/>
    <cellStyle name="Nhấn1" xfId="1401"/>
    <cellStyle name="Nhấn2" xfId="1402"/>
    <cellStyle name="Nhấn3" xfId="1403"/>
    <cellStyle name="Nhấn4" xfId="1404"/>
    <cellStyle name="Nhấn5" xfId="1405"/>
    <cellStyle name="Nhấn6" xfId="1406"/>
    <cellStyle name="Ò_x000d_Normal_123569" xfId="1522"/>
    <cellStyle name="Œ…‹æØ‚è [0.00]_††††† " xfId="1523"/>
    <cellStyle name="Œ…‹æØ‚è_††††† " xfId="1524"/>
    <cellStyle name="oft Excel]_x000d__x000a_Comment=open=/f ‚ðw’è‚·‚é‚ÆAƒ†[ƒU[’è‹`ŠÖ”‚ðŠÖ”“\‚è•t‚¯‚Ìˆê——‚É“o˜^‚·‚é‚±‚Æ‚ª‚Å‚«‚Ü‚·B_x000d__x000a_Maximized" xfId="1525"/>
    <cellStyle name="oft Excel]_x000d__x000a_Comment=open=/f ‚ðŽw’è‚·‚é‚ÆAƒ†[ƒU[’è‹`ŠÖ”‚ðŠÖ”“\‚è•t‚¯‚Ìˆê——‚É“o˜^‚·‚é‚±‚Æ‚ª‚Å‚«‚Ü‚·B_x000d__x000a_Maximized" xfId="1526"/>
    <cellStyle name="oft Excel]_x000d__x000a_Comment=The open=/f lines load custom functions into the Paste Function list._x000d__x000a_Maximized=2_x000d__x000a_Basics=1_x000d__x000a_A" xfId="1527"/>
    <cellStyle name="oft Excel]_x000d__x000a_Comment=The open=/f lines load custom functions into the Paste Function list._x000d__x000a_Maximized=3_x000d__x000a_Basics=1_x000d__x000a_A" xfId="1528"/>
    <cellStyle name="omma [0]_Mktg Prog" xfId="1529"/>
    <cellStyle name="ormal_Sheet1_1" xfId="1530"/>
    <cellStyle name="Output 2" xfId="1531"/>
    <cellStyle name="Output 2 2" xfId="1532"/>
    <cellStyle name="Output 3" xfId="1533"/>
    <cellStyle name="Ô Được nối kết" xfId="1521"/>
    <cellStyle name="p" xfId="1534"/>
    <cellStyle name="paint" xfId="1535"/>
    <cellStyle name="Pattern" xfId="1536"/>
    <cellStyle name="per.style" xfId="1537"/>
    <cellStyle name="Percent" xfId="2266" builtinId="5"/>
    <cellStyle name="Percent [0]" xfId="1538"/>
    <cellStyle name="Percent [00]" xfId="1539"/>
    <cellStyle name="Percent [2]" xfId="1540"/>
    <cellStyle name="Percent 10" xfId="1541"/>
    <cellStyle name="Percent 2" xfId="1542"/>
    <cellStyle name="Percent 2 2" xfId="1543"/>
    <cellStyle name="Percent 3" xfId="1544"/>
    <cellStyle name="Percent 4" xfId="1545"/>
    <cellStyle name="Percent 5" xfId="1546"/>
    <cellStyle name="Percent 6" xfId="1547"/>
    <cellStyle name="Percent 9 3" xfId="2265"/>
    <cellStyle name="Percent 9 3 2" xfId="2267"/>
    <cellStyle name="Percent 9 3 2 2" xfId="2269"/>
    <cellStyle name="Percent 9 3 2 2 2" xfId="2270"/>
    <cellStyle name="PERCENTAGE" xfId="1548"/>
    <cellStyle name="Pourcentage" xfId="1550"/>
    <cellStyle name="Pourcentage 2" xfId="1551"/>
    <cellStyle name="PrePop Currency (0)" xfId="1552"/>
    <cellStyle name="PrePop Currency (2)" xfId="1553"/>
    <cellStyle name="PrePop Units (0)" xfId="1554"/>
    <cellStyle name="PrePop Units (1)" xfId="1555"/>
    <cellStyle name="PrePop Units (2)" xfId="1556"/>
    <cellStyle name="pricing" xfId="1557"/>
    <cellStyle name="PSChar" xfId="1558"/>
    <cellStyle name="PSHeading" xfId="1559"/>
    <cellStyle name="PHONG" xfId="1549"/>
    <cellStyle name="regstoresfromspecstores" xfId="1560"/>
    <cellStyle name="RevList" xfId="1561"/>
    <cellStyle name="rlink_tiªn l­în_x001b_Hyperlink_TONG HOP KINH PHI" xfId="1562"/>
    <cellStyle name="rmal_ADAdot" xfId="1563"/>
    <cellStyle name="S—_x0008_" xfId="1564"/>
    <cellStyle name="s]_x000d__x000a_spooler=yes_x000d__x000a_load=_x000d__x000a_Beep=yes_x000d__x000a_NullPort=None_x000d__x000a_BorderWidth=3_x000d__x000a_CursorBlinkRate=1200_x000d__x000a_DoubleClickSpeed=452_x000d__x000a_Programs=co" xfId="1565"/>
    <cellStyle name="SAPBEXaggData" xfId="1566"/>
    <cellStyle name="SAPBEXaggData 2" xfId="1567"/>
    <cellStyle name="SAPBEXaggDataEmph" xfId="1568"/>
    <cellStyle name="SAPBEXaggDataEmph 2" xfId="1569"/>
    <cellStyle name="SAPBEXaggItem" xfId="1570"/>
    <cellStyle name="SAPBEXaggItem 2" xfId="1571"/>
    <cellStyle name="SAPBEXchaText" xfId="1572"/>
    <cellStyle name="SAPBEXexcBad7" xfId="1573"/>
    <cellStyle name="SAPBEXexcBad7 2" xfId="1574"/>
    <cellStyle name="SAPBEXexcBad8" xfId="1575"/>
    <cellStyle name="SAPBEXexcBad8 2" xfId="1576"/>
    <cellStyle name="SAPBEXexcBad9" xfId="1577"/>
    <cellStyle name="SAPBEXexcBad9 2" xfId="1578"/>
    <cellStyle name="SAPBEXexcCritical4" xfId="1579"/>
    <cellStyle name="SAPBEXexcCritical4 2" xfId="1580"/>
    <cellStyle name="SAPBEXexcCritical5" xfId="1581"/>
    <cellStyle name="SAPBEXexcCritical5 2" xfId="1582"/>
    <cellStyle name="SAPBEXexcCritical6" xfId="1583"/>
    <cellStyle name="SAPBEXexcCritical6 2" xfId="1584"/>
    <cellStyle name="SAPBEXexcGood1" xfId="1585"/>
    <cellStyle name="SAPBEXexcGood1 2" xfId="1586"/>
    <cellStyle name="SAPBEXexcGood2" xfId="1587"/>
    <cellStyle name="SAPBEXexcGood2 2" xfId="1588"/>
    <cellStyle name="SAPBEXexcGood3" xfId="1589"/>
    <cellStyle name="SAPBEXexcGood3 2" xfId="1590"/>
    <cellStyle name="SAPBEXfilterDrill" xfId="1591"/>
    <cellStyle name="SAPBEXfilterItem" xfId="1592"/>
    <cellStyle name="SAPBEXfilterText" xfId="1593"/>
    <cellStyle name="SAPBEXformats" xfId="1594"/>
    <cellStyle name="SAPBEXformats 2" xfId="1595"/>
    <cellStyle name="SAPBEXheaderItem" xfId="1596"/>
    <cellStyle name="SAPBEXheaderText" xfId="1597"/>
    <cellStyle name="SAPBEXresData" xfId="1598"/>
    <cellStyle name="SAPBEXresData 2" xfId="1599"/>
    <cellStyle name="SAPBEXresDataEmph" xfId="1600"/>
    <cellStyle name="SAPBEXresDataEmph 2" xfId="1601"/>
    <cellStyle name="SAPBEXresItem" xfId="1602"/>
    <cellStyle name="SAPBEXresItem 2" xfId="1603"/>
    <cellStyle name="SAPBEXstdData" xfId="1604"/>
    <cellStyle name="SAPBEXstdData 2" xfId="1605"/>
    <cellStyle name="SAPBEXstdDataEmph" xfId="1606"/>
    <cellStyle name="SAPBEXstdDataEmph 2" xfId="1607"/>
    <cellStyle name="SAPBEXstdItem" xfId="1608"/>
    <cellStyle name="SAPBEXstdItem 2" xfId="1609"/>
    <cellStyle name="SAPBEXtitle" xfId="1610"/>
    <cellStyle name="SAPBEXtitle 2" xfId="1611"/>
    <cellStyle name="SAPBEXundefined" xfId="1612"/>
    <cellStyle name="SAPBEXundefined 2" xfId="1613"/>
    <cellStyle name="serJet 1200 Series PCL 6" xfId="1614"/>
    <cellStyle name="SHADEDSTORES" xfId="1615"/>
    <cellStyle name="SHADEDSTORES 2" xfId="1616"/>
    <cellStyle name="so" xfId="1617"/>
    <cellStyle name="SO%" xfId="1618"/>
    <cellStyle name="so_Book1" xfId="1619"/>
    <cellStyle name="songuyen" xfId="1620"/>
    <cellStyle name="specstores" xfId="1621"/>
    <cellStyle name="Standard" xfId="1622"/>
    <cellStyle name="Standard 2" xfId="1623"/>
    <cellStyle name="Standard_AAbgleich" xfId="1624"/>
    <cellStyle name="STT" xfId="1625"/>
    <cellStyle name="STTDG" xfId="1626"/>
    <cellStyle name="style" xfId="1627"/>
    <cellStyle name="Style 1" xfId="1628"/>
    <cellStyle name="Style 10" xfId="1629"/>
    <cellStyle name="Style 100" xfId="1630"/>
    <cellStyle name="Style 101" xfId="1631"/>
    <cellStyle name="Style 102" xfId="1632"/>
    <cellStyle name="Style 103" xfId="1633"/>
    <cellStyle name="Style 104" xfId="1634"/>
    <cellStyle name="Style 105" xfId="1635"/>
    <cellStyle name="Style 106" xfId="1636"/>
    <cellStyle name="Style 107" xfId="1637"/>
    <cellStyle name="Style 108" xfId="1638"/>
    <cellStyle name="Style 109" xfId="1639"/>
    <cellStyle name="Style 11" xfId="1640"/>
    <cellStyle name="Style 110" xfId="1641"/>
    <cellStyle name="Style 111" xfId="1642"/>
    <cellStyle name="Style 112" xfId="1643"/>
    <cellStyle name="Style 113" xfId="1644"/>
    <cellStyle name="Style 114" xfId="1645"/>
    <cellStyle name="Style 115" xfId="1646"/>
    <cellStyle name="Style 116" xfId="1647"/>
    <cellStyle name="Style 117" xfId="1648"/>
    <cellStyle name="Style 118" xfId="1649"/>
    <cellStyle name="Style 119" xfId="1650"/>
    <cellStyle name="Style 12" xfId="1651"/>
    <cellStyle name="Style 120" xfId="1652"/>
    <cellStyle name="Style 121" xfId="1653"/>
    <cellStyle name="Style 122" xfId="1654"/>
    <cellStyle name="Style 123" xfId="1655"/>
    <cellStyle name="Style 124" xfId="1656"/>
    <cellStyle name="Style 125" xfId="1657"/>
    <cellStyle name="Style 126" xfId="1658"/>
    <cellStyle name="Style 127" xfId="1659"/>
    <cellStyle name="Style 128" xfId="1660"/>
    <cellStyle name="Style 129" xfId="1661"/>
    <cellStyle name="Style 13" xfId="1662"/>
    <cellStyle name="Style 130" xfId="1663"/>
    <cellStyle name="Style 131" xfId="1664"/>
    <cellStyle name="Style 132" xfId="1665"/>
    <cellStyle name="Style 133" xfId="1666"/>
    <cellStyle name="Style 134" xfId="1667"/>
    <cellStyle name="Style 135" xfId="1668"/>
    <cellStyle name="Style 135 2" xfId="1669"/>
    <cellStyle name="Style 136" xfId="1670"/>
    <cellStyle name="Style 137" xfId="1671"/>
    <cellStyle name="Style 138" xfId="1672"/>
    <cellStyle name="Style 139" xfId="1673"/>
    <cellStyle name="Style 14" xfId="1674"/>
    <cellStyle name="Style 140" xfId="1675"/>
    <cellStyle name="Style 140 2" xfId="1676"/>
    <cellStyle name="Style 141" xfId="1677"/>
    <cellStyle name="Style 142" xfId="1678"/>
    <cellStyle name="Style 143" xfId="1679"/>
    <cellStyle name="Style 144" xfId="1680"/>
    <cellStyle name="Style 145" xfId="1681"/>
    <cellStyle name="Style 146" xfId="1682"/>
    <cellStyle name="Style 147" xfId="1683"/>
    <cellStyle name="Style 148" xfId="1684"/>
    <cellStyle name="Style 149" xfId="1685"/>
    <cellStyle name="Style 15" xfId="1686"/>
    <cellStyle name="Style 150" xfId="1687"/>
    <cellStyle name="Style 151" xfId="1688"/>
    <cellStyle name="Style 152" xfId="1689"/>
    <cellStyle name="Style 153" xfId="1690"/>
    <cellStyle name="Style 154" xfId="1691"/>
    <cellStyle name="Style 155" xfId="1692"/>
    <cellStyle name="Style 156" xfId="1693"/>
    <cellStyle name="Style 157" xfId="1694"/>
    <cellStyle name="Style 158" xfId="1695"/>
    <cellStyle name="Style 159" xfId="1696"/>
    <cellStyle name="Style 16" xfId="1697"/>
    <cellStyle name="Style 160" xfId="1698"/>
    <cellStyle name="Style 161" xfId="1699"/>
    <cellStyle name="Style 162" xfId="1700"/>
    <cellStyle name="Style 163" xfId="1701"/>
    <cellStyle name="Style 17" xfId="1702"/>
    <cellStyle name="Style 18" xfId="1703"/>
    <cellStyle name="Style 19" xfId="1704"/>
    <cellStyle name="Style 2" xfId="1705"/>
    <cellStyle name="Style 20" xfId="1706"/>
    <cellStyle name="Style 21" xfId="1707"/>
    <cellStyle name="Style 22" xfId="1708"/>
    <cellStyle name="Style 23" xfId="1709"/>
    <cellStyle name="Style 24" xfId="1710"/>
    <cellStyle name="Style 25" xfId="1711"/>
    <cellStyle name="Style 26" xfId="1712"/>
    <cellStyle name="Style 27" xfId="1713"/>
    <cellStyle name="Style 28" xfId="1714"/>
    <cellStyle name="Style 29" xfId="1715"/>
    <cellStyle name="Style 3" xfId="1716"/>
    <cellStyle name="Style 30" xfId="1717"/>
    <cellStyle name="Style 31" xfId="1718"/>
    <cellStyle name="Style 32" xfId="1719"/>
    <cellStyle name="Style 33" xfId="1720"/>
    <cellStyle name="Style 34" xfId="1721"/>
    <cellStyle name="Style 35" xfId="1722"/>
    <cellStyle name="Style 36" xfId="1723"/>
    <cellStyle name="Style 37" xfId="1724"/>
    <cellStyle name="Style 38" xfId="1725"/>
    <cellStyle name="Style 39" xfId="1726"/>
    <cellStyle name="Style 4" xfId="1727"/>
    <cellStyle name="Style 40" xfId="1728"/>
    <cellStyle name="Style 41" xfId="1729"/>
    <cellStyle name="Style 42" xfId="1730"/>
    <cellStyle name="Style 43" xfId="1731"/>
    <cellStyle name="Style 44" xfId="1732"/>
    <cellStyle name="Style 45" xfId="1733"/>
    <cellStyle name="Style 46" xfId="1734"/>
    <cellStyle name="Style 47" xfId="1735"/>
    <cellStyle name="Style 48" xfId="1736"/>
    <cellStyle name="Style 49" xfId="1737"/>
    <cellStyle name="Style 5" xfId="1738"/>
    <cellStyle name="Style 50" xfId="1739"/>
    <cellStyle name="Style 51" xfId="1740"/>
    <cellStyle name="Style 52" xfId="1741"/>
    <cellStyle name="Style 53" xfId="1742"/>
    <cellStyle name="Style 54" xfId="1743"/>
    <cellStyle name="Style 55" xfId="1744"/>
    <cellStyle name="Style 56" xfId="1745"/>
    <cellStyle name="Style 57" xfId="1746"/>
    <cellStyle name="Style 58" xfId="1747"/>
    <cellStyle name="Style 59" xfId="1748"/>
    <cellStyle name="Style 6" xfId="1749"/>
    <cellStyle name="Style 60" xfId="1750"/>
    <cellStyle name="Style 61" xfId="1751"/>
    <cellStyle name="Style 62" xfId="1752"/>
    <cellStyle name="Style 63" xfId="1753"/>
    <cellStyle name="Style 64" xfId="1754"/>
    <cellStyle name="Style 65" xfId="1755"/>
    <cellStyle name="Style 66" xfId="1756"/>
    <cellStyle name="Style 67" xfId="1757"/>
    <cellStyle name="Style 68" xfId="1758"/>
    <cellStyle name="Style 69" xfId="1759"/>
    <cellStyle name="Style 7" xfId="1760"/>
    <cellStyle name="Style 70" xfId="1761"/>
    <cellStyle name="Style 71" xfId="1762"/>
    <cellStyle name="Style 72" xfId="1763"/>
    <cellStyle name="Style 73" xfId="1764"/>
    <cellStyle name="Style 74" xfId="1765"/>
    <cellStyle name="Style 75" xfId="1766"/>
    <cellStyle name="Style 76" xfId="1767"/>
    <cellStyle name="Style 77" xfId="1768"/>
    <cellStyle name="Style 78" xfId="1769"/>
    <cellStyle name="Style 79" xfId="1770"/>
    <cellStyle name="Style 8" xfId="1771"/>
    <cellStyle name="Style 80" xfId="1772"/>
    <cellStyle name="Style 81" xfId="1773"/>
    <cellStyle name="Style 82" xfId="1774"/>
    <cellStyle name="Style 83" xfId="1775"/>
    <cellStyle name="Style 84" xfId="1776"/>
    <cellStyle name="Style 85" xfId="1777"/>
    <cellStyle name="Style 86" xfId="1778"/>
    <cellStyle name="Style 87" xfId="1779"/>
    <cellStyle name="Style 88" xfId="1780"/>
    <cellStyle name="Style 89" xfId="1781"/>
    <cellStyle name="Style 9" xfId="1782"/>
    <cellStyle name="Style 90" xfId="1783"/>
    <cellStyle name="Style 91" xfId="1784"/>
    <cellStyle name="Style 92" xfId="1785"/>
    <cellStyle name="Style 93" xfId="1786"/>
    <cellStyle name="Style 94" xfId="1787"/>
    <cellStyle name="Style 95" xfId="1788"/>
    <cellStyle name="Style 96" xfId="1789"/>
    <cellStyle name="Style 97" xfId="1790"/>
    <cellStyle name="Style 98" xfId="1791"/>
    <cellStyle name="Style 99" xfId="1792"/>
    <cellStyle name="Style Date" xfId="1793"/>
    <cellStyle name="Style Date 2" xfId="1794"/>
    <cellStyle name="style_1" xfId="1795"/>
    <cellStyle name="subhead" xfId="1796"/>
    <cellStyle name="Subtotal" xfId="1797"/>
    <cellStyle name="symbol" xfId="1798"/>
    <cellStyle name="T" xfId="1799"/>
    <cellStyle name="T 2" xfId="1800"/>
    <cellStyle name="T_50-BB Vung tau 2011" xfId="1801"/>
    <cellStyle name="T_50-BB Vung tau 2011_27-8Tong hop PA uoc 2012-DT 2013 -PA 420.000 ty-490.000 ty chuyen doi" xfId="1802"/>
    <cellStyle name="T_BANG LUONG MOI KSDH va KSDC (co phu cap khu vuc)" xfId="1803"/>
    <cellStyle name="T_BANG LUONG MOI KSDH va KSDC (co phu cap khu vuc) 2" xfId="1804"/>
    <cellStyle name="T_bao cao" xfId="1805"/>
    <cellStyle name="T_bao cao 2" xfId="1806"/>
    <cellStyle name="T_Bao cao so lieu kiem toan nam 2007 sua" xfId="1807"/>
    <cellStyle name="T_Bao cao so lieu kiem toan nam 2007 sua 2" xfId="1808"/>
    <cellStyle name="T_BBTNG-06" xfId="1809"/>
    <cellStyle name="T_BBTNG-06 2" xfId="1810"/>
    <cellStyle name="T_BC CTMT-2008 Ttinh" xfId="1811"/>
    <cellStyle name="T_BC CTMT-2008 Ttinh 2" xfId="1812"/>
    <cellStyle name="T_BC CTMT-2008 Ttinh_bieu tong hop" xfId="1813"/>
    <cellStyle name="T_BC CTMT-2008 Ttinh_bieu tong hop 2" xfId="1814"/>
    <cellStyle name="T_BC CTMT-2008 Ttinh_Tong hop ra soat von ung 2011 -Chau" xfId="1815"/>
    <cellStyle name="T_BC CTMT-2008 Ttinh_Tong hop ra soat von ung 2011 -Chau 2" xfId="1816"/>
    <cellStyle name="T_BC CTMT-2008 Ttinh_Tong hop -Yte-Giao thong-Thuy loi-24-6" xfId="1817"/>
    <cellStyle name="T_BC CTMT-2008 Ttinh_Tong hop -Yte-Giao thong-Thuy loi-24-6 2" xfId="1818"/>
    <cellStyle name="T_Bc_tuan_1_CKy_6_KONTUM" xfId="1819"/>
    <cellStyle name="T_Bc_tuan_1_CKy_6_KONTUM 2" xfId="1820"/>
    <cellStyle name="T_Bc_tuan_1_CKy_6_KONTUM_Book1" xfId="1821"/>
    <cellStyle name="T_Bc_tuan_1_CKy_6_KONTUM_Book1 2" xfId="1822"/>
    <cellStyle name="T_bieu 1" xfId="1823"/>
    <cellStyle name="T_bieu 2" xfId="1824"/>
    <cellStyle name="T_bieu 4" xfId="1825"/>
    <cellStyle name="T_Bieu mau danh muc du an thuoc CTMTQG nam 2008" xfId="1826"/>
    <cellStyle name="T_Bieu mau danh muc du an thuoc CTMTQG nam 2008 2" xfId="1827"/>
    <cellStyle name="T_Bieu mau danh muc du an thuoc CTMTQG nam 2008_bieu tong hop" xfId="1828"/>
    <cellStyle name="T_Bieu mau danh muc du an thuoc CTMTQG nam 2008_bieu tong hop 2" xfId="1829"/>
    <cellStyle name="T_Bieu mau danh muc du an thuoc CTMTQG nam 2008_Tong hop ra soat von ung 2011 -Chau" xfId="1830"/>
    <cellStyle name="T_Bieu mau danh muc du an thuoc CTMTQG nam 2008_Tong hop ra soat von ung 2011 -Chau 2" xfId="1831"/>
    <cellStyle name="T_Bieu mau danh muc du an thuoc CTMTQG nam 2008_Tong hop -Yte-Giao thong-Thuy loi-24-6" xfId="1832"/>
    <cellStyle name="T_Bieu mau danh muc du an thuoc CTMTQG nam 2008_Tong hop -Yte-Giao thong-Thuy loi-24-6 2" xfId="1833"/>
    <cellStyle name="T_Bieu tong hop nhu cau ung 2011 da chon loc -Mien nui" xfId="1834"/>
    <cellStyle name="T_Bieu tong hop nhu cau ung 2011 da chon loc -Mien nui 2" xfId="1835"/>
    <cellStyle name="T_Book1" xfId="1836"/>
    <cellStyle name="T_Book1 2" xfId="1837"/>
    <cellStyle name="T_Book1_1" xfId="1838"/>
    <cellStyle name="T_Book1_1 2" xfId="1839"/>
    <cellStyle name="T_Book1_1_Bieu mau ung 2011-Mien Trung-TPCP-11-6" xfId="1840"/>
    <cellStyle name="T_Book1_1_Bieu mau ung 2011-Mien Trung-TPCP-11-6 2" xfId="1841"/>
    <cellStyle name="T_Book1_1_bieu tong hop" xfId="1842"/>
    <cellStyle name="T_Book1_1_bieu tong hop 2" xfId="1843"/>
    <cellStyle name="T_Book1_1_Bieu tong hop nhu cau ung 2011 da chon loc -Mien nui" xfId="1844"/>
    <cellStyle name="T_Book1_1_Bieu tong hop nhu cau ung 2011 da chon loc -Mien nui 2" xfId="1845"/>
    <cellStyle name="T_Book1_1_Book1" xfId="1846"/>
    <cellStyle name="T_Book1_1_Book1 2" xfId="1847"/>
    <cellStyle name="T_Book1_1_CPK" xfId="1848"/>
    <cellStyle name="T_Book1_1_CPK 2" xfId="1849"/>
    <cellStyle name="T_Book1_1_KL NT dap nen Dot 3" xfId="1854"/>
    <cellStyle name="T_Book1_1_KL NT dap nen Dot 3 2" xfId="1855"/>
    <cellStyle name="T_Book1_1_KL NT Dot 3" xfId="1856"/>
    <cellStyle name="T_Book1_1_KL NT Dot 3 2" xfId="1857"/>
    <cellStyle name="T_Book1_1_Khoi luong cac hang muc chi tiet-702" xfId="1850"/>
    <cellStyle name="T_Book1_1_Khoi luong cac hang muc chi tiet-702 2" xfId="1851"/>
    <cellStyle name="T_Book1_1_khoiluongbdacdoa" xfId="1852"/>
    <cellStyle name="T_Book1_1_khoiluongbdacdoa 2" xfId="1853"/>
    <cellStyle name="T_Book1_1_mau KL vach son" xfId="1858"/>
    <cellStyle name="T_Book1_1_mau KL vach son 2" xfId="1859"/>
    <cellStyle name="T_Book1_1_Nhu cau tam ung NSNN&amp;TPCP&amp;ODA theo tieu chi cua Bo (CV410_BKH-TH)_vung Tay Nguyen (11.6.2010)" xfId="1860"/>
    <cellStyle name="T_Book1_1_Nhu cau tam ung NSNN&amp;TPCP&amp;ODA theo tieu chi cua Bo (CV410_BKH-TH)_vung Tay Nguyen (11.6.2010) 2" xfId="1861"/>
    <cellStyle name="T_Book1_1_Tong hop ra soat von ung 2011 -Chau" xfId="1866"/>
    <cellStyle name="T_Book1_1_Tong hop ra soat von ung 2011 -Chau 2" xfId="1867"/>
    <cellStyle name="T_Book1_1_Tong hop -Yte-Giao thong-Thuy loi-24-6" xfId="1868"/>
    <cellStyle name="T_Book1_1_Tong hop -Yte-Giao thong-Thuy loi-24-6 2" xfId="1869"/>
    <cellStyle name="T_Book1_1_Thiet bi" xfId="1862"/>
    <cellStyle name="T_Book1_1_Thiet bi 2" xfId="1863"/>
    <cellStyle name="T_Book1_1_Thong ke cong" xfId="1864"/>
    <cellStyle name="T_Book1_1_Thong ke cong 2" xfId="1865"/>
    <cellStyle name="T_Book1_2" xfId="1870"/>
    <cellStyle name="T_Book1_2 2" xfId="1871"/>
    <cellStyle name="T_Book1_2_DTDuong dong tien -sua tham tra 2009 - luong 650" xfId="1872"/>
    <cellStyle name="T_Book1_2_DTDuong dong tien -sua tham tra 2009 - luong 650 2" xfId="1873"/>
    <cellStyle name="T_Book1_Bao cao kiem toan kh 2010" xfId="1874"/>
    <cellStyle name="T_Book1_Bao cao kiem toan kh 2010 2" xfId="1875"/>
    <cellStyle name="T_Book1_Bieu mau danh muc du an thuoc CTMTQG nam 2008" xfId="1876"/>
    <cellStyle name="T_Book1_Bieu mau danh muc du an thuoc CTMTQG nam 2008 2" xfId="1877"/>
    <cellStyle name="T_Book1_Bieu mau danh muc du an thuoc CTMTQG nam 2008_bieu tong hop" xfId="1878"/>
    <cellStyle name="T_Book1_Bieu mau danh muc du an thuoc CTMTQG nam 2008_bieu tong hop 2" xfId="1879"/>
    <cellStyle name="T_Book1_Bieu mau danh muc du an thuoc CTMTQG nam 2008_Tong hop ra soat von ung 2011 -Chau" xfId="1880"/>
    <cellStyle name="T_Book1_Bieu mau danh muc du an thuoc CTMTQG nam 2008_Tong hop ra soat von ung 2011 -Chau 2" xfId="1881"/>
    <cellStyle name="T_Book1_Bieu mau danh muc du an thuoc CTMTQG nam 2008_Tong hop -Yte-Giao thong-Thuy loi-24-6" xfId="1882"/>
    <cellStyle name="T_Book1_Bieu mau danh muc du an thuoc CTMTQG nam 2008_Tong hop -Yte-Giao thong-Thuy loi-24-6 2" xfId="1883"/>
    <cellStyle name="T_Book1_Bieu tong hop nhu cau ung 2011 da chon loc -Mien nui" xfId="1884"/>
    <cellStyle name="T_Book1_Bieu tong hop nhu cau ung 2011 da chon loc -Mien nui 2" xfId="1885"/>
    <cellStyle name="T_Book1_Book1" xfId="1886"/>
    <cellStyle name="T_Book1_Book1 2" xfId="1887"/>
    <cellStyle name="T_Book1_Book1_1" xfId="1888"/>
    <cellStyle name="T_Book1_Book1_1 2" xfId="1889"/>
    <cellStyle name="T_Book1_CPK" xfId="1890"/>
    <cellStyle name="T_Book1_CPK 2" xfId="1891"/>
    <cellStyle name="T_Book1_DT492" xfId="1892"/>
    <cellStyle name="T_Book1_DT492 2" xfId="1893"/>
    <cellStyle name="T_Book1_DT972000" xfId="1894"/>
    <cellStyle name="T_Book1_DT972000 2" xfId="1895"/>
    <cellStyle name="T_Book1_DTDuong dong tien -sua tham tra 2009 - luong 650" xfId="1896"/>
    <cellStyle name="T_Book1_DTDuong dong tien -sua tham tra 2009 - luong 650 2" xfId="1897"/>
    <cellStyle name="T_Book1_Du an khoi cong moi nam 2010" xfId="1898"/>
    <cellStyle name="T_Book1_Du an khoi cong moi nam 2010 2" xfId="1899"/>
    <cellStyle name="T_Book1_Du an khoi cong moi nam 2010_bieu tong hop" xfId="1900"/>
    <cellStyle name="T_Book1_Du an khoi cong moi nam 2010_bieu tong hop 2" xfId="1901"/>
    <cellStyle name="T_Book1_Du an khoi cong moi nam 2010_Tong hop ra soat von ung 2011 -Chau" xfId="1902"/>
    <cellStyle name="T_Book1_Du an khoi cong moi nam 2010_Tong hop ra soat von ung 2011 -Chau 2" xfId="1903"/>
    <cellStyle name="T_Book1_Du an khoi cong moi nam 2010_Tong hop -Yte-Giao thong-Thuy loi-24-6" xfId="1904"/>
    <cellStyle name="T_Book1_Du an khoi cong moi nam 2010_Tong hop -Yte-Giao thong-Thuy loi-24-6 2" xfId="1905"/>
    <cellStyle name="T_Book1_Du toan khao sat (bo sung 2009)" xfId="1906"/>
    <cellStyle name="T_Book1_Du toan khao sat (bo sung 2009) 2" xfId="1907"/>
    <cellStyle name="T_Book1_Hang Tom goi9 9-07(Cau 12 sua)" xfId="1908"/>
    <cellStyle name="T_Book1_HECO-NR78-Gui a-Vinh(15-5-07)" xfId="1909"/>
    <cellStyle name="T_Book1_HECO-NR78-Gui a-Vinh(15-5-07) 2" xfId="1910"/>
    <cellStyle name="T_Book1_Ke hoach 2010 (theo doi)2" xfId="1911"/>
    <cellStyle name="T_Book1_Ke hoach 2010 (theo doi)2 2" xfId="1912"/>
    <cellStyle name="T_Book1_Ket qua phan bo von nam 2008" xfId="1913"/>
    <cellStyle name="T_Book1_Ket qua phan bo von nam 2008 2" xfId="1914"/>
    <cellStyle name="T_Book1_KL NT dap nen Dot 3" xfId="1922"/>
    <cellStyle name="T_Book1_KL NT dap nen Dot 3 2" xfId="1923"/>
    <cellStyle name="T_Book1_KL NT Dot 3" xfId="1924"/>
    <cellStyle name="T_Book1_KL NT Dot 3 2" xfId="1925"/>
    <cellStyle name="T_Book1_KH XDCB_2008 lan 2 sua ngay 10-11" xfId="1915"/>
    <cellStyle name="T_Book1_KH XDCB_2008 lan 2 sua ngay 10-11 2" xfId="1916"/>
    <cellStyle name="T_Book1_Khoi luong cac hang muc chi tiet-702" xfId="1917"/>
    <cellStyle name="T_Book1_Khoi luong cac hang muc chi tiet-702 2" xfId="1918"/>
    <cellStyle name="T_Book1_Khoi luong chinh Hang Tom" xfId="1919"/>
    <cellStyle name="T_Book1_khoiluongbdacdoa" xfId="1920"/>
    <cellStyle name="T_Book1_khoiluongbdacdoa 2" xfId="1921"/>
    <cellStyle name="T_Book1_mau bieu doan giam sat 2010 (version 2)" xfId="1926"/>
    <cellStyle name="T_Book1_mau bieu doan giam sat 2010 (version 2) 2" xfId="1927"/>
    <cellStyle name="T_Book1_mau KL vach son" xfId="1928"/>
    <cellStyle name="T_Book1_mau KL vach son 2" xfId="1929"/>
    <cellStyle name="T_Book1_Nhu cau von ung truoc 2011 Tha h Hoa + Nge An gui TW" xfId="1930"/>
    <cellStyle name="T_Book1_Nhu cau von ung truoc 2011 Tha h Hoa + Nge An gui TW 2" xfId="1931"/>
    <cellStyle name="T_Book1_QD UBND tinh" xfId="1932"/>
    <cellStyle name="T_Book1_QD UBND tinh 2" xfId="1933"/>
    <cellStyle name="T_Book1_San sat hach moi" xfId="1934"/>
    <cellStyle name="T_Book1_San sat hach moi 2" xfId="1935"/>
    <cellStyle name="T_Book1_Tong hop 3 tinh (11_5)-TTH-QN-QT" xfId="1940"/>
    <cellStyle name="T_Book1_Tong hop 3 tinh (11_5)-TTH-QN-QT 2" xfId="1941"/>
    <cellStyle name="T_Book1_Thiet bi" xfId="1936"/>
    <cellStyle name="T_Book1_Thiet bi 2" xfId="1937"/>
    <cellStyle name="T_Book1_Thong ke cong" xfId="1938"/>
    <cellStyle name="T_Book1_Thong ke cong 2" xfId="1939"/>
    <cellStyle name="T_Book1_ung 2011 - 11-6-Thanh hoa-Nghe an" xfId="1942"/>
    <cellStyle name="T_Book1_ung 2011 - 11-6-Thanh hoa-Nghe an 2" xfId="1943"/>
    <cellStyle name="T_Book1_ung truoc 2011 NSTW Thanh Hoa + Nge An gui Thu 12-5" xfId="1944"/>
    <cellStyle name="T_Book1_ung truoc 2011 NSTW Thanh Hoa + Nge An gui Thu 12-5 2" xfId="1945"/>
    <cellStyle name="T_Book1_VBPL kiểm toán Đầu tư XDCB 2010" xfId="1946"/>
    <cellStyle name="T_Book1_VBPL kiểm toán Đầu tư XDCB 2010 2" xfId="1947"/>
    <cellStyle name="T_Book1_Worksheet in D: My Documents Luc Van ban xu ly Nam 2011 Bao cao ra soat tam ung TPCP" xfId="1948"/>
    <cellStyle name="T_Book1_Worksheet in D: My Documents Luc Van ban xu ly Nam 2011 Bao cao ra soat tam ung TPCP 2" xfId="1949"/>
    <cellStyle name="T_CDKT" xfId="1950"/>
    <cellStyle name="T_CDKT 2" xfId="1951"/>
    <cellStyle name="T_Copy of Bao cao  XDCB 7 thang nam 2008_So KH&amp;DT SUA" xfId="1960"/>
    <cellStyle name="T_Copy of Bao cao  XDCB 7 thang nam 2008_So KH&amp;DT SUA 2" xfId="1961"/>
    <cellStyle name="T_Copy of Bao cao  XDCB 7 thang nam 2008_So KH&amp;DT SUA_bieu tong hop" xfId="1962"/>
    <cellStyle name="T_Copy of Bao cao  XDCB 7 thang nam 2008_So KH&amp;DT SUA_bieu tong hop 2" xfId="1963"/>
    <cellStyle name="T_Copy of Bao cao  XDCB 7 thang nam 2008_So KH&amp;DT SUA_Tong hop ra soat von ung 2011 -Chau" xfId="1964"/>
    <cellStyle name="T_Copy of Bao cao  XDCB 7 thang nam 2008_So KH&amp;DT SUA_Tong hop ra soat von ung 2011 -Chau 2" xfId="1965"/>
    <cellStyle name="T_Copy of Bao cao  XDCB 7 thang nam 2008_So KH&amp;DT SUA_Tong hop -Yte-Giao thong-Thuy loi-24-6" xfId="1966"/>
    <cellStyle name="T_Copy of Bao cao  XDCB 7 thang nam 2008_So KH&amp;DT SUA_Tong hop -Yte-Giao thong-Thuy loi-24-6 2" xfId="1967"/>
    <cellStyle name="T_Copy of KS Du an dau tu" xfId="1968"/>
    <cellStyle name="T_Copy of KS Du an dau tu 2" xfId="1969"/>
    <cellStyle name="T_Cost for DD (summary)" xfId="1970"/>
    <cellStyle name="T_Cost for DD (summary) 2" xfId="1971"/>
    <cellStyle name="T_CPK" xfId="1972"/>
    <cellStyle name="T_CPK 2" xfId="1973"/>
    <cellStyle name="T_CTMTQG 2008" xfId="1974"/>
    <cellStyle name="T_CTMTQG 2008 2" xfId="1975"/>
    <cellStyle name="T_CTMTQG 2008_Bieu mau danh muc du an thuoc CTMTQG nam 2008" xfId="1976"/>
    <cellStyle name="T_CTMTQG 2008_Bieu mau danh muc du an thuoc CTMTQG nam 2008 2" xfId="1977"/>
    <cellStyle name="T_CTMTQG 2008_Hi-Tong hop KQ phan bo KH nam 08- LD fong giao 15-11-08" xfId="1978"/>
    <cellStyle name="T_CTMTQG 2008_Hi-Tong hop KQ phan bo KH nam 08- LD fong giao 15-11-08 2" xfId="1979"/>
    <cellStyle name="T_CTMTQG 2008_Ket qua thuc hien nam 2008" xfId="1980"/>
    <cellStyle name="T_CTMTQG 2008_Ket qua thuc hien nam 2008 2" xfId="1981"/>
    <cellStyle name="T_CTMTQG 2008_KH XDCB_2008 lan 1" xfId="1982"/>
    <cellStyle name="T_CTMTQG 2008_KH XDCB_2008 lan 1 2" xfId="1983"/>
    <cellStyle name="T_CTMTQG 2008_KH XDCB_2008 lan 1 sua ngay 27-10" xfId="1984"/>
    <cellStyle name="T_CTMTQG 2008_KH XDCB_2008 lan 1 sua ngay 27-10 2" xfId="1985"/>
    <cellStyle name="T_CTMTQG 2008_KH XDCB_2008 lan 2 sua ngay 10-11" xfId="1986"/>
    <cellStyle name="T_CTMTQG 2008_KH XDCB_2008 lan 2 sua ngay 10-11 2" xfId="1987"/>
    <cellStyle name="T_Chuan bi dau tu nam 2008" xfId="1952"/>
    <cellStyle name="T_Chuan bi dau tu nam 2008 2" xfId="1953"/>
    <cellStyle name="T_Chuan bi dau tu nam 2008_bieu tong hop" xfId="1954"/>
    <cellStyle name="T_Chuan bi dau tu nam 2008_bieu tong hop 2" xfId="1955"/>
    <cellStyle name="T_Chuan bi dau tu nam 2008_Tong hop ra soat von ung 2011 -Chau" xfId="1956"/>
    <cellStyle name="T_Chuan bi dau tu nam 2008_Tong hop ra soat von ung 2011 -Chau 2" xfId="1957"/>
    <cellStyle name="T_Chuan bi dau tu nam 2008_Tong hop -Yte-Giao thong-Thuy loi-24-6" xfId="1958"/>
    <cellStyle name="T_Chuan bi dau tu nam 2008_Tong hop -Yte-Giao thong-Thuy loi-24-6 2" xfId="1959"/>
    <cellStyle name="T_DT972000" xfId="1988"/>
    <cellStyle name="T_DTDuong dong tien -sua tham tra 2009 - luong 650" xfId="1989"/>
    <cellStyle name="T_DTDuong dong tien -sua tham tra 2009 - luong 650 2" xfId="1990"/>
    <cellStyle name="T_dtTL598G1." xfId="1991"/>
    <cellStyle name="T_dtTL598G1. 2" xfId="1992"/>
    <cellStyle name="T_Du an khoi cong moi nam 2010" xfId="1993"/>
    <cellStyle name="T_Du an khoi cong moi nam 2010 2" xfId="1994"/>
    <cellStyle name="T_Du an khoi cong moi nam 2010_bieu tong hop" xfId="1995"/>
    <cellStyle name="T_Du an khoi cong moi nam 2010_bieu tong hop 2" xfId="1996"/>
    <cellStyle name="T_Du an khoi cong moi nam 2010_Tong hop ra soat von ung 2011 -Chau" xfId="1997"/>
    <cellStyle name="T_Du an khoi cong moi nam 2010_Tong hop ra soat von ung 2011 -Chau 2" xfId="1998"/>
    <cellStyle name="T_Du an khoi cong moi nam 2010_Tong hop -Yte-Giao thong-Thuy loi-24-6" xfId="1999"/>
    <cellStyle name="T_Du an khoi cong moi nam 2010_Tong hop -Yte-Giao thong-Thuy loi-24-6 2" xfId="2000"/>
    <cellStyle name="T_DU AN TKQH VA CHUAN BI DAU TU NAM 2007 sua ngay 9-11" xfId="2001"/>
    <cellStyle name="T_DU AN TKQH VA CHUAN BI DAU TU NAM 2007 sua ngay 9-11 2" xfId="2002"/>
    <cellStyle name="T_DU AN TKQH VA CHUAN BI DAU TU NAM 2007 sua ngay 9-11_Bieu mau danh muc du an thuoc CTMTQG nam 2008" xfId="2003"/>
    <cellStyle name="T_DU AN TKQH VA CHUAN BI DAU TU NAM 2007 sua ngay 9-11_Bieu mau danh muc du an thuoc CTMTQG nam 2008 2" xfId="2004"/>
    <cellStyle name="T_DU AN TKQH VA CHUAN BI DAU TU NAM 2007 sua ngay 9-11_Bieu mau danh muc du an thuoc CTMTQG nam 2008_bieu tong hop" xfId="2005"/>
    <cellStyle name="T_DU AN TKQH VA CHUAN BI DAU TU NAM 2007 sua ngay 9-11_Bieu mau danh muc du an thuoc CTMTQG nam 2008_bieu tong hop 2" xfId="2006"/>
    <cellStyle name="T_DU AN TKQH VA CHUAN BI DAU TU NAM 2007 sua ngay 9-11_Bieu mau danh muc du an thuoc CTMTQG nam 2008_Tong hop ra soat von ung 2011 -Chau" xfId="2007"/>
    <cellStyle name="T_DU AN TKQH VA CHUAN BI DAU TU NAM 2007 sua ngay 9-11_Bieu mau danh muc du an thuoc CTMTQG nam 2008_Tong hop ra soat von ung 2011 -Chau 2" xfId="2008"/>
    <cellStyle name="T_DU AN TKQH VA CHUAN BI DAU TU NAM 2007 sua ngay 9-11_Bieu mau danh muc du an thuoc CTMTQG nam 2008_Tong hop -Yte-Giao thong-Thuy loi-24-6" xfId="2009"/>
    <cellStyle name="T_DU AN TKQH VA CHUAN BI DAU TU NAM 2007 sua ngay 9-11_Bieu mau danh muc du an thuoc CTMTQG nam 2008_Tong hop -Yte-Giao thong-Thuy loi-24-6 2" xfId="2010"/>
    <cellStyle name="T_DU AN TKQH VA CHUAN BI DAU TU NAM 2007 sua ngay 9-11_Du an khoi cong moi nam 2010" xfId="2011"/>
    <cellStyle name="T_DU AN TKQH VA CHUAN BI DAU TU NAM 2007 sua ngay 9-11_Du an khoi cong moi nam 2010 2" xfId="2012"/>
    <cellStyle name="T_DU AN TKQH VA CHUAN BI DAU TU NAM 2007 sua ngay 9-11_Du an khoi cong moi nam 2010_bieu tong hop" xfId="2013"/>
    <cellStyle name="T_DU AN TKQH VA CHUAN BI DAU TU NAM 2007 sua ngay 9-11_Du an khoi cong moi nam 2010_bieu tong hop 2" xfId="2014"/>
    <cellStyle name="T_DU AN TKQH VA CHUAN BI DAU TU NAM 2007 sua ngay 9-11_Du an khoi cong moi nam 2010_Tong hop ra soat von ung 2011 -Chau" xfId="2015"/>
    <cellStyle name="T_DU AN TKQH VA CHUAN BI DAU TU NAM 2007 sua ngay 9-11_Du an khoi cong moi nam 2010_Tong hop ra soat von ung 2011 -Chau 2" xfId="2016"/>
    <cellStyle name="T_DU AN TKQH VA CHUAN BI DAU TU NAM 2007 sua ngay 9-11_Du an khoi cong moi nam 2010_Tong hop -Yte-Giao thong-Thuy loi-24-6" xfId="2017"/>
    <cellStyle name="T_DU AN TKQH VA CHUAN BI DAU TU NAM 2007 sua ngay 9-11_Du an khoi cong moi nam 2010_Tong hop -Yte-Giao thong-Thuy loi-24-6 2" xfId="2018"/>
    <cellStyle name="T_DU AN TKQH VA CHUAN BI DAU TU NAM 2007 sua ngay 9-11_Ket qua phan bo von nam 2008" xfId="2019"/>
    <cellStyle name="T_DU AN TKQH VA CHUAN BI DAU TU NAM 2007 sua ngay 9-11_Ket qua phan bo von nam 2008 2" xfId="2020"/>
    <cellStyle name="T_DU AN TKQH VA CHUAN BI DAU TU NAM 2007 sua ngay 9-11_KH XDCB_2008 lan 2 sua ngay 10-11" xfId="2021"/>
    <cellStyle name="T_DU AN TKQH VA CHUAN BI DAU TU NAM 2007 sua ngay 9-11_KH XDCB_2008 lan 2 sua ngay 10-11 2" xfId="2022"/>
    <cellStyle name="T_du toan dieu chinh  20-8-2006" xfId="2023"/>
    <cellStyle name="T_du toan dieu chinh  20-8-2006 2" xfId="2024"/>
    <cellStyle name="T_Du toan khao sat (bo sung 2009)" xfId="2025"/>
    <cellStyle name="T_Du toan khao sat (bo sung 2009) 2" xfId="2026"/>
    <cellStyle name="T_du toan lan 3" xfId="2027"/>
    <cellStyle name="T_du toan lan 3 2" xfId="2028"/>
    <cellStyle name="T_Ke hoach KTXH  nam 2009_PKT thang 11 nam 2008" xfId="2029"/>
    <cellStyle name="T_Ke hoach KTXH  nam 2009_PKT thang 11 nam 2008 2" xfId="2030"/>
    <cellStyle name="T_Ke hoach KTXH  nam 2009_PKT thang 11 nam 2008_bieu tong hop" xfId="2031"/>
    <cellStyle name="T_Ke hoach KTXH  nam 2009_PKT thang 11 nam 2008_bieu tong hop 2" xfId="2032"/>
    <cellStyle name="T_Ke hoach KTXH  nam 2009_PKT thang 11 nam 2008_Tong hop ra soat von ung 2011 -Chau" xfId="2033"/>
    <cellStyle name="T_Ke hoach KTXH  nam 2009_PKT thang 11 nam 2008_Tong hop ra soat von ung 2011 -Chau 2" xfId="2034"/>
    <cellStyle name="T_Ke hoach KTXH  nam 2009_PKT thang 11 nam 2008_Tong hop -Yte-Giao thong-Thuy loi-24-6" xfId="2035"/>
    <cellStyle name="T_Ke hoach KTXH  nam 2009_PKT thang 11 nam 2008_Tong hop -Yte-Giao thong-Thuy loi-24-6 2" xfId="2036"/>
    <cellStyle name="T_Ket qua dau thau" xfId="2037"/>
    <cellStyle name="T_Ket qua dau thau 2" xfId="2038"/>
    <cellStyle name="T_Ket qua dau thau_bieu tong hop" xfId="2039"/>
    <cellStyle name="T_Ket qua dau thau_bieu tong hop 2" xfId="2040"/>
    <cellStyle name="T_Ket qua dau thau_Tong hop ra soat von ung 2011 -Chau" xfId="2041"/>
    <cellStyle name="T_Ket qua dau thau_Tong hop ra soat von ung 2011 -Chau 2" xfId="2042"/>
    <cellStyle name="T_Ket qua dau thau_Tong hop -Yte-Giao thong-Thuy loi-24-6" xfId="2043"/>
    <cellStyle name="T_Ket qua dau thau_Tong hop -Yte-Giao thong-Thuy loi-24-6 2" xfId="2044"/>
    <cellStyle name="T_Ket qua phan bo von nam 2008" xfId="2045"/>
    <cellStyle name="T_Ket qua phan bo von nam 2008 2" xfId="2046"/>
    <cellStyle name="T_KL NT dap nen Dot 3" xfId="2053"/>
    <cellStyle name="T_KL NT Dot 3" xfId="2054"/>
    <cellStyle name="T_Kl VL ranh" xfId="2055"/>
    <cellStyle name="T_Kl VL ranh 2" xfId="2056"/>
    <cellStyle name="T_KLNMD1" xfId="2057"/>
    <cellStyle name="T_KLNMD1 2" xfId="2058"/>
    <cellStyle name="T_KH XDCB_2008 lan 2 sua ngay 10-11" xfId="2047"/>
    <cellStyle name="T_KH XDCB_2008 lan 2 sua ngay 10-11 2" xfId="2048"/>
    <cellStyle name="T_Khao satD1" xfId="2049"/>
    <cellStyle name="T_Khao satD1 2" xfId="2050"/>
    <cellStyle name="T_Khoi luong cac hang muc chi tiet-702" xfId="2051"/>
    <cellStyle name="T_Khoi luong cac hang muc chi tiet-702 2" xfId="2052"/>
    <cellStyle name="T_mau bieu doan giam sat 2010 (version 2)" xfId="2059"/>
    <cellStyle name="T_mau bieu doan giam sat 2010 (version 2) 2" xfId="2060"/>
    <cellStyle name="T_mau KL vach son" xfId="2061"/>
    <cellStyle name="T_mau KL vach son 2" xfId="2062"/>
    <cellStyle name="T_Me_Tri_6_07" xfId="2063"/>
    <cellStyle name="T_Me_Tri_6_07 2" xfId="2064"/>
    <cellStyle name="T_N2 thay dat (N1-1)" xfId="2065"/>
    <cellStyle name="T_N2 thay dat (N1-1) 2" xfId="2066"/>
    <cellStyle name="T_Phuong an can doi nam 2008" xfId="2067"/>
    <cellStyle name="T_Phuong an can doi nam 2008 2" xfId="2068"/>
    <cellStyle name="T_Phuong an can doi nam 2008_bieu tong hop" xfId="2069"/>
    <cellStyle name="T_Phuong an can doi nam 2008_bieu tong hop 2" xfId="2070"/>
    <cellStyle name="T_Phuong an can doi nam 2008_Tong hop ra soat von ung 2011 -Chau" xfId="2071"/>
    <cellStyle name="T_Phuong an can doi nam 2008_Tong hop ra soat von ung 2011 -Chau 2" xfId="2072"/>
    <cellStyle name="T_Phuong an can doi nam 2008_Tong hop -Yte-Giao thong-Thuy loi-24-6" xfId="2073"/>
    <cellStyle name="T_Phuong an can doi nam 2008_Tong hop -Yte-Giao thong-Thuy loi-24-6 2" xfId="2074"/>
    <cellStyle name="T_San sat hach moi" xfId="2075"/>
    <cellStyle name="T_San sat hach moi 2" xfId="2076"/>
    <cellStyle name="T_Seagame(BTL)" xfId="2077"/>
    <cellStyle name="T_So GTVT" xfId="2078"/>
    <cellStyle name="T_So GTVT 2" xfId="2079"/>
    <cellStyle name="T_So GTVT_bieu tong hop" xfId="2080"/>
    <cellStyle name="T_So GTVT_bieu tong hop 2" xfId="2081"/>
    <cellStyle name="T_So GTVT_Tong hop ra soat von ung 2011 -Chau" xfId="2082"/>
    <cellStyle name="T_So GTVT_Tong hop ra soat von ung 2011 -Chau 2" xfId="2083"/>
    <cellStyle name="T_So GTVT_Tong hop -Yte-Giao thong-Thuy loi-24-6" xfId="2084"/>
    <cellStyle name="T_So GTVT_Tong hop -Yte-Giao thong-Thuy loi-24-6 2" xfId="2085"/>
    <cellStyle name="T_SS BVTC cau va cong tuyen Le Chan" xfId="2086"/>
    <cellStyle name="T_SS BVTC cau va cong tuyen Le Chan 2" xfId="2087"/>
    <cellStyle name="T_Tay Bac 1" xfId="2088"/>
    <cellStyle name="T_Tay Bac 1 2" xfId="2089"/>
    <cellStyle name="T_Tay Bac 1_Bao cao kiem toan kh 2010" xfId="2090"/>
    <cellStyle name="T_Tay Bac 1_Bao cao kiem toan kh 2010 2" xfId="2091"/>
    <cellStyle name="T_Tay Bac 1_Book1" xfId="2092"/>
    <cellStyle name="T_Tay Bac 1_Book1 2" xfId="2093"/>
    <cellStyle name="T_Tay Bac 1_Ke hoach 2010 (theo doi)2" xfId="2094"/>
    <cellStyle name="T_Tay Bac 1_Ke hoach 2010 (theo doi)2 2" xfId="2095"/>
    <cellStyle name="T_Tay Bac 1_QD UBND tinh" xfId="2096"/>
    <cellStyle name="T_Tay Bac 1_QD UBND tinh 2" xfId="2097"/>
    <cellStyle name="T_Tay Bac 1_Worksheet in D: My Documents Luc Van ban xu ly Nam 2011 Bao cao ra soat tam ung TPCP" xfId="2098"/>
    <cellStyle name="T_Tay Bac 1_Worksheet in D: My Documents Luc Van ban xu ly Nam 2011 Bao cao ra soat tam ung TPCP 2" xfId="2099"/>
    <cellStyle name="T_TDT + duong(8-5-07)" xfId="2100"/>
    <cellStyle name="T_TDT + duong(8-5-07) 2" xfId="2101"/>
    <cellStyle name="T_tien2004" xfId="2114"/>
    <cellStyle name="T_tien2004 2" xfId="2115"/>
    <cellStyle name="T_TKE-ChoDon-sua" xfId="2116"/>
    <cellStyle name="T_TKE-ChoDon-sua 2" xfId="2117"/>
    <cellStyle name="T_Tong hop 3 tinh (11_5)-TTH-QN-QT" xfId="2118"/>
    <cellStyle name="T_Tong hop 3 tinh (11_5)-TTH-QN-QT 2" xfId="2119"/>
    <cellStyle name="T_Tong hop khoi luong Dot 3" xfId="2120"/>
    <cellStyle name="T_Tong hop khoi luong Dot 3 2" xfId="2121"/>
    <cellStyle name="T_Tong hop theo doi von TPCP" xfId="2122"/>
    <cellStyle name="T_Tong hop theo doi von TPCP 2" xfId="2123"/>
    <cellStyle name="T_Tong hop theo doi von TPCP_Bao cao kiem toan kh 2010" xfId="2124"/>
    <cellStyle name="T_Tong hop theo doi von TPCP_Bao cao kiem toan kh 2010 2" xfId="2125"/>
    <cellStyle name="T_Tong hop theo doi von TPCP_Ke hoach 2010 (theo doi)2" xfId="2126"/>
    <cellStyle name="T_Tong hop theo doi von TPCP_Ke hoach 2010 (theo doi)2 2" xfId="2127"/>
    <cellStyle name="T_Tong hop theo doi von TPCP_QD UBND tinh" xfId="2128"/>
    <cellStyle name="T_Tong hop theo doi von TPCP_QD UBND tinh 2" xfId="2129"/>
    <cellStyle name="T_Tong hop theo doi von TPCP_Worksheet in D: My Documents Luc Van ban xu ly Nam 2011 Bao cao ra soat tam ung TPCP" xfId="2130"/>
    <cellStyle name="T_Tong hop theo doi von TPCP_Worksheet in D: My Documents Luc Van ban xu ly Nam 2011 Bao cao ra soat tam ung TPCP 2" xfId="2131"/>
    <cellStyle name="T_tham_tra_du_toan" xfId="2102"/>
    <cellStyle name="T_tham_tra_du_toan 2" xfId="2103"/>
    <cellStyle name="T_Thiet bi" xfId="2104"/>
    <cellStyle name="T_Thiet bi 2" xfId="2105"/>
    <cellStyle name="T_THKL 1303" xfId="2106"/>
    <cellStyle name="T_THKL 1303 2" xfId="2107"/>
    <cellStyle name="T_Thong ke" xfId="2108"/>
    <cellStyle name="T_Thong ke 2" xfId="2109"/>
    <cellStyle name="T_Thong ke cong" xfId="2110"/>
    <cellStyle name="T_Thong ke cong 2" xfId="2111"/>
    <cellStyle name="T_thong ke giao dan sinh" xfId="2112"/>
    <cellStyle name="T_thong ke giao dan sinh 2" xfId="2113"/>
    <cellStyle name="T_VBPL kiểm toán Đầu tư XDCB 2010" xfId="2132"/>
    <cellStyle name="T_VBPL kiểm toán Đầu tư XDCB 2010 2" xfId="2133"/>
    <cellStyle name="T_Worksheet in D: ... Hoan thien 5goi theo KL cu 28-06 4.Cong 5goi Coc 33-Km1+490.13 Cong coc 33-km1+490.13" xfId="2134"/>
    <cellStyle name="T_Worksheet in D: ... Hoan thien 5goi theo KL cu 28-06 4.Cong 5goi Coc 33-Km1+490.13 Cong coc 33-km1+490.13 2" xfId="2135"/>
    <cellStyle name="T_ÿÿÿÿÿ" xfId="2136"/>
    <cellStyle name="T_ÿÿÿÿÿ 2" xfId="2137"/>
    <cellStyle name="Text" xfId="2138"/>
    <cellStyle name="Text Indent A" xfId="2139"/>
    <cellStyle name="Text Indent B" xfId="2140"/>
    <cellStyle name="Text Indent C" xfId="2141"/>
    <cellStyle name="Text_Bao cao doan cong tac cua Bo thang 4-2010" xfId="2142"/>
    <cellStyle name="Tien1" xfId="2155"/>
    <cellStyle name="Tiêu đề" xfId="2156"/>
    <cellStyle name="Times New Roman" xfId="2157"/>
    <cellStyle name="Tính toán" xfId="2158"/>
    <cellStyle name="Tính toán 2" xfId="2159"/>
    <cellStyle name="tit1" xfId="2160"/>
    <cellStyle name="tit2" xfId="2161"/>
    <cellStyle name="tit2 2" xfId="2162"/>
    <cellStyle name="tit3" xfId="2163"/>
    <cellStyle name="tit4" xfId="2164"/>
    <cellStyle name="Title 2" xfId="2165"/>
    <cellStyle name="Title 3" xfId="2166"/>
    <cellStyle name="Tongcong" xfId="2169"/>
    <cellStyle name="Tongcong 2" xfId="2170"/>
    <cellStyle name="Total 2" xfId="2172"/>
    <cellStyle name="Total 3" xfId="2173"/>
    <cellStyle name="Total 3 2" xfId="2174"/>
    <cellStyle name="Total 4" xfId="2175"/>
    <cellStyle name="Tổng" xfId="2167"/>
    <cellStyle name="Tổng 2" xfId="2168"/>
    <cellStyle name="Tốt" xfId="2171"/>
    <cellStyle name="tt1" xfId="2178"/>
    <cellStyle name="Tuan" xfId="2179"/>
    <cellStyle name="Tusental (0)_pldt" xfId="2180"/>
    <cellStyle name="Tusental_pldt" xfId="2181"/>
    <cellStyle name="th" xfId="2143"/>
    <cellStyle name="th 2" xfId="2144"/>
    <cellStyle name="than" xfId="2145"/>
    <cellStyle name="thanh" xfId="2146"/>
    <cellStyle name="þ_x001d_ð¤_x000c_¯þ_x0014__x000d_¨þU_x0001_À_x0004_ _x0015__x000f__x0001__x0001_" xfId="2147"/>
    <cellStyle name="þ_x001d_ð·_x000c_æþ'_x000d_ßþU_x0001_Ø_x0005_ü_x0014__x0007__x0001__x0001_" xfId="2148"/>
    <cellStyle name="þ_x001d_ðÇ%Uý—&amp;Hý9_x0008_Ÿ s_x000a__x0007__x0001__x0001_" xfId="2149"/>
    <cellStyle name="þ_x001d_ðÇ%Uý—&amp;Hý9_x0008_Ÿ_x0009_s_x000a__x0007__x0001__x0001_" xfId="2150"/>
    <cellStyle name="þ_x001d_ðK_x000c_Fý_x001b__x000d_9ýU_x0001_Ð_x0008_¦)_x0007__x0001__x0001_" xfId="2151"/>
    <cellStyle name="thuong-10" xfId="2152"/>
    <cellStyle name="thuong-11" xfId="2153"/>
    <cellStyle name="Thuyet minh" xfId="2154"/>
    <cellStyle name="trang" xfId="2176"/>
    <cellStyle name="Trung tính" xfId="2177"/>
    <cellStyle name="u" xfId="2182"/>
    <cellStyle name="ux_3_¼­¿ï-¾È»ê" xfId="2183"/>
    <cellStyle name="Valuta (0)_CALPREZZ" xfId="2184"/>
    <cellStyle name="Valuta_ PESO ELETTR." xfId="2185"/>
    <cellStyle name="VANG1" xfId="2188"/>
    <cellStyle name="Văn bản Cảnh báo" xfId="2186"/>
    <cellStyle name="Văn bản Giải thích" xfId="2187"/>
    <cellStyle name="viet" xfId="2189"/>
    <cellStyle name="viet2" xfId="2190"/>
    <cellStyle name="viet2 2" xfId="2191"/>
    <cellStyle name="Vietnam 1" xfId="2192"/>
    <cellStyle name="VN new romanNormal" xfId="2193"/>
    <cellStyle name="VN new romanNormal 2" xfId="2194"/>
    <cellStyle name="vn time 10" xfId="2195"/>
    <cellStyle name="Vn Time 13" xfId="2196"/>
    <cellStyle name="Vn Time 14" xfId="2197"/>
    <cellStyle name="VN time new roman" xfId="2198"/>
    <cellStyle name="VN time new roman 2" xfId="2199"/>
    <cellStyle name="vn_time" xfId="2200"/>
    <cellStyle name="vnbo" xfId="2201"/>
    <cellStyle name="vnbo 2" xfId="2202"/>
    <cellStyle name="vntxt1" xfId="2210"/>
    <cellStyle name="vntxt2" xfId="2211"/>
    <cellStyle name="vnhead1" xfId="2203"/>
    <cellStyle name="vnhead1 2" xfId="2204"/>
    <cellStyle name="vnhead2" xfId="2205"/>
    <cellStyle name="vnhead2 2" xfId="2206"/>
    <cellStyle name="vnhead3" xfId="2207"/>
    <cellStyle name="vnhead3 2" xfId="2208"/>
    <cellStyle name="vnhead4" xfId="2209"/>
    <cellStyle name="W?hrung [0]_35ERI8T2gbIEMixb4v26icuOo" xfId="2212"/>
    <cellStyle name="W?hrung_35ERI8T2gbIEMixb4v26icuOo" xfId="2213"/>
    <cellStyle name="Währung [0]_68574_Materialbedarfsliste" xfId="2214"/>
    <cellStyle name="Währung_68574_Materialbedarfsliste" xfId="2215"/>
    <cellStyle name="Walutowy [0]_Invoices2001Slovakia" xfId="2216"/>
    <cellStyle name="Walutowy_Invoices2001Slovakia" xfId="2217"/>
    <cellStyle name="Warning Text 2" xfId="2218"/>
    <cellStyle name="Warning Text 3" xfId="2219"/>
    <cellStyle name="wrap" xfId="2220"/>
    <cellStyle name="Wไhrung [0]_35ERI8T2gbIEMixb4v26icuOo" xfId="2221"/>
    <cellStyle name="Wไhrung_35ERI8T2gbIEMixb4v26icuOo" xfId="2222"/>
    <cellStyle name="Xấu" xfId="2223"/>
    <cellStyle name="xuan" xfId="2224"/>
    <cellStyle name="y" xfId="2225"/>
    <cellStyle name="Ý kh¸c_B¶ng 1 (2)" xfId="2226"/>
    <cellStyle name="เครื่องหมายสกุลเงิน [0]_FTC_OFFER" xfId="2227"/>
    <cellStyle name="เครื่องหมายสกุลเงิน_FTC_OFFER" xfId="2228"/>
    <cellStyle name="ปกติ_FTC_OFFER" xfId="2229"/>
    <cellStyle name=" [0.00]_ Att. 1- Cover" xfId="2230"/>
    <cellStyle name="_ Att. 1- Cover" xfId="2231"/>
    <cellStyle name="?_ Att. 1- Cover" xfId="2232"/>
    <cellStyle name="똿뗦먛귟 [0.00]_PRODUCT DETAIL Q1" xfId="2233"/>
    <cellStyle name="똿뗦먛귟_PRODUCT DETAIL Q1" xfId="2234"/>
    <cellStyle name="믅됞 [0.00]_PRODUCT DETAIL Q1" xfId="2235"/>
    <cellStyle name="믅됞_PRODUCT DETAIL Q1" xfId="2236"/>
    <cellStyle name="백분율_††††† " xfId="2237"/>
    <cellStyle name="뷭?_BOOKSHIP" xfId="2238"/>
    <cellStyle name="안건회계법인" xfId="2239"/>
    <cellStyle name="콤마 [ - 유형1" xfId="2240"/>
    <cellStyle name="콤마 [ - 유형2" xfId="2241"/>
    <cellStyle name="콤마 [ - 유형3" xfId="2242"/>
    <cellStyle name="콤마 [ - 유형4" xfId="2243"/>
    <cellStyle name="콤마 [ - 유형5" xfId="2244"/>
    <cellStyle name="콤마 [ - 유형6" xfId="2245"/>
    <cellStyle name="콤마 [ - 유형7" xfId="2246"/>
    <cellStyle name="콤마 [ - 유형8" xfId="2247"/>
    <cellStyle name="콤마 [0]_ 비목별 월별기술 " xfId="2248"/>
    <cellStyle name="콤마_ 비목별 월별기술 " xfId="2249"/>
    <cellStyle name="통화 [0]_††††† " xfId="2250"/>
    <cellStyle name="통화_††††† " xfId="2251"/>
    <cellStyle name="표준_ 97년 경영분석(안)" xfId="2252"/>
    <cellStyle name="표줠_Sheet1_1_총괄표 (수출입) (2)" xfId="2253"/>
    <cellStyle name="一般_00Q3902REV.1" xfId="2254"/>
    <cellStyle name="千分位[0]_00Q3902REV.1" xfId="2255"/>
    <cellStyle name="千分位_00Q3902REV.1" xfId="2256"/>
    <cellStyle name="桁区切り [0.00]_BE-BQ" xfId="2257"/>
    <cellStyle name="桁区切り_BE-BQ" xfId="2258"/>
    <cellStyle name="標準_(A1)BOQ " xfId="2259"/>
    <cellStyle name="貨幣 [0]_00Q3902REV.1" xfId="2260"/>
    <cellStyle name="貨幣[0]_BRE" xfId="2261"/>
    <cellStyle name="貨幣_00Q3902REV.1" xfId="2262"/>
    <cellStyle name="通貨 [0.00]_BE-BQ" xfId="2263"/>
    <cellStyle name="通貨_BE-BQ" xfId="2264"/>
  </cellStyles>
  <dxfs count="0"/>
  <tableStyles count="0" defaultTableStyle="TableStyleMedium9" defaultPivotStyle="PivotStyleLight16"/>
  <colors>
    <mruColors>
      <color rgb="FFFFFF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39"/>
  <sheetViews>
    <sheetView workbookViewId="0">
      <selection activeCell="C19" sqref="C19"/>
    </sheetView>
  </sheetViews>
  <sheetFormatPr defaultColWidth="9.140625" defaultRowHeight="15.75"/>
  <cols>
    <col min="1" max="3" width="9.140625" style="5"/>
    <col min="4" max="4" width="16.7109375" style="5" customWidth="1"/>
    <col min="5" max="6" width="15.7109375" style="5" customWidth="1"/>
    <col min="7" max="7" width="20.85546875" style="5" hidden="1" customWidth="1"/>
    <col min="8" max="9" width="20.5703125" style="5" hidden="1" customWidth="1"/>
    <col min="10" max="10" width="20.5703125" style="5" customWidth="1"/>
    <col min="11" max="11" width="9.140625" style="5"/>
    <col min="12" max="12" width="16.42578125" style="5" customWidth="1"/>
    <col min="13" max="13" width="24.28515625" style="5" customWidth="1"/>
    <col min="14" max="14" width="17.5703125" style="5" customWidth="1"/>
    <col min="15" max="16384" width="9.140625" style="5"/>
  </cols>
  <sheetData>
    <row r="3" spans="3:10" ht="49.5" customHeight="1">
      <c r="C3" s="1" t="s">
        <v>14</v>
      </c>
      <c r="D3" s="1" t="s">
        <v>0</v>
      </c>
      <c r="E3" s="2" t="s">
        <v>6</v>
      </c>
      <c r="F3" s="2" t="s">
        <v>13</v>
      </c>
      <c r="G3" s="3" t="s">
        <v>1</v>
      </c>
      <c r="H3" s="3" t="s">
        <v>5</v>
      </c>
      <c r="I3" s="4"/>
    </row>
    <row r="4" spans="3:10" ht="18" customHeight="1">
      <c r="C4" s="6">
        <v>2011</v>
      </c>
      <c r="D4" s="7">
        <v>1127</v>
      </c>
      <c r="E4" s="7"/>
      <c r="F4" s="611">
        <f>(E5+E6+E7+E8)/4</f>
        <v>10.717123307400957</v>
      </c>
      <c r="G4" s="3"/>
      <c r="H4" s="3"/>
      <c r="I4" s="4"/>
    </row>
    <row r="5" spans="3:10" ht="18" customHeight="1">
      <c r="C5" s="6">
        <v>2012</v>
      </c>
      <c r="D5" s="7">
        <v>1427</v>
      </c>
      <c r="E5" s="8">
        <f>(D5-D4)/D4*100</f>
        <v>26.619343389529725</v>
      </c>
      <c r="F5" s="612"/>
      <c r="G5" s="3"/>
      <c r="H5" s="3"/>
      <c r="I5" s="4"/>
    </row>
    <row r="6" spans="3:10" ht="18" customHeight="1">
      <c r="C6" s="6">
        <v>2013</v>
      </c>
      <c r="D6" s="7">
        <v>1448</v>
      </c>
      <c r="E6" s="8">
        <f t="shared" ref="E6:E7" si="0">(D6-D5)/D5*100</f>
        <v>1.4716187806587244</v>
      </c>
      <c r="F6" s="612"/>
      <c r="G6" s="3"/>
      <c r="H6" s="3"/>
      <c r="I6" s="4"/>
    </row>
    <row r="7" spans="3:10" ht="18" customHeight="1">
      <c r="C7" s="6">
        <v>2014</v>
      </c>
      <c r="D7" s="7">
        <v>1733</v>
      </c>
      <c r="E7" s="8">
        <f t="shared" si="0"/>
        <v>19.682320441988953</v>
      </c>
      <c r="F7" s="612"/>
      <c r="G7" s="3"/>
      <c r="H7" s="3"/>
      <c r="I7" s="4"/>
    </row>
    <row r="8" spans="3:10" ht="18" customHeight="1">
      <c r="C8" s="6">
        <v>2015</v>
      </c>
      <c r="D8" s="7">
        <v>1648</v>
      </c>
      <c r="E8" s="8">
        <f>(D8-D7)/D7*100</f>
        <v>-4.904789382573572</v>
      </c>
      <c r="F8" s="612"/>
      <c r="G8" s="3"/>
      <c r="H8" s="3"/>
      <c r="I8" s="4"/>
    </row>
    <row r="9" spans="3:10" ht="18" customHeight="1">
      <c r="C9" s="616" t="s">
        <v>15</v>
      </c>
      <c r="D9" s="617"/>
      <c r="E9" s="618"/>
      <c r="F9" s="613">
        <v>14</v>
      </c>
      <c r="G9" s="3"/>
      <c r="H9" s="3"/>
      <c r="I9" s="4"/>
    </row>
    <row r="10" spans="3:10" ht="3" customHeight="1">
      <c r="C10" s="619"/>
      <c r="D10" s="620"/>
      <c r="E10" s="621"/>
      <c r="F10" s="614"/>
      <c r="G10" s="3"/>
      <c r="H10" s="3"/>
      <c r="I10" s="4"/>
    </row>
    <row r="11" spans="3:10" ht="18" hidden="1" customHeight="1">
      <c r="C11" s="619"/>
      <c r="D11" s="620"/>
      <c r="E11" s="621"/>
      <c r="F11" s="614"/>
      <c r="G11" s="3"/>
      <c r="H11" s="3"/>
      <c r="I11" s="4"/>
    </row>
    <row r="12" spans="3:10" ht="18" hidden="1" customHeight="1">
      <c r="C12" s="619"/>
      <c r="D12" s="620"/>
      <c r="E12" s="621"/>
      <c r="F12" s="614"/>
      <c r="G12" s="3"/>
      <c r="H12" s="3"/>
      <c r="I12" s="4"/>
    </row>
    <row r="13" spans="3:10" ht="18" hidden="1" customHeight="1">
      <c r="C13" s="622"/>
      <c r="D13" s="623"/>
      <c r="E13" s="624"/>
      <c r="F13" s="615"/>
      <c r="G13" s="3"/>
      <c r="H13" s="3"/>
      <c r="I13" s="4"/>
    </row>
    <row r="14" spans="3:10">
      <c r="C14" s="6">
        <v>2021</v>
      </c>
      <c r="D14" s="7">
        <v>2670</v>
      </c>
      <c r="E14" s="8"/>
      <c r="F14" s="625">
        <f>SUM(E15:E18)/4</f>
        <v>14.788894279841934</v>
      </c>
      <c r="G14" s="9" t="e">
        <f>#REF!/#REF!*100</f>
        <v>#REF!</v>
      </c>
      <c r="H14" s="9"/>
      <c r="I14" s="10"/>
    </row>
    <row r="15" spans="3:10">
      <c r="C15" s="6">
        <v>2022</v>
      </c>
      <c r="D15" s="7">
        <v>2920</v>
      </c>
      <c r="E15" s="9">
        <f>(D15-D14)/D14*100</f>
        <v>9.3632958801498134</v>
      </c>
      <c r="F15" s="626"/>
      <c r="G15" s="9" t="e">
        <f>#REF!/#REF!*100</f>
        <v>#REF!</v>
      </c>
      <c r="H15" s="9" t="e">
        <f>G15-G14</f>
        <v>#REF!</v>
      </c>
      <c r="I15" s="10"/>
      <c r="J15" s="11"/>
    </row>
    <row r="16" spans="3:10">
      <c r="C16" s="6">
        <v>2023</v>
      </c>
      <c r="D16" s="7">
        <v>3335</v>
      </c>
      <c r="E16" s="9">
        <f t="shared" ref="E16:E17" si="1">(D16-D15)/D15*100</f>
        <v>14.212328767123289</v>
      </c>
      <c r="F16" s="626"/>
      <c r="G16" s="9" t="e">
        <f>#REF!/#REF!*100</f>
        <v>#REF!</v>
      </c>
      <c r="H16" s="9" t="e">
        <f t="shared" ref="H16:H18" si="2">G16-G15</f>
        <v>#REF!</v>
      </c>
      <c r="I16" s="10" t="e">
        <f>SUM(H15:H18)/4</f>
        <v>#REF!</v>
      </c>
    </row>
    <row r="17" spans="3:9">
      <c r="C17" s="6">
        <v>2024</v>
      </c>
      <c r="D17" s="7">
        <v>3774</v>
      </c>
      <c r="E17" s="9">
        <f t="shared" si="1"/>
        <v>13.163418290854572</v>
      </c>
      <c r="F17" s="626"/>
      <c r="G17" s="9" t="e">
        <f>#REF!/#REF!*100</f>
        <v>#REF!</v>
      </c>
      <c r="H17" s="9" t="e">
        <f t="shared" si="2"/>
        <v>#REF!</v>
      </c>
      <c r="I17" s="10"/>
    </row>
    <row r="18" spans="3:9">
      <c r="C18" s="6">
        <v>2025</v>
      </c>
      <c r="D18" s="7">
        <v>4620</v>
      </c>
      <c r="E18" s="9">
        <f>(D18-D17)/D17*100</f>
        <v>22.416534181240063</v>
      </c>
      <c r="F18" s="627"/>
      <c r="G18" s="9" t="e">
        <f>#REF!/#REF!*100</f>
        <v>#REF!</v>
      </c>
      <c r="H18" s="9" t="e">
        <f t="shared" si="2"/>
        <v>#REF!</v>
      </c>
      <c r="I18" s="10"/>
    </row>
    <row r="19" spans="3:9">
      <c r="C19" s="10"/>
      <c r="D19" s="11"/>
    </row>
    <row r="20" spans="3:9">
      <c r="C20" s="10"/>
    </row>
    <row r="21" spans="3:9" ht="63">
      <c r="C21" s="10"/>
      <c r="D21" s="12" t="s">
        <v>3</v>
      </c>
      <c r="E21" s="12" t="s">
        <v>7</v>
      </c>
      <c r="F21" s="13" t="s">
        <v>8</v>
      </c>
    </row>
    <row r="22" spans="3:9">
      <c r="C22" s="10"/>
      <c r="D22" s="1" t="s">
        <v>2</v>
      </c>
      <c r="E22" s="7">
        <v>14</v>
      </c>
      <c r="F22" s="14"/>
    </row>
    <row r="23" spans="3:9">
      <c r="C23" s="10"/>
      <c r="D23" s="1" t="s">
        <v>4</v>
      </c>
      <c r="E23" s="7">
        <v>14.8</v>
      </c>
      <c r="F23" s="14">
        <f>E23-E22</f>
        <v>0.80000000000000071</v>
      </c>
    </row>
    <row r="24" spans="3:9">
      <c r="C24" s="10"/>
      <c r="D24" s="1" t="s">
        <v>9</v>
      </c>
      <c r="E24" s="8">
        <f>E23+$F$23</f>
        <v>15.600000000000001</v>
      </c>
      <c r="F24" s="14"/>
    </row>
    <row r="25" spans="3:9">
      <c r="C25" s="10"/>
      <c r="D25" s="1" t="s">
        <v>10</v>
      </c>
      <c r="E25" s="8">
        <f>E24+$F$23</f>
        <v>16.400000000000002</v>
      </c>
      <c r="F25" s="14"/>
    </row>
    <row r="26" spans="3:9">
      <c r="C26" s="10"/>
      <c r="D26" s="1" t="s">
        <v>11</v>
      </c>
      <c r="E26" s="8">
        <f>E25+$F$23</f>
        <v>17.200000000000003</v>
      </c>
      <c r="F26" s="14"/>
    </row>
    <row r="27" spans="3:9">
      <c r="C27" s="10"/>
      <c r="D27" s="1" t="s">
        <v>12</v>
      </c>
      <c r="E27" s="8">
        <f>E26+$F$23</f>
        <v>18.000000000000004</v>
      </c>
      <c r="F27" s="14"/>
    </row>
    <row r="28" spans="3:9">
      <c r="C28" s="10"/>
    </row>
    <row r="29" spans="3:9">
      <c r="C29" s="10"/>
    </row>
    <row r="30" spans="3:9">
      <c r="C30" s="10"/>
    </row>
    <row r="31" spans="3:9">
      <c r="C31" s="10"/>
    </row>
    <row r="32" spans="3:9">
      <c r="C32" s="10"/>
    </row>
    <row r="33" spans="3:10">
      <c r="C33" s="10"/>
    </row>
    <row r="34" spans="3:10">
      <c r="C34" s="10"/>
    </row>
    <row r="35" spans="3:10">
      <c r="C35" s="10"/>
    </row>
    <row r="36" spans="3:10">
      <c r="C36" s="10"/>
    </row>
    <row r="37" spans="3:10">
      <c r="C37" s="10"/>
    </row>
    <row r="38" spans="3:10">
      <c r="C38" s="10"/>
    </row>
    <row r="39" spans="3:10">
      <c r="J39" s="10"/>
    </row>
  </sheetData>
  <mergeCells count="4">
    <mergeCell ref="F4:F8"/>
    <mergeCell ref="F9:F13"/>
    <mergeCell ref="C9:E13"/>
    <mergeCell ref="F14:F18"/>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27"/>
  <sheetViews>
    <sheetView showZeros="0" zoomScale="80" zoomScaleNormal="80" workbookViewId="0">
      <selection activeCell="T24" sqref="T24"/>
    </sheetView>
  </sheetViews>
  <sheetFormatPr defaultColWidth="9.140625" defaultRowHeight="15" outlineLevelCol="1"/>
  <cols>
    <col min="1" max="1" width="4.7109375" style="215" customWidth="1"/>
    <col min="2" max="2" width="23" style="215" customWidth="1"/>
    <col min="3" max="3" width="11.28515625" style="215" customWidth="1"/>
    <col min="4" max="4" width="8.140625" style="215" customWidth="1" outlineLevel="1"/>
    <col min="5" max="5" width="7.7109375" style="215" customWidth="1" outlineLevel="1"/>
    <col min="6" max="6" width="7.42578125" style="215" customWidth="1" outlineLevel="1"/>
    <col min="7" max="7" width="9.7109375" style="215" customWidth="1" outlineLevel="1"/>
    <col min="8" max="8" width="9.5703125" style="215" customWidth="1" outlineLevel="1"/>
    <col min="9" max="9" width="8.140625" style="215" customWidth="1" outlineLevel="1"/>
    <col min="10" max="10" width="9.28515625" style="215" customWidth="1" outlineLevel="1"/>
    <col min="11" max="11" width="9.140625" style="215" customWidth="1" outlineLevel="1"/>
    <col min="12" max="12" width="10.42578125" style="215" customWidth="1" outlineLevel="1"/>
    <col min="13" max="13" width="10.28515625" style="215" customWidth="1" outlineLevel="1"/>
    <col min="14" max="15" width="9.5703125" style="215" customWidth="1" outlineLevel="1"/>
    <col min="16" max="16" width="11.28515625" style="215" customWidth="1"/>
    <col min="17" max="18" width="11.5703125" style="215" customWidth="1" outlineLevel="1"/>
    <col min="19" max="19" width="9.140625" style="215" customWidth="1" outlineLevel="1"/>
    <col min="20" max="20" width="12" style="215" customWidth="1" outlineLevel="1"/>
    <col min="21" max="21" width="11.42578125" style="215" customWidth="1" outlineLevel="1"/>
    <col min="22" max="25" width="9.140625" style="215" customWidth="1" outlineLevel="1"/>
    <col min="26" max="27" width="11.140625" style="215" customWidth="1" outlineLevel="1"/>
    <col min="28" max="28" width="9.7109375" style="215" customWidth="1"/>
    <col min="29" max="33" width="9.140625" style="215" customWidth="1" outlineLevel="1"/>
    <col min="34" max="16384" width="9.140625" style="215"/>
  </cols>
  <sheetData>
    <row r="1" spans="1:33">
      <c r="AE1" s="691" t="s">
        <v>657</v>
      </c>
      <c r="AF1" s="691"/>
    </row>
    <row r="2" spans="1:33" ht="15" customHeight="1">
      <c r="A2" s="638" t="s">
        <v>955</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row>
    <row r="3" spans="1:33">
      <c r="A3" s="696" t="s">
        <v>953</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row>
    <row r="4" spans="1:33">
      <c r="A4" s="475"/>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row>
    <row r="5" spans="1:33">
      <c r="A5" s="475"/>
      <c r="B5" s="475"/>
      <c r="C5" s="475"/>
      <c r="D5" s="475"/>
      <c r="E5" s="475"/>
      <c r="F5" s="475"/>
      <c r="G5" s="475"/>
      <c r="H5" s="475"/>
      <c r="I5" s="475"/>
      <c r="J5" s="475"/>
      <c r="K5" s="475"/>
      <c r="L5" s="475"/>
      <c r="M5" s="475"/>
      <c r="N5" s="475"/>
      <c r="O5" s="475"/>
      <c r="P5" s="476"/>
      <c r="Q5" s="476"/>
      <c r="R5" s="476"/>
      <c r="S5" s="476"/>
      <c r="T5" s="476"/>
      <c r="U5" s="476"/>
      <c r="V5" s="476"/>
      <c r="W5" s="476"/>
      <c r="X5" s="476"/>
      <c r="Y5" s="476"/>
      <c r="Z5" s="476"/>
      <c r="AA5" s="476"/>
      <c r="AB5" s="475"/>
      <c r="AC5" s="475"/>
      <c r="AD5" s="475"/>
      <c r="AE5" s="475"/>
      <c r="AF5" s="475"/>
    </row>
    <row r="6" spans="1:33">
      <c r="A6" s="477"/>
      <c r="B6" s="477"/>
      <c r="C6" s="477"/>
      <c r="D6" s="477"/>
      <c r="E6" s="477"/>
      <c r="F6" s="477"/>
      <c r="G6" s="477"/>
      <c r="H6" s="477"/>
      <c r="I6" s="477"/>
      <c r="J6" s="477"/>
      <c r="K6" s="477"/>
      <c r="L6" s="477"/>
      <c r="M6" s="477"/>
      <c r="N6" s="477"/>
      <c r="O6" s="477"/>
      <c r="P6" s="477"/>
      <c r="Q6" s="478"/>
      <c r="R6" s="477"/>
      <c r="S6" s="477"/>
      <c r="T6" s="477"/>
      <c r="U6" s="477"/>
      <c r="V6" s="477"/>
      <c r="W6" s="477"/>
      <c r="X6" s="477"/>
      <c r="Y6" s="477"/>
      <c r="Z6" s="477"/>
      <c r="AA6" s="477"/>
      <c r="AB6" s="477"/>
      <c r="AC6" s="692" t="s">
        <v>789</v>
      </c>
      <c r="AD6" s="692"/>
      <c r="AE6" s="692"/>
      <c r="AF6" s="692"/>
    </row>
    <row r="7" spans="1:33" ht="24.75" customHeight="1">
      <c r="A7" s="641" t="s">
        <v>16</v>
      </c>
      <c r="B7" s="693" t="s">
        <v>803</v>
      </c>
      <c r="C7" s="697" t="s">
        <v>18</v>
      </c>
      <c r="D7" s="698"/>
      <c r="E7" s="698"/>
      <c r="F7" s="698"/>
      <c r="G7" s="698"/>
      <c r="H7" s="698"/>
      <c r="I7" s="698"/>
      <c r="J7" s="698"/>
      <c r="K7" s="698"/>
      <c r="L7" s="698"/>
      <c r="M7" s="698"/>
      <c r="N7" s="698"/>
      <c r="O7" s="699"/>
      <c r="P7" s="697" t="s">
        <v>19</v>
      </c>
      <c r="Q7" s="698"/>
      <c r="R7" s="698"/>
      <c r="S7" s="698"/>
      <c r="T7" s="698"/>
      <c r="U7" s="698"/>
      <c r="V7" s="698"/>
      <c r="W7" s="698"/>
      <c r="X7" s="698"/>
      <c r="Y7" s="698"/>
      <c r="Z7" s="698"/>
      <c r="AA7" s="699"/>
      <c r="AB7" s="641" t="s">
        <v>64</v>
      </c>
      <c r="AC7" s="641"/>
      <c r="AD7" s="641"/>
      <c r="AE7" s="641"/>
      <c r="AF7" s="641"/>
      <c r="AG7" s="641"/>
    </row>
    <row r="8" spans="1:33" ht="26.25" customHeight="1">
      <c r="A8" s="641"/>
      <c r="B8" s="694"/>
      <c r="C8" s="641" t="s">
        <v>155</v>
      </c>
      <c r="D8" s="641" t="s">
        <v>43</v>
      </c>
      <c r="E8" s="641"/>
      <c r="F8" s="641"/>
      <c r="G8" s="641" t="s">
        <v>44</v>
      </c>
      <c r="H8" s="641"/>
      <c r="I8" s="641"/>
      <c r="J8" s="693" t="s">
        <v>545</v>
      </c>
      <c r="K8" s="641" t="s">
        <v>160</v>
      </c>
      <c r="L8" s="641"/>
      <c r="M8" s="641"/>
      <c r="N8" s="641" t="s">
        <v>50</v>
      </c>
      <c r="O8" s="641" t="s">
        <v>929</v>
      </c>
      <c r="P8" s="641" t="s">
        <v>155</v>
      </c>
      <c r="Q8" s="641" t="s">
        <v>43</v>
      </c>
      <c r="R8" s="641"/>
      <c r="S8" s="641"/>
      <c r="T8" s="641" t="s">
        <v>44</v>
      </c>
      <c r="U8" s="641"/>
      <c r="V8" s="641"/>
      <c r="W8" s="641" t="s">
        <v>160</v>
      </c>
      <c r="X8" s="641"/>
      <c r="Y8" s="641"/>
      <c r="Z8" s="641" t="s">
        <v>50</v>
      </c>
      <c r="AA8" s="641" t="s">
        <v>929</v>
      </c>
      <c r="AB8" s="693" t="s">
        <v>155</v>
      </c>
      <c r="AC8" s="693" t="s">
        <v>43</v>
      </c>
      <c r="AD8" s="693" t="s">
        <v>44</v>
      </c>
      <c r="AE8" s="693" t="s">
        <v>160</v>
      </c>
      <c r="AF8" s="693" t="s">
        <v>50</v>
      </c>
      <c r="AG8" s="641" t="s">
        <v>929</v>
      </c>
    </row>
    <row r="9" spans="1:33">
      <c r="A9" s="641"/>
      <c r="B9" s="694"/>
      <c r="C9" s="641"/>
      <c r="D9" s="641" t="s">
        <v>155</v>
      </c>
      <c r="E9" s="641" t="s">
        <v>161</v>
      </c>
      <c r="F9" s="641"/>
      <c r="G9" s="641" t="s">
        <v>155</v>
      </c>
      <c r="H9" s="641" t="s">
        <v>161</v>
      </c>
      <c r="I9" s="641"/>
      <c r="J9" s="694"/>
      <c r="K9" s="641" t="s">
        <v>155</v>
      </c>
      <c r="L9" s="641" t="s">
        <v>161</v>
      </c>
      <c r="M9" s="641"/>
      <c r="N9" s="641"/>
      <c r="O9" s="641"/>
      <c r="P9" s="641"/>
      <c r="Q9" s="641" t="s">
        <v>155</v>
      </c>
      <c r="R9" s="641" t="s">
        <v>161</v>
      </c>
      <c r="S9" s="641"/>
      <c r="T9" s="641" t="s">
        <v>155</v>
      </c>
      <c r="U9" s="641" t="s">
        <v>161</v>
      </c>
      <c r="V9" s="641"/>
      <c r="W9" s="641" t="s">
        <v>155</v>
      </c>
      <c r="X9" s="641" t="s">
        <v>161</v>
      </c>
      <c r="Y9" s="641"/>
      <c r="Z9" s="641"/>
      <c r="AA9" s="641"/>
      <c r="AB9" s="694"/>
      <c r="AC9" s="694"/>
      <c r="AD9" s="694"/>
      <c r="AE9" s="694"/>
      <c r="AF9" s="694"/>
      <c r="AG9" s="641"/>
    </row>
    <row r="10" spans="1:33" ht="108.75" customHeight="1">
      <c r="A10" s="641"/>
      <c r="B10" s="695"/>
      <c r="C10" s="641"/>
      <c r="D10" s="641"/>
      <c r="E10" s="401" t="s">
        <v>162</v>
      </c>
      <c r="F10" s="401" t="s">
        <v>163</v>
      </c>
      <c r="G10" s="641"/>
      <c r="H10" s="401" t="s">
        <v>162</v>
      </c>
      <c r="I10" s="401" t="s">
        <v>163</v>
      </c>
      <c r="J10" s="695"/>
      <c r="K10" s="641"/>
      <c r="L10" s="401" t="s">
        <v>43</v>
      </c>
      <c r="M10" s="401" t="s">
        <v>44</v>
      </c>
      <c r="N10" s="641"/>
      <c r="O10" s="641"/>
      <c r="P10" s="641"/>
      <c r="Q10" s="641"/>
      <c r="R10" s="401" t="s">
        <v>162</v>
      </c>
      <c r="S10" s="401" t="s">
        <v>163</v>
      </c>
      <c r="T10" s="641"/>
      <c r="U10" s="401" t="s">
        <v>162</v>
      </c>
      <c r="V10" s="401" t="s">
        <v>163</v>
      </c>
      <c r="W10" s="641"/>
      <c r="X10" s="401" t="s">
        <v>43</v>
      </c>
      <c r="Y10" s="401" t="s">
        <v>44</v>
      </c>
      <c r="Z10" s="641"/>
      <c r="AA10" s="641"/>
      <c r="AB10" s="695"/>
      <c r="AC10" s="695"/>
      <c r="AD10" s="695"/>
      <c r="AE10" s="695"/>
      <c r="AF10" s="695"/>
      <c r="AG10" s="641"/>
    </row>
    <row r="11" spans="1:33">
      <c r="A11" s="401" t="s">
        <v>23</v>
      </c>
      <c r="B11" s="401" t="s">
        <v>24</v>
      </c>
      <c r="C11" s="401">
        <v>1</v>
      </c>
      <c r="D11" s="401">
        <v>2</v>
      </c>
      <c r="E11" s="401">
        <v>3</v>
      </c>
      <c r="F11" s="401">
        <v>4</v>
      </c>
      <c r="G11" s="401">
        <v>5</v>
      </c>
      <c r="H11" s="401">
        <v>6</v>
      </c>
      <c r="I11" s="401">
        <v>7</v>
      </c>
      <c r="J11" s="401">
        <v>8</v>
      </c>
      <c r="K11" s="401">
        <v>9</v>
      </c>
      <c r="L11" s="401">
        <v>10</v>
      </c>
      <c r="M11" s="401">
        <v>11</v>
      </c>
      <c r="N11" s="401">
        <v>12</v>
      </c>
      <c r="O11" s="401">
        <v>13</v>
      </c>
      <c r="P11" s="401">
        <v>14</v>
      </c>
      <c r="Q11" s="401">
        <v>15</v>
      </c>
      <c r="R11" s="401">
        <v>16</v>
      </c>
      <c r="S11" s="401">
        <v>17</v>
      </c>
      <c r="T11" s="401">
        <v>18</v>
      </c>
      <c r="U11" s="401">
        <v>19</v>
      </c>
      <c r="V11" s="401">
        <v>20</v>
      </c>
      <c r="W11" s="401">
        <v>21</v>
      </c>
      <c r="X11" s="401">
        <v>22</v>
      </c>
      <c r="Y11" s="401">
        <v>23</v>
      </c>
      <c r="Z11" s="401">
        <v>24</v>
      </c>
      <c r="AA11" s="401">
        <v>25</v>
      </c>
      <c r="AB11" s="401">
        <v>26</v>
      </c>
      <c r="AC11" s="401">
        <v>27</v>
      </c>
      <c r="AD11" s="401">
        <v>28</v>
      </c>
      <c r="AE11" s="401">
        <v>29</v>
      </c>
      <c r="AF11" s="401">
        <v>30</v>
      </c>
      <c r="AG11" s="401">
        <v>31</v>
      </c>
    </row>
    <row r="12" spans="1:33" s="214" customFormat="1" ht="21.75" customHeight="1">
      <c r="A12" s="479"/>
      <c r="B12" s="479" t="s">
        <v>157</v>
      </c>
      <c r="C12" s="480">
        <f>SUM(C13:C22)</f>
        <v>3332278</v>
      </c>
      <c r="D12" s="480">
        <f t="shared" ref="D12:AA12" si="0">SUM(D13:D22)</f>
        <v>388487</v>
      </c>
      <c r="E12" s="480">
        <f t="shared" si="0"/>
        <v>87287.483999999997</v>
      </c>
      <c r="F12" s="480">
        <f t="shared" si="0"/>
        <v>0</v>
      </c>
      <c r="G12" s="480">
        <f t="shared" si="0"/>
        <v>2884231</v>
      </c>
      <c r="H12" s="480">
        <f t="shared" si="0"/>
        <v>1652385.9999999998</v>
      </c>
      <c r="I12" s="480">
        <f t="shared" si="0"/>
        <v>1500</v>
      </c>
      <c r="J12" s="480">
        <f t="shared" si="0"/>
        <v>59560</v>
      </c>
      <c r="K12" s="480">
        <f t="shared" si="0"/>
        <v>0</v>
      </c>
      <c r="L12" s="480">
        <f t="shared" si="0"/>
        <v>0</v>
      </c>
      <c r="M12" s="480">
        <f t="shared" si="0"/>
        <v>0</v>
      </c>
      <c r="N12" s="480">
        <f t="shared" si="0"/>
        <v>0</v>
      </c>
      <c r="O12" s="480">
        <f t="shared" si="0"/>
        <v>0</v>
      </c>
      <c r="P12" s="480">
        <f t="shared" si="0"/>
        <v>4808772.819085001</v>
      </c>
      <c r="Q12" s="480">
        <f t="shared" si="0"/>
        <v>693908.5905770011</v>
      </c>
      <c r="R12" s="480">
        <f t="shared" si="0"/>
        <v>131010.31587200001</v>
      </c>
      <c r="S12" s="480">
        <f t="shared" si="0"/>
        <v>0</v>
      </c>
      <c r="T12" s="480">
        <f t="shared" si="0"/>
        <v>3131858.0040679998</v>
      </c>
      <c r="U12" s="480">
        <f t="shared" si="0"/>
        <v>1734950.5166770001</v>
      </c>
      <c r="V12" s="480">
        <f t="shared" si="0"/>
        <v>1381.05683</v>
      </c>
      <c r="W12" s="480">
        <f t="shared" si="0"/>
        <v>6737.8180720000009</v>
      </c>
      <c r="X12" s="480">
        <f t="shared" si="0"/>
        <v>2434.8150719999999</v>
      </c>
      <c r="Y12" s="480">
        <f t="shared" si="0"/>
        <v>4303.0029999999997</v>
      </c>
      <c r="Z12" s="480">
        <f t="shared" si="0"/>
        <v>877946.73245799995</v>
      </c>
      <c r="AA12" s="480">
        <f t="shared" si="0"/>
        <v>98321.673909999998</v>
      </c>
      <c r="AB12" s="481">
        <f t="shared" ref="AB12:AC12" si="1">P12/C12*100</f>
        <v>144.30887276166638</v>
      </c>
      <c r="AC12" s="481">
        <f t="shared" si="1"/>
        <v>178.61822675585054</v>
      </c>
      <c r="AD12" s="481">
        <f t="shared" ref="AD12" si="2">T12/G12*100</f>
        <v>108.58554686042829</v>
      </c>
      <c r="AE12" s="481"/>
      <c r="AF12" s="191"/>
      <c r="AG12" s="191"/>
    </row>
    <row r="13" spans="1:33" ht="21.75" customHeight="1">
      <c r="A13" s="365">
        <v>1</v>
      </c>
      <c r="B13" s="366" t="s">
        <v>601</v>
      </c>
      <c r="C13" s="367">
        <f>D13+G13+J13+K13+N13+O13</f>
        <v>720577.61478293827</v>
      </c>
      <c r="D13" s="367">
        <v>141510</v>
      </c>
      <c r="E13" s="343">
        <v>46179</v>
      </c>
      <c r="F13" s="385"/>
      <c r="G13" s="367">
        <v>566267.61478293827</v>
      </c>
      <c r="H13" s="367">
        <v>307528.61478293827</v>
      </c>
      <c r="I13" s="367">
        <v>150</v>
      </c>
      <c r="J13" s="367">
        <v>12800</v>
      </c>
      <c r="K13" s="343">
        <f>L13+M13</f>
        <v>0</v>
      </c>
      <c r="L13" s="343"/>
      <c r="M13" s="343"/>
      <c r="N13" s="367"/>
      <c r="O13" s="367"/>
      <c r="P13" s="343">
        <f>Q13+T13+W13+Z13+AA13</f>
        <v>1013563.144901</v>
      </c>
      <c r="Q13" s="343">
        <f>195281.570237+6.6</f>
        <v>195288.17023700001</v>
      </c>
      <c r="R13" s="343">
        <v>66778.050719000006</v>
      </c>
      <c r="S13" s="343"/>
      <c r="T13" s="343">
        <f>606945.252342-350</f>
        <v>606595.25234200002</v>
      </c>
      <c r="U13" s="343">
        <v>327275.66068999999</v>
      </c>
      <c r="V13" s="343">
        <v>162.11983000000001</v>
      </c>
      <c r="W13" s="343">
        <f>X13+Y13</f>
        <v>1955.7729999999999</v>
      </c>
      <c r="X13" s="343">
        <f>356.6-6.6</f>
        <v>350</v>
      </c>
      <c r="Y13" s="343">
        <f>1255.773+350</f>
        <v>1605.7729999999999</v>
      </c>
      <c r="Z13" s="343">
        <v>194712.79631999999</v>
      </c>
      <c r="AA13" s="343">
        <f>14962.874786+48.278216</f>
        <v>15011.153002000001</v>
      </c>
      <c r="AB13" s="482">
        <f>P13/C13</f>
        <v>1.4065981569609523</v>
      </c>
      <c r="AC13" s="482">
        <f>Q13/D13</f>
        <v>1.380030882884602</v>
      </c>
      <c r="AD13" s="482">
        <f>T13/G13</f>
        <v>1.0712165705865417</v>
      </c>
      <c r="AE13" s="482"/>
      <c r="AF13" s="483"/>
      <c r="AG13" s="483"/>
    </row>
    <row r="14" spans="1:33" ht="21.75" customHeight="1">
      <c r="A14" s="365">
        <v>2</v>
      </c>
      <c r="B14" s="366" t="s">
        <v>602</v>
      </c>
      <c r="C14" s="367">
        <f t="shared" ref="C14:C21" si="3">D14+G14+J14+K14+N14+O14</f>
        <v>384700.62494410668</v>
      </c>
      <c r="D14" s="367">
        <v>34105</v>
      </c>
      <c r="E14" s="343">
        <v>5800</v>
      </c>
      <c r="F14" s="385"/>
      <c r="G14" s="367">
        <v>343905.62494410668</v>
      </c>
      <c r="H14" s="367">
        <v>219277.62494410668</v>
      </c>
      <c r="I14" s="367">
        <v>150</v>
      </c>
      <c r="J14" s="367">
        <v>6690</v>
      </c>
      <c r="K14" s="343">
        <f t="shared" ref="K14:K22" si="4">L14+M14</f>
        <v>0</v>
      </c>
      <c r="L14" s="343"/>
      <c r="M14" s="343"/>
      <c r="N14" s="367"/>
      <c r="O14" s="367"/>
      <c r="P14" s="343">
        <f>Q14+T14+W14+Z14+AA14</f>
        <v>510836.25580799999</v>
      </c>
      <c r="Q14" s="471">
        <f>73769.319016-15.0846790000001-199</f>
        <v>73555.234336999987</v>
      </c>
      <c r="R14" s="471">
        <v>12043.340297000001</v>
      </c>
      <c r="S14" s="471"/>
      <c r="T14" s="471">
        <f>387402.306241+199</f>
        <v>387601.30624100001</v>
      </c>
      <c r="U14" s="471">
        <v>240009.04555899999</v>
      </c>
      <c r="V14" s="471">
        <v>150</v>
      </c>
      <c r="W14" s="343">
        <f t="shared" ref="W14:W21" si="5">X14+Y14</f>
        <v>801.50000000000011</v>
      </c>
      <c r="X14" s="484">
        <f>198.631997+15.0846790000001-0.0166759999999613</f>
        <v>213.70000000000016</v>
      </c>
      <c r="Y14" s="471">
        <f>587.783324+0.0166759999999613</f>
        <v>587.79999999999995</v>
      </c>
      <c r="Z14" s="471">
        <v>38879.541765000002</v>
      </c>
      <c r="AA14" s="471">
        <v>9998.6734649999999</v>
      </c>
      <c r="AB14" s="482">
        <f t="shared" ref="AB14:AC21" si="6">P14/C14</f>
        <v>1.3278799738945566</v>
      </c>
      <c r="AC14" s="482">
        <f t="shared" si="6"/>
        <v>2.1567287593314761</v>
      </c>
      <c r="AD14" s="482">
        <f t="shared" ref="AD14:AD21" si="7">T14/G14</f>
        <v>1.1270571869942372</v>
      </c>
      <c r="AE14" s="482"/>
      <c r="AF14" s="485"/>
      <c r="AG14" s="485"/>
    </row>
    <row r="15" spans="1:33" ht="21.75" customHeight="1">
      <c r="A15" s="365">
        <v>3</v>
      </c>
      <c r="B15" s="366" t="s">
        <v>603</v>
      </c>
      <c r="C15" s="367">
        <f t="shared" si="3"/>
        <v>286957.70432021777</v>
      </c>
      <c r="D15" s="367">
        <v>19751</v>
      </c>
      <c r="E15" s="343">
        <v>3900</v>
      </c>
      <c r="F15" s="385"/>
      <c r="G15" s="367">
        <v>262026.70432021777</v>
      </c>
      <c r="H15" s="367">
        <v>163417.70432021777</v>
      </c>
      <c r="I15" s="367">
        <v>150</v>
      </c>
      <c r="J15" s="367">
        <v>5180</v>
      </c>
      <c r="K15" s="343">
        <f t="shared" si="4"/>
        <v>0</v>
      </c>
      <c r="L15" s="343"/>
      <c r="M15" s="343"/>
      <c r="N15" s="367"/>
      <c r="O15" s="367"/>
      <c r="P15" s="343">
        <f t="shared" ref="P15:P22" si="8">Q15+T15+W15+Z15+AA15</f>
        <v>406279.64519499999</v>
      </c>
      <c r="Q15" s="486">
        <v>37177.361352</v>
      </c>
      <c r="R15" s="486">
        <v>6902.817</v>
      </c>
      <c r="S15" s="486"/>
      <c r="T15" s="486">
        <v>280159.01555700001</v>
      </c>
      <c r="U15" s="486">
        <v>174484.25896199999</v>
      </c>
      <c r="V15" s="486">
        <v>135</v>
      </c>
      <c r="W15" s="343">
        <f t="shared" si="5"/>
        <v>377.291</v>
      </c>
      <c r="X15" s="471">
        <v>60.290999999999997</v>
      </c>
      <c r="Y15" s="471">
        <v>317</v>
      </c>
      <c r="Z15" s="486">
        <v>83783.253546000007</v>
      </c>
      <c r="AA15" s="486">
        <v>4782.7237400000004</v>
      </c>
      <c r="AB15" s="482">
        <f t="shared" si="6"/>
        <v>1.4158171712359051</v>
      </c>
      <c r="AC15" s="482">
        <f t="shared" si="6"/>
        <v>1.882302736671561</v>
      </c>
      <c r="AD15" s="482">
        <f t="shared" si="7"/>
        <v>1.0692002415701229</v>
      </c>
      <c r="AE15" s="482"/>
      <c r="AF15" s="483"/>
      <c r="AG15" s="483"/>
    </row>
    <row r="16" spans="1:33" ht="21.75" customHeight="1">
      <c r="A16" s="365">
        <v>4</v>
      </c>
      <c r="B16" s="366" t="s">
        <v>604</v>
      </c>
      <c r="C16" s="367">
        <f t="shared" si="3"/>
        <v>305965.41803993302</v>
      </c>
      <c r="D16" s="367">
        <v>36156</v>
      </c>
      <c r="E16" s="343">
        <v>2000</v>
      </c>
      <c r="F16" s="385"/>
      <c r="G16" s="367">
        <v>263969.41803993302</v>
      </c>
      <c r="H16" s="367">
        <v>152821.41803993302</v>
      </c>
      <c r="I16" s="367">
        <v>150</v>
      </c>
      <c r="J16" s="367">
        <v>5840</v>
      </c>
      <c r="K16" s="343">
        <f t="shared" si="4"/>
        <v>0</v>
      </c>
      <c r="L16" s="343"/>
      <c r="M16" s="343"/>
      <c r="N16" s="367"/>
      <c r="O16" s="367"/>
      <c r="P16" s="343">
        <f t="shared" si="8"/>
        <v>444233.936361</v>
      </c>
      <c r="Q16" s="367">
        <v>90844.054155999998</v>
      </c>
      <c r="R16" s="367">
        <v>3880.7124439999998</v>
      </c>
      <c r="S16" s="367"/>
      <c r="T16" s="367">
        <f>287505.750595</f>
        <v>287505.75059499999</v>
      </c>
      <c r="U16" s="367">
        <v>153994.36291500001</v>
      </c>
      <c r="V16" s="367">
        <v>206.803</v>
      </c>
      <c r="W16" s="343">
        <f t="shared" si="5"/>
        <v>886.17</v>
      </c>
      <c r="X16" s="471">
        <v>145.16999999999999</v>
      </c>
      <c r="Y16" s="471">
        <f>129.196+611.804</f>
        <v>741</v>
      </c>
      <c r="Z16" s="367">
        <v>52597.143730999996</v>
      </c>
      <c r="AA16" s="367">
        <v>12400.817878999998</v>
      </c>
      <c r="AB16" s="482">
        <f t="shared" si="6"/>
        <v>1.4519089745724822</v>
      </c>
      <c r="AC16" s="482">
        <f t="shared" si="6"/>
        <v>2.5125581965925434</v>
      </c>
      <c r="AD16" s="482">
        <f t="shared" si="7"/>
        <v>1.089163103551285</v>
      </c>
      <c r="AE16" s="482"/>
      <c r="AF16" s="483"/>
      <c r="AG16" s="483"/>
    </row>
    <row r="17" spans="1:33" ht="21.75" customHeight="1">
      <c r="A17" s="365">
        <v>5</v>
      </c>
      <c r="B17" s="366" t="s">
        <v>605</v>
      </c>
      <c r="C17" s="367">
        <f t="shared" si="3"/>
        <v>335912.95467297069</v>
      </c>
      <c r="D17" s="367">
        <v>25650</v>
      </c>
      <c r="E17" s="343">
        <v>5567</v>
      </c>
      <c r="F17" s="385"/>
      <c r="G17" s="367">
        <v>304382.95467297069</v>
      </c>
      <c r="H17" s="367">
        <v>181492.95467297069</v>
      </c>
      <c r="I17" s="367">
        <v>150</v>
      </c>
      <c r="J17" s="367">
        <v>5880</v>
      </c>
      <c r="K17" s="343">
        <f t="shared" si="4"/>
        <v>0</v>
      </c>
      <c r="L17" s="343"/>
      <c r="M17" s="343"/>
      <c r="N17" s="367"/>
      <c r="O17" s="367"/>
      <c r="P17" s="343">
        <f t="shared" si="8"/>
        <v>464000.483694</v>
      </c>
      <c r="Q17" s="343">
        <v>29137.163121000001</v>
      </c>
      <c r="R17" s="343">
        <v>8554.6856380000008</v>
      </c>
      <c r="S17" s="343"/>
      <c r="T17" s="343">
        <v>332501.81023300003</v>
      </c>
      <c r="U17" s="343">
        <v>183399.30449899999</v>
      </c>
      <c r="V17" s="343">
        <v>148.40899999999999</v>
      </c>
      <c r="W17" s="343">
        <f t="shared" si="5"/>
        <v>240.64407199999999</v>
      </c>
      <c r="X17" s="471">
        <v>28.644072000000001</v>
      </c>
      <c r="Y17" s="471">
        <v>212</v>
      </c>
      <c r="Z17" s="343">
        <v>89824.758155999996</v>
      </c>
      <c r="AA17" s="343">
        <v>12296.108112</v>
      </c>
      <c r="AB17" s="482">
        <f t="shared" si="6"/>
        <v>1.3813116679162594</v>
      </c>
      <c r="AC17" s="482">
        <f t="shared" si="6"/>
        <v>1.1359517785964912</v>
      </c>
      <c r="AD17" s="482">
        <f t="shared" si="7"/>
        <v>1.0923798626971088</v>
      </c>
      <c r="AE17" s="482"/>
      <c r="AF17" s="483"/>
      <c r="AG17" s="483"/>
    </row>
    <row r="18" spans="1:33" ht="21.75" customHeight="1">
      <c r="A18" s="365">
        <v>6</v>
      </c>
      <c r="B18" s="366" t="s">
        <v>606</v>
      </c>
      <c r="C18" s="367">
        <f t="shared" si="3"/>
        <v>319342.93806332664</v>
      </c>
      <c r="D18" s="367">
        <v>14572</v>
      </c>
      <c r="E18" s="470">
        <v>9980</v>
      </c>
      <c r="F18" s="487"/>
      <c r="G18" s="367">
        <v>299040.93806332664</v>
      </c>
      <c r="H18" s="367">
        <v>177220.93806332667</v>
      </c>
      <c r="I18" s="367">
        <v>150</v>
      </c>
      <c r="J18" s="367">
        <v>5730</v>
      </c>
      <c r="K18" s="343">
        <f t="shared" si="4"/>
        <v>0</v>
      </c>
      <c r="L18" s="343"/>
      <c r="M18" s="343"/>
      <c r="N18" s="367"/>
      <c r="O18" s="367"/>
      <c r="P18" s="343">
        <f t="shared" si="8"/>
        <v>500373.530768</v>
      </c>
      <c r="Q18" s="488">
        <f>54845.06946-0.362999999999943</f>
        <v>54844.706460000001</v>
      </c>
      <c r="R18" s="488">
        <v>20375.578000000001</v>
      </c>
      <c r="S18" s="488"/>
      <c r="T18" s="489">
        <v>318489.77831600001</v>
      </c>
      <c r="U18" s="488">
        <v>181959.147891</v>
      </c>
      <c r="V18" s="488">
        <v>18.885000000000002</v>
      </c>
      <c r="W18" s="343">
        <f t="shared" si="5"/>
        <v>686.29</v>
      </c>
      <c r="X18" s="471">
        <f>370.033+0.362999999999943</f>
        <v>370.39599999999996</v>
      </c>
      <c r="Y18" s="471">
        <v>315.89400000000001</v>
      </c>
      <c r="Z18" s="488">
        <v>113595.193992</v>
      </c>
      <c r="AA18" s="488">
        <f>12757.562</f>
        <v>12757.562</v>
      </c>
      <c r="AB18" s="482">
        <f t="shared" si="6"/>
        <v>1.5668845968617426</v>
      </c>
      <c r="AC18" s="482">
        <f t="shared" si="6"/>
        <v>3.7637048078506727</v>
      </c>
      <c r="AD18" s="482">
        <f t="shared" si="7"/>
        <v>1.0650373837730363</v>
      </c>
      <c r="AE18" s="482"/>
      <c r="AF18" s="483"/>
      <c r="AG18" s="483"/>
    </row>
    <row r="19" spans="1:33" ht="21.75" customHeight="1">
      <c r="A19" s="365">
        <v>7</v>
      </c>
      <c r="B19" s="366" t="s">
        <v>607</v>
      </c>
      <c r="C19" s="367">
        <f t="shared" si="3"/>
        <v>111323.76621268374</v>
      </c>
      <c r="D19" s="367">
        <v>22326</v>
      </c>
      <c r="E19" s="470">
        <v>3500</v>
      </c>
      <c r="F19" s="487"/>
      <c r="G19" s="367">
        <v>87207.766212683739</v>
      </c>
      <c r="H19" s="367">
        <v>37708.766212683739</v>
      </c>
      <c r="I19" s="367">
        <v>150</v>
      </c>
      <c r="J19" s="367">
        <v>1790</v>
      </c>
      <c r="K19" s="343">
        <f t="shared" si="4"/>
        <v>0</v>
      </c>
      <c r="L19" s="343"/>
      <c r="M19" s="343"/>
      <c r="N19" s="367"/>
      <c r="O19" s="367"/>
      <c r="P19" s="343">
        <f t="shared" si="8"/>
        <v>219823.6510130011</v>
      </c>
      <c r="Q19" s="490">
        <f>45701.628982+0.270386001095176</f>
        <v>45701.899368001097</v>
      </c>
      <c r="R19" s="490">
        <v>1526.8989999999999</v>
      </c>
      <c r="S19" s="490"/>
      <c r="T19" s="471">
        <v>98737.077764000001</v>
      </c>
      <c r="U19" s="490">
        <v>39584.614355999998</v>
      </c>
      <c r="V19" s="490">
        <v>129.94999999999999</v>
      </c>
      <c r="W19" s="343">
        <f t="shared" si="5"/>
        <v>0</v>
      </c>
      <c r="X19" s="471">
        <v>0</v>
      </c>
      <c r="Y19" s="471">
        <v>0</v>
      </c>
      <c r="Z19" s="491">
        <v>68806.237510999999</v>
      </c>
      <c r="AA19" s="491">
        <v>6578.4363700000004</v>
      </c>
      <c r="AB19" s="482">
        <f t="shared" si="6"/>
        <v>1.9746336159075739</v>
      </c>
      <c r="AC19" s="482">
        <f t="shared" si="6"/>
        <v>2.0470258607901592</v>
      </c>
      <c r="AD19" s="482">
        <f t="shared" si="7"/>
        <v>1.1322051011282457</v>
      </c>
      <c r="AE19" s="482"/>
      <c r="AF19" s="483"/>
      <c r="AG19" s="483"/>
    </row>
    <row r="20" spans="1:33" ht="21.75" customHeight="1">
      <c r="A20" s="365">
        <v>8</v>
      </c>
      <c r="B20" s="366" t="s">
        <v>558</v>
      </c>
      <c r="C20" s="367">
        <f t="shared" si="3"/>
        <v>227516.7911057708</v>
      </c>
      <c r="D20" s="367">
        <v>11864</v>
      </c>
      <c r="E20" s="470">
        <v>3775</v>
      </c>
      <c r="F20" s="487"/>
      <c r="G20" s="367">
        <v>211612.7911057708</v>
      </c>
      <c r="H20" s="367">
        <v>119081.7911057708</v>
      </c>
      <c r="I20" s="367">
        <v>150</v>
      </c>
      <c r="J20" s="367">
        <v>4040</v>
      </c>
      <c r="K20" s="343">
        <f t="shared" si="4"/>
        <v>0</v>
      </c>
      <c r="L20" s="343"/>
      <c r="M20" s="343"/>
      <c r="N20" s="367"/>
      <c r="O20" s="367"/>
      <c r="P20" s="343">
        <f t="shared" si="8"/>
        <v>288150.02428000001</v>
      </c>
      <c r="Q20" s="343">
        <v>23456.780159000002</v>
      </c>
      <c r="R20" s="343">
        <v>4205.1417739999997</v>
      </c>
      <c r="S20" s="492"/>
      <c r="T20" s="343">
        <v>218814.64413199999</v>
      </c>
      <c r="U20" s="343">
        <v>120866.831328</v>
      </c>
      <c r="V20" s="483">
        <v>135</v>
      </c>
      <c r="W20" s="343">
        <f t="shared" si="5"/>
        <v>316.536</v>
      </c>
      <c r="X20" s="471">
        <v>0</v>
      </c>
      <c r="Y20" s="471">
        <v>316.536</v>
      </c>
      <c r="Z20" s="343">
        <v>37462.845989000001</v>
      </c>
      <c r="AA20" s="367">
        <v>8099.2179999999998</v>
      </c>
      <c r="AB20" s="482">
        <f t="shared" si="6"/>
        <v>1.2665000366765955</v>
      </c>
      <c r="AC20" s="482">
        <f t="shared" si="6"/>
        <v>1.9771392581759948</v>
      </c>
      <c r="AD20" s="482">
        <f t="shared" si="7"/>
        <v>1.0340331649547096</v>
      </c>
      <c r="AE20" s="482"/>
      <c r="AF20" s="483"/>
      <c r="AG20" s="483"/>
    </row>
    <row r="21" spans="1:33" ht="21.75" customHeight="1">
      <c r="A21" s="365">
        <v>9</v>
      </c>
      <c r="B21" s="366" t="s">
        <v>608</v>
      </c>
      <c r="C21" s="367">
        <f t="shared" si="3"/>
        <v>342542.108680512</v>
      </c>
      <c r="D21" s="367">
        <v>59823</v>
      </c>
      <c r="E21" s="470">
        <v>2800</v>
      </c>
      <c r="F21" s="487"/>
      <c r="G21" s="367">
        <v>276379.108680512</v>
      </c>
      <c r="H21" s="367">
        <v>135950.10868051203</v>
      </c>
      <c r="I21" s="367">
        <v>150</v>
      </c>
      <c r="J21" s="367">
        <v>6340</v>
      </c>
      <c r="K21" s="343">
        <f t="shared" si="4"/>
        <v>0</v>
      </c>
      <c r="L21" s="343"/>
      <c r="M21" s="343"/>
      <c r="N21" s="367"/>
      <c r="O21" s="367"/>
      <c r="P21" s="343">
        <f>Q21+T21+W21+Z21+AA21</f>
        <v>588343.12017400004</v>
      </c>
      <c r="Q21" s="471">
        <v>96292.300048000005</v>
      </c>
      <c r="R21" s="471">
        <v>3019.607</v>
      </c>
      <c r="S21" s="471"/>
      <c r="T21" s="471">
        <v>307667.29838699999</v>
      </c>
      <c r="U21" s="471">
        <v>150303.55715800001</v>
      </c>
      <c r="V21" s="471">
        <v>145</v>
      </c>
      <c r="W21" s="343">
        <f t="shared" si="5"/>
        <v>1367.211</v>
      </c>
      <c r="X21" s="471">
        <v>1160.211</v>
      </c>
      <c r="Y21" s="471">
        <v>207</v>
      </c>
      <c r="Z21" s="471">
        <v>172242.549684</v>
      </c>
      <c r="AA21" s="471">
        <v>10773.761055000001</v>
      </c>
      <c r="AB21" s="482">
        <f t="shared" si="6"/>
        <v>1.7175789640588273</v>
      </c>
      <c r="AC21" s="482">
        <f t="shared" si="6"/>
        <v>1.609620046604149</v>
      </c>
      <c r="AD21" s="482">
        <f t="shared" si="7"/>
        <v>1.1132075063700144</v>
      </c>
      <c r="AE21" s="482"/>
      <c r="AF21" s="483"/>
      <c r="AG21" s="483"/>
    </row>
    <row r="22" spans="1:33" ht="21.75" customHeight="1">
      <c r="A22" s="493">
        <v>10</v>
      </c>
      <c r="B22" s="494" t="s">
        <v>609</v>
      </c>
      <c r="C22" s="495">
        <f>D22+G22+J22+K22+N22+O22</f>
        <v>297438.07917754032</v>
      </c>
      <c r="D22" s="495">
        <v>22730</v>
      </c>
      <c r="E22" s="472">
        <v>3786.4839999999999</v>
      </c>
      <c r="F22" s="496"/>
      <c r="G22" s="495">
        <v>269438.07917754032</v>
      </c>
      <c r="H22" s="495">
        <v>157886.07917754035</v>
      </c>
      <c r="I22" s="495">
        <v>150</v>
      </c>
      <c r="J22" s="495">
        <v>5270</v>
      </c>
      <c r="K22" s="497">
        <f t="shared" si="4"/>
        <v>0</v>
      </c>
      <c r="L22" s="497"/>
      <c r="M22" s="497"/>
      <c r="N22" s="495"/>
      <c r="O22" s="495"/>
      <c r="P22" s="498">
        <f t="shared" si="8"/>
        <v>373169.02689099999</v>
      </c>
      <c r="Q22" s="498">
        <v>47610.921339</v>
      </c>
      <c r="R22" s="498">
        <v>3723.4839999999999</v>
      </c>
      <c r="S22" s="499"/>
      <c r="T22" s="473">
        <v>293786.07050099998</v>
      </c>
      <c r="U22" s="474">
        <v>163073.73331899999</v>
      </c>
      <c r="V22" s="500">
        <v>149.88999999999999</v>
      </c>
      <c r="W22" s="497">
        <f>X22+Y22</f>
        <v>106.40300000000001</v>
      </c>
      <c r="X22" s="473">
        <v>106.40300000000001</v>
      </c>
      <c r="Y22" s="473">
        <v>0</v>
      </c>
      <c r="Z22" s="474">
        <v>26042.411764</v>
      </c>
      <c r="AA22" s="474">
        <f>5623.220287</f>
        <v>5623.2202870000001</v>
      </c>
      <c r="AB22" s="501">
        <f>P22/C22</f>
        <v>1.2546108014241713</v>
      </c>
      <c r="AC22" s="501">
        <f>Q22/D22</f>
        <v>2.0946291834139905</v>
      </c>
      <c r="AD22" s="501">
        <f>T22/G22</f>
        <v>1.0903658139108692</v>
      </c>
      <c r="AE22" s="501"/>
      <c r="AF22" s="502"/>
      <c r="AG22" s="502"/>
    </row>
    <row r="23" spans="1:33" ht="17.25" customHeight="1">
      <c r="A23" s="225" t="s">
        <v>187</v>
      </c>
      <c r="P23" s="360"/>
      <c r="Q23" s="360"/>
      <c r="R23" s="360"/>
      <c r="S23" s="360"/>
      <c r="T23" s="360"/>
      <c r="U23" s="360"/>
      <c r="V23" s="360"/>
      <c r="W23" s="360"/>
      <c r="X23" s="360"/>
      <c r="Y23" s="360"/>
      <c r="Z23" s="360"/>
      <c r="AA23" s="360"/>
    </row>
    <row r="24" spans="1:33" ht="16.5" customHeight="1">
      <c r="A24" s="503" t="s">
        <v>164</v>
      </c>
      <c r="P24" s="504"/>
      <c r="Q24" s="504"/>
      <c r="R24" s="504"/>
      <c r="S24" s="504"/>
      <c r="T24" s="504"/>
      <c r="U24" s="504"/>
      <c r="V24" s="504"/>
      <c r="W24" s="504"/>
      <c r="X24" s="504"/>
      <c r="Y24" s="504"/>
      <c r="Z24" s="504"/>
      <c r="AA24" s="504"/>
    </row>
    <row r="25" spans="1:33" ht="20.25" customHeight="1">
      <c r="A25" s="503" t="s">
        <v>165</v>
      </c>
      <c r="T25" s="360"/>
      <c r="U25" s="360"/>
      <c r="V25" s="360"/>
      <c r="W25" s="360"/>
    </row>
    <row r="26" spans="1:33">
      <c r="P26" s="360"/>
      <c r="Q26" s="360"/>
      <c r="R26" s="360"/>
      <c r="S26" s="360"/>
      <c r="T26" s="360"/>
      <c r="U26" s="360"/>
      <c r="V26" s="360"/>
      <c r="W26" s="360"/>
      <c r="X26" s="360"/>
      <c r="Y26" s="360"/>
      <c r="Z26" s="360"/>
      <c r="AA26" s="360"/>
      <c r="AB26" s="505"/>
    </row>
    <row r="27" spans="1:33" ht="33.75" customHeight="1"/>
  </sheetData>
  <mergeCells count="40">
    <mergeCell ref="O8:O10"/>
    <mergeCell ref="A2:AG2"/>
    <mergeCell ref="A3:AG3"/>
    <mergeCell ref="C7:O7"/>
    <mergeCell ref="AA8:AA10"/>
    <mergeCell ref="P7:AA7"/>
    <mergeCell ref="AC8:AC10"/>
    <mergeCell ref="AD8:AD10"/>
    <mergeCell ref="T9:T10"/>
    <mergeCell ref="U9:V9"/>
    <mergeCell ref="P8:P10"/>
    <mergeCell ref="D9:D10"/>
    <mergeCell ref="E9:F9"/>
    <mergeCell ref="G9:G10"/>
    <mergeCell ref="H9:I9"/>
    <mergeCell ref="Q8:S8"/>
    <mergeCell ref="AG8:AG10"/>
    <mergeCell ref="AB7:AG7"/>
    <mergeCell ref="AF8:AF10"/>
    <mergeCell ref="R9:S9"/>
    <mergeCell ref="W9:W10"/>
    <mergeCell ref="X9:Y9"/>
    <mergeCell ref="AB8:AB10"/>
    <mergeCell ref="T8:V8"/>
    <mergeCell ref="AE1:AF1"/>
    <mergeCell ref="AC6:AF6"/>
    <mergeCell ref="A7:A10"/>
    <mergeCell ref="B7:B10"/>
    <mergeCell ref="C8:C10"/>
    <mergeCell ref="D8:F8"/>
    <mergeCell ref="G8:I8"/>
    <mergeCell ref="J8:J10"/>
    <mergeCell ref="K8:M8"/>
    <mergeCell ref="N8:N10"/>
    <mergeCell ref="AE8:AE10"/>
    <mergeCell ref="W8:Y8"/>
    <mergeCell ref="K9:K10"/>
    <mergeCell ref="Z8:Z10"/>
    <mergeCell ref="Q9:Q10"/>
    <mergeCell ref="L9:M9"/>
  </mergeCells>
  <pageMargins left="0.70866141732283472" right="0.70866141732283472" top="0.74803149606299213" bottom="0.74803149606299213" header="0.31496062992125984" footer="0.31496062992125984"/>
  <pageSetup paperSize="9" scale="57" orientation="landscape" r:id="rId1"/>
  <colBreaks count="1" manualBreakCount="1">
    <brk id="2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33"/>
  <sheetViews>
    <sheetView zoomScale="110" zoomScaleNormal="110" workbookViewId="0">
      <selection activeCell="J23" sqref="J23"/>
    </sheetView>
  </sheetViews>
  <sheetFormatPr defaultColWidth="9.140625" defaultRowHeight="15" outlineLevelCol="1"/>
  <cols>
    <col min="1" max="1" width="4" style="267" customWidth="1"/>
    <col min="2" max="2" width="18.140625" style="267" customWidth="1"/>
    <col min="3" max="3" width="9.140625" style="267"/>
    <col min="4" max="4" width="9.140625" style="267" customWidth="1" outlineLevel="1"/>
    <col min="5" max="5" width="8" style="267" customWidth="1" outlineLevel="1"/>
    <col min="6" max="6" width="8.42578125" style="267" customWidth="1" outlineLevel="1"/>
    <col min="7" max="7" width="8.28515625" style="267" customWidth="1" outlineLevel="1"/>
    <col min="8" max="8" width="8.7109375" style="267" customWidth="1" outlineLevel="1"/>
    <col min="9" max="9" width="8.85546875" style="267" customWidth="1" outlineLevel="1"/>
    <col min="10" max="10" width="9.140625" style="267" customWidth="1" outlineLevel="1"/>
    <col min="11" max="11" width="9.140625" style="267"/>
    <col min="12" max="12" width="10.85546875" style="267" customWidth="1" outlineLevel="1"/>
    <col min="13" max="13" width="9.140625" style="267" customWidth="1" outlineLevel="1"/>
    <col min="14" max="14" width="8.85546875" style="267" customWidth="1" outlineLevel="1"/>
    <col min="15" max="15" width="10" style="267" customWidth="1" outlineLevel="1"/>
    <col min="16" max="18" width="9.140625" style="267" customWidth="1" outlineLevel="1"/>
    <col min="19" max="19" width="7.85546875" style="267" customWidth="1"/>
    <col min="20" max="20" width="7" style="267" customWidth="1" outlineLevel="1"/>
    <col min="21" max="23" width="7.140625" style="267" customWidth="1" outlineLevel="1"/>
    <col min="24" max="24" width="8.28515625" style="267" customWidth="1" outlineLevel="1"/>
    <col min="25" max="25" width="8.5703125" style="267" customWidth="1" outlineLevel="1"/>
    <col min="26" max="26" width="7.28515625" style="267" customWidth="1" outlineLevel="1"/>
    <col min="27" max="27" width="21.28515625" style="267" customWidth="1"/>
    <col min="28" max="28" width="19.5703125" style="267" customWidth="1"/>
    <col min="29" max="16384" width="9.140625" style="267"/>
  </cols>
  <sheetData>
    <row r="1" spans="1:29">
      <c r="B1" s="700" t="s">
        <v>658</v>
      </c>
      <c r="C1" s="700"/>
      <c r="D1" s="700"/>
    </row>
    <row r="2" spans="1:29">
      <c r="A2" s="701" t="s">
        <v>1002</v>
      </c>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506"/>
    </row>
    <row r="3" spans="1:29">
      <c r="A3" s="702" t="s">
        <v>953</v>
      </c>
      <c r="B3" s="702"/>
      <c r="C3" s="702"/>
      <c r="D3" s="702"/>
      <c r="E3" s="702"/>
      <c r="F3" s="702"/>
      <c r="G3" s="702"/>
      <c r="H3" s="702"/>
      <c r="I3" s="702"/>
      <c r="J3" s="702"/>
      <c r="K3" s="702"/>
      <c r="L3" s="702"/>
      <c r="M3" s="702"/>
      <c r="N3" s="702"/>
      <c r="O3" s="702"/>
      <c r="P3" s="702"/>
      <c r="Q3" s="702"/>
      <c r="R3" s="702"/>
      <c r="S3" s="702"/>
      <c r="T3" s="702"/>
      <c r="U3" s="702"/>
      <c r="V3" s="702"/>
      <c r="W3" s="702"/>
      <c r="X3" s="702"/>
      <c r="Y3" s="702"/>
      <c r="Z3" s="702"/>
    </row>
    <row r="4" spans="1:29">
      <c r="P4" s="270"/>
      <c r="X4" s="703" t="s">
        <v>789</v>
      </c>
      <c r="Y4" s="703"/>
      <c r="Z4" s="703"/>
    </row>
    <row r="5" spans="1:29">
      <c r="A5" s="704" t="s">
        <v>16</v>
      </c>
      <c r="B5" s="704" t="s">
        <v>803</v>
      </c>
      <c r="C5" s="704" t="s">
        <v>18</v>
      </c>
      <c r="D5" s="704"/>
      <c r="E5" s="704"/>
      <c r="F5" s="704"/>
      <c r="G5" s="704"/>
      <c r="H5" s="704"/>
      <c r="I5" s="704"/>
      <c r="J5" s="704"/>
      <c r="K5" s="704" t="s">
        <v>19</v>
      </c>
      <c r="L5" s="704"/>
      <c r="M5" s="704"/>
      <c r="N5" s="704"/>
      <c r="O5" s="704"/>
      <c r="P5" s="704"/>
      <c r="Q5" s="704"/>
      <c r="R5" s="704"/>
      <c r="S5" s="704" t="s">
        <v>166</v>
      </c>
      <c r="T5" s="704"/>
      <c r="U5" s="704"/>
      <c r="V5" s="704"/>
      <c r="W5" s="704"/>
      <c r="X5" s="704"/>
      <c r="Y5" s="704"/>
      <c r="Z5" s="704"/>
    </row>
    <row r="6" spans="1:29">
      <c r="A6" s="704"/>
      <c r="B6" s="704"/>
      <c r="C6" s="704" t="s">
        <v>155</v>
      </c>
      <c r="D6" s="704" t="s">
        <v>167</v>
      </c>
      <c r="E6" s="704" t="s">
        <v>168</v>
      </c>
      <c r="F6" s="704"/>
      <c r="G6" s="704"/>
      <c r="H6" s="704"/>
      <c r="I6" s="704"/>
      <c r="J6" s="704"/>
      <c r="K6" s="704" t="s">
        <v>155</v>
      </c>
      <c r="L6" s="704" t="s">
        <v>167</v>
      </c>
      <c r="M6" s="704" t="s">
        <v>168</v>
      </c>
      <c r="N6" s="704"/>
      <c r="O6" s="704"/>
      <c r="P6" s="704"/>
      <c r="Q6" s="704"/>
      <c r="R6" s="704"/>
      <c r="S6" s="704" t="s">
        <v>155</v>
      </c>
      <c r="T6" s="704" t="s">
        <v>167</v>
      </c>
      <c r="U6" s="704" t="s">
        <v>168</v>
      </c>
      <c r="V6" s="704"/>
      <c r="W6" s="704"/>
      <c r="X6" s="704"/>
      <c r="Y6" s="704"/>
      <c r="Z6" s="704"/>
    </row>
    <row r="7" spans="1:29" ht="24" customHeight="1">
      <c r="A7" s="704"/>
      <c r="B7" s="704"/>
      <c r="C7" s="704"/>
      <c r="D7" s="704"/>
      <c r="E7" s="704" t="s">
        <v>155</v>
      </c>
      <c r="F7" s="704" t="s">
        <v>169</v>
      </c>
      <c r="G7" s="704"/>
      <c r="H7" s="704" t="s">
        <v>170</v>
      </c>
      <c r="I7" s="704" t="s">
        <v>171</v>
      </c>
      <c r="J7" s="704" t="s">
        <v>172</v>
      </c>
      <c r="K7" s="704"/>
      <c r="L7" s="704"/>
      <c r="M7" s="704" t="s">
        <v>155</v>
      </c>
      <c r="N7" s="704" t="s">
        <v>169</v>
      </c>
      <c r="O7" s="704"/>
      <c r="P7" s="705" t="s">
        <v>170</v>
      </c>
      <c r="Q7" s="704" t="s">
        <v>171</v>
      </c>
      <c r="R7" s="704" t="s">
        <v>172</v>
      </c>
      <c r="S7" s="704"/>
      <c r="T7" s="704"/>
      <c r="U7" s="704" t="s">
        <v>155</v>
      </c>
      <c r="V7" s="704" t="s">
        <v>169</v>
      </c>
      <c r="W7" s="704"/>
      <c r="X7" s="704" t="s">
        <v>170</v>
      </c>
      <c r="Y7" s="704" t="s">
        <v>171</v>
      </c>
      <c r="Z7" s="704" t="s">
        <v>172</v>
      </c>
    </row>
    <row r="8" spans="1:29" ht="19.5">
      <c r="A8" s="704"/>
      <c r="B8" s="704"/>
      <c r="C8" s="704"/>
      <c r="D8" s="704"/>
      <c r="E8" s="704"/>
      <c r="F8" s="507" t="s">
        <v>173</v>
      </c>
      <c r="G8" s="507" t="s">
        <v>174</v>
      </c>
      <c r="H8" s="704"/>
      <c r="I8" s="704"/>
      <c r="J8" s="704"/>
      <c r="K8" s="704"/>
      <c r="L8" s="704"/>
      <c r="M8" s="704"/>
      <c r="N8" s="507" t="s">
        <v>173</v>
      </c>
      <c r="O8" s="507" t="s">
        <v>174</v>
      </c>
      <c r="P8" s="706"/>
      <c r="Q8" s="704"/>
      <c r="R8" s="704"/>
      <c r="S8" s="704"/>
      <c r="T8" s="704"/>
      <c r="U8" s="704"/>
      <c r="V8" s="507" t="s">
        <v>173</v>
      </c>
      <c r="W8" s="507" t="s">
        <v>174</v>
      </c>
      <c r="X8" s="704"/>
      <c r="Y8" s="704"/>
      <c r="Z8" s="704"/>
    </row>
    <row r="9" spans="1:29">
      <c r="A9" s="507" t="s">
        <v>23</v>
      </c>
      <c r="B9" s="507" t="s">
        <v>24</v>
      </c>
      <c r="C9" s="507" t="s">
        <v>149</v>
      </c>
      <c r="D9" s="507">
        <v>2</v>
      </c>
      <c r="E9" s="507" t="s">
        <v>175</v>
      </c>
      <c r="F9" s="507">
        <v>4</v>
      </c>
      <c r="G9" s="507">
        <v>5</v>
      </c>
      <c r="H9" s="507">
        <v>6</v>
      </c>
      <c r="I9" s="507">
        <v>7</v>
      </c>
      <c r="J9" s="507">
        <v>8</v>
      </c>
      <c r="K9" s="507">
        <v>9</v>
      </c>
      <c r="L9" s="507">
        <v>10</v>
      </c>
      <c r="M9" s="507" t="s">
        <v>176</v>
      </c>
      <c r="N9" s="507">
        <v>12</v>
      </c>
      <c r="O9" s="507">
        <v>13</v>
      </c>
      <c r="P9" s="507">
        <v>14</v>
      </c>
      <c r="Q9" s="507">
        <v>15</v>
      </c>
      <c r="R9" s="507">
        <v>16</v>
      </c>
      <c r="S9" s="507" t="s">
        <v>177</v>
      </c>
      <c r="T9" s="507" t="s">
        <v>178</v>
      </c>
      <c r="U9" s="507" t="s">
        <v>179</v>
      </c>
      <c r="V9" s="507" t="s">
        <v>180</v>
      </c>
      <c r="W9" s="507" t="s">
        <v>181</v>
      </c>
      <c r="X9" s="507" t="s">
        <v>182</v>
      </c>
      <c r="Y9" s="507" t="s">
        <v>183</v>
      </c>
      <c r="Z9" s="507" t="s">
        <v>184</v>
      </c>
    </row>
    <row r="10" spans="1:29" ht="18" customHeight="1">
      <c r="A10" s="479"/>
      <c r="B10" s="479" t="s">
        <v>157</v>
      </c>
      <c r="C10" s="508">
        <f>D10+E10</f>
        <v>2366615</v>
      </c>
      <c r="D10" s="508">
        <f>SUM(D11:D20)</f>
        <v>2007071</v>
      </c>
      <c r="E10" s="508">
        <f>SUM(E11:E20)</f>
        <v>359544.00000000006</v>
      </c>
      <c r="F10" s="508">
        <f t="shared" ref="F10:R10" si="0">SUM(F11:F20)</f>
        <v>0</v>
      </c>
      <c r="G10" s="508">
        <f t="shared" si="0"/>
        <v>295974</v>
      </c>
      <c r="H10" s="508">
        <f t="shared" si="0"/>
        <v>135800</v>
      </c>
      <c r="I10" s="508">
        <f t="shared" si="0"/>
        <v>223744</v>
      </c>
      <c r="J10" s="508">
        <f>SUM(J11:J20)</f>
        <v>0</v>
      </c>
      <c r="K10" s="508">
        <f t="shared" si="0"/>
        <v>2540560.6151000001</v>
      </c>
      <c r="L10" s="508">
        <f t="shared" si="0"/>
        <v>2007071</v>
      </c>
      <c r="M10" s="508">
        <f>SUM(M11:M20)</f>
        <v>533489.61510000005</v>
      </c>
      <c r="N10" s="508">
        <f>SUM(N11:N20)</f>
        <v>0</v>
      </c>
      <c r="O10" s="508">
        <f>SUM(O11:O20)</f>
        <v>533489.61510000005</v>
      </c>
      <c r="P10" s="508">
        <f t="shared" si="0"/>
        <v>196352.22762100003</v>
      </c>
      <c r="Q10" s="508">
        <f t="shared" si="0"/>
        <v>332694.38747899997</v>
      </c>
      <c r="R10" s="508">
        <f t="shared" si="0"/>
        <v>4443</v>
      </c>
      <c r="S10" s="509">
        <f t="shared" ref="S10:U20" si="1">K10/C10</f>
        <v>1.0734997517973983</v>
      </c>
      <c r="T10" s="509">
        <f t="shared" si="1"/>
        <v>1</v>
      </c>
      <c r="U10" s="212">
        <f t="shared" si="1"/>
        <v>1.4837950712569254</v>
      </c>
      <c r="V10" s="212"/>
      <c r="W10" s="212">
        <f>O10/G10</f>
        <v>1.8024881074013259</v>
      </c>
      <c r="X10" s="212">
        <f>P10/H10</f>
        <v>1.4458926923490429</v>
      </c>
      <c r="Y10" s="212">
        <f>Q10/I10</f>
        <v>1.4869421637183566</v>
      </c>
      <c r="Z10" s="212"/>
      <c r="AA10" s="270"/>
      <c r="AB10" s="270"/>
    </row>
    <row r="11" spans="1:29" ht="18" customHeight="1">
      <c r="A11" s="365">
        <v>1</v>
      </c>
      <c r="B11" s="366" t="s">
        <v>601</v>
      </c>
      <c r="C11" s="343">
        <f>D11+E11</f>
        <v>330101.61478293827</v>
      </c>
      <c r="D11" s="343">
        <v>248524</v>
      </c>
      <c r="E11" s="343">
        <f>H11+I11+J11</f>
        <v>81577.614782938297</v>
      </c>
      <c r="F11" s="343"/>
      <c r="G11" s="343">
        <v>74414.614782938283</v>
      </c>
      <c r="H11" s="343">
        <v>54700</v>
      </c>
      <c r="I11" s="343">
        <f>19714.6147829383+7163</f>
        <v>26877.614782938301</v>
      </c>
      <c r="J11" s="343"/>
      <c r="K11" s="367">
        <f t="shared" ref="K11:K16" si="2">L11+M11</f>
        <v>363861</v>
      </c>
      <c r="L11" s="367">
        <f>D11</f>
        <v>248524</v>
      </c>
      <c r="M11" s="367">
        <f>N11+O11</f>
        <v>115337</v>
      </c>
      <c r="N11" s="367"/>
      <c r="O11" s="367">
        <f>P11+Q11+R11</f>
        <v>115337</v>
      </c>
      <c r="P11" s="367">
        <v>63633</v>
      </c>
      <c r="Q11" s="367">
        <v>50012</v>
      </c>
      <c r="R11" s="367">
        <v>1692</v>
      </c>
      <c r="S11" s="510">
        <f t="shared" si="1"/>
        <v>1.102269676079169</v>
      </c>
      <c r="T11" s="510">
        <f t="shared" si="1"/>
        <v>1</v>
      </c>
      <c r="U11" s="482">
        <f t="shared" si="1"/>
        <v>1.4138314819192577</v>
      </c>
      <c r="V11" s="482"/>
      <c r="W11" s="482">
        <f>O11/G11</f>
        <v>1.5499240349013319</v>
      </c>
      <c r="X11" s="482">
        <f>P11/H11</f>
        <v>1.163308957952468</v>
      </c>
      <c r="Y11" s="482">
        <f t="shared" ref="Y11:Y19" si="3">Q11/I11</f>
        <v>1.8607305895219253</v>
      </c>
      <c r="Z11" s="482"/>
      <c r="AA11" s="270"/>
      <c r="AB11" s="511"/>
      <c r="AC11" s="270"/>
    </row>
    <row r="12" spans="1:29" ht="18" customHeight="1">
      <c r="A12" s="365">
        <v>2</v>
      </c>
      <c r="B12" s="366" t="s">
        <v>602</v>
      </c>
      <c r="C12" s="343">
        <f t="shared" ref="C12:C20" si="4">D12+E12</f>
        <v>314013.62494410668</v>
      </c>
      <c r="D12" s="343">
        <v>264071</v>
      </c>
      <c r="E12" s="343">
        <f t="shared" ref="E12:E20" si="5">H12+I12+J12</f>
        <v>49942.624944106705</v>
      </c>
      <c r="F12" s="343"/>
      <c r="G12" s="343">
        <v>41274.62494410669</v>
      </c>
      <c r="H12" s="343">
        <v>17400</v>
      </c>
      <c r="I12" s="343">
        <f>23874.6249441067+8668</f>
        <v>32542.624944106701</v>
      </c>
      <c r="J12" s="343"/>
      <c r="K12" s="343">
        <f t="shared" si="2"/>
        <v>338191.22399999999</v>
      </c>
      <c r="L12" s="367">
        <f>D12</f>
        <v>264071</v>
      </c>
      <c r="M12" s="367">
        <f t="shared" ref="M12:M19" si="6">N12+O12</f>
        <v>74120.224000000002</v>
      </c>
      <c r="N12" s="343"/>
      <c r="O12" s="367">
        <f t="shared" ref="O12:O19" si="7">P12+Q12+R12</f>
        <v>74120.224000000002</v>
      </c>
      <c r="P12" s="343">
        <v>35656.684680999999</v>
      </c>
      <c r="Q12" s="367">
        <v>37828.539319000003</v>
      </c>
      <c r="R12" s="367">
        <v>635</v>
      </c>
      <c r="S12" s="510">
        <f t="shared" si="1"/>
        <v>1.0769953821596017</v>
      </c>
      <c r="T12" s="510">
        <f t="shared" si="1"/>
        <v>1</v>
      </c>
      <c r="U12" s="482">
        <f t="shared" si="1"/>
        <v>1.4841074950095567</v>
      </c>
      <c r="V12" s="482"/>
      <c r="W12" s="482">
        <f t="shared" ref="W12:X20" si="8">O12/G12</f>
        <v>1.7957818902139557</v>
      </c>
      <c r="X12" s="482">
        <f t="shared" si="8"/>
        <v>2.0492347517816092</v>
      </c>
      <c r="Y12" s="482">
        <f t="shared" si="3"/>
        <v>1.1624304856775407</v>
      </c>
      <c r="Z12" s="482"/>
      <c r="AA12" s="270"/>
      <c r="AB12" s="270"/>
      <c r="AC12" s="270"/>
    </row>
    <row r="13" spans="1:29" ht="18" customHeight="1">
      <c r="A13" s="365">
        <v>3</v>
      </c>
      <c r="B13" s="366" t="s">
        <v>603</v>
      </c>
      <c r="C13" s="343">
        <f t="shared" si="4"/>
        <v>206849.7043202178</v>
      </c>
      <c r="D13" s="343">
        <v>178435</v>
      </c>
      <c r="E13" s="343">
        <f t="shared" si="5"/>
        <v>28414.704320217799</v>
      </c>
      <c r="F13" s="343"/>
      <c r="G13" s="343">
        <v>23840.704320217759</v>
      </c>
      <c r="H13" s="343">
        <v>9300</v>
      </c>
      <c r="I13" s="343">
        <f>14540.7043202178+4574</f>
        <v>19114.704320217799</v>
      </c>
      <c r="J13" s="343"/>
      <c r="K13" s="343">
        <f t="shared" si="2"/>
        <v>212648.516</v>
      </c>
      <c r="L13" s="367">
        <f t="shared" ref="L13:L20" si="9">D13</f>
        <v>178435</v>
      </c>
      <c r="M13" s="367">
        <f t="shared" si="6"/>
        <v>34213.516000000003</v>
      </c>
      <c r="N13" s="343"/>
      <c r="O13" s="367">
        <f t="shared" si="7"/>
        <v>34213.516000000003</v>
      </c>
      <c r="P13" s="343">
        <v>25794.516000000003</v>
      </c>
      <c r="Q13" s="367">
        <v>8102</v>
      </c>
      <c r="R13" s="367">
        <v>317</v>
      </c>
      <c r="S13" s="510">
        <f t="shared" si="1"/>
        <v>1.0280339374853793</v>
      </c>
      <c r="T13" s="510">
        <f t="shared" si="1"/>
        <v>1</v>
      </c>
      <c r="U13" s="482">
        <f t="shared" si="1"/>
        <v>1.2040778469637707</v>
      </c>
      <c r="V13" s="482"/>
      <c r="W13" s="482">
        <f t="shared" si="8"/>
        <v>1.4350883069752991</v>
      </c>
      <c r="X13" s="482">
        <f t="shared" si="8"/>
        <v>2.7736038709677424</v>
      </c>
      <c r="Y13" s="482">
        <f t="shared" si="3"/>
        <v>0.42386216727561093</v>
      </c>
      <c r="Z13" s="482"/>
      <c r="AA13" s="270"/>
      <c r="AB13" s="270"/>
      <c r="AC13" s="270"/>
    </row>
    <row r="14" spans="1:29" ht="18" customHeight="1">
      <c r="A14" s="365">
        <v>4</v>
      </c>
      <c r="B14" s="366" t="s">
        <v>604</v>
      </c>
      <c r="C14" s="343">
        <f t="shared" si="4"/>
        <v>213459.41803993302</v>
      </c>
      <c r="D14" s="343">
        <v>200214</v>
      </c>
      <c r="E14" s="343">
        <f t="shared" si="5"/>
        <v>13245.418039933011</v>
      </c>
      <c r="F14" s="343"/>
      <c r="G14" s="343">
        <v>10178.418039933007</v>
      </c>
      <c r="H14" s="343">
        <v>5000</v>
      </c>
      <c r="I14" s="343">
        <f>5178.41803993301+3067</f>
        <v>8245.4180399330107</v>
      </c>
      <c r="J14" s="343"/>
      <c r="K14" s="343">
        <f t="shared" si="2"/>
        <v>236750.36300000001</v>
      </c>
      <c r="L14" s="367">
        <f t="shared" si="9"/>
        <v>200214</v>
      </c>
      <c r="M14" s="367">
        <f t="shared" si="6"/>
        <v>36536.362999999998</v>
      </c>
      <c r="N14" s="367"/>
      <c r="O14" s="367">
        <f t="shared" si="7"/>
        <v>36536.362999999998</v>
      </c>
      <c r="P14" s="367">
        <v>15000</v>
      </c>
      <c r="Q14" s="367">
        <v>20795.362999999998</v>
      </c>
      <c r="R14" s="367">
        <v>741</v>
      </c>
      <c r="S14" s="510">
        <f t="shared" si="1"/>
        <v>1.1091118170092165</v>
      </c>
      <c r="T14" s="510">
        <f t="shared" si="1"/>
        <v>1</v>
      </c>
      <c r="U14" s="482">
        <f t="shared" si="1"/>
        <v>2.7584152413950371</v>
      </c>
      <c r="V14" s="482"/>
      <c r="W14" s="482">
        <f t="shared" si="8"/>
        <v>3.5895915118299144</v>
      </c>
      <c r="X14" s="482">
        <f t="shared" si="8"/>
        <v>3</v>
      </c>
      <c r="Y14" s="482">
        <f t="shared" si="3"/>
        <v>2.5220507801165346</v>
      </c>
      <c r="Z14" s="482"/>
      <c r="AA14" s="512"/>
      <c r="AB14" s="270"/>
      <c r="AC14" s="270"/>
    </row>
    <row r="15" spans="1:29" ht="18" customHeight="1">
      <c r="A15" s="365">
        <v>5</v>
      </c>
      <c r="B15" s="366" t="s">
        <v>605</v>
      </c>
      <c r="C15" s="343">
        <f t="shared" si="4"/>
        <v>315996.95467297069</v>
      </c>
      <c r="D15" s="343">
        <v>273997</v>
      </c>
      <c r="E15" s="343">
        <f t="shared" si="5"/>
        <v>41999.9546729707</v>
      </c>
      <c r="F15" s="343"/>
      <c r="G15" s="343">
        <v>33522.954672970685</v>
      </c>
      <c r="H15" s="343">
        <v>9700</v>
      </c>
      <c r="I15" s="343">
        <f>23822.9546729707+8477</f>
        <v>32299.9546729707</v>
      </c>
      <c r="J15" s="343"/>
      <c r="K15" s="343">
        <f t="shared" si="2"/>
        <v>339891.68900000001</v>
      </c>
      <c r="L15" s="367">
        <f t="shared" si="9"/>
        <v>273997</v>
      </c>
      <c r="M15" s="367">
        <f>N15+O15</f>
        <v>65894.688999999998</v>
      </c>
      <c r="N15" s="343"/>
      <c r="O15" s="367">
        <f t="shared" si="7"/>
        <v>65894.688999999998</v>
      </c>
      <c r="P15" s="343">
        <v>11200</v>
      </c>
      <c r="Q15" s="367">
        <v>54482.688999999998</v>
      </c>
      <c r="R15" s="367">
        <v>212</v>
      </c>
      <c r="S15" s="510">
        <f t="shared" si="1"/>
        <v>1.0756169765995318</v>
      </c>
      <c r="T15" s="510">
        <f t="shared" si="1"/>
        <v>1</v>
      </c>
      <c r="U15" s="482">
        <f t="shared" si="1"/>
        <v>1.5689228598717246</v>
      </c>
      <c r="V15" s="482"/>
      <c r="W15" s="482">
        <f t="shared" si="8"/>
        <v>1.9656587446669911</v>
      </c>
      <c r="X15" s="482">
        <f t="shared" si="8"/>
        <v>1.1546391752577319</v>
      </c>
      <c r="Y15" s="482">
        <f t="shared" si="3"/>
        <v>1.6867729243469276</v>
      </c>
      <c r="Z15" s="482"/>
      <c r="AA15" s="270"/>
      <c r="AB15" s="270"/>
      <c r="AC15" s="270"/>
    </row>
    <row r="16" spans="1:29" ht="18" customHeight="1">
      <c r="A16" s="365">
        <v>6</v>
      </c>
      <c r="B16" s="366" t="s">
        <v>606</v>
      </c>
      <c r="C16" s="343">
        <f t="shared" si="4"/>
        <v>243851.9380633267</v>
      </c>
      <c r="D16" s="343">
        <v>210681</v>
      </c>
      <c r="E16" s="343">
        <f t="shared" si="5"/>
        <v>33170.938063326699</v>
      </c>
      <c r="F16" s="343"/>
      <c r="G16" s="343">
        <v>25411.93806332667</v>
      </c>
      <c r="H16" s="343">
        <v>4100</v>
      </c>
      <c r="I16" s="343">
        <f>21311.9380633267+7759</f>
        <v>29070.938063326699</v>
      </c>
      <c r="J16" s="343"/>
      <c r="K16" s="488">
        <f t="shared" si="2"/>
        <v>258118.62599999999</v>
      </c>
      <c r="L16" s="367">
        <f t="shared" si="9"/>
        <v>210681</v>
      </c>
      <c r="M16" s="367">
        <f t="shared" si="6"/>
        <v>47437.625999999997</v>
      </c>
      <c r="N16" s="488"/>
      <c r="O16" s="367">
        <f t="shared" si="7"/>
        <v>47437.625999999997</v>
      </c>
      <c r="P16" s="488">
        <v>5100</v>
      </c>
      <c r="Q16" s="367">
        <v>42020.625999999997</v>
      </c>
      <c r="R16" s="367">
        <v>317</v>
      </c>
      <c r="S16" s="510">
        <f t="shared" si="1"/>
        <v>1.0585055343417789</v>
      </c>
      <c r="T16" s="510">
        <f t="shared" si="1"/>
        <v>1</v>
      </c>
      <c r="U16" s="482">
        <f t="shared" si="1"/>
        <v>1.4300960048050717</v>
      </c>
      <c r="V16" s="482"/>
      <c r="W16" s="482">
        <f t="shared" si="8"/>
        <v>1.8667456957350206</v>
      </c>
      <c r="X16" s="482">
        <f t="shared" si="8"/>
        <v>1.2439024390243902</v>
      </c>
      <c r="Y16" s="482">
        <f t="shared" si="3"/>
        <v>1.4454513269734997</v>
      </c>
      <c r="Z16" s="482"/>
      <c r="AA16" s="270"/>
      <c r="AB16" s="270"/>
      <c r="AC16" s="270"/>
    </row>
    <row r="17" spans="1:29" ht="18" customHeight="1">
      <c r="A17" s="365">
        <v>7</v>
      </c>
      <c r="B17" s="366" t="s">
        <v>607</v>
      </c>
      <c r="C17" s="343">
        <f t="shared" si="4"/>
        <v>86798.766212683695</v>
      </c>
      <c r="D17" s="343">
        <v>60611</v>
      </c>
      <c r="E17" s="343">
        <f t="shared" si="5"/>
        <v>26187.766212683702</v>
      </c>
      <c r="F17" s="343"/>
      <c r="G17" s="343">
        <v>22707.766212683742</v>
      </c>
      <c r="H17" s="343">
        <v>12000</v>
      </c>
      <c r="I17" s="343">
        <f>10707.7662126837+3480</f>
        <v>14187.7662126837</v>
      </c>
      <c r="J17" s="343"/>
      <c r="K17" s="343">
        <f>+L17+M17</f>
        <v>92175.937999999995</v>
      </c>
      <c r="L17" s="367">
        <f t="shared" si="9"/>
        <v>60611</v>
      </c>
      <c r="M17" s="367">
        <f t="shared" si="6"/>
        <v>31564.937999999998</v>
      </c>
      <c r="N17" s="343"/>
      <c r="O17" s="367">
        <f t="shared" si="7"/>
        <v>31564.937999999998</v>
      </c>
      <c r="P17" s="343">
        <v>11900</v>
      </c>
      <c r="Q17" s="367">
        <v>19664.937999999998</v>
      </c>
      <c r="R17" s="367"/>
      <c r="S17" s="510">
        <f t="shared" si="1"/>
        <v>1.0619498642888607</v>
      </c>
      <c r="T17" s="510">
        <f t="shared" si="1"/>
        <v>1</v>
      </c>
      <c r="U17" s="482">
        <f t="shared" si="1"/>
        <v>1.2053314415458594</v>
      </c>
      <c r="V17" s="482"/>
      <c r="W17" s="482">
        <f t="shared" si="8"/>
        <v>1.3900503336329471</v>
      </c>
      <c r="X17" s="482">
        <f t="shared" si="8"/>
        <v>0.9916666666666667</v>
      </c>
      <c r="Y17" s="482">
        <f t="shared" si="3"/>
        <v>1.3860489174412649</v>
      </c>
      <c r="Z17" s="482"/>
      <c r="AA17" s="270"/>
      <c r="AB17" s="270"/>
      <c r="AC17" s="270"/>
    </row>
    <row r="18" spans="1:29" ht="18" customHeight="1">
      <c r="A18" s="365">
        <v>8</v>
      </c>
      <c r="B18" s="366" t="s">
        <v>558</v>
      </c>
      <c r="C18" s="343">
        <f t="shared" si="4"/>
        <v>187685.7911057708</v>
      </c>
      <c r="D18" s="343">
        <v>162303</v>
      </c>
      <c r="E18" s="343">
        <f t="shared" si="5"/>
        <v>25382.791105770801</v>
      </c>
      <c r="F18" s="343"/>
      <c r="G18" s="343">
        <v>17987.791105770797</v>
      </c>
      <c r="H18" s="343">
        <v>5100</v>
      </c>
      <c r="I18" s="343">
        <f>12887.7911057708+7395</f>
        <v>20282.791105770801</v>
      </c>
      <c r="J18" s="343"/>
      <c r="K18" s="343">
        <f>L18+M18</f>
        <v>198236.1</v>
      </c>
      <c r="L18" s="367">
        <f t="shared" si="9"/>
        <v>162303</v>
      </c>
      <c r="M18" s="367">
        <f t="shared" si="6"/>
        <v>35933.1</v>
      </c>
      <c r="N18" s="343"/>
      <c r="O18" s="367">
        <f t="shared" si="7"/>
        <v>35933.1</v>
      </c>
      <c r="P18" s="343">
        <v>7779</v>
      </c>
      <c r="Q18" s="367">
        <v>27837.1</v>
      </c>
      <c r="R18" s="367">
        <v>317</v>
      </c>
      <c r="S18" s="510">
        <f t="shared" si="1"/>
        <v>1.0562126138162669</v>
      </c>
      <c r="T18" s="510">
        <f t="shared" si="1"/>
        <v>1</v>
      </c>
      <c r="U18" s="482">
        <f t="shared" si="1"/>
        <v>1.4156480999377006</v>
      </c>
      <c r="V18" s="482"/>
      <c r="W18" s="482">
        <f t="shared" si="8"/>
        <v>1.9976382752450375</v>
      </c>
      <c r="X18" s="482">
        <f t="shared" si="8"/>
        <v>1.5252941176470589</v>
      </c>
      <c r="Y18" s="482">
        <f t="shared" si="3"/>
        <v>1.3724491789534758</v>
      </c>
      <c r="Z18" s="482"/>
      <c r="AA18" s="270"/>
      <c r="AB18" s="270"/>
      <c r="AC18" s="270"/>
    </row>
    <row r="19" spans="1:29" ht="18" customHeight="1">
      <c r="A19" s="365">
        <v>9</v>
      </c>
      <c r="B19" s="366" t="s">
        <v>608</v>
      </c>
      <c r="C19" s="343">
        <f t="shared" si="4"/>
        <v>202938.108680512</v>
      </c>
      <c r="D19" s="343">
        <v>177593</v>
      </c>
      <c r="E19" s="343">
        <f t="shared" si="5"/>
        <v>25345.108680511999</v>
      </c>
      <c r="F19" s="343"/>
      <c r="G19" s="343">
        <v>19064.108680512021</v>
      </c>
      <c r="H19" s="343">
        <v>3800</v>
      </c>
      <c r="I19" s="343">
        <f>15264.108680512+6281</f>
        <v>21545.108680511999</v>
      </c>
      <c r="J19" s="343"/>
      <c r="K19" s="471">
        <f>+L19+M19</f>
        <v>219085.75599999999</v>
      </c>
      <c r="L19" s="367">
        <f t="shared" si="9"/>
        <v>177593</v>
      </c>
      <c r="M19" s="367">
        <f t="shared" si="6"/>
        <v>41492.755999999994</v>
      </c>
      <c r="N19" s="471"/>
      <c r="O19" s="367">
        <f t="shared" si="7"/>
        <v>41492.755999999994</v>
      </c>
      <c r="P19" s="471">
        <v>4989.0269399999997</v>
      </c>
      <c r="Q19" s="367">
        <v>36291.729059999998</v>
      </c>
      <c r="R19" s="367">
        <v>212</v>
      </c>
      <c r="S19" s="510">
        <f t="shared" si="1"/>
        <v>1.0795693200477661</v>
      </c>
      <c r="T19" s="510">
        <f t="shared" si="1"/>
        <v>1</v>
      </c>
      <c r="U19" s="482">
        <f t="shared" si="1"/>
        <v>1.6371109914357564</v>
      </c>
      <c r="V19" s="482"/>
      <c r="W19" s="482">
        <f t="shared" si="8"/>
        <v>2.1764854940433329</v>
      </c>
      <c r="X19" s="482">
        <f t="shared" si="8"/>
        <v>1.3129018263157894</v>
      </c>
      <c r="Y19" s="482">
        <f t="shared" si="3"/>
        <v>1.6844532834882668</v>
      </c>
      <c r="Z19" s="482"/>
      <c r="AA19" s="270"/>
      <c r="AB19" s="270"/>
      <c r="AC19" s="270"/>
    </row>
    <row r="20" spans="1:29" ht="18" customHeight="1">
      <c r="A20" s="493">
        <v>10</v>
      </c>
      <c r="B20" s="494" t="s">
        <v>944</v>
      </c>
      <c r="C20" s="497">
        <f t="shared" si="4"/>
        <v>264919.07917754032</v>
      </c>
      <c r="D20" s="497">
        <v>230642</v>
      </c>
      <c r="E20" s="497">
        <f t="shared" si="5"/>
        <v>34277.079177540298</v>
      </c>
      <c r="F20" s="497"/>
      <c r="G20" s="497">
        <v>27571.079177540349</v>
      </c>
      <c r="H20" s="497">
        <v>14700</v>
      </c>
      <c r="I20" s="497">
        <f>12871.0791775403+6706</f>
        <v>19577.079177540298</v>
      </c>
      <c r="J20" s="497"/>
      <c r="K20" s="497">
        <f>L20+M20</f>
        <v>281601.4031</v>
      </c>
      <c r="L20" s="495">
        <f t="shared" si="9"/>
        <v>230642</v>
      </c>
      <c r="M20" s="497">
        <f>N20+O20</f>
        <v>50959.403100000003</v>
      </c>
      <c r="N20" s="497"/>
      <c r="O20" s="497">
        <f>P20+Q20+R20</f>
        <v>50959.403100000003</v>
      </c>
      <c r="P20" s="497">
        <v>15300</v>
      </c>
      <c r="Q20" s="495">
        <v>35659.403100000003</v>
      </c>
      <c r="R20" s="495"/>
      <c r="S20" s="513">
        <f t="shared" si="1"/>
        <v>1.0629713947906323</v>
      </c>
      <c r="T20" s="513">
        <f t="shared" si="1"/>
        <v>1</v>
      </c>
      <c r="U20" s="501">
        <f t="shared" si="1"/>
        <v>1.4866903576017243</v>
      </c>
      <c r="V20" s="501"/>
      <c r="W20" s="501">
        <f t="shared" si="8"/>
        <v>1.8482919283591914</v>
      </c>
      <c r="X20" s="501">
        <f>P20/H20</f>
        <v>1.0408163265306123</v>
      </c>
      <c r="Y20" s="501">
        <f>Q20/I20</f>
        <v>1.8214874025186591</v>
      </c>
      <c r="Z20" s="501"/>
      <c r="AA20" s="270"/>
      <c r="AB20" s="270"/>
      <c r="AC20" s="270"/>
    </row>
    <row r="21" spans="1:29">
      <c r="J21" s="270"/>
      <c r="P21" s="270"/>
      <c r="Q21" s="270"/>
      <c r="R21" s="270"/>
    </row>
    <row r="22" spans="1:29">
      <c r="P22" s="270"/>
      <c r="Q22" s="270"/>
      <c r="R22" s="270"/>
    </row>
    <row r="23" spans="1:29">
      <c r="P23" s="270"/>
      <c r="Q23" s="270"/>
      <c r="R23" s="270"/>
    </row>
    <row r="24" spans="1:29">
      <c r="P24" s="270"/>
      <c r="Q24" s="270"/>
      <c r="R24" s="270"/>
    </row>
    <row r="25" spans="1:29">
      <c r="P25" s="270"/>
      <c r="Q25" s="270"/>
      <c r="R25" s="270"/>
    </row>
    <row r="26" spans="1:29">
      <c r="P26" s="270"/>
      <c r="Q26" s="270"/>
      <c r="R26" s="270"/>
    </row>
    <row r="27" spans="1:29">
      <c r="P27" s="270"/>
      <c r="Q27" s="270"/>
      <c r="R27" s="270"/>
    </row>
    <row r="28" spans="1:29">
      <c r="P28" s="270"/>
      <c r="Q28" s="270"/>
      <c r="R28" s="270"/>
    </row>
    <row r="29" spans="1:29">
      <c r="P29" s="270"/>
      <c r="Q29" s="270"/>
      <c r="R29" s="270"/>
    </row>
    <row r="30" spans="1:29">
      <c r="P30" s="270"/>
      <c r="Q30" s="270"/>
      <c r="R30" s="270"/>
    </row>
    <row r="31" spans="1:29">
      <c r="P31" s="270"/>
      <c r="Q31" s="270"/>
      <c r="R31" s="270"/>
    </row>
    <row r="33" spans="7:8">
      <c r="G33" s="270"/>
      <c r="H33" s="270"/>
    </row>
  </sheetData>
  <mergeCells count="33">
    <mergeCell ref="E7:E8"/>
    <mergeCell ref="F7:G7"/>
    <mergeCell ref="H7:H8"/>
    <mergeCell ref="I7:I8"/>
    <mergeCell ref="J7:J8"/>
    <mergeCell ref="R7:R8"/>
    <mergeCell ref="T6:T8"/>
    <mergeCell ref="U6:Z6"/>
    <mergeCell ref="M7:M8"/>
    <mergeCell ref="N7:O7"/>
    <mergeCell ref="P7:P8"/>
    <mergeCell ref="S6:S8"/>
    <mergeCell ref="U7:U8"/>
    <mergeCell ref="V7:W7"/>
    <mergeCell ref="X7:X8"/>
    <mergeCell ref="Q7:Q8"/>
    <mergeCell ref="Y7:Y8"/>
    <mergeCell ref="B1:D1"/>
    <mergeCell ref="A2:Z2"/>
    <mergeCell ref="A3:Z3"/>
    <mergeCell ref="X4:Z4"/>
    <mergeCell ref="A5:A8"/>
    <mergeCell ref="B5:B8"/>
    <mergeCell ref="C5:J5"/>
    <mergeCell ref="K5:R5"/>
    <mergeCell ref="S5:Z5"/>
    <mergeCell ref="C6:C8"/>
    <mergeCell ref="D6:D8"/>
    <mergeCell ref="E6:J6"/>
    <mergeCell ref="K6:K8"/>
    <mergeCell ref="L6:L8"/>
    <mergeCell ref="M6:R6"/>
    <mergeCell ref="Z7:Z8"/>
  </mergeCells>
  <pageMargins left="0.70866141732283472" right="0.70866141732283472" top="0.74803149606299213" bottom="0.74803149606299213" header="0.31496062992125984" footer="0.31496062992125984"/>
  <pageSetup paperSize="9" scale="7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49"/>
  <sheetViews>
    <sheetView showZeros="0" zoomScale="90" zoomScaleNormal="90" workbookViewId="0">
      <pane xSplit="2" ySplit="13" topLeftCell="C29" activePane="bottomRight" state="frozen"/>
      <selection activeCell="B14" sqref="B14"/>
      <selection pane="topRight" activeCell="B14" sqref="B14"/>
      <selection pane="bottomLeft" activeCell="B14" sqref="B14"/>
      <selection pane="bottomRight" activeCell="AJ16" sqref="AJ16"/>
    </sheetView>
  </sheetViews>
  <sheetFormatPr defaultColWidth="9.140625" defaultRowHeight="15" outlineLevelCol="1"/>
  <cols>
    <col min="1" max="1" width="5.7109375" style="267" customWidth="1"/>
    <col min="2" max="2" width="25" style="267" customWidth="1"/>
    <col min="3" max="3" width="10.7109375" style="266" hidden="1" customWidth="1"/>
    <col min="4" max="19" width="7.28515625" style="266" hidden="1" customWidth="1" outlineLevel="1"/>
    <col min="20" max="20" width="10.85546875" style="267" customWidth="1" collapsed="1"/>
    <col min="21" max="36" width="7.28515625" style="267" customWidth="1"/>
    <col min="37" max="37" width="11.5703125" style="267" hidden="1" customWidth="1" outlineLevel="1"/>
    <col min="38" max="53" width="9.140625" style="267" hidden="1" customWidth="1" outlineLevel="1"/>
    <col min="54" max="54" width="9.140625" style="267" collapsed="1"/>
    <col min="55" max="16384" width="9.140625" style="267"/>
  </cols>
  <sheetData>
    <row r="1" spans="1:56" ht="15" customHeight="1">
      <c r="A1" s="711" t="s">
        <v>890</v>
      </c>
      <c r="B1" s="711"/>
      <c r="Q1" s="712"/>
      <c r="R1" s="712"/>
      <c r="S1" s="712"/>
    </row>
    <row r="2" spans="1:56">
      <c r="A2" s="268"/>
    </row>
    <row r="3" spans="1:56">
      <c r="A3" s="713" t="s">
        <v>956</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3"/>
      <c r="AQ3" s="713"/>
      <c r="AR3" s="713"/>
      <c r="AS3" s="713"/>
      <c r="AT3" s="713"/>
      <c r="AU3" s="713"/>
      <c r="AV3" s="713"/>
      <c r="AW3" s="713"/>
      <c r="AX3" s="713"/>
      <c r="AY3" s="713"/>
      <c r="AZ3" s="713"/>
      <c r="BA3" s="713"/>
    </row>
    <row r="4" spans="1:56">
      <c r="A4" s="714" t="s">
        <v>953</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A4" s="714"/>
    </row>
    <row r="5" spans="1:56" hidden="1">
      <c r="B5" s="269"/>
      <c r="Y5" s="270"/>
    </row>
    <row r="6" spans="1:56">
      <c r="B6" s="269"/>
      <c r="R6" s="271"/>
      <c r="S6" s="271"/>
      <c r="AZ6" s="714" t="s">
        <v>62</v>
      </c>
      <c r="BA6" s="714"/>
    </row>
    <row r="7" spans="1:56" s="215" customFormat="1" ht="24.75" customHeight="1">
      <c r="A7" s="707" t="s">
        <v>16</v>
      </c>
      <c r="B7" s="707" t="s">
        <v>63</v>
      </c>
      <c r="C7" s="708" t="s">
        <v>610</v>
      </c>
      <c r="D7" s="708"/>
      <c r="E7" s="708"/>
      <c r="F7" s="708"/>
      <c r="G7" s="708"/>
      <c r="H7" s="708"/>
      <c r="I7" s="708"/>
      <c r="J7" s="708"/>
      <c r="K7" s="708"/>
      <c r="L7" s="708"/>
      <c r="M7" s="708"/>
      <c r="N7" s="708"/>
      <c r="O7" s="708"/>
      <c r="P7" s="708"/>
      <c r="Q7" s="708"/>
      <c r="R7" s="708"/>
      <c r="S7" s="708"/>
      <c r="T7" s="709" t="s">
        <v>631</v>
      </c>
      <c r="U7" s="709"/>
      <c r="V7" s="709"/>
      <c r="W7" s="709"/>
      <c r="X7" s="709"/>
      <c r="Y7" s="709"/>
      <c r="Z7" s="709"/>
      <c r="AA7" s="709"/>
      <c r="AB7" s="709"/>
      <c r="AC7" s="709"/>
      <c r="AD7" s="709"/>
      <c r="AE7" s="709"/>
      <c r="AF7" s="709"/>
      <c r="AG7" s="709"/>
      <c r="AH7" s="709"/>
      <c r="AI7" s="709"/>
      <c r="AJ7" s="709"/>
      <c r="AK7" s="709" t="s">
        <v>632</v>
      </c>
      <c r="AL7" s="709"/>
      <c r="AM7" s="709"/>
      <c r="AN7" s="709"/>
      <c r="AO7" s="709"/>
      <c r="AP7" s="709"/>
      <c r="AQ7" s="709"/>
      <c r="AR7" s="709"/>
      <c r="AS7" s="709"/>
      <c r="AT7" s="709"/>
      <c r="AU7" s="709"/>
      <c r="AV7" s="709"/>
      <c r="AW7" s="709"/>
      <c r="AX7" s="709"/>
      <c r="AY7" s="709"/>
      <c r="AZ7" s="709"/>
      <c r="BA7" s="709"/>
    </row>
    <row r="8" spans="1:56">
      <c r="A8" s="707"/>
      <c r="B8" s="707"/>
      <c r="C8" s="637" t="s">
        <v>155</v>
      </c>
      <c r="D8" s="637" t="s">
        <v>161</v>
      </c>
      <c r="E8" s="637"/>
      <c r="F8" s="637" t="s">
        <v>621</v>
      </c>
      <c r="G8" s="637"/>
      <c r="H8" s="637"/>
      <c r="I8" s="637"/>
      <c r="J8" s="637"/>
      <c r="K8" s="637"/>
      <c r="L8" s="637"/>
      <c r="M8" s="637" t="s">
        <v>620</v>
      </c>
      <c r="N8" s="637"/>
      <c r="O8" s="637"/>
      <c r="P8" s="637"/>
      <c r="Q8" s="637"/>
      <c r="R8" s="637"/>
      <c r="S8" s="637"/>
      <c r="T8" s="707" t="s">
        <v>155</v>
      </c>
      <c r="U8" s="707" t="s">
        <v>161</v>
      </c>
      <c r="V8" s="707"/>
      <c r="W8" s="707" t="s">
        <v>621</v>
      </c>
      <c r="X8" s="707"/>
      <c r="Y8" s="707"/>
      <c r="Z8" s="707"/>
      <c r="AA8" s="707"/>
      <c r="AB8" s="707"/>
      <c r="AC8" s="707"/>
      <c r="AD8" s="707" t="s">
        <v>620</v>
      </c>
      <c r="AE8" s="707"/>
      <c r="AF8" s="707"/>
      <c r="AG8" s="707"/>
      <c r="AH8" s="707"/>
      <c r="AI8" s="707"/>
      <c r="AJ8" s="707"/>
      <c r="AK8" s="707" t="s">
        <v>155</v>
      </c>
      <c r="AL8" s="707" t="s">
        <v>161</v>
      </c>
      <c r="AM8" s="707"/>
      <c r="AN8" s="707" t="s">
        <v>621</v>
      </c>
      <c r="AO8" s="707"/>
      <c r="AP8" s="707"/>
      <c r="AQ8" s="707"/>
      <c r="AR8" s="707"/>
      <c r="AS8" s="707"/>
      <c r="AT8" s="707"/>
      <c r="AU8" s="707" t="s">
        <v>620</v>
      </c>
      <c r="AV8" s="707"/>
      <c r="AW8" s="707"/>
      <c r="AX8" s="707"/>
      <c r="AY8" s="707"/>
      <c r="AZ8" s="707"/>
      <c r="BA8" s="707"/>
    </row>
    <row r="9" spans="1:56">
      <c r="A9" s="707"/>
      <c r="B9" s="707"/>
      <c r="C9" s="637"/>
      <c r="D9" s="710" t="s">
        <v>185</v>
      </c>
      <c r="E9" s="710" t="s">
        <v>186</v>
      </c>
      <c r="F9" s="637" t="s">
        <v>155</v>
      </c>
      <c r="G9" s="710" t="s">
        <v>185</v>
      </c>
      <c r="H9" s="710"/>
      <c r="I9" s="710"/>
      <c r="J9" s="710" t="s">
        <v>186</v>
      </c>
      <c r="K9" s="710"/>
      <c r="L9" s="710"/>
      <c r="M9" s="637" t="s">
        <v>155</v>
      </c>
      <c r="N9" s="710" t="s">
        <v>185</v>
      </c>
      <c r="O9" s="710"/>
      <c r="P9" s="710"/>
      <c r="Q9" s="710" t="s">
        <v>186</v>
      </c>
      <c r="R9" s="710"/>
      <c r="S9" s="710"/>
      <c r="T9" s="707"/>
      <c r="U9" s="715" t="s">
        <v>185</v>
      </c>
      <c r="V9" s="715" t="s">
        <v>186</v>
      </c>
      <c r="W9" s="707" t="s">
        <v>155</v>
      </c>
      <c r="X9" s="715" t="s">
        <v>185</v>
      </c>
      <c r="Y9" s="715"/>
      <c r="Z9" s="715"/>
      <c r="AA9" s="715" t="s">
        <v>186</v>
      </c>
      <c r="AB9" s="715"/>
      <c r="AC9" s="715"/>
      <c r="AD9" s="707" t="s">
        <v>155</v>
      </c>
      <c r="AE9" s="715" t="s">
        <v>185</v>
      </c>
      <c r="AF9" s="715"/>
      <c r="AG9" s="715"/>
      <c r="AH9" s="715" t="s">
        <v>186</v>
      </c>
      <c r="AI9" s="715"/>
      <c r="AJ9" s="715"/>
      <c r="AK9" s="707"/>
      <c r="AL9" s="715" t="s">
        <v>185</v>
      </c>
      <c r="AM9" s="715" t="s">
        <v>186</v>
      </c>
      <c r="AN9" s="707" t="s">
        <v>155</v>
      </c>
      <c r="AO9" s="715" t="s">
        <v>185</v>
      </c>
      <c r="AP9" s="715"/>
      <c r="AQ9" s="715"/>
      <c r="AR9" s="715" t="s">
        <v>186</v>
      </c>
      <c r="AS9" s="715"/>
      <c r="AT9" s="715"/>
      <c r="AU9" s="707" t="s">
        <v>155</v>
      </c>
      <c r="AV9" s="715" t="s">
        <v>185</v>
      </c>
      <c r="AW9" s="715"/>
      <c r="AX9" s="715"/>
      <c r="AY9" s="715" t="s">
        <v>186</v>
      </c>
      <c r="AZ9" s="715"/>
      <c r="BA9" s="715"/>
    </row>
    <row r="10" spans="1:56" ht="46.5" customHeight="1">
      <c r="A10" s="707"/>
      <c r="B10" s="707"/>
      <c r="C10" s="637"/>
      <c r="D10" s="710"/>
      <c r="E10" s="710"/>
      <c r="F10" s="637"/>
      <c r="G10" s="272" t="s">
        <v>155</v>
      </c>
      <c r="H10" s="272" t="s">
        <v>174</v>
      </c>
      <c r="I10" s="272" t="s">
        <v>173</v>
      </c>
      <c r="J10" s="272" t="s">
        <v>155</v>
      </c>
      <c r="K10" s="272" t="s">
        <v>174</v>
      </c>
      <c r="L10" s="272" t="s">
        <v>173</v>
      </c>
      <c r="M10" s="637"/>
      <c r="N10" s="272" t="s">
        <v>155</v>
      </c>
      <c r="O10" s="272" t="s">
        <v>174</v>
      </c>
      <c r="P10" s="272" t="s">
        <v>173</v>
      </c>
      <c r="Q10" s="272" t="s">
        <v>155</v>
      </c>
      <c r="R10" s="272" t="s">
        <v>174</v>
      </c>
      <c r="S10" s="272" t="s">
        <v>173</v>
      </c>
      <c r="T10" s="707"/>
      <c r="U10" s="715"/>
      <c r="V10" s="715"/>
      <c r="W10" s="707"/>
      <c r="X10" s="273" t="s">
        <v>155</v>
      </c>
      <c r="Y10" s="273" t="s">
        <v>174</v>
      </c>
      <c r="Z10" s="273" t="s">
        <v>173</v>
      </c>
      <c r="AA10" s="273" t="s">
        <v>155</v>
      </c>
      <c r="AB10" s="273" t="s">
        <v>174</v>
      </c>
      <c r="AC10" s="273" t="s">
        <v>173</v>
      </c>
      <c r="AD10" s="707"/>
      <c r="AE10" s="273" t="s">
        <v>155</v>
      </c>
      <c r="AF10" s="273" t="s">
        <v>174</v>
      </c>
      <c r="AG10" s="273" t="s">
        <v>173</v>
      </c>
      <c r="AH10" s="273" t="s">
        <v>155</v>
      </c>
      <c r="AI10" s="273" t="s">
        <v>174</v>
      </c>
      <c r="AJ10" s="273" t="s">
        <v>173</v>
      </c>
      <c r="AK10" s="707"/>
      <c r="AL10" s="715"/>
      <c r="AM10" s="715"/>
      <c r="AN10" s="707"/>
      <c r="AO10" s="273" t="s">
        <v>155</v>
      </c>
      <c r="AP10" s="273" t="s">
        <v>174</v>
      </c>
      <c r="AQ10" s="273" t="s">
        <v>173</v>
      </c>
      <c r="AR10" s="273" t="s">
        <v>155</v>
      </c>
      <c r="AS10" s="273" t="s">
        <v>174</v>
      </c>
      <c r="AT10" s="273" t="s">
        <v>173</v>
      </c>
      <c r="AU10" s="707"/>
      <c r="AV10" s="273" t="s">
        <v>155</v>
      </c>
      <c r="AW10" s="273" t="s">
        <v>174</v>
      </c>
      <c r="AX10" s="273" t="s">
        <v>173</v>
      </c>
      <c r="AY10" s="273" t="s">
        <v>155</v>
      </c>
      <c r="AZ10" s="273" t="s">
        <v>174</v>
      </c>
      <c r="BA10" s="273" t="s">
        <v>173</v>
      </c>
    </row>
    <row r="11" spans="1:56" ht="27" customHeight="1">
      <c r="A11" s="273" t="s">
        <v>23</v>
      </c>
      <c r="B11" s="273" t="s">
        <v>24</v>
      </c>
      <c r="C11" s="272" t="s">
        <v>149</v>
      </c>
      <c r="D11" s="272" t="s">
        <v>619</v>
      </c>
      <c r="E11" s="272" t="s">
        <v>618</v>
      </c>
      <c r="F11" s="272" t="s">
        <v>617</v>
      </c>
      <c r="G11" s="272" t="s">
        <v>616</v>
      </c>
      <c r="H11" s="272">
        <v>6</v>
      </c>
      <c r="I11" s="272">
        <v>7</v>
      </c>
      <c r="J11" s="272" t="s">
        <v>615</v>
      </c>
      <c r="K11" s="272">
        <v>9</v>
      </c>
      <c r="L11" s="272">
        <v>10</v>
      </c>
      <c r="M11" s="272" t="s">
        <v>614</v>
      </c>
      <c r="N11" s="272" t="s">
        <v>613</v>
      </c>
      <c r="O11" s="272">
        <v>13</v>
      </c>
      <c r="P11" s="272">
        <v>14</v>
      </c>
      <c r="Q11" s="272" t="s">
        <v>612</v>
      </c>
      <c r="R11" s="272">
        <v>16</v>
      </c>
      <c r="S11" s="272">
        <v>17</v>
      </c>
      <c r="T11" s="273" t="s">
        <v>622</v>
      </c>
      <c r="U11" s="273" t="s">
        <v>623</v>
      </c>
      <c r="V11" s="273" t="s">
        <v>624</v>
      </c>
      <c r="W11" s="273" t="s">
        <v>625</v>
      </c>
      <c r="X11" s="273" t="s">
        <v>626</v>
      </c>
      <c r="Y11" s="273">
        <v>8</v>
      </c>
      <c r="Z11" s="273">
        <v>9</v>
      </c>
      <c r="AA11" s="273" t="s">
        <v>627</v>
      </c>
      <c r="AB11" s="273">
        <v>11</v>
      </c>
      <c r="AC11" s="273">
        <v>12</v>
      </c>
      <c r="AD11" s="273" t="s">
        <v>628</v>
      </c>
      <c r="AE11" s="273" t="s">
        <v>629</v>
      </c>
      <c r="AF11" s="273">
        <v>15</v>
      </c>
      <c r="AG11" s="273">
        <v>16</v>
      </c>
      <c r="AH11" s="273" t="s">
        <v>630</v>
      </c>
      <c r="AI11" s="273">
        <v>18</v>
      </c>
      <c r="AJ11" s="273">
        <v>19</v>
      </c>
      <c r="AK11" s="273" t="s">
        <v>811</v>
      </c>
      <c r="AL11" s="273" t="s">
        <v>812</v>
      </c>
      <c r="AM11" s="273" t="s">
        <v>813</v>
      </c>
      <c r="AN11" s="273" t="s">
        <v>814</v>
      </c>
      <c r="AO11" s="273" t="s">
        <v>815</v>
      </c>
      <c r="AP11" s="273" t="s">
        <v>816</v>
      </c>
      <c r="AQ11" s="273" t="s">
        <v>817</v>
      </c>
      <c r="AR11" s="273" t="s">
        <v>818</v>
      </c>
      <c r="AS11" s="273" t="s">
        <v>819</v>
      </c>
      <c r="AT11" s="273" t="s">
        <v>820</v>
      </c>
      <c r="AU11" s="273" t="s">
        <v>821</v>
      </c>
      <c r="AV11" s="273" t="s">
        <v>822</v>
      </c>
      <c r="AW11" s="273" t="s">
        <v>823</v>
      </c>
      <c r="AX11" s="273" t="s">
        <v>824</v>
      </c>
      <c r="AY11" s="273" t="s">
        <v>825</v>
      </c>
      <c r="AZ11" s="273" t="s">
        <v>826</v>
      </c>
      <c r="BA11" s="273" t="s">
        <v>827</v>
      </c>
    </row>
    <row r="12" spans="1:56">
      <c r="A12" s="274"/>
      <c r="B12" s="275" t="s">
        <v>157</v>
      </c>
      <c r="C12" s="276">
        <f>SUBTOTAL(9,C13:C46)</f>
        <v>0</v>
      </c>
      <c r="D12" s="276">
        <f t="shared" ref="D12:AJ12" si="0">SUBTOTAL(9,D13:D46)</f>
        <v>0</v>
      </c>
      <c r="E12" s="276">
        <f t="shared" si="0"/>
        <v>0</v>
      </c>
      <c r="F12" s="276">
        <f t="shared" si="0"/>
        <v>0</v>
      </c>
      <c r="G12" s="276">
        <f t="shared" si="0"/>
        <v>0</v>
      </c>
      <c r="H12" s="276">
        <f t="shared" si="0"/>
        <v>0</v>
      </c>
      <c r="I12" s="276">
        <f t="shared" si="0"/>
        <v>0</v>
      </c>
      <c r="J12" s="276">
        <f t="shared" si="0"/>
        <v>0</v>
      </c>
      <c r="K12" s="276">
        <f t="shared" si="0"/>
        <v>0</v>
      </c>
      <c r="L12" s="276">
        <f t="shared" si="0"/>
        <v>0</v>
      </c>
      <c r="M12" s="276">
        <f>SUBTOTAL(9,M13:M46)</f>
        <v>0</v>
      </c>
      <c r="N12" s="276">
        <f t="shared" si="0"/>
        <v>0</v>
      </c>
      <c r="O12" s="276">
        <f t="shared" si="0"/>
        <v>0</v>
      </c>
      <c r="P12" s="276">
        <f t="shared" si="0"/>
        <v>0</v>
      </c>
      <c r="Q12" s="276">
        <f t="shared" si="0"/>
        <v>0</v>
      </c>
      <c r="R12" s="276">
        <f t="shared" si="0"/>
        <v>0</v>
      </c>
      <c r="S12" s="276">
        <f t="shared" si="0"/>
        <v>0</v>
      </c>
      <c r="T12" s="277">
        <f>SUBTOTAL(9,T13:T46)</f>
        <v>43796.432468999992</v>
      </c>
      <c r="U12" s="277">
        <f t="shared" si="0"/>
        <v>39005.422468999983</v>
      </c>
      <c r="V12" s="277">
        <f t="shared" si="0"/>
        <v>4791.01</v>
      </c>
      <c r="W12" s="277">
        <f t="shared" si="0"/>
        <v>36700.703468999993</v>
      </c>
      <c r="X12" s="277">
        <f>SUBTOTAL(9,X13:X46)</f>
        <v>36700.703468999993</v>
      </c>
      <c r="Y12" s="277">
        <f t="shared" si="0"/>
        <v>36700.703468999993</v>
      </c>
      <c r="Z12" s="277">
        <f t="shared" si="0"/>
        <v>0</v>
      </c>
      <c r="AA12" s="277">
        <f t="shared" si="0"/>
        <v>0</v>
      </c>
      <c r="AB12" s="277">
        <f t="shared" si="0"/>
        <v>0</v>
      </c>
      <c r="AC12" s="277">
        <f t="shared" si="0"/>
        <v>0</v>
      </c>
      <c r="AD12" s="277">
        <f t="shared" si="0"/>
        <v>7095.7290000000003</v>
      </c>
      <c r="AE12" s="277">
        <f t="shared" si="0"/>
        <v>2304.7190000000001</v>
      </c>
      <c r="AF12" s="277">
        <f t="shared" si="0"/>
        <v>2304.7190000000001</v>
      </c>
      <c r="AG12" s="277">
        <f t="shared" si="0"/>
        <v>0</v>
      </c>
      <c r="AH12" s="277">
        <f t="shared" si="0"/>
        <v>4791.01</v>
      </c>
      <c r="AI12" s="277">
        <f t="shared" si="0"/>
        <v>4791.01</v>
      </c>
      <c r="AJ12" s="277">
        <f t="shared" si="0"/>
        <v>0</v>
      </c>
      <c r="AK12" s="278"/>
      <c r="AL12" s="278"/>
      <c r="AM12" s="278"/>
      <c r="AN12" s="278"/>
      <c r="AO12" s="278"/>
      <c r="AP12" s="278"/>
      <c r="AQ12" s="278"/>
      <c r="AR12" s="278"/>
      <c r="AS12" s="278"/>
      <c r="AT12" s="278"/>
      <c r="AU12" s="278"/>
      <c r="AV12" s="278"/>
      <c r="AW12" s="278"/>
      <c r="AX12" s="278"/>
      <c r="AY12" s="278"/>
      <c r="AZ12" s="278"/>
      <c r="BA12" s="278"/>
    </row>
    <row r="13" spans="1:56">
      <c r="A13" s="279" t="s">
        <v>28</v>
      </c>
      <c r="B13" s="280" t="s">
        <v>481</v>
      </c>
      <c r="C13" s="276">
        <f>SUBTOTAL(9,C14:C34)</f>
        <v>0</v>
      </c>
      <c r="D13" s="276">
        <f t="shared" ref="D13:AJ13" si="1">SUBTOTAL(9,D14:D34)</f>
        <v>0</v>
      </c>
      <c r="E13" s="276">
        <f t="shared" si="1"/>
        <v>0</v>
      </c>
      <c r="F13" s="276">
        <f t="shared" si="1"/>
        <v>0</v>
      </c>
      <c r="G13" s="276">
        <f t="shared" si="1"/>
        <v>0</v>
      </c>
      <c r="H13" s="276">
        <f t="shared" si="1"/>
        <v>0</v>
      </c>
      <c r="I13" s="276">
        <f t="shared" si="1"/>
        <v>0</v>
      </c>
      <c r="J13" s="276">
        <f t="shared" si="1"/>
        <v>0</v>
      </c>
      <c r="K13" s="276">
        <f t="shared" si="1"/>
        <v>0</v>
      </c>
      <c r="L13" s="276">
        <f t="shared" si="1"/>
        <v>0</v>
      </c>
      <c r="M13" s="276">
        <f t="shared" si="1"/>
        <v>0</v>
      </c>
      <c r="N13" s="276">
        <f t="shared" si="1"/>
        <v>0</v>
      </c>
      <c r="O13" s="276">
        <f t="shared" si="1"/>
        <v>0</v>
      </c>
      <c r="P13" s="276">
        <f t="shared" si="1"/>
        <v>0</v>
      </c>
      <c r="Q13" s="276">
        <f t="shared" si="1"/>
        <v>0</v>
      </c>
      <c r="R13" s="276">
        <f t="shared" si="1"/>
        <v>0</v>
      </c>
      <c r="S13" s="276">
        <f t="shared" si="1"/>
        <v>0</v>
      </c>
      <c r="T13" s="276">
        <f t="shared" si="1"/>
        <v>37058.607468999995</v>
      </c>
      <c r="U13" s="276">
        <f t="shared" si="1"/>
        <v>36570.607468999995</v>
      </c>
      <c r="V13" s="276">
        <f>SUBTOTAL(9,V14:V34)</f>
        <v>488</v>
      </c>
      <c r="W13" s="276">
        <f t="shared" si="1"/>
        <v>36570.607468999995</v>
      </c>
      <c r="X13" s="276">
        <f t="shared" si="1"/>
        <v>36570.607468999995</v>
      </c>
      <c r="Y13" s="276">
        <f t="shared" si="1"/>
        <v>36570.607468999995</v>
      </c>
      <c r="Z13" s="276">
        <f t="shared" si="1"/>
        <v>0</v>
      </c>
      <c r="AA13" s="276">
        <f t="shared" si="1"/>
        <v>0</v>
      </c>
      <c r="AB13" s="276">
        <f t="shared" si="1"/>
        <v>0</v>
      </c>
      <c r="AC13" s="276">
        <f t="shared" si="1"/>
        <v>0</v>
      </c>
      <c r="AD13" s="276">
        <f t="shared" si="1"/>
        <v>488</v>
      </c>
      <c r="AE13" s="276">
        <f t="shared" si="1"/>
        <v>0</v>
      </c>
      <c r="AF13" s="276">
        <f t="shared" si="1"/>
        <v>0</v>
      </c>
      <c r="AG13" s="276">
        <f t="shared" si="1"/>
        <v>0</v>
      </c>
      <c r="AH13" s="276">
        <f t="shared" si="1"/>
        <v>488</v>
      </c>
      <c r="AI13" s="276">
        <f t="shared" si="1"/>
        <v>488</v>
      </c>
      <c r="AJ13" s="276">
        <f t="shared" si="1"/>
        <v>0</v>
      </c>
      <c r="AK13" s="278"/>
      <c r="AL13" s="278"/>
      <c r="AM13" s="278"/>
      <c r="AN13" s="278"/>
      <c r="AO13" s="278"/>
      <c r="AP13" s="278"/>
      <c r="AQ13" s="278"/>
      <c r="AR13" s="278"/>
      <c r="AS13" s="278"/>
      <c r="AT13" s="278"/>
      <c r="AU13" s="278"/>
      <c r="AV13" s="278"/>
      <c r="AW13" s="278"/>
      <c r="AX13" s="278"/>
      <c r="AY13" s="278"/>
      <c r="AZ13" s="278"/>
      <c r="BA13" s="278"/>
    </row>
    <row r="14" spans="1:56" ht="21.75" customHeight="1">
      <c r="A14" s="281">
        <v>1</v>
      </c>
      <c r="B14" s="282" t="s">
        <v>246</v>
      </c>
      <c r="C14" s="283">
        <f>D14+E14</f>
        <v>0</v>
      </c>
      <c r="D14" s="284">
        <f>G14+N14</f>
        <v>0</v>
      </c>
      <c r="E14" s="284">
        <f>J14+Q14</f>
        <v>0</v>
      </c>
      <c r="F14" s="284">
        <f>G14+J14</f>
        <v>0</v>
      </c>
      <c r="G14" s="284">
        <f>H14+I14</f>
        <v>0</v>
      </c>
      <c r="H14" s="284"/>
      <c r="I14" s="284"/>
      <c r="J14" s="284">
        <f>K14+L14</f>
        <v>0</v>
      </c>
      <c r="K14" s="284"/>
      <c r="L14" s="284"/>
      <c r="M14" s="284">
        <f>N14+Q14</f>
        <v>0</v>
      </c>
      <c r="N14" s="284">
        <f>O14+P14</f>
        <v>0</v>
      </c>
      <c r="O14" s="285"/>
      <c r="P14" s="284"/>
      <c r="Q14" s="284">
        <f>R14+S14</f>
        <v>0</v>
      </c>
      <c r="R14" s="284"/>
      <c r="S14" s="284"/>
      <c r="T14" s="286">
        <f>U14+V14</f>
        <v>0</v>
      </c>
      <c r="U14" s="287">
        <f>X14+AE14</f>
        <v>0</v>
      </c>
      <c r="V14" s="287">
        <f>AA14+AH14</f>
        <v>0</v>
      </c>
      <c r="W14" s="287">
        <f>X14+AA14</f>
        <v>0</v>
      </c>
      <c r="X14" s="287">
        <f>Y14+Z14</f>
        <v>0</v>
      </c>
      <c r="Y14" s="288">
        <v>0</v>
      </c>
      <c r="Z14" s="287">
        <v>0</v>
      </c>
      <c r="AA14" s="287">
        <f>AB14+AC14</f>
        <v>0</v>
      </c>
      <c r="AB14" s="287"/>
      <c r="AC14" s="287">
        <v>0</v>
      </c>
      <c r="AD14" s="289">
        <f t="shared" ref="AD14:AD23" si="2">AE14+AH14</f>
        <v>0</v>
      </c>
      <c r="AE14" s="289">
        <f t="shared" ref="AE14:AE23" si="3">AF14+AG14</f>
        <v>0</v>
      </c>
      <c r="AF14" s="287">
        <v>0</v>
      </c>
      <c r="AG14" s="287">
        <v>0</v>
      </c>
      <c r="AH14" s="289">
        <f t="shared" ref="AH14:AH34" si="4">AI14+AJ14</f>
        <v>0</v>
      </c>
      <c r="AI14" s="287"/>
      <c r="AJ14" s="287">
        <v>0</v>
      </c>
      <c r="AK14" s="290"/>
      <c r="AL14" s="290"/>
      <c r="AM14" s="290"/>
      <c r="AN14" s="290"/>
      <c r="AO14" s="290"/>
      <c r="AP14" s="290"/>
      <c r="AQ14" s="290"/>
      <c r="AR14" s="290"/>
      <c r="AS14" s="290"/>
      <c r="AT14" s="290"/>
      <c r="AU14" s="290"/>
      <c r="AV14" s="290"/>
      <c r="AW14" s="290"/>
      <c r="AX14" s="290"/>
      <c r="AY14" s="290"/>
      <c r="AZ14" s="290"/>
      <c r="BA14" s="290"/>
    </row>
    <row r="15" spans="1:56" ht="21.75" customHeight="1">
      <c r="A15" s="281">
        <v>2</v>
      </c>
      <c r="B15" s="282" t="s">
        <v>806</v>
      </c>
      <c r="C15" s="283">
        <f t="shared" ref="C15:C34" si="5">D15+E15</f>
        <v>0</v>
      </c>
      <c r="D15" s="284">
        <f t="shared" ref="D15:D34" si="6">G15+N15</f>
        <v>0</v>
      </c>
      <c r="E15" s="284">
        <f>J15+Q15</f>
        <v>0</v>
      </c>
      <c r="F15" s="284">
        <f t="shared" ref="F15:F34" si="7">G15+J15</f>
        <v>0</v>
      </c>
      <c r="G15" s="284">
        <f t="shared" ref="G15:G34" si="8">H15+I15</f>
        <v>0</v>
      </c>
      <c r="H15" s="284"/>
      <c r="I15" s="284"/>
      <c r="J15" s="284">
        <f t="shared" ref="J15:J34" si="9">K15+L15</f>
        <v>0</v>
      </c>
      <c r="K15" s="284"/>
      <c r="L15" s="284"/>
      <c r="M15" s="284">
        <f t="shared" ref="M15:M34" si="10">N15+Q15</f>
        <v>0</v>
      </c>
      <c r="N15" s="284">
        <f t="shared" ref="N15:N34" si="11">O15+P15</f>
        <v>0</v>
      </c>
      <c r="O15" s="285"/>
      <c r="P15" s="284"/>
      <c r="Q15" s="284">
        <f t="shared" ref="Q15:Q34" si="12">R15+S15</f>
        <v>0</v>
      </c>
      <c r="R15" s="284"/>
      <c r="S15" s="284"/>
      <c r="T15" s="286">
        <f t="shared" ref="T15:T34" si="13">U15+V15</f>
        <v>0</v>
      </c>
      <c r="U15" s="287">
        <f t="shared" ref="U15:U34" si="14">X15+AE15</f>
        <v>0</v>
      </c>
      <c r="V15" s="287">
        <f t="shared" ref="V15:V34" si="15">AA15+AH15</f>
        <v>0</v>
      </c>
      <c r="W15" s="287">
        <f t="shared" ref="W15:W34" si="16">X15+AA15</f>
        <v>0</v>
      </c>
      <c r="X15" s="287">
        <f t="shared" ref="X15:X34" si="17">Y15+Z15</f>
        <v>0</v>
      </c>
      <c r="Y15" s="288">
        <v>0</v>
      </c>
      <c r="Z15" s="287">
        <v>0</v>
      </c>
      <c r="AA15" s="287">
        <f t="shared" ref="AA15:AA23" si="18">AB15+AC15</f>
        <v>0</v>
      </c>
      <c r="AB15" s="287"/>
      <c r="AC15" s="287">
        <v>0</v>
      </c>
      <c r="AD15" s="289">
        <f t="shared" si="2"/>
        <v>0</v>
      </c>
      <c r="AE15" s="289">
        <f t="shared" si="3"/>
        <v>0</v>
      </c>
      <c r="AF15" s="287">
        <v>0</v>
      </c>
      <c r="AG15" s="287">
        <v>0</v>
      </c>
      <c r="AH15" s="289">
        <f t="shared" si="4"/>
        <v>0</v>
      </c>
      <c r="AI15" s="287"/>
      <c r="AJ15" s="287">
        <v>0</v>
      </c>
      <c r="AK15" s="290"/>
      <c r="AL15" s="290"/>
      <c r="AM15" s="290"/>
      <c r="AN15" s="290"/>
      <c r="AO15" s="290"/>
      <c r="AP15" s="290"/>
      <c r="AQ15" s="290"/>
      <c r="AR15" s="290"/>
      <c r="AS15" s="290"/>
      <c r="AT15" s="290"/>
      <c r="AU15" s="290"/>
      <c r="AV15" s="290"/>
      <c r="AW15" s="290"/>
      <c r="AX15" s="290"/>
      <c r="AY15" s="290"/>
      <c r="AZ15" s="290"/>
      <c r="BA15" s="290"/>
      <c r="BD15" s="270"/>
    </row>
    <row r="16" spans="1:56" ht="24.75" customHeight="1">
      <c r="A16" s="281">
        <v>3</v>
      </c>
      <c r="B16" s="291" t="s">
        <v>560</v>
      </c>
      <c r="C16" s="283">
        <f t="shared" si="5"/>
        <v>0</v>
      </c>
      <c r="D16" s="284">
        <f t="shared" si="6"/>
        <v>0</v>
      </c>
      <c r="E16" s="284">
        <f t="shared" ref="E16:E34" si="19">J16+Q16</f>
        <v>0</v>
      </c>
      <c r="F16" s="284">
        <f t="shared" si="7"/>
        <v>0</v>
      </c>
      <c r="G16" s="284">
        <f t="shared" si="8"/>
        <v>0</v>
      </c>
      <c r="H16" s="284"/>
      <c r="I16" s="284"/>
      <c r="J16" s="284">
        <f t="shared" si="9"/>
        <v>0</v>
      </c>
      <c r="K16" s="284"/>
      <c r="L16" s="284"/>
      <c r="M16" s="284">
        <f t="shared" si="10"/>
        <v>0</v>
      </c>
      <c r="N16" s="284">
        <f t="shared" si="11"/>
        <v>0</v>
      </c>
      <c r="O16" s="285"/>
      <c r="P16" s="284"/>
      <c r="Q16" s="284">
        <f t="shared" si="12"/>
        <v>0</v>
      </c>
      <c r="R16" s="284"/>
      <c r="S16" s="284"/>
      <c r="T16" s="286">
        <f t="shared" si="13"/>
        <v>488</v>
      </c>
      <c r="U16" s="287">
        <f t="shared" si="14"/>
        <v>0</v>
      </c>
      <c r="V16" s="287">
        <f t="shared" si="15"/>
        <v>488</v>
      </c>
      <c r="W16" s="287">
        <f t="shared" si="16"/>
        <v>0</v>
      </c>
      <c r="X16" s="287">
        <f t="shared" si="17"/>
        <v>0</v>
      </c>
      <c r="Y16" s="288"/>
      <c r="Z16" s="287"/>
      <c r="AA16" s="287">
        <f t="shared" si="18"/>
        <v>0</v>
      </c>
      <c r="AB16" s="287"/>
      <c r="AC16" s="287"/>
      <c r="AD16" s="289">
        <f t="shared" si="2"/>
        <v>488</v>
      </c>
      <c r="AE16" s="289">
        <f t="shared" si="3"/>
        <v>0</v>
      </c>
      <c r="AF16" s="287"/>
      <c r="AG16" s="287"/>
      <c r="AH16" s="289">
        <f t="shared" si="4"/>
        <v>488</v>
      </c>
      <c r="AI16" s="287">
        <v>488</v>
      </c>
      <c r="AJ16" s="287"/>
      <c r="AK16" s="290"/>
      <c r="AL16" s="290"/>
      <c r="AM16" s="290"/>
      <c r="AN16" s="290"/>
      <c r="AO16" s="290"/>
      <c r="AP16" s="290"/>
      <c r="AQ16" s="290"/>
      <c r="AR16" s="290"/>
      <c r="AS16" s="290"/>
      <c r="AT16" s="290"/>
      <c r="AU16" s="290"/>
      <c r="AV16" s="290"/>
      <c r="AW16" s="290"/>
      <c r="AX16" s="290"/>
      <c r="AY16" s="290"/>
      <c r="AZ16" s="290"/>
      <c r="BA16" s="290"/>
    </row>
    <row r="17" spans="1:53" ht="25.5">
      <c r="A17" s="281">
        <v>4</v>
      </c>
      <c r="B17" s="291" t="s">
        <v>807</v>
      </c>
      <c r="C17" s="283">
        <f t="shared" si="5"/>
        <v>0</v>
      </c>
      <c r="D17" s="284">
        <f t="shared" si="6"/>
        <v>0</v>
      </c>
      <c r="E17" s="284">
        <f t="shared" si="19"/>
        <v>0</v>
      </c>
      <c r="F17" s="284">
        <f t="shared" si="7"/>
        <v>0</v>
      </c>
      <c r="G17" s="284">
        <f t="shared" si="8"/>
        <v>0</v>
      </c>
      <c r="H17" s="284"/>
      <c r="I17" s="284"/>
      <c r="J17" s="284">
        <f t="shared" si="9"/>
        <v>0</v>
      </c>
      <c r="K17" s="284"/>
      <c r="L17" s="284"/>
      <c r="M17" s="284">
        <f t="shared" si="10"/>
        <v>0</v>
      </c>
      <c r="N17" s="284">
        <f t="shared" si="11"/>
        <v>0</v>
      </c>
      <c r="O17" s="285"/>
      <c r="P17" s="284"/>
      <c r="Q17" s="284">
        <f t="shared" si="12"/>
        <v>0</v>
      </c>
      <c r="R17" s="284"/>
      <c r="S17" s="284"/>
      <c r="T17" s="286">
        <f t="shared" si="13"/>
        <v>0</v>
      </c>
      <c r="U17" s="287">
        <f t="shared" si="14"/>
        <v>0</v>
      </c>
      <c r="V17" s="287">
        <f t="shared" si="15"/>
        <v>0</v>
      </c>
      <c r="W17" s="287">
        <f t="shared" si="16"/>
        <v>0</v>
      </c>
      <c r="X17" s="287">
        <f t="shared" si="17"/>
        <v>0</v>
      </c>
      <c r="Y17" s="288">
        <v>0</v>
      </c>
      <c r="Z17" s="287">
        <v>0</v>
      </c>
      <c r="AA17" s="287">
        <f t="shared" si="18"/>
        <v>0</v>
      </c>
      <c r="AB17" s="287">
        <v>0</v>
      </c>
      <c r="AC17" s="287">
        <v>0</v>
      </c>
      <c r="AD17" s="289">
        <f t="shared" si="2"/>
        <v>0</v>
      </c>
      <c r="AE17" s="289">
        <f t="shared" si="3"/>
        <v>0</v>
      </c>
      <c r="AF17" s="287">
        <v>0</v>
      </c>
      <c r="AG17" s="287">
        <v>0</v>
      </c>
      <c r="AH17" s="289">
        <f t="shared" si="4"/>
        <v>0</v>
      </c>
      <c r="AI17" s="287"/>
      <c r="AJ17" s="287">
        <v>0</v>
      </c>
      <c r="AK17" s="290"/>
      <c r="AL17" s="290"/>
      <c r="AM17" s="290"/>
      <c r="AN17" s="290"/>
      <c r="AO17" s="290"/>
      <c r="AP17" s="290"/>
      <c r="AQ17" s="290"/>
      <c r="AR17" s="290"/>
      <c r="AS17" s="290"/>
      <c r="AT17" s="290"/>
      <c r="AU17" s="290"/>
      <c r="AV17" s="290"/>
      <c r="AW17" s="290"/>
      <c r="AX17" s="290"/>
      <c r="AY17" s="290"/>
      <c r="AZ17" s="290"/>
      <c r="BA17" s="290"/>
    </row>
    <row r="18" spans="1:53">
      <c r="A18" s="281">
        <v>5</v>
      </c>
      <c r="B18" s="282" t="s">
        <v>562</v>
      </c>
      <c r="C18" s="283">
        <f t="shared" si="5"/>
        <v>0</v>
      </c>
      <c r="D18" s="284">
        <f t="shared" si="6"/>
        <v>0</v>
      </c>
      <c r="E18" s="284">
        <f t="shared" si="19"/>
        <v>0</v>
      </c>
      <c r="F18" s="284">
        <f t="shared" si="7"/>
        <v>0</v>
      </c>
      <c r="G18" s="284">
        <f t="shared" si="8"/>
        <v>0</v>
      </c>
      <c r="H18" s="284"/>
      <c r="I18" s="284"/>
      <c r="J18" s="284">
        <f t="shared" si="9"/>
        <v>0</v>
      </c>
      <c r="K18" s="284"/>
      <c r="L18" s="284"/>
      <c r="M18" s="284">
        <f t="shared" si="10"/>
        <v>0</v>
      </c>
      <c r="N18" s="284">
        <f t="shared" si="11"/>
        <v>0</v>
      </c>
      <c r="O18" s="285"/>
      <c r="P18" s="284"/>
      <c r="Q18" s="284">
        <f t="shared" si="12"/>
        <v>0</v>
      </c>
      <c r="R18" s="284"/>
      <c r="S18" s="284"/>
      <c r="T18" s="286">
        <f t="shared" si="13"/>
        <v>0</v>
      </c>
      <c r="U18" s="287">
        <f t="shared" si="14"/>
        <v>0</v>
      </c>
      <c r="V18" s="287">
        <f t="shared" si="15"/>
        <v>0</v>
      </c>
      <c r="W18" s="287">
        <f t="shared" si="16"/>
        <v>0</v>
      </c>
      <c r="X18" s="287">
        <f t="shared" si="17"/>
        <v>0</v>
      </c>
      <c r="Y18" s="288">
        <v>0</v>
      </c>
      <c r="Z18" s="287">
        <v>0</v>
      </c>
      <c r="AA18" s="287">
        <f t="shared" si="18"/>
        <v>0</v>
      </c>
      <c r="AB18" s="287">
        <v>0</v>
      </c>
      <c r="AC18" s="287">
        <v>0</v>
      </c>
      <c r="AD18" s="289">
        <f t="shared" si="2"/>
        <v>0</v>
      </c>
      <c r="AE18" s="289">
        <f t="shared" si="3"/>
        <v>0</v>
      </c>
      <c r="AF18" s="287">
        <v>0</v>
      </c>
      <c r="AG18" s="287">
        <v>0</v>
      </c>
      <c r="AH18" s="289">
        <f t="shared" si="4"/>
        <v>0</v>
      </c>
      <c r="AI18" s="287"/>
      <c r="AJ18" s="287">
        <v>0</v>
      </c>
      <c r="AK18" s="290"/>
      <c r="AL18" s="290"/>
      <c r="AM18" s="290"/>
      <c r="AN18" s="290"/>
      <c r="AO18" s="290"/>
      <c r="AP18" s="290"/>
      <c r="AQ18" s="290"/>
      <c r="AR18" s="290"/>
      <c r="AS18" s="290"/>
      <c r="AT18" s="290"/>
      <c r="AU18" s="290"/>
      <c r="AV18" s="290"/>
      <c r="AW18" s="290"/>
      <c r="AX18" s="290"/>
      <c r="AY18" s="290"/>
      <c r="AZ18" s="290"/>
      <c r="BA18" s="290"/>
    </row>
    <row r="19" spans="1:53">
      <c r="A19" s="281">
        <v>6</v>
      </c>
      <c r="B19" s="282" t="s">
        <v>633</v>
      </c>
      <c r="C19" s="283">
        <f t="shared" si="5"/>
        <v>0</v>
      </c>
      <c r="D19" s="284">
        <f t="shared" si="6"/>
        <v>0</v>
      </c>
      <c r="E19" s="284">
        <f t="shared" si="19"/>
        <v>0</v>
      </c>
      <c r="F19" s="284">
        <f t="shared" si="7"/>
        <v>0</v>
      </c>
      <c r="G19" s="284">
        <f t="shared" si="8"/>
        <v>0</v>
      </c>
      <c r="H19" s="284"/>
      <c r="I19" s="284"/>
      <c r="J19" s="284">
        <f t="shared" si="9"/>
        <v>0</v>
      </c>
      <c r="K19" s="284"/>
      <c r="L19" s="284"/>
      <c r="M19" s="284">
        <f t="shared" si="10"/>
        <v>0</v>
      </c>
      <c r="N19" s="284">
        <f t="shared" si="11"/>
        <v>0</v>
      </c>
      <c r="O19" s="285"/>
      <c r="P19" s="284"/>
      <c r="Q19" s="284">
        <f t="shared" si="12"/>
        <v>0</v>
      </c>
      <c r="R19" s="284"/>
      <c r="S19" s="284"/>
      <c r="T19" s="286">
        <f t="shared" si="13"/>
        <v>0</v>
      </c>
      <c r="U19" s="287">
        <f t="shared" si="14"/>
        <v>0</v>
      </c>
      <c r="V19" s="287">
        <f t="shared" si="15"/>
        <v>0</v>
      </c>
      <c r="W19" s="287">
        <f t="shared" si="16"/>
        <v>0</v>
      </c>
      <c r="X19" s="287">
        <f t="shared" si="17"/>
        <v>0</v>
      </c>
      <c r="Y19" s="288">
        <v>0</v>
      </c>
      <c r="Z19" s="287">
        <v>0</v>
      </c>
      <c r="AA19" s="287">
        <f t="shared" si="18"/>
        <v>0</v>
      </c>
      <c r="AB19" s="287">
        <v>0</v>
      </c>
      <c r="AC19" s="287">
        <v>0</v>
      </c>
      <c r="AD19" s="289">
        <f t="shared" si="2"/>
        <v>0</v>
      </c>
      <c r="AE19" s="289">
        <f t="shared" si="3"/>
        <v>0</v>
      </c>
      <c r="AF19" s="287">
        <v>0</v>
      </c>
      <c r="AG19" s="287">
        <v>0</v>
      </c>
      <c r="AH19" s="289">
        <f t="shared" si="4"/>
        <v>0</v>
      </c>
      <c r="AI19" s="287"/>
      <c r="AJ19" s="287">
        <v>0</v>
      </c>
      <c r="AK19" s="290"/>
      <c r="AL19" s="290"/>
      <c r="AM19" s="290"/>
      <c r="AN19" s="290"/>
      <c r="AO19" s="290"/>
      <c r="AP19" s="290"/>
      <c r="AQ19" s="290"/>
      <c r="AR19" s="290"/>
      <c r="AS19" s="290"/>
      <c r="AT19" s="290"/>
      <c r="AU19" s="290"/>
      <c r="AV19" s="290"/>
      <c r="AW19" s="290"/>
      <c r="AX19" s="290"/>
      <c r="AY19" s="290"/>
      <c r="AZ19" s="290"/>
      <c r="BA19" s="290"/>
    </row>
    <row r="20" spans="1:53">
      <c r="A20" s="281">
        <v>7</v>
      </c>
      <c r="B20" s="282" t="s">
        <v>561</v>
      </c>
      <c r="C20" s="283">
        <f t="shared" si="5"/>
        <v>0</v>
      </c>
      <c r="D20" s="284">
        <f t="shared" si="6"/>
        <v>0</v>
      </c>
      <c r="E20" s="284">
        <f t="shared" si="19"/>
        <v>0</v>
      </c>
      <c r="F20" s="284">
        <f t="shared" si="7"/>
        <v>0</v>
      </c>
      <c r="G20" s="284">
        <f t="shared" si="8"/>
        <v>0</v>
      </c>
      <c r="H20" s="284"/>
      <c r="I20" s="284"/>
      <c r="J20" s="284">
        <f t="shared" si="9"/>
        <v>0</v>
      </c>
      <c r="K20" s="284"/>
      <c r="L20" s="284"/>
      <c r="M20" s="284">
        <f t="shared" si="10"/>
        <v>0</v>
      </c>
      <c r="N20" s="284">
        <f t="shared" si="11"/>
        <v>0</v>
      </c>
      <c r="O20" s="285"/>
      <c r="P20" s="284"/>
      <c r="Q20" s="284">
        <f t="shared" si="12"/>
        <v>0</v>
      </c>
      <c r="R20" s="284"/>
      <c r="S20" s="284"/>
      <c r="T20" s="286">
        <f t="shared" si="13"/>
        <v>0</v>
      </c>
      <c r="U20" s="287">
        <f t="shared" si="14"/>
        <v>0</v>
      </c>
      <c r="V20" s="287">
        <f t="shared" si="15"/>
        <v>0</v>
      </c>
      <c r="W20" s="287">
        <f t="shared" si="16"/>
        <v>0</v>
      </c>
      <c r="X20" s="287">
        <f t="shared" si="17"/>
        <v>0</v>
      </c>
      <c r="Y20" s="288">
        <v>0</v>
      </c>
      <c r="Z20" s="287">
        <v>0</v>
      </c>
      <c r="AA20" s="287">
        <f t="shared" si="18"/>
        <v>0</v>
      </c>
      <c r="AB20" s="287">
        <v>0</v>
      </c>
      <c r="AC20" s="287">
        <v>0</v>
      </c>
      <c r="AD20" s="289">
        <f t="shared" si="2"/>
        <v>0</v>
      </c>
      <c r="AE20" s="289">
        <f t="shared" si="3"/>
        <v>0</v>
      </c>
      <c r="AF20" s="287">
        <v>0</v>
      </c>
      <c r="AG20" s="287">
        <v>0</v>
      </c>
      <c r="AH20" s="289">
        <f t="shared" si="4"/>
        <v>0</v>
      </c>
      <c r="AI20" s="287"/>
      <c r="AJ20" s="287">
        <v>0</v>
      </c>
      <c r="AK20" s="290"/>
      <c r="AL20" s="290"/>
      <c r="AM20" s="290"/>
      <c r="AN20" s="290"/>
      <c r="AO20" s="290"/>
      <c r="AP20" s="290"/>
      <c r="AQ20" s="290"/>
      <c r="AR20" s="290"/>
      <c r="AS20" s="290"/>
      <c r="AT20" s="290"/>
      <c r="AU20" s="290"/>
      <c r="AV20" s="290"/>
      <c r="AW20" s="290"/>
      <c r="AX20" s="290"/>
      <c r="AY20" s="290"/>
      <c r="AZ20" s="290"/>
      <c r="BA20" s="290"/>
    </row>
    <row r="21" spans="1:53">
      <c r="A21" s="281">
        <v>8</v>
      </c>
      <c r="B21" s="282" t="s">
        <v>808</v>
      </c>
      <c r="C21" s="283">
        <f t="shared" si="5"/>
        <v>0</v>
      </c>
      <c r="D21" s="284">
        <f t="shared" si="6"/>
        <v>0</v>
      </c>
      <c r="E21" s="284">
        <f t="shared" si="19"/>
        <v>0</v>
      </c>
      <c r="F21" s="284">
        <f t="shared" si="7"/>
        <v>0</v>
      </c>
      <c r="G21" s="284">
        <f t="shared" si="8"/>
        <v>0</v>
      </c>
      <c r="H21" s="284"/>
      <c r="I21" s="284"/>
      <c r="J21" s="284">
        <f t="shared" si="9"/>
        <v>0</v>
      </c>
      <c r="K21" s="284"/>
      <c r="L21" s="284"/>
      <c r="M21" s="284">
        <f t="shared" si="10"/>
        <v>0</v>
      </c>
      <c r="N21" s="284">
        <f t="shared" si="11"/>
        <v>0</v>
      </c>
      <c r="O21" s="285"/>
      <c r="P21" s="284"/>
      <c r="Q21" s="284">
        <f t="shared" si="12"/>
        <v>0</v>
      </c>
      <c r="R21" s="284"/>
      <c r="S21" s="284"/>
      <c r="T21" s="286">
        <f t="shared" si="13"/>
        <v>0</v>
      </c>
      <c r="U21" s="287">
        <f t="shared" si="14"/>
        <v>0</v>
      </c>
      <c r="V21" s="287">
        <f t="shared" si="15"/>
        <v>0</v>
      </c>
      <c r="W21" s="287">
        <f t="shared" si="16"/>
        <v>0</v>
      </c>
      <c r="X21" s="287">
        <f t="shared" si="17"/>
        <v>0</v>
      </c>
      <c r="Y21" s="288">
        <v>0</v>
      </c>
      <c r="Z21" s="287">
        <v>0</v>
      </c>
      <c r="AA21" s="287">
        <f t="shared" si="18"/>
        <v>0</v>
      </c>
      <c r="AB21" s="287">
        <v>0</v>
      </c>
      <c r="AC21" s="287">
        <v>0</v>
      </c>
      <c r="AD21" s="289">
        <f t="shared" si="2"/>
        <v>0</v>
      </c>
      <c r="AE21" s="289">
        <f t="shared" si="3"/>
        <v>0</v>
      </c>
      <c r="AF21" s="287">
        <v>0</v>
      </c>
      <c r="AG21" s="287">
        <v>0</v>
      </c>
      <c r="AH21" s="289">
        <f t="shared" si="4"/>
        <v>0</v>
      </c>
      <c r="AI21" s="287"/>
      <c r="AJ21" s="287">
        <v>0</v>
      </c>
      <c r="AK21" s="290"/>
      <c r="AL21" s="290"/>
      <c r="AM21" s="290"/>
      <c r="AN21" s="290"/>
      <c r="AO21" s="290"/>
      <c r="AP21" s="290"/>
      <c r="AQ21" s="290"/>
      <c r="AR21" s="290"/>
      <c r="AS21" s="290"/>
      <c r="AT21" s="290"/>
      <c r="AU21" s="290"/>
      <c r="AV21" s="290"/>
      <c r="AW21" s="290"/>
      <c r="AX21" s="290"/>
      <c r="AY21" s="290"/>
      <c r="AZ21" s="290"/>
      <c r="BA21" s="290"/>
    </row>
    <row r="22" spans="1:53">
      <c r="A22" s="281">
        <v>9</v>
      </c>
      <c r="B22" s="282" t="s">
        <v>306</v>
      </c>
      <c r="C22" s="283">
        <f t="shared" si="5"/>
        <v>0</v>
      </c>
      <c r="D22" s="284">
        <f t="shared" si="6"/>
        <v>0</v>
      </c>
      <c r="E22" s="284">
        <f t="shared" si="19"/>
        <v>0</v>
      </c>
      <c r="F22" s="284">
        <f t="shared" si="7"/>
        <v>0</v>
      </c>
      <c r="G22" s="284">
        <f t="shared" si="8"/>
        <v>0</v>
      </c>
      <c r="H22" s="284"/>
      <c r="I22" s="284"/>
      <c r="J22" s="284">
        <f t="shared" si="9"/>
        <v>0</v>
      </c>
      <c r="K22" s="284"/>
      <c r="L22" s="284"/>
      <c r="M22" s="284">
        <f t="shared" si="10"/>
        <v>0</v>
      </c>
      <c r="N22" s="284">
        <f t="shared" si="11"/>
        <v>0</v>
      </c>
      <c r="O22" s="285"/>
      <c r="P22" s="284"/>
      <c r="Q22" s="284">
        <f t="shared" si="12"/>
        <v>0</v>
      </c>
      <c r="R22" s="284"/>
      <c r="S22" s="284"/>
      <c r="T22" s="286">
        <f t="shared" si="13"/>
        <v>0</v>
      </c>
      <c r="U22" s="287">
        <f t="shared" si="14"/>
        <v>0</v>
      </c>
      <c r="V22" s="287">
        <f t="shared" si="15"/>
        <v>0</v>
      </c>
      <c r="W22" s="287">
        <f t="shared" si="16"/>
        <v>0</v>
      </c>
      <c r="X22" s="287">
        <f t="shared" si="17"/>
        <v>0</v>
      </c>
      <c r="Y22" s="288">
        <v>0</v>
      </c>
      <c r="Z22" s="287">
        <v>0</v>
      </c>
      <c r="AA22" s="287">
        <f t="shared" si="18"/>
        <v>0</v>
      </c>
      <c r="AB22" s="287"/>
      <c r="AC22" s="287">
        <v>0</v>
      </c>
      <c r="AD22" s="289">
        <f t="shared" si="2"/>
        <v>0</v>
      </c>
      <c r="AE22" s="289">
        <f t="shared" si="3"/>
        <v>0</v>
      </c>
      <c r="AF22" s="287">
        <v>0</v>
      </c>
      <c r="AG22" s="287">
        <v>0</v>
      </c>
      <c r="AH22" s="289">
        <f t="shared" si="4"/>
        <v>0</v>
      </c>
      <c r="AI22" s="287">
        <v>0</v>
      </c>
      <c r="AJ22" s="287">
        <v>0</v>
      </c>
      <c r="AK22" s="290"/>
      <c r="AL22" s="290"/>
      <c r="AM22" s="290"/>
      <c r="AN22" s="290"/>
      <c r="AO22" s="290"/>
      <c r="AP22" s="290"/>
      <c r="AQ22" s="290"/>
      <c r="AR22" s="290"/>
      <c r="AS22" s="290"/>
      <c r="AT22" s="290"/>
      <c r="AU22" s="290"/>
      <c r="AV22" s="290"/>
      <c r="AW22" s="290"/>
      <c r="AX22" s="290"/>
      <c r="AY22" s="290"/>
      <c r="AZ22" s="290"/>
      <c r="BA22" s="290"/>
    </row>
    <row r="23" spans="1:53" ht="25.5" customHeight="1">
      <c r="A23" s="281">
        <v>10</v>
      </c>
      <c r="B23" s="282" t="s">
        <v>809</v>
      </c>
      <c r="C23" s="283">
        <f t="shared" si="5"/>
        <v>0</v>
      </c>
      <c r="D23" s="284">
        <f t="shared" si="6"/>
        <v>0</v>
      </c>
      <c r="E23" s="284">
        <f t="shared" si="19"/>
        <v>0</v>
      </c>
      <c r="F23" s="284">
        <f t="shared" si="7"/>
        <v>0</v>
      </c>
      <c r="G23" s="284">
        <f t="shared" si="8"/>
        <v>0</v>
      </c>
      <c r="H23" s="284"/>
      <c r="I23" s="284"/>
      <c r="J23" s="284">
        <f t="shared" si="9"/>
        <v>0</v>
      </c>
      <c r="K23" s="284"/>
      <c r="L23" s="284"/>
      <c r="M23" s="284">
        <f t="shared" si="10"/>
        <v>0</v>
      </c>
      <c r="N23" s="284">
        <f t="shared" si="11"/>
        <v>0</v>
      </c>
      <c r="O23" s="285"/>
      <c r="P23" s="284"/>
      <c r="Q23" s="284">
        <f t="shared" si="12"/>
        <v>0</v>
      </c>
      <c r="R23" s="284"/>
      <c r="S23" s="284"/>
      <c r="T23" s="286">
        <f t="shared" si="13"/>
        <v>0</v>
      </c>
      <c r="U23" s="287">
        <f t="shared" si="14"/>
        <v>0</v>
      </c>
      <c r="V23" s="287">
        <f t="shared" si="15"/>
        <v>0</v>
      </c>
      <c r="W23" s="287">
        <f t="shared" si="16"/>
        <v>0</v>
      </c>
      <c r="X23" s="287">
        <f t="shared" si="17"/>
        <v>0</v>
      </c>
      <c r="Y23" s="288">
        <v>0</v>
      </c>
      <c r="Z23" s="287">
        <v>0</v>
      </c>
      <c r="AA23" s="287">
        <f t="shared" si="18"/>
        <v>0</v>
      </c>
      <c r="AB23" s="287"/>
      <c r="AC23" s="287">
        <v>0</v>
      </c>
      <c r="AD23" s="289">
        <f t="shared" si="2"/>
        <v>0</v>
      </c>
      <c r="AE23" s="289">
        <f t="shared" si="3"/>
        <v>0</v>
      </c>
      <c r="AF23" s="287">
        <v>0</v>
      </c>
      <c r="AG23" s="287">
        <v>0</v>
      </c>
      <c r="AH23" s="289">
        <f t="shared" si="4"/>
        <v>0</v>
      </c>
      <c r="AI23" s="287">
        <v>0</v>
      </c>
      <c r="AJ23" s="287">
        <v>0</v>
      </c>
      <c r="AK23" s="290"/>
      <c r="AL23" s="290"/>
      <c r="AM23" s="290"/>
      <c r="AN23" s="290"/>
      <c r="AO23" s="290"/>
      <c r="AP23" s="290"/>
      <c r="AQ23" s="290"/>
      <c r="AR23" s="290"/>
      <c r="AS23" s="290"/>
      <c r="AT23" s="290"/>
      <c r="AU23" s="290"/>
      <c r="AV23" s="290"/>
      <c r="AW23" s="290"/>
      <c r="AX23" s="290"/>
      <c r="AY23" s="290"/>
      <c r="AZ23" s="290"/>
      <c r="BA23" s="290"/>
    </row>
    <row r="24" spans="1:53">
      <c r="A24" s="281">
        <v>11</v>
      </c>
      <c r="B24" s="291" t="s">
        <v>810</v>
      </c>
      <c r="C24" s="283">
        <f t="shared" si="5"/>
        <v>0</v>
      </c>
      <c r="D24" s="284">
        <f>G24+N24</f>
        <v>0</v>
      </c>
      <c r="E24" s="284">
        <f t="shared" si="19"/>
        <v>0</v>
      </c>
      <c r="F24" s="284">
        <f t="shared" si="7"/>
        <v>0</v>
      </c>
      <c r="G24" s="284">
        <f t="shared" si="8"/>
        <v>0</v>
      </c>
      <c r="H24" s="284"/>
      <c r="I24" s="284"/>
      <c r="J24" s="284">
        <f t="shared" si="9"/>
        <v>0</v>
      </c>
      <c r="K24" s="284"/>
      <c r="L24" s="284"/>
      <c r="M24" s="284">
        <f t="shared" si="10"/>
        <v>0</v>
      </c>
      <c r="N24" s="284">
        <f t="shared" si="11"/>
        <v>0</v>
      </c>
      <c r="O24" s="285"/>
      <c r="P24" s="284"/>
      <c r="Q24" s="284">
        <f t="shared" si="12"/>
        <v>0</v>
      </c>
      <c r="R24" s="284"/>
      <c r="S24" s="284"/>
      <c r="T24" s="286">
        <f>U24+V24</f>
        <v>0</v>
      </c>
      <c r="U24" s="287">
        <f t="shared" si="14"/>
        <v>0</v>
      </c>
      <c r="V24" s="287">
        <f t="shared" si="15"/>
        <v>0</v>
      </c>
      <c r="W24" s="287">
        <f t="shared" si="16"/>
        <v>0</v>
      </c>
      <c r="X24" s="287">
        <f t="shared" si="17"/>
        <v>0</v>
      </c>
      <c r="Y24" s="289"/>
      <c r="Z24" s="289"/>
      <c r="AA24" s="289"/>
      <c r="AB24" s="289"/>
      <c r="AC24" s="289"/>
      <c r="AD24" s="289">
        <f>AE24+AH24</f>
        <v>0</v>
      </c>
      <c r="AE24" s="289">
        <f>AF24+AG24</f>
        <v>0</v>
      </c>
      <c r="AF24" s="292"/>
      <c r="AG24" s="289"/>
      <c r="AH24" s="289">
        <f>AI24+AJ24</f>
        <v>0</v>
      </c>
      <c r="AI24" s="289"/>
      <c r="AJ24" s="289"/>
      <c r="AK24" s="290"/>
      <c r="AL24" s="290"/>
      <c r="AM24" s="290"/>
      <c r="AN24" s="290"/>
      <c r="AO24" s="290"/>
      <c r="AP24" s="290"/>
      <c r="AQ24" s="290"/>
      <c r="AR24" s="290"/>
      <c r="AS24" s="290"/>
      <c r="AT24" s="290"/>
      <c r="AU24" s="290"/>
      <c r="AV24" s="290"/>
      <c r="AW24" s="290"/>
      <c r="AX24" s="290"/>
      <c r="AY24" s="290"/>
      <c r="AZ24" s="290"/>
      <c r="BA24" s="290"/>
    </row>
    <row r="25" spans="1:53">
      <c r="A25" s="281">
        <v>12</v>
      </c>
      <c r="B25" s="291" t="s">
        <v>602</v>
      </c>
      <c r="C25" s="283">
        <f t="shared" si="5"/>
        <v>0</v>
      </c>
      <c r="D25" s="284">
        <f t="shared" si="6"/>
        <v>0</v>
      </c>
      <c r="E25" s="284">
        <f t="shared" si="19"/>
        <v>0</v>
      </c>
      <c r="F25" s="284">
        <f t="shared" si="7"/>
        <v>0</v>
      </c>
      <c r="G25" s="284">
        <f t="shared" si="8"/>
        <v>0</v>
      </c>
      <c r="H25" s="284"/>
      <c r="I25" s="284"/>
      <c r="J25" s="284">
        <f t="shared" si="9"/>
        <v>0</v>
      </c>
      <c r="K25" s="284"/>
      <c r="L25" s="284"/>
      <c r="M25" s="284">
        <f t="shared" si="10"/>
        <v>0</v>
      </c>
      <c r="N25" s="284">
        <f t="shared" si="11"/>
        <v>0</v>
      </c>
      <c r="O25" s="285"/>
      <c r="P25" s="284"/>
      <c r="Q25" s="284">
        <f t="shared" si="12"/>
        <v>0</v>
      </c>
      <c r="R25" s="284"/>
      <c r="S25" s="284"/>
      <c r="T25" s="286">
        <f t="shared" si="13"/>
        <v>0</v>
      </c>
      <c r="U25" s="287">
        <f t="shared" si="14"/>
        <v>0</v>
      </c>
      <c r="V25" s="287">
        <f t="shared" si="15"/>
        <v>0</v>
      </c>
      <c r="W25" s="287">
        <f t="shared" si="16"/>
        <v>0</v>
      </c>
      <c r="X25" s="287">
        <f t="shared" si="17"/>
        <v>0</v>
      </c>
      <c r="Y25" s="289"/>
      <c r="Z25" s="289"/>
      <c r="AA25" s="289"/>
      <c r="AB25" s="289"/>
      <c r="AC25" s="289"/>
      <c r="AD25" s="289">
        <f t="shared" ref="AD25:AD34" si="20">AE25+AH25</f>
        <v>0</v>
      </c>
      <c r="AE25" s="289">
        <f t="shared" ref="AE25:AE34" si="21">AF25+AG25</f>
        <v>0</v>
      </c>
      <c r="AF25" s="292"/>
      <c r="AG25" s="289"/>
      <c r="AH25" s="289">
        <f t="shared" si="4"/>
        <v>0</v>
      </c>
      <c r="AI25" s="289"/>
      <c r="AJ25" s="289"/>
      <c r="AK25" s="293"/>
      <c r="AL25" s="290"/>
      <c r="AM25" s="293"/>
      <c r="AN25" s="293"/>
      <c r="AO25" s="293"/>
      <c r="AP25" s="293"/>
      <c r="AQ25" s="293"/>
      <c r="AR25" s="293"/>
      <c r="AS25" s="293"/>
      <c r="AT25" s="293"/>
      <c r="AU25" s="293"/>
      <c r="AV25" s="293"/>
      <c r="AW25" s="293"/>
      <c r="AX25" s="293"/>
      <c r="AY25" s="293"/>
      <c r="AZ25" s="293"/>
      <c r="BA25" s="293"/>
    </row>
    <row r="26" spans="1:53">
      <c r="A26" s="281">
        <v>13</v>
      </c>
      <c r="B26" s="291" t="s">
        <v>603</v>
      </c>
      <c r="C26" s="283">
        <f t="shared" si="5"/>
        <v>0</v>
      </c>
      <c r="D26" s="284">
        <f t="shared" si="6"/>
        <v>0</v>
      </c>
      <c r="E26" s="284">
        <f t="shared" si="19"/>
        <v>0</v>
      </c>
      <c r="F26" s="284">
        <f t="shared" si="7"/>
        <v>0</v>
      </c>
      <c r="G26" s="284">
        <f t="shared" si="8"/>
        <v>0</v>
      </c>
      <c r="H26" s="284"/>
      <c r="I26" s="284"/>
      <c r="J26" s="284">
        <f t="shared" si="9"/>
        <v>0</v>
      </c>
      <c r="K26" s="284"/>
      <c r="L26" s="284"/>
      <c r="M26" s="284">
        <f t="shared" si="10"/>
        <v>0</v>
      </c>
      <c r="N26" s="284">
        <f t="shared" si="11"/>
        <v>0</v>
      </c>
      <c r="O26" s="285"/>
      <c r="P26" s="284"/>
      <c r="Q26" s="284">
        <f t="shared" si="12"/>
        <v>0</v>
      </c>
      <c r="R26" s="284"/>
      <c r="S26" s="284"/>
      <c r="T26" s="286">
        <f t="shared" si="13"/>
        <v>0</v>
      </c>
      <c r="U26" s="287">
        <f t="shared" si="14"/>
        <v>0</v>
      </c>
      <c r="V26" s="287">
        <f t="shared" si="15"/>
        <v>0</v>
      </c>
      <c r="W26" s="287">
        <f t="shared" si="16"/>
        <v>0</v>
      </c>
      <c r="X26" s="287">
        <f t="shared" si="17"/>
        <v>0</v>
      </c>
      <c r="Y26" s="289"/>
      <c r="Z26" s="289"/>
      <c r="AA26" s="289"/>
      <c r="AB26" s="289"/>
      <c r="AC26" s="289"/>
      <c r="AD26" s="289">
        <f t="shared" si="20"/>
        <v>0</v>
      </c>
      <c r="AE26" s="289">
        <f t="shared" si="21"/>
        <v>0</v>
      </c>
      <c r="AF26" s="292"/>
      <c r="AG26" s="289"/>
      <c r="AH26" s="289">
        <f t="shared" si="4"/>
        <v>0</v>
      </c>
      <c r="AI26" s="289"/>
      <c r="AJ26" s="289"/>
      <c r="AK26" s="293"/>
      <c r="AL26" s="290"/>
      <c r="AM26" s="293"/>
      <c r="AN26" s="293"/>
      <c r="AO26" s="293"/>
      <c r="AP26" s="293"/>
      <c r="AQ26" s="293"/>
      <c r="AR26" s="293"/>
      <c r="AS26" s="293"/>
      <c r="AT26" s="293"/>
      <c r="AU26" s="293"/>
      <c r="AV26" s="293"/>
      <c r="AW26" s="293"/>
      <c r="AX26" s="293"/>
      <c r="AY26" s="293"/>
      <c r="AZ26" s="293"/>
      <c r="BA26" s="293"/>
    </row>
    <row r="27" spans="1:53">
      <c r="A27" s="281">
        <v>14</v>
      </c>
      <c r="B27" s="291" t="s">
        <v>604</v>
      </c>
      <c r="C27" s="283">
        <f t="shared" si="5"/>
        <v>0</v>
      </c>
      <c r="D27" s="284">
        <f t="shared" si="6"/>
        <v>0</v>
      </c>
      <c r="E27" s="284">
        <f t="shared" si="19"/>
        <v>0</v>
      </c>
      <c r="F27" s="284">
        <f t="shared" si="7"/>
        <v>0</v>
      </c>
      <c r="G27" s="284">
        <f t="shared" si="8"/>
        <v>0</v>
      </c>
      <c r="H27" s="284"/>
      <c r="I27" s="284"/>
      <c r="J27" s="284">
        <f t="shared" si="9"/>
        <v>0</v>
      </c>
      <c r="K27" s="284"/>
      <c r="L27" s="284"/>
      <c r="M27" s="284">
        <f t="shared" si="10"/>
        <v>0</v>
      </c>
      <c r="N27" s="284">
        <f t="shared" si="11"/>
        <v>0</v>
      </c>
      <c r="O27" s="285"/>
      <c r="P27" s="284"/>
      <c r="Q27" s="284">
        <f t="shared" si="12"/>
        <v>0</v>
      </c>
      <c r="R27" s="284"/>
      <c r="S27" s="284"/>
      <c r="T27" s="286">
        <f t="shared" si="13"/>
        <v>0</v>
      </c>
      <c r="U27" s="287">
        <f t="shared" si="14"/>
        <v>0</v>
      </c>
      <c r="V27" s="287">
        <f t="shared" si="15"/>
        <v>0</v>
      </c>
      <c r="W27" s="287">
        <f t="shared" si="16"/>
        <v>0</v>
      </c>
      <c r="X27" s="287">
        <f t="shared" si="17"/>
        <v>0</v>
      </c>
      <c r="Y27" s="289"/>
      <c r="Z27" s="289"/>
      <c r="AA27" s="289"/>
      <c r="AB27" s="289"/>
      <c r="AC27" s="289"/>
      <c r="AD27" s="289">
        <f t="shared" si="20"/>
        <v>0</v>
      </c>
      <c r="AE27" s="289">
        <f t="shared" si="21"/>
        <v>0</v>
      </c>
      <c r="AF27" s="292"/>
      <c r="AG27" s="289"/>
      <c r="AH27" s="289">
        <f t="shared" si="4"/>
        <v>0</v>
      </c>
      <c r="AI27" s="289"/>
      <c r="AJ27" s="289"/>
      <c r="AK27" s="293"/>
      <c r="AL27" s="290"/>
      <c r="AM27" s="293"/>
      <c r="AN27" s="293"/>
      <c r="AO27" s="293"/>
      <c r="AP27" s="293"/>
      <c r="AQ27" s="293"/>
      <c r="AR27" s="293"/>
      <c r="AS27" s="293"/>
      <c r="AT27" s="293"/>
      <c r="AU27" s="293"/>
      <c r="AV27" s="293"/>
      <c r="AW27" s="293"/>
      <c r="AX27" s="293"/>
      <c r="AY27" s="293"/>
      <c r="AZ27" s="293"/>
      <c r="BA27" s="293"/>
    </row>
    <row r="28" spans="1:53">
      <c r="A28" s="281">
        <v>15</v>
      </c>
      <c r="B28" s="291" t="s">
        <v>609</v>
      </c>
      <c r="C28" s="283">
        <f t="shared" si="5"/>
        <v>0</v>
      </c>
      <c r="D28" s="284">
        <f t="shared" si="6"/>
        <v>0</v>
      </c>
      <c r="E28" s="284">
        <f t="shared" si="19"/>
        <v>0</v>
      </c>
      <c r="F28" s="284">
        <f t="shared" si="7"/>
        <v>0</v>
      </c>
      <c r="G28" s="284">
        <f t="shared" si="8"/>
        <v>0</v>
      </c>
      <c r="H28" s="284"/>
      <c r="I28" s="294"/>
      <c r="J28" s="284">
        <f t="shared" si="9"/>
        <v>0</v>
      </c>
      <c r="K28" s="294"/>
      <c r="L28" s="294"/>
      <c r="M28" s="284">
        <f t="shared" si="10"/>
        <v>0</v>
      </c>
      <c r="N28" s="284">
        <f t="shared" si="11"/>
        <v>0</v>
      </c>
      <c r="O28" s="285"/>
      <c r="P28" s="294"/>
      <c r="Q28" s="284">
        <f t="shared" si="12"/>
        <v>0</v>
      </c>
      <c r="R28" s="294"/>
      <c r="S28" s="294"/>
      <c r="T28" s="286">
        <f t="shared" si="13"/>
        <v>11772.936613999998</v>
      </c>
      <c r="U28" s="287">
        <f t="shared" si="14"/>
        <v>11772.936613999998</v>
      </c>
      <c r="V28" s="287">
        <f t="shared" si="15"/>
        <v>0</v>
      </c>
      <c r="W28" s="287">
        <f t="shared" si="16"/>
        <v>11772.936613999998</v>
      </c>
      <c r="X28" s="287">
        <f t="shared" si="17"/>
        <v>11772.936613999998</v>
      </c>
      <c r="Y28" s="289">
        <v>11772.936613999998</v>
      </c>
      <c r="Z28" s="295"/>
      <c r="AA28" s="295"/>
      <c r="AB28" s="295"/>
      <c r="AC28" s="295"/>
      <c r="AD28" s="289">
        <f t="shared" si="20"/>
        <v>0</v>
      </c>
      <c r="AE28" s="289">
        <f t="shared" si="21"/>
        <v>0</v>
      </c>
      <c r="AF28" s="292"/>
      <c r="AG28" s="295"/>
      <c r="AH28" s="289">
        <f t="shared" si="4"/>
        <v>0</v>
      </c>
      <c r="AI28" s="295"/>
      <c r="AJ28" s="295"/>
      <c r="AK28" s="293"/>
      <c r="AL28" s="290"/>
      <c r="AM28" s="293"/>
      <c r="AN28" s="293"/>
      <c r="AO28" s="293"/>
      <c r="AP28" s="293"/>
      <c r="AQ28" s="293"/>
      <c r="AR28" s="293"/>
      <c r="AS28" s="293"/>
      <c r="AT28" s="293"/>
      <c r="AU28" s="293"/>
      <c r="AV28" s="293"/>
      <c r="AW28" s="293"/>
      <c r="AX28" s="293"/>
      <c r="AY28" s="293"/>
      <c r="AZ28" s="293"/>
      <c r="BA28" s="293"/>
    </row>
    <row r="29" spans="1:53">
      <c r="A29" s="281">
        <v>16</v>
      </c>
      <c r="B29" s="291" t="s">
        <v>605</v>
      </c>
      <c r="C29" s="283">
        <f t="shared" si="5"/>
        <v>0</v>
      </c>
      <c r="D29" s="284">
        <f t="shared" si="6"/>
        <v>0</v>
      </c>
      <c r="E29" s="284">
        <f t="shared" si="19"/>
        <v>0</v>
      </c>
      <c r="F29" s="284">
        <f t="shared" si="7"/>
        <v>0</v>
      </c>
      <c r="G29" s="284">
        <f t="shared" si="8"/>
        <v>0</v>
      </c>
      <c r="H29" s="284"/>
      <c r="I29" s="294"/>
      <c r="J29" s="284">
        <f t="shared" si="9"/>
        <v>0</v>
      </c>
      <c r="K29" s="294"/>
      <c r="L29" s="294"/>
      <c r="M29" s="284">
        <f t="shared" si="10"/>
        <v>0</v>
      </c>
      <c r="N29" s="284">
        <f t="shared" si="11"/>
        <v>0</v>
      </c>
      <c r="O29" s="285"/>
      <c r="P29" s="294"/>
      <c r="Q29" s="284">
        <f t="shared" si="12"/>
        <v>0</v>
      </c>
      <c r="R29" s="294"/>
      <c r="S29" s="294"/>
      <c r="T29" s="286">
        <f t="shared" si="13"/>
        <v>0</v>
      </c>
      <c r="U29" s="287">
        <f t="shared" si="14"/>
        <v>0</v>
      </c>
      <c r="V29" s="287">
        <f t="shared" si="15"/>
        <v>0</v>
      </c>
      <c r="W29" s="287">
        <f t="shared" si="16"/>
        <v>0</v>
      </c>
      <c r="X29" s="287">
        <f t="shared" si="17"/>
        <v>0</v>
      </c>
      <c r="Y29" s="289"/>
      <c r="Z29" s="295"/>
      <c r="AA29" s="295"/>
      <c r="AB29" s="295"/>
      <c r="AC29" s="295"/>
      <c r="AD29" s="289">
        <f t="shared" si="20"/>
        <v>0</v>
      </c>
      <c r="AE29" s="289">
        <f t="shared" si="21"/>
        <v>0</v>
      </c>
      <c r="AF29" s="292"/>
      <c r="AG29" s="295"/>
      <c r="AH29" s="289">
        <f t="shared" si="4"/>
        <v>0</v>
      </c>
      <c r="AI29" s="295"/>
      <c r="AJ29" s="295"/>
      <c r="AK29" s="293"/>
      <c r="AL29" s="290"/>
      <c r="AM29" s="293"/>
      <c r="AN29" s="293"/>
      <c r="AO29" s="293"/>
      <c r="AP29" s="293"/>
      <c r="AQ29" s="293"/>
      <c r="AR29" s="293"/>
      <c r="AS29" s="293"/>
      <c r="AT29" s="293"/>
      <c r="AU29" s="293"/>
      <c r="AV29" s="293"/>
      <c r="AW29" s="293"/>
      <c r="AX29" s="293"/>
      <c r="AY29" s="293"/>
      <c r="AZ29" s="293"/>
      <c r="BA29" s="293"/>
    </row>
    <row r="30" spans="1:53">
      <c r="A30" s="281">
        <v>17</v>
      </c>
      <c r="B30" s="291" t="s">
        <v>606</v>
      </c>
      <c r="C30" s="283">
        <f t="shared" si="5"/>
        <v>0</v>
      </c>
      <c r="D30" s="284">
        <f t="shared" si="6"/>
        <v>0</v>
      </c>
      <c r="E30" s="284">
        <f t="shared" si="19"/>
        <v>0</v>
      </c>
      <c r="F30" s="284">
        <f t="shared" si="7"/>
        <v>0</v>
      </c>
      <c r="G30" s="284">
        <f t="shared" si="8"/>
        <v>0</v>
      </c>
      <c r="H30" s="284"/>
      <c r="I30" s="294"/>
      <c r="J30" s="284">
        <f t="shared" si="9"/>
        <v>0</v>
      </c>
      <c r="K30" s="294"/>
      <c r="L30" s="294"/>
      <c r="M30" s="284">
        <f t="shared" si="10"/>
        <v>0</v>
      </c>
      <c r="N30" s="284">
        <f t="shared" si="11"/>
        <v>0</v>
      </c>
      <c r="O30" s="285"/>
      <c r="P30" s="294"/>
      <c r="Q30" s="284">
        <f t="shared" si="12"/>
        <v>0</v>
      </c>
      <c r="R30" s="294"/>
      <c r="S30" s="294"/>
      <c r="T30" s="286">
        <f t="shared" si="13"/>
        <v>0</v>
      </c>
      <c r="U30" s="287">
        <f t="shared" si="14"/>
        <v>0</v>
      </c>
      <c r="V30" s="287">
        <f t="shared" si="15"/>
        <v>0</v>
      </c>
      <c r="W30" s="287">
        <f t="shared" si="16"/>
        <v>0</v>
      </c>
      <c r="X30" s="287">
        <f t="shared" si="17"/>
        <v>0</v>
      </c>
      <c r="Y30" s="289"/>
      <c r="Z30" s="295"/>
      <c r="AA30" s="295"/>
      <c r="AB30" s="295"/>
      <c r="AC30" s="295"/>
      <c r="AD30" s="289">
        <f t="shared" si="20"/>
        <v>0</v>
      </c>
      <c r="AE30" s="289">
        <f t="shared" si="21"/>
        <v>0</v>
      </c>
      <c r="AF30" s="292"/>
      <c r="AG30" s="295"/>
      <c r="AH30" s="289">
        <f t="shared" si="4"/>
        <v>0</v>
      </c>
      <c r="AI30" s="295"/>
      <c r="AJ30" s="295"/>
      <c r="AK30" s="293"/>
      <c r="AL30" s="290"/>
      <c r="AM30" s="293"/>
      <c r="AN30" s="293"/>
      <c r="AO30" s="293"/>
      <c r="AP30" s="293"/>
      <c r="AQ30" s="293"/>
      <c r="AR30" s="293"/>
      <c r="AS30" s="293"/>
      <c r="AT30" s="293"/>
      <c r="AU30" s="293"/>
      <c r="AV30" s="293"/>
      <c r="AW30" s="293"/>
      <c r="AX30" s="293"/>
      <c r="AY30" s="293"/>
      <c r="AZ30" s="293"/>
      <c r="BA30" s="293"/>
    </row>
    <row r="31" spans="1:53">
      <c r="A31" s="281">
        <v>18</v>
      </c>
      <c r="B31" s="291" t="s">
        <v>558</v>
      </c>
      <c r="C31" s="283">
        <f t="shared" si="5"/>
        <v>0</v>
      </c>
      <c r="D31" s="284">
        <f t="shared" si="6"/>
        <v>0</v>
      </c>
      <c r="E31" s="284">
        <f t="shared" si="19"/>
        <v>0</v>
      </c>
      <c r="F31" s="284">
        <f t="shared" si="7"/>
        <v>0</v>
      </c>
      <c r="G31" s="284">
        <f t="shared" si="8"/>
        <v>0</v>
      </c>
      <c r="H31" s="284"/>
      <c r="I31" s="294"/>
      <c r="J31" s="284">
        <f t="shared" si="9"/>
        <v>0</v>
      </c>
      <c r="K31" s="294"/>
      <c r="L31" s="294"/>
      <c r="M31" s="284">
        <f t="shared" si="10"/>
        <v>0</v>
      </c>
      <c r="N31" s="284">
        <f t="shared" si="11"/>
        <v>0</v>
      </c>
      <c r="O31" s="285"/>
      <c r="P31" s="294"/>
      <c r="Q31" s="284">
        <f t="shared" si="12"/>
        <v>0</v>
      </c>
      <c r="R31" s="294"/>
      <c r="S31" s="294"/>
      <c r="T31" s="286">
        <f t="shared" si="13"/>
        <v>0</v>
      </c>
      <c r="U31" s="287">
        <f t="shared" si="14"/>
        <v>0</v>
      </c>
      <c r="V31" s="287">
        <f t="shared" si="15"/>
        <v>0</v>
      </c>
      <c r="W31" s="287">
        <f t="shared" si="16"/>
        <v>0</v>
      </c>
      <c r="X31" s="287">
        <f t="shared" si="17"/>
        <v>0</v>
      </c>
      <c r="Y31" s="289"/>
      <c r="Z31" s="295"/>
      <c r="AA31" s="295"/>
      <c r="AB31" s="295"/>
      <c r="AC31" s="295"/>
      <c r="AD31" s="289">
        <f t="shared" si="20"/>
        <v>0</v>
      </c>
      <c r="AE31" s="289">
        <f t="shared" si="21"/>
        <v>0</v>
      </c>
      <c r="AF31" s="292"/>
      <c r="AG31" s="295"/>
      <c r="AH31" s="289">
        <f t="shared" si="4"/>
        <v>0</v>
      </c>
      <c r="AI31" s="295"/>
      <c r="AJ31" s="295"/>
      <c r="AK31" s="296"/>
      <c r="AL31" s="290"/>
      <c r="AM31" s="296"/>
      <c r="AN31" s="296"/>
      <c r="AO31" s="296"/>
      <c r="AP31" s="296"/>
      <c r="AQ31" s="296"/>
      <c r="AR31" s="296"/>
      <c r="AS31" s="296"/>
      <c r="AT31" s="296"/>
      <c r="AU31" s="296"/>
      <c r="AV31" s="296"/>
      <c r="AW31" s="296"/>
      <c r="AX31" s="296"/>
      <c r="AY31" s="296"/>
      <c r="AZ31" s="296"/>
      <c r="BA31" s="296"/>
    </row>
    <row r="32" spans="1:53">
      <c r="A32" s="281">
        <v>19</v>
      </c>
      <c r="B32" s="291" t="s">
        <v>608</v>
      </c>
      <c r="C32" s="283">
        <f t="shared" si="5"/>
        <v>0</v>
      </c>
      <c r="D32" s="284">
        <f t="shared" si="6"/>
        <v>0</v>
      </c>
      <c r="E32" s="284">
        <f t="shared" si="19"/>
        <v>0</v>
      </c>
      <c r="F32" s="284">
        <f t="shared" si="7"/>
        <v>0</v>
      </c>
      <c r="G32" s="284">
        <f t="shared" si="8"/>
        <v>0</v>
      </c>
      <c r="H32" s="284"/>
      <c r="I32" s="294"/>
      <c r="J32" s="284">
        <f t="shared" si="9"/>
        <v>0</v>
      </c>
      <c r="K32" s="294"/>
      <c r="L32" s="294"/>
      <c r="M32" s="284">
        <f t="shared" si="10"/>
        <v>0</v>
      </c>
      <c r="N32" s="284">
        <f t="shared" si="11"/>
        <v>0</v>
      </c>
      <c r="O32" s="285"/>
      <c r="P32" s="294"/>
      <c r="Q32" s="284">
        <f t="shared" si="12"/>
        <v>0</v>
      </c>
      <c r="R32" s="294"/>
      <c r="S32" s="294"/>
      <c r="T32" s="286">
        <f t="shared" si="13"/>
        <v>23495.892952999999</v>
      </c>
      <c r="U32" s="287">
        <f t="shared" si="14"/>
        <v>23495.892952999999</v>
      </c>
      <c r="V32" s="287">
        <f t="shared" si="15"/>
        <v>0</v>
      </c>
      <c r="W32" s="287">
        <f t="shared" si="16"/>
        <v>23495.892952999999</v>
      </c>
      <c r="X32" s="287">
        <f t="shared" si="17"/>
        <v>23495.892952999999</v>
      </c>
      <c r="Y32" s="289">
        <v>23495.892952999999</v>
      </c>
      <c r="Z32" s="295"/>
      <c r="AA32" s="295"/>
      <c r="AB32" s="295"/>
      <c r="AC32" s="295"/>
      <c r="AD32" s="289">
        <f t="shared" si="20"/>
        <v>0</v>
      </c>
      <c r="AE32" s="289">
        <f t="shared" si="21"/>
        <v>0</v>
      </c>
      <c r="AF32" s="292"/>
      <c r="AG32" s="295"/>
      <c r="AH32" s="289">
        <f t="shared" si="4"/>
        <v>0</v>
      </c>
      <c r="AI32" s="295"/>
      <c r="AJ32" s="295"/>
      <c r="AK32" s="290"/>
      <c r="AL32" s="290"/>
      <c r="AM32" s="290"/>
      <c r="AN32" s="290"/>
      <c r="AO32" s="290"/>
      <c r="AP32" s="290"/>
      <c r="AQ32" s="290"/>
      <c r="AR32" s="290"/>
      <c r="AS32" s="290"/>
      <c r="AT32" s="290"/>
      <c r="AU32" s="290"/>
      <c r="AV32" s="290"/>
      <c r="AW32" s="290"/>
      <c r="AX32" s="290"/>
      <c r="AY32" s="290"/>
      <c r="AZ32" s="290"/>
      <c r="BA32" s="290"/>
    </row>
    <row r="33" spans="1:55">
      <c r="A33" s="281">
        <v>20</v>
      </c>
      <c r="B33" s="291" t="s">
        <v>607</v>
      </c>
      <c r="C33" s="283">
        <f t="shared" si="5"/>
        <v>0</v>
      </c>
      <c r="D33" s="284">
        <f t="shared" si="6"/>
        <v>0</v>
      </c>
      <c r="E33" s="284">
        <f t="shared" si="19"/>
        <v>0</v>
      </c>
      <c r="F33" s="284">
        <f t="shared" si="7"/>
        <v>0</v>
      </c>
      <c r="G33" s="284">
        <f t="shared" si="8"/>
        <v>0</v>
      </c>
      <c r="H33" s="284"/>
      <c r="I33" s="294"/>
      <c r="J33" s="284">
        <f t="shared" si="9"/>
        <v>0</v>
      </c>
      <c r="K33" s="294"/>
      <c r="L33" s="294"/>
      <c r="M33" s="284">
        <f t="shared" si="10"/>
        <v>0</v>
      </c>
      <c r="N33" s="284">
        <f t="shared" si="11"/>
        <v>0</v>
      </c>
      <c r="O33" s="285"/>
      <c r="P33" s="294"/>
      <c r="Q33" s="284">
        <f t="shared" si="12"/>
        <v>0</v>
      </c>
      <c r="R33" s="294"/>
      <c r="S33" s="294"/>
      <c r="T33" s="286">
        <f t="shared" si="13"/>
        <v>1301.7779020000012</v>
      </c>
      <c r="U33" s="287">
        <f t="shared" si="14"/>
        <v>1301.7779020000012</v>
      </c>
      <c r="V33" s="287">
        <f t="shared" si="15"/>
        <v>0</v>
      </c>
      <c r="W33" s="287">
        <f t="shared" si="16"/>
        <v>1301.7779020000012</v>
      </c>
      <c r="X33" s="287">
        <f t="shared" si="17"/>
        <v>1301.7779020000012</v>
      </c>
      <c r="Y33" s="289">
        <v>1301.7779020000012</v>
      </c>
      <c r="Z33" s="295"/>
      <c r="AA33" s="295"/>
      <c r="AB33" s="295"/>
      <c r="AC33" s="295"/>
      <c r="AD33" s="289">
        <f t="shared" si="20"/>
        <v>0</v>
      </c>
      <c r="AE33" s="289">
        <f t="shared" si="21"/>
        <v>0</v>
      </c>
      <c r="AF33" s="292"/>
      <c r="AG33" s="295"/>
      <c r="AH33" s="289">
        <f t="shared" si="4"/>
        <v>0</v>
      </c>
      <c r="AI33" s="295"/>
      <c r="AJ33" s="295"/>
      <c r="AK33" s="290"/>
      <c r="AL33" s="290"/>
      <c r="AM33" s="290"/>
      <c r="AN33" s="290"/>
      <c r="AO33" s="290"/>
      <c r="AP33" s="290"/>
      <c r="AQ33" s="290"/>
      <c r="AR33" s="290"/>
      <c r="AS33" s="290"/>
      <c r="AT33" s="290"/>
      <c r="AU33" s="290"/>
      <c r="AV33" s="290"/>
      <c r="AW33" s="290"/>
      <c r="AX33" s="290"/>
      <c r="AY33" s="290"/>
      <c r="AZ33" s="290"/>
      <c r="BA33" s="290"/>
    </row>
    <row r="34" spans="1:55">
      <c r="A34" s="281">
        <v>21</v>
      </c>
      <c r="B34" s="282" t="s">
        <v>914</v>
      </c>
      <c r="C34" s="283">
        <f t="shared" si="5"/>
        <v>0</v>
      </c>
      <c r="D34" s="284">
        <f t="shared" si="6"/>
        <v>0</v>
      </c>
      <c r="E34" s="284">
        <f t="shared" si="19"/>
        <v>0</v>
      </c>
      <c r="F34" s="284">
        <f t="shared" si="7"/>
        <v>0</v>
      </c>
      <c r="G34" s="284">
        <f t="shared" si="8"/>
        <v>0</v>
      </c>
      <c r="H34" s="284"/>
      <c r="I34" s="294"/>
      <c r="J34" s="284">
        <f t="shared" si="9"/>
        <v>0</v>
      </c>
      <c r="K34" s="294"/>
      <c r="L34" s="294"/>
      <c r="M34" s="284">
        <f t="shared" si="10"/>
        <v>0</v>
      </c>
      <c r="N34" s="284">
        <f t="shared" si="11"/>
        <v>0</v>
      </c>
      <c r="O34" s="285"/>
      <c r="P34" s="294"/>
      <c r="Q34" s="284">
        <f t="shared" si="12"/>
        <v>0</v>
      </c>
      <c r="R34" s="294"/>
      <c r="S34" s="294"/>
      <c r="T34" s="286">
        <f t="shared" si="13"/>
        <v>0</v>
      </c>
      <c r="U34" s="287">
        <f t="shared" si="14"/>
        <v>0</v>
      </c>
      <c r="V34" s="287">
        <f t="shared" si="15"/>
        <v>0</v>
      </c>
      <c r="W34" s="287">
        <f t="shared" si="16"/>
        <v>0</v>
      </c>
      <c r="X34" s="287">
        <f t="shared" si="17"/>
        <v>0</v>
      </c>
      <c r="Y34" s="289"/>
      <c r="Z34" s="295"/>
      <c r="AA34" s="295"/>
      <c r="AB34" s="295"/>
      <c r="AC34" s="295"/>
      <c r="AD34" s="289">
        <f t="shared" si="20"/>
        <v>0</v>
      </c>
      <c r="AE34" s="289">
        <f t="shared" si="21"/>
        <v>0</v>
      </c>
      <c r="AF34" s="292"/>
      <c r="AG34" s="295"/>
      <c r="AH34" s="289">
        <f t="shared" si="4"/>
        <v>0</v>
      </c>
      <c r="AI34" s="295"/>
      <c r="AJ34" s="295"/>
      <c r="AK34" s="290"/>
      <c r="AL34" s="290"/>
      <c r="AM34" s="290"/>
      <c r="AN34" s="290"/>
      <c r="AO34" s="290"/>
      <c r="AP34" s="290"/>
      <c r="AQ34" s="290"/>
      <c r="AR34" s="290"/>
      <c r="AS34" s="290"/>
      <c r="AT34" s="290"/>
      <c r="AU34" s="290"/>
      <c r="AV34" s="290"/>
      <c r="AW34" s="290"/>
      <c r="AX34" s="290"/>
      <c r="AY34" s="290"/>
      <c r="AZ34" s="290"/>
      <c r="BA34" s="290"/>
    </row>
    <row r="35" spans="1:55" s="298" customFormat="1" ht="14.25">
      <c r="A35" s="279" t="s">
        <v>33</v>
      </c>
      <c r="B35" s="297" t="s">
        <v>611</v>
      </c>
      <c r="C35" s="159">
        <f t="shared" ref="C35:AJ35" si="22">SUBTOTAL(9,C36:C46)</f>
        <v>0</v>
      </c>
      <c r="D35" s="276">
        <f t="shared" si="22"/>
        <v>0</v>
      </c>
      <c r="E35" s="276">
        <f t="shared" si="22"/>
        <v>0</v>
      </c>
      <c r="F35" s="276">
        <f t="shared" si="22"/>
        <v>0</v>
      </c>
      <c r="G35" s="276">
        <f t="shared" si="22"/>
        <v>0</v>
      </c>
      <c r="H35" s="276">
        <f t="shared" si="22"/>
        <v>0</v>
      </c>
      <c r="I35" s="276">
        <f t="shared" si="22"/>
        <v>0</v>
      </c>
      <c r="J35" s="276">
        <f t="shared" si="22"/>
        <v>0</v>
      </c>
      <c r="K35" s="276">
        <f t="shared" si="22"/>
        <v>0</v>
      </c>
      <c r="L35" s="276">
        <f t="shared" si="22"/>
        <v>0</v>
      </c>
      <c r="M35" s="276">
        <f t="shared" si="22"/>
        <v>0</v>
      </c>
      <c r="N35" s="276">
        <f t="shared" si="22"/>
        <v>0</v>
      </c>
      <c r="O35" s="276">
        <f t="shared" si="22"/>
        <v>0</v>
      </c>
      <c r="P35" s="276">
        <f t="shared" si="22"/>
        <v>0</v>
      </c>
      <c r="Q35" s="276">
        <f t="shared" si="22"/>
        <v>0</v>
      </c>
      <c r="R35" s="276">
        <f t="shared" si="22"/>
        <v>0</v>
      </c>
      <c r="S35" s="276">
        <f t="shared" si="22"/>
        <v>0</v>
      </c>
      <c r="T35" s="277">
        <f t="shared" si="22"/>
        <v>6737.8250000000007</v>
      </c>
      <c r="U35" s="277">
        <f t="shared" si="22"/>
        <v>2434.8149999999996</v>
      </c>
      <c r="V35" s="277">
        <f t="shared" si="22"/>
        <v>4303.01</v>
      </c>
      <c r="W35" s="277">
        <f t="shared" si="22"/>
        <v>130.09599999999949</v>
      </c>
      <c r="X35" s="276">
        <f t="shared" si="22"/>
        <v>130.09599999999949</v>
      </c>
      <c r="Y35" s="276">
        <f t="shared" si="22"/>
        <v>130.09599999999949</v>
      </c>
      <c r="Z35" s="276">
        <f t="shared" si="22"/>
        <v>0</v>
      </c>
      <c r="AA35" s="277">
        <f t="shared" si="22"/>
        <v>0</v>
      </c>
      <c r="AB35" s="277">
        <f t="shared" si="22"/>
        <v>0</v>
      </c>
      <c r="AC35" s="277">
        <f t="shared" si="22"/>
        <v>0</v>
      </c>
      <c r="AD35" s="277">
        <f t="shared" si="22"/>
        <v>6607.7290000000003</v>
      </c>
      <c r="AE35" s="277">
        <f t="shared" si="22"/>
        <v>2304.7190000000001</v>
      </c>
      <c r="AF35" s="277">
        <f t="shared" si="22"/>
        <v>2304.7190000000001</v>
      </c>
      <c r="AG35" s="277">
        <f t="shared" si="22"/>
        <v>0</v>
      </c>
      <c r="AH35" s="277">
        <f t="shared" si="22"/>
        <v>4303.01</v>
      </c>
      <c r="AI35" s="277">
        <f t="shared" si="22"/>
        <v>4303.01</v>
      </c>
      <c r="AJ35" s="277">
        <f t="shared" si="22"/>
        <v>0</v>
      </c>
      <c r="AK35" s="278"/>
      <c r="AL35" s="278"/>
      <c r="AM35" s="278"/>
      <c r="AN35" s="278"/>
      <c r="AO35" s="278"/>
      <c r="AP35" s="278"/>
      <c r="AQ35" s="278"/>
      <c r="AR35" s="278"/>
      <c r="AS35" s="278"/>
      <c r="AT35" s="278"/>
      <c r="AU35" s="278"/>
      <c r="AV35" s="278"/>
      <c r="AW35" s="278"/>
      <c r="AX35" s="278"/>
      <c r="AY35" s="278"/>
      <c r="AZ35" s="278"/>
      <c r="BA35" s="278"/>
    </row>
    <row r="36" spans="1:55">
      <c r="A36" s="281">
        <v>1</v>
      </c>
      <c r="B36" s="291" t="s">
        <v>810</v>
      </c>
      <c r="C36" s="283">
        <f>D36+E36</f>
        <v>0</v>
      </c>
      <c r="D36" s="284">
        <f>G36+N36</f>
        <v>0</v>
      </c>
      <c r="E36" s="284">
        <f>J36+Q36</f>
        <v>0</v>
      </c>
      <c r="F36" s="284">
        <f>G36+J36</f>
        <v>0</v>
      </c>
      <c r="G36" s="284">
        <f>H36+I36</f>
        <v>0</v>
      </c>
      <c r="H36" s="284"/>
      <c r="I36" s="284"/>
      <c r="J36" s="284">
        <f>K36+L36</f>
        <v>0</v>
      </c>
      <c r="K36" s="284"/>
      <c r="L36" s="284"/>
      <c r="M36" s="284">
        <f>N36+Q36</f>
        <v>0</v>
      </c>
      <c r="N36" s="284">
        <f>O36+P36</f>
        <v>0</v>
      </c>
      <c r="O36" s="284"/>
      <c r="P36" s="284"/>
      <c r="Q36" s="284">
        <f>R36+S36</f>
        <v>0</v>
      </c>
      <c r="R36" s="284"/>
      <c r="S36" s="284"/>
      <c r="T36" s="286">
        <f t="shared" ref="T36:T45" si="23">U36+V36</f>
        <v>1955.7729999999999</v>
      </c>
      <c r="U36" s="287">
        <f>X36+AE36</f>
        <v>350</v>
      </c>
      <c r="V36" s="287">
        <f>AA36+AH36</f>
        <v>1605.7729999999999</v>
      </c>
      <c r="W36" s="287">
        <f t="shared" ref="W36:W45" si="24">X36+AA36</f>
        <v>0</v>
      </c>
      <c r="X36" s="284">
        <f>Y36+Z36</f>
        <v>0</v>
      </c>
      <c r="Y36" s="284"/>
      <c r="Z36" s="284"/>
      <c r="AA36" s="289">
        <f>AB36+AC36</f>
        <v>0</v>
      </c>
      <c r="AB36" s="284"/>
      <c r="AC36" s="289"/>
      <c r="AD36" s="289">
        <f>AE36+AH36</f>
        <v>1955.7729999999999</v>
      </c>
      <c r="AE36" s="289">
        <f>AF36+AG36</f>
        <v>350</v>
      </c>
      <c r="AF36" s="292">
        <v>350</v>
      </c>
      <c r="AG36" s="289"/>
      <c r="AH36" s="289">
        <f>AI36+AJ36</f>
        <v>1605.7729999999999</v>
      </c>
      <c r="AI36" s="289">
        <v>1605.7729999999999</v>
      </c>
      <c r="AJ36" s="289">
        <v>0</v>
      </c>
      <c r="AK36" s="290"/>
      <c r="AL36" s="290"/>
      <c r="AM36" s="290"/>
      <c r="AN36" s="290"/>
      <c r="AO36" s="290"/>
      <c r="AP36" s="290"/>
      <c r="AQ36" s="290"/>
      <c r="AR36" s="290"/>
      <c r="AS36" s="290"/>
      <c r="AT36" s="290"/>
      <c r="AU36" s="290"/>
      <c r="AV36" s="290"/>
      <c r="AW36" s="290"/>
      <c r="AX36" s="290"/>
      <c r="AY36" s="290"/>
      <c r="AZ36" s="290"/>
      <c r="BA36" s="290"/>
      <c r="BC36" s="270"/>
    </row>
    <row r="37" spans="1:55">
      <c r="A37" s="281">
        <v>2</v>
      </c>
      <c r="B37" s="291" t="s">
        <v>602</v>
      </c>
      <c r="C37" s="283">
        <f t="shared" ref="C37:C45" si="25">D37+E37</f>
        <v>0</v>
      </c>
      <c r="D37" s="284">
        <f t="shared" ref="D37:D45" si="26">G37+N37</f>
        <v>0</v>
      </c>
      <c r="E37" s="284">
        <f t="shared" ref="E37:E45" si="27">J37+Q37</f>
        <v>0</v>
      </c>
      <c r="F37" s="284">
        <f t="shared" ref="F37:F45" si="28">G37+J37</f>
        <v>0</v>
      </c>
      <c r="G37" s="284">
        <f t="shared" ref="G37:G45" si="29">H37+I37</f>
        <v>0</v>
      </c>
      <c r="H37" s="284"/>
      <c r="I37" s="284"/>
      <c r="J37" s="284">
        <f t="shared" ref="J37:J45" si="30">K37+L37</f>
        <v>0</v>
      </c>
      <c r="K37" s="284"/>
      <c r="L37" s="284"/>
      <c r="M37" s="284">
        <f t="shared" ref="M37:M45" si="31">N37+Q37</f>
        <v>0</v>
      </c>
      <c r="N37" s="284">
        <f t="shared" ref="N37:N45" si="32">O37+P37</f>
        <v>0</v>
      </c>
      <c r="O37" s="284"/>
      <c r="P37" s="284"/>
      <c r="Q37" s="284">
        <f t="shared" ref="Q37:Q45" si="33">R37+S37</f>
        <v>0</v>
      </c>
      <c r="R37" s="284"/>
      <c r="S37" s="284"/>
      <c r="T37" s="286">
        <f t="shared" si="23"/>
        <v>801.5</v>
      </c>
      <c r="U37" s="287">
        <f t="shared" ref="U37:U45" si="34">X37+AE37</f>
        <v>213.7</v>
      </c>
      <c r="V37" s="287">
        <f t="shared" ref="V37:V45" si="35">AA37+AH37</f>
        <v>587.79999999999995</v>
      </c>
      <c r="W37" s="287">
        <f t="shared" si="24"/>
        <v>0</v>
      </c>
      <c r="X37" s="284">
        <f t="shared" ref="X37:X45" si="36">Y37+Z37</f>
        <v>0</v>
      </c>
      <c r="Y37" s="284"/>
      <c r="Z37" s="284"/>
      <c r="AA37" s="289">
        <f t="shared" ref="AA37:AA45" si="37">AB37+AC37</f>
        <v>0</v>
      </c>
      <c r="AB37" s="284"/>
      <c r="AC37" s="289"/>
      <c r="AD37" s="289">
        <f t="shared" ref="AD37:AD45" si="38">AE37+AH37</f>
        <v>801.5</v>
      </c>
      <c r="AE37" s="289">
        <f t="shared" ref="AE37:AE45" si="39">AF37+AG37</f>
        <v>213.7</v>
      </c>
      <c r="AF37" s="292">
        <v>213.7</v>
      </c>
      <c r="AG37" s="289"/>
      <c r="AH37" s="289">
        <f t="shared" ref="AH37:AH45" si="40">AI37+AJ37</f>
        <v>587.79999999999995</v>
      </c>
      <c r="AI37" s="289">
        <v>587.79999999999995</v>
      </c>
      <c r="AJ37" s="289">
        <v>0</v>
      </c>
      <c r="AK37" s="290"/>
      <c r="AL37" s="290"/>
      <c r="AM37" s="290"/>
      <c r="AN37" s="290"/>
      <c r="AO37" s="290"/>
      <c r="AP37" s="290"/>
      <c r="AQ37" s="290"/>
      <c r="AR37" s="290"/>
      <c r="AS37" s="290"/>
      <c r="AT37" s="290"/>
      <c r="AU37" s="290"/>
      <c r="AV37" s="290"/>
      <c r="AW37" s="290"/>
      <c r="AX37" s="290"/>
      <c r="AY37" s="290"/>
      <c r="AZ37" s="290"/>
      <c r="BA37" s="290"/>
      <c r="BC37" s="270"/>
    </row>
    <row r="38" spans="1:55">
      <c r="A38" s="281">
        <v>3</v>
      </c>
      <c r="B38" s="291" t="s">
        <v>603</v>
      </c>
      <c r="C38" s="283">
        <f t="shared" si="25"/>
        <v>0</v>
      </c>
      <c r="D38" s="284">
        <f t="shared" si="26"/>
        <v>0</v>
      </c>
      <c r="E38" s="284">
        <f t="shared" si="27"/>
        <v>0</v>
      </c>
      <c r="F38" s="284">
        <f t="shared" si="28"/>
        <v>0</v>
      </c>
      <c r="G38" s="284">
        <f t="shared" si="29"/>
        <v>0</v>
      </c>
      <c r="H38" s="284"/>
      <c r="I38" s="284"/>
      <c r="J38" s="284">
        <f t="shared" si="30"/>
        <v>0</v>
      </c>
      <c r="K38" s="284"/>
      <c r="L38" s="284"/>
      <c r="M38" s="284">
        <f t="shared" si="31"/>
        <v>0</v>
      </c>
      <c r="N38" s="284">
        <f t="shared" si="32"/>
        <v>0</v>
      </c>
      <c r="O38" s="284"/>
      <c r="P38" s="284"/>
      <c r="Q38" s="284">
        <f t="shared" si="33"/>
        <v>0</v>
      </c>
      <c r="R38" s="284"/>
      <c r="S38" s="284"/>
      <c r="T38" s="286">
        <f t="shared" si="23"/>
        <v>377.291</v>
      </c>
      <c r="U38" s="287">
        <f t="shared" si="34"/>
        <v>60.291000000000004</v>
      </c>
      <c r="V38" s="287">
        <f t="shared" si="35"/>
        <v>317</v>
      </c>
      <c r="W38" s="287">
        <f t="shared" si="24"/>
        <v>7.5819999999999999</v>
      </c>
      <c r="X38" s="284">
        <f t="shared" si="36"/>
        <v>7.5819999999999999</v>
      </c>
      <c r="Y38" s="284">
        <v>7.5819999999999999</v>
      </c>
      <c r="Z38" s="284"/>
      <c r="AA38" s="289">
        <f t="shared" si="37"/>
        <v>0</v>
      </c>
      <c r="AB38" s="284"/>
      <c r="AC38" s="289"/>
      <c r="AD38" s="289">
        <f t="shared" si="38"/>
        <v>369.709</v>
      </c>
      <c r="AE38" s="289">
        <f t="shared" si="39"/>
        <v>52.709000000000003</v>
      </c>
      <c r="AF38" s="292">
        <v>52.709000000000003</v>
      </c>
      <c r="AG38" s="289"/>
      <c r="AH38" s="289">
        <f t="shared" si="40"/>
        <v>317</v>
      </c>
      <c r="AI38" s="289">
        <v>317</v>
      </c>
      <c r="AJ38" s="289">
        <v>0</v>
      </c>
      <c r="AK38" s="290"/>
      <c r="AL38" s="290"/>
      <c r="AM38" s="290"/>
      <c r="AN38" s="290"/>
      <c r="AO38" s="290"/>
      <c r="AP38" s="290"/>
      <c r="AQ38" s="290"/>
      <c r="AR38" s="290"/>
      <c r="AS38" s="290"/>
      <c r="AT38" s="290"/>
      <c r="AU38" s="290"/>
      <c r="AV38" s="290"/>
      <c r="AW38" s="290"/>
      <c r="AX38" s="290"/>
      <c r="AY38" s="290"/>
      <c r="AZ38" s="290"/>
      <c r="BA38" s="290"/>
      <c r="BC38" s="270"/>
    </row>
    <row r="39" spans="1:55">
      <c r="A39" s="281">
        <v>4</v>
      </c>
      <c r="B39" s="291" t="s">
        <v>604</v>
      </c>
      <c r="C39" s="283">
        <f t="shared" si="25"/>
        <v>0</v>
      </c>
      <c r="D39" s="284">
        <f t="shared" si="26"/>
        <v>0</v>
      </c>
      <c r="E39" s="284">
        <f t="shared" si="27"/>
        <v>0</v>
      </c>
      <c r="F39" s="284">
        <f t="shared" si="28"/>
        <v>0</v>
      </c>
      <c r="G39" s="284">
        <f t="shared" si="29"/>
        <v>0</v>
      </c>
      <c r="H39" s="284"/>
      <c r="I39" s="284"/>
      <c r="J39" s="284">
        <f t="shared" si="30"/>
        <v>0</v>
      </c>
      <c r="K39" s="284"/>
      <c r="L39" s="284"/>
      <c r="M39" s="284">
        <f t="shared" si="31"/>
        <v>0</v>
      </c>
      <c r="N39" s="284">
        <f t="shared" si="32"/>
        <v>0</v>
      </c>
      <c r="O39" s="284"/>
      <c r="P39" s="284"/>
      <c r="Q39" s="284">
        <f t="shared" si="33"/>
        <v>0</v>
      </c>
      <c r="R39" s="284"/>
      <c r="S39" s="284"/>
      <c r="T39" s="286">
        <f t="shared" si="23"/>
        <v>886.17000000000007</v>
      </c>
      <c r="U39" s="287">
        <f t="shared" si="34"/>
        <v>145.17000000000002</v>
      </c>
      <c r="V39" s="287">
        <f t="shared" si="35"/>
        <v>741</v>
      </c>
      <c r="W39" s="287">
        <f t="shared" si="24"/>
        <v>2.4119999999999999</v>
      </c>
      <c r="X39" s="284">
        <f t="shared" si="36"/>
        <v>2.4119999999999999</v>
      </c>
      <c r="Y39" s="284">
        <v>2.4119999999999999</v>
      </c>
      <c r="Z39" s="284"/>
      <c r="AA39" s="289">
        <f t="shared" si="37"/>
        <v>0</v>
      </c>
      <c r="AB39" s="284"/>
      <c r="AC39" s="289"/>
      <c r="AD39" s="289">
        <f t="shared" si="38"/>
        <v>883.75800000000004</v>
      </c>
      <c r="AE39" s="289">
        <f t="shared" si="39"/>
        <v>142.75800000000001</v>
      </c>
      <c r="AF39" s="292">
        <v>142.75800000000001</v>
      </c>
      <c r="AG39" s="289"/>
      <c r="AH39" s="289">
        <f t="shared" si="40"/>
        <v>741</v>
      </c>
      <c r="AI39" s="289">
        <v>741</v>
      </c>
      <c r="AJ39" s="289"/>
      <c r="AK39" s="290"/>
      <c r="AL39" s="290"/>
      <c r="AM39" s="290"/>
      <c r="AN39" s="290"/>
      <c r="AO39" s="290"/>
      <c r="AP39" s="290"/>
      <c r="AQ39" s="290"/>
      <c r="AR39" s="290"/>
      <c r="AS39" s="290"/>
      <c r="AT39" s="290"/>
      <c r="AU39" s="290"/>
      <c r="AV39" s="290"/>
      <c r="AW39" s="290"/>
      <c r="AX39" s="290"/>
      <c r="AY39" s="290"/>
      <c r="AZ39" s="290"/>
      <c r="BA39" s="290"/>
    </row>
    <row r="40" spans="1:55">
      <c r="A40" s="281">
        <v>5</v>
      </c>
      <c r="B40" s="291" t="s">
        <v>609</v>
      </c>
      <c r="C40" s="283">
        <f t="shared" si="25"/>
        <v>0</v>
      </c>
      <c r="D40" s="284">
        <f t="shared" si="26"/>
        <v>0</v>
      </c>
      <c r="E40" s="284">
        <f t="shared" si="27"/>
        <v>0</v>
      </c>
      <c r="F40" s="284">
        <f t="shared" si="28"/>
        <v>0</v>
      </c>
      <c r="G40" s="284">
        <f t="shared" si="29"/>
        <v>0</v>
      </c>
      <c r="H40" s="284"/>
      <c r="I40" s="294"/>
      <c r="J40" s="284">
        <f t="shared" si="30"/>
        <v>0</v>
      </c>
      <c r="K40" s="284"/>
      <c r="L40" s="294"/>
      <c r="M40" s="284">
        <f t="shared" si="31"/>
        <v>0</v>
      </c>
      <c r="N40" s="284">
        <f t="shared" si="32"/>
        <v>0</v>
      </c>
      <c r="O40" s="284"/>
      <c r="P40" s="294"/>
      <c r="Q40" s="284">
        <f t="shared" si="33"/>
        <v>0</v>
      </c>
      <c r="R40" s="284"/>
      <c r="S40" s="294"/>
      <c r="T40" s="286">
        <f t="shared" si="23"/>
        <v>106.40999999999948</v>
      </c>
      <c r="U40" s="287">
        <f t="shared" si="34"/>
        <v>106.40999999999948</v>
      </c>
      <c r="V40" s="287">
        <f t="shared" si="35"/>
        <v>0</v>
      </c>
      <c r="W40" s="287">
        <f t="shared" si="24"/>
        <v>82.559999999999491</v>
      </c>
      <c r="X40" s="284">
        <f t="shared" si="36"/>
        <v>82.559999999999491</v>
      </c>
      <c r="Y40" s="284">
        <v>82.559999999999491</v>
      </c>
      <c r="Z40" s="294"/>
      <c r="AA40" s="289">
        <f t="shared" si="37"/>
        <v>0</v>
      </c>
      <c r="AB40" s="295"/>
      <c r="AC40" s="295"/>
      <c r="AD40" s="289">
        <f t="shared" si="38"/>
        <v>23.85</v>
      </c>
      <c r="AE40" s="289">
        <f t="shared" si="39"/>
        <v>23.85</v>
      </c>
      <c r="AF40" s="292">
        <v>23.85</v>
      </c>
      <c r="AG40" s="295"/>
      <c r="AH40" s="289">
        <f t="shared" si="40"/>
        <v>0</v>
      </c>
      <c r="AI40" s="295"/>
      <c r="AJ40" s="295"/>
      <c r="AK40" s="290"/>
      <c r="AL40" s="290"/>
      <c r="AM40" s="290"/>
      <c r="AN40" s="290"/>
      <c r="AO40" s="290"/>
      <c r="AP40" s="290"/>
      <c r="AQ40" s="290"/>
      <c r="AR40" s="290"/>
      <c r="AS40" s="290"/>
      <c r="AT40" s="290"/>
      <c r="AU40" s="290"/>
      <c r="AV40" s="290"/>
      <c r="AW40" s="290"/>
      <c r="AX40" s="290"/>
      <c r="AY40" s="290"/>
      <c r="AZ40" s="290"/>
      <c r="BA40" s="290"/>
    </row>
    <row r="41" spans="1:55">
      <c r="A41" s="281">
        <v>6</v>
      </c>
      <c r="B41" s="291" t="s">
        <v>605</v>
      </c>
      <c r="C41" s="283">
        <f t="shared" si="25"/>
        <v>0</v>
      </c>
      <c r="D41" s="284">
        <f t="shared" si="26"/>
        <v>0</v>
      </c>
      <c r="E41" s="284">
        <f t="shared" si="27"/>
        <v>0</v>
      </c>
      <c r="F41" s="284">
        <f t="shared" si="28"/>
        <v>0</v>
      </c>
      <c r="G41" s="284">
        <f t="shared" si="29"/>
        <v>0</v>
      </c>
      <c r="H41" s="284"/>
      <c r="I41" s="294"/>
      <c r="J41" s="284">
        <f t="shared" si="30"/>
        <v>0</v>
      </c>
      <c r="K41" s="284"/>
      <c r="L41" s="294"/>
      <c r="M41" s="284">
        <f t="shared" si="31"/>
        <v>0</v>
      </c>
      <c r="N41" s="284">
        <f t="shared" si="32"/>
        <v>0</v>
      </c>
      <c r="O41" s="284"/>
      <c r="P41" s="294"/>
      <c r="Q41" s="284">
        <f t="shared" si="33"/>
        <v>0</v>
      </c>
      <c r="R41" s="284"/>
      <c r="S41" s="294"/>
      <c r="T41" s="286">
        <f t="shared" si="23"/>
        <v>240.64</v>
      </c>
      <c r="U41" s="287">
        <f t="shared" si="34"/>
        <v>28.64</v>
      </c>
      <c r="V41" s="287">
        <f t="shared" si="35"/>
        <v>212</v>
      </c>
      <c r="W41" s="287">
        <f t="shared" si="24"/>
        <v>18.14</v>
      </c>
      <c r="X41" s="284">
        <f t="shared" si="36"/>
        <v>18.14</v>
      </c>
      <c r="Y41" s="284">
        <v>18.14</v>
      </c>
      <c r="Z41" s="294"/>
      <c r="AA41" s="289">
        <f t="shared" si="37"/>
        <v>0</v>
      </c>
      <c r="AB41" s="295"/>
      <c r="AC41" s="295"/>
      <c r="AD41" s="289">
        <f t="shared" si="38"/>
        <v>222.5</v>
      </c>
      <c r="AE41" s="289">
        <f t="shared" si="39"/>
        <v>10.5</v>
      </c>
      <c r="AF41" s="292">
        <v>10.5</v>
      </c>
      <c r="AG41" s="295"/>
      <c r="AH41" s="289">
        <f t="shared" si="40"/>
        <v>212</v>
      </c>
      <c r="AI41" s="295">
        <v>212</v>
      </c>
      <c r="AJ41" s="295"/>
      <c r="AK41" s="290"/>
      <c r="AL41" s="290"/>
      <c r="AM41" s="290"/>
      <c r="AN41" s="290"/>
      <c r="AO41" s="290"/>
      <c r="AP41" s="290"/>
      <c r="AQ41" s="290"/>
      <c r="AR41" s="290"/>
      <c r="AS41" s="290"/>
      <c r="AT41" s="290"/>
      <c r="AU41" s="290"/>
      <c r="AV41" s="290"/>
      <c r="AW41" s="290"/>
      <c r="AX41" s="290"/>
      <c r="AY41" s="290"/>
      <c r="AZ41" s="290"/>
      <c r="BA41" s="290"/>
    </row>
    <row r="42" spans="1:55">
      <c r="A42" s="281">
        <v>7</v>
      </c>
      <c r="B42" s="291" t="s">
        <v>606</v>
      </c>
      <c r="C42" s="283">
        <f t="shared" si="25"/>
        <v>0</v>
      </c>
      <c r="D42" s="284">
        <f t="shared" si="26"/>
        <v>0</v>
      </c>
      <c r="E42" s="284">
        <f t="shared" si="27"/>
        <v>0</v>
      </c>
      <c r="F42" s="284">
        <f t="shared" si="28"/>
        <v>0</v>
      </c>
      <c r="G42" s="284">
        <f t="shared" si="29"/>
        <v>0</v>
      </c>
      <c r="H42" s="284"/>
      <c r="I42" s="294"/>
      <c r="J42" s="284">
        <f t="shared" si="30"/>
        <v>0</v>
      </c>
      <c r="K42" s="284"/>
      <c r="L42" s="294"/>
      <c r="M42" s="284">
        <f t="shared" si="31"/>
        <v>0</v>
      </c>
      <c r="N42" s="284">
        <f t="shared" si="32"/>
        <v>0</v>
      </c>
      <c r="O42" s="284"/>
      <c r="P42" s="294"/>
      <c r="Q42" s="284">
        <f t="shared" si="33"/>
        <v>0</v>
      </c>
      <c r="R42" s="284"/>
      <c r="S42" s="294"/>
      <c r="T42" s="286">
        <f t="shared" si="23"/>
        <v>686.29</v>
      </c>
      <c r="U42" s="287">
        <f t="shared" si="34"/>
        <v>370.39299999999997</v>
      </c>
      <c r="V42" s="287">
        <f t="shared" si="35"/>
        <v>315.89699999999999</v>
      </c>
      <c r="W42" s="287">
        <f t="shared" si="24"/>
        <v>19.402000000000001</v>
      </c>
      <c r="X42" s="284">
        <f t="shared" si="36"/>
        <v>19.402000000000001</v>
      </c>
      <c r="Y42" s="284">
        <v>19.402000000000001</v>
      </c>
      <c r="Z42" s="294"/>
      <c r="AA42" s="289">
        <f t="shared" si="37"/>
        <v>0</v>
      </c>
      <c r="AB42" s="295"/>
      <c r="AC42" s="295"/>
      <c r="AD42" s="289">
        <f t="shared" si="38"/>
        <v>666.88799999999992</v>
      </c>
      <c r="AE42" s="289">
        <f t="shared" si="39"/>
        <v>350.99099999999999</v>
      </c>
      <c r="AF42" s="292">
        <v>350.99099999999999</v>
      </c>
      <c r="AG42" s="295"/>
      <c r="AH42" s="289">
        <f t="shared" si="40"/>
        <v>315.89699999999999</v>
      </c>
      <c r="AI42" s="295">
        <v>315.89699999999999</v>
      </c>
      <c r="AJ42" s="295"/>
      <c r="AK42" s="290"/>
      <c r="AL42" s="290"/>
      <c r="AM42" s="290"/>
      <c r="AN42" s="290"/>
      <c r="AO42" s="290"/>
      <c r="AP42" s="290"/>
      <c r="AQ42" s="290"/>
      <c r="AR42" s="290"/>
      <c r="AS42" s="290"/>
      <c r="AT42" s="290"/>
      <c r="AU42" s="290"/>
      <c r="AV42" s="290"/>
      <c r="AW42" s="290"/>
      <c r="AX42" s="290"/>
      <c r="AY42" s="290"/>
      <c r="AZ42" s="290"/>
      <c r="BA42" s="290"/>
    </row>
    <row r="43" spans="1:55">
      <c r="A43" s="281">
        <v>8</v>
      </c>
      <c r="B43" s="291" t="s">
        <v>558</v>
      </c>
      <c r="C43" s="283">
        <f t="shared" si="25"/>
        <v>0</v>
      </c>
      <c r="D43" s="284">
        <f t="shared" si="26"/>
        <v>0</v>
      </c>
      <c r="E43" s="284">
        <f t="shared" si="27"/>
        <v>0</v>
      </c>
      <c r="F43" s="284">
        <f t="shared" si="28"/>
        <v>0</v>
      </c>
      <c r="G43" s="284">
        <f t="shared" si="29"/>
        <v>0</v>
      </c>
      <c r="H43" s="284"/>
      <c r="I43" s="294"/>
      <c r="J43" s="284">
        <f t="shared" si="30"/>
        <v>0</v>
      </c>
      <c r="K43" s="284"/>
      <c r="L43" s="294"/>
      <c r="M43" s="284">
        <f t="shared" si="31"/>
        <v>0</v>
      </c>
      <c r="N43" s="284">
        <f t="shared" si="32"/>
        <v>0</v>
      </c>
      <c r="O43" s="284"/>
      <c r="P43" s="294"/>
      <c r="Q43" s="284">
        <f t="shared" si="33"/>
        <v>0</v>
      </c>
      <c r="R43" s="284"/>
      <c r="S43" s="294"/>
      <c r="T43" s="286">
        <f t="shared" si="23"/>
        <v>316.54000000000002</v>
      </c>
      <c r="U43" s="287">
        <f t="shared" si="34"/>
        <v>0</v>
      </c>
      <c r="V43" s="287">
        <f t="shared" si="35"/>
        <v>316.54000000000002</v>
      </c>
      <c r="W43" s="287">
        <f t="shared" si="24"/>
        <v>0</v>
      </c>
      <c r="X43" s="284">
        <f t="shared" si="36"/>
        <v>0</v>
      </c>
      <c r="Y43" s="284"/>
      <c r="Z43" s="294"/>
      <c r="AA43" s="289">
        <f t="shared" si="37"/>
        <v>0</v>
      </c>
      <c r="AB43" s="295"/>
      <c r="AC43" s="295"/>
      <c r="AD43" s="289">
        <f t="shared" si="38"/>
        <v>316.54000000000002</v>
      </c>
      <c r="AE43" s="289">
        <f t="shared" si="39"/>
        <v>0</v>
      </c>
      <c r="AF43" s="292"/>
      <c r="AG43" s="295"/>
      <c r="AH43" s="289">
        <f t="shared" si="40"/>
        <v>316.54000000000002</v>
      </c>
      <c r="AI43" s="295">
        <v>316.54000000000002</v>
      </c>
      <c r="AJ43" s="295"/>
      <c r="AK43" s="290"/>
      <c r="AL43" s="290"/>
      <c r="AM43" s="290"/>
      <c r="AN43" s="290"/>
      <c r="AO43" s="290"/>
      <c r="AP43" s="290"/>
      <c r="AQ43" s="290"/>
      <c r="AR43" s="290"/>
      <c r="AS43" s="290"/>
      <c r="AT43" s="290"/>
      <c r="AU43" s="290"/>
      <c r="AV43" s="290"/>
      <c r="AW43" s="290"/>
      <c r="AX43" s="290"/>
      <c r="AY43" s="290"/>
      <c r="AZ43" s="290"/>
      <c r="BA43" s="290"/>
      <c r="BC43" s="270"/>
    </row>
    <row r="44" spans="1:55">
      <c r="A44" s="281">
        <v>9</v>
      </c>
      <c r="B44" s="291" t="s">
        <v>608</v>
      </c>
      <c r="C44" s="283">
        <f t="shared" si="25"/>
        <v>0</v>
      </c>
      <c r="D44" s="284">
        <f t="shared" si="26"/>
        <v>0</v>
      </c>
      <c r="E44" s="284">
        <f t="shared" si="27"/>
        <v>0</v>
      </c>
      <c r="F44" s="284">
        <f t="shared" si="28"/>
        <v>0</v>
      </c>
      <c r="G44" s="284">
        <f t="shared" si="29"/>
        <v>0</v>
      </c>
      <c r="H44" s="284"/>
      <c r="I44" s="294"/>
      <c r="J44" s="284">
        <f t="shared" si="30"/>
        <v>0</v>
      </c>
      <c r="K44" s="284"/>
      <c r="L44" s="294"/>
      <c r="M44" s="284">
        <f t="shared" si="31"/>
        <v>0</v>
      </c>
      <c r="N44" s="284">
        <f t="shared" si="32"/>
        <v>0</v>
      </c>
      <c r="O44" s="284"/>
      <c r="P44" s="294"/>
      <c r="Q44" s="284">
        <f t="shared" si="33"/>
        <v>0</v>
      </c>
      <c r="R44" s="284"/>
      <c r="S44" s="294"/>
      <c r="T44" s="286">
        <f t="shared" si="23"/>
        <v>1367.211</v>
      </c>
      <c r="U44" s="287">
        <f t="shared" si="34"/>
        <v>1160.211</v>
      </c>
      <c r="V44" s="287">
        <f t="shared" si="35"/>
        <v>207</v>
      </c>
      <c r="W44" s="287">
        <f t="shared" si="24"/>
        <v>0</v>
      </c>
      <c r="X44" s="284">
        <f t="shared" si="36"/>
        <v>0</v>
      </c>
      <c r="Y44" s="284"/>
      <c r="Z44" s="294"/>
      <c r="AA44" s="289">
        <f t="shared" si="37"/>
        <v>0</v>
      </c>
      <c r="AB44" s="295"/>
      <c r="AC44" s="295"/>
      <c r="AD44" s="289">
        <f t="shared" si="38"/>
        <v>1367.211</v>
      </c>
      <c r="AE44" s="289">
        <f t="shared" si="39"/>
        <v>1160.211</v>
      </c>
      <c r="AF44" s="292">
        <v>1160.211</v>
      </c>
      <c r="AG44" s="295"/>
      <c r="AH44" s="289">
        <f t="shared" si="40"/>
        <v>207</v>
      </c>
      <c r="AI44" s="295">
        <v>207</v>
      </c>
      <c r="AJ44" s="295"/>
      <c r="AK44" s="290"/>
      <c r="AL44" s="290"/>
      <c r="AM44" s="290"/>
      <c r="AN44" s="290"/>
      <c r="AO44" s="290"/>
      <c r="AP44" s="290"/>
      <c r="AQ44" s="290"/>
      <c r="AR44" s="290"/>
      <c r="AS44" s="290"/>
      <c r="AT44" s="290"/>
      <c r="AU44" s="290"/>
      <c r="AV44" s="290"/>
      <c r="AW44" s="290"/>
      <c r="AX44" s="290"/>
      <c r="AY44" s="290"/>
      <c r="AZ44" s="290"/>
      <c r="BA44" s="290"/>
      <c r="BC44" s="270"/>
    </row>
    <row r="45" spans="1:55">
      <c r="A45" s="281">
        <v>10</v>
      </c>
      <c r="B45" s="291" t="s">
        <v>607</v>
      </c>
      <c r="C45" s="283">
        <f t="shared" si="25"/>
        <v>0</v>
      </c>
      <c r="D45" s="284">
        <f t="shared" si="26"/>
        <v>0</v>
      </c>
      <c r="E45" s="284">
        <f t="shared" si="27"/>
        <v>0</v>
      </c>
      <c r="F45" s="284">
        <f t="shared" si="28"/>
        <v>0</v>
      </c>
      <c r="G45" s="284">
        <f t="shared" si="29"/>
        <v>0</v>
      </c>
      <c r="H45" s="284"/>
      <c r="I45" s="294"/>
      <c r="J45" s="284">
        <f t="shared" si="30"/>
        <v>0</v>
      </c>
      <c r="K45" s="284"/>
      <c r="L45" s="294"/>
      <c r="M45" s="284">
        <f t="shared" si="31"/>
        <v>0</v>
      </c>
      <c r="N45" s="284">
        <f t="shared" si="32"/>
        <v>0</v>
      </c>
      <c r="O45" s="284"/>
      <c r="P45" s="294"/>
      <c r="Q45" s="284">
        <f t="shared" si="33"/>
        <v>0</v>
      </c>
      <c r="R45" s="284"/>
      <c r="S45" s="294"/>
      <c r="T45" s="286">
        <f t="shared" si="23"/>
        <v>0</v>
      </c>
      <c r="U45" s="287">
        <f t="shared" si="34"/>
        <v>0</v>
      </c>
      <c r="V45" s="287">
        <f t="shared" si="35"/>
        <v>0</v>
      </c>
      <c r="W45" s="287">
        <f t="shared" si="24"/>
        <v>0</v>
      </c>
      <c r="X45" s="284">
        <f t="shared" si="36"/>
        <v>0</v>
      </c>
      <c r="Y45" s="284"/>
      <c r="Z45" s="294"/>
      <c r="AA45" s="289">
        <f t="shared" si="37"/>
        <v>0</v>
      </c>
      <c r="AB45" s="295"/>
      <c r="AC45" s="295"/>
      <c r="AD45" s="289">
        <f t="shared" si="38"/>
        <v>0</v>
      </c>
      <c r="AE45" s="289">
        <f t="shared" si="39"/>
        <v>0</v>
      </c>
      <c r="AF45" s="292"/>
      <c r="AG45" s="295"/>
      <c r="AH45" s="287">
        <f t="shared" si="40"/>
        <v>0</v>
      </c>
      <c r="AI45" s="295"/>
      <c r="AJ45" s="295"/>
      <c r="AK45" s="290"/>
      <c r="AL45" s="290"/>
      <c r="AM45" s="290"/>
      <c r="AN45" s="290"/>
      <c r="AO45" s="290"/>
      <c r="AP45" s="290"/>
      <c r="AQ45" s="290"/>
      <c r="AR45" s="290"/>
      <c r="AS45" s="290"/>
      <c r="AT45" s="290"/>
      <c r="AU45" s="290"/>
      <c r="AV45" s="290"/>
      <c r="AW45" s="290"/>
      <c r="AX45" s="290"/>
      <c r="AY45" s="290"/>
      <c r="AZ45" s="290"/>
      <c r="BA45" s="290"/>
    </row>
    <row r="46" spans="1:55">
      <c r="A46" s="299"/>
      <c r="B46" s="300" t="s">
        <v>156</v>
      </c>
      <c r="C46" s="301"/>
      <c r="D46" s="302"/>
      <c r="E46" s="302"/>
      <c r="F46" s="302"/>
      <c r="G46" s="302"/>
      <c r="H46" s="302"/>
      <c r="I46" s="302"/>
      <c r="J46" s="302"/>
      <c r="K46" s="302"/>
      <c r="L46" s="302"/>
      <c r="M46" s="302"/>
      <c r="N46" s="302"/>
      <c r="O46" s="302"/>
      <c r="P46" s="302"/>
      <c r="Q46" s="302"/>
      <c r="R46" s="302"/>
      <c r="S46" s="302"/>
      <c r="T46" s="303"/>
      <c r="U46" s="304"/>
      <c r="V46" s="304"/>
      <c r="W46" s="304"/>
      <c r="X46" s="304"/>
      <c r="Y46" s="304"/>
      <c r="Z46" s="304"/>
      <c r="AA46" s="304"/>
      <c r="AB46" s="304"/>
      <c r="AC46" s="304"/>
      <c r="AD46" s="304"/>
      <c r="AE46" s="304"/>
      <c r="AF46" s="304"/>
      <c r="AG46" s="304"/>
      <c r="AH46" s="304"/>
      <c r="AI46" s="304"/>
      <c r="AJ46" s="304"/>
      <c r="AK46" s="305"/>
      <c r="AL46" s="306"/>
      <c r="AM46" s="306"/>
      <c r="AN46" s="306"/>
      <c r="AO46" s="306"/>
      <c r="AP46" s="306"/>
      <c r="AQ46" s="306"/>
      <c r="AR46" s="306"/>
      <c r="AS46" s="306"/>
      <c r="AT46" s="306"/>
      <c r="AU46" s="306"/>
      <c r="AV46" s="306"/>
      <c r="AW46" s="306"/>
      <c r="AX46" s="306"/>
      <c r="AY46" s="306"/>
      <c r="AZ46" s="306"/>
      <c r="BA46" s="306"/>
    </row>
    <row r="49" spans="3:3">
      <c r="C49" s="307"/>
    </row>
  </sheetData>
  <mergeCells count="46">
    <mergeCell ref="AR9:AT9"/>
    <mergeCell ref="AU9:AU10"/>
    <mergeCell ref="AV9:AX9"/>
    <mergeCell ref="AY9:BA9"/>
    <mergeCell ref="AE9:AG9"/>
    <mergeCell ref="AH9:AJ9"/>
    <mergeCell ref="AL9:AL10"/>
    <mergeCell ref="AM9:AM10"/>
    <mergeCell ref="AN9:AN10"/>
    <mergeCell ref="AO9:AQ9"/>
    <mergeCell ref="J9:L9"/>
    <mergeCell ref="M9:M10"/>
    <mergeCell ref="N9:P9"/>
    <mergeCell ref="Q9:S9"/>
    <mergeCell ref="U9:U10"/>
    <mergeCell ref="W8:AC8"/>
    <mergeCell ref="AD8:AJ8"/>
    <mergeCell ref="AK8:AK10"/>
    <mergeCell ref="AL8:AM8"/>
    <mergeCell ref="U8:V8"/>
    <mergeCell ref="W9:W10"/>
    <mergeCell ref="X9:Z9"/>
    <mergeCell ref="AA9:AC9"/>
    <mergeCell ref="AD9:AD10"/>
    <mergeCell ref="V9:V10"/>
    <mergeCell ref="A1:B1"/>
    <mergeCell ref="Q1:S1"/>
    <mergeCell ref="A3:BA3"/>
    <mergeCell ref="A4:BA4"/>
    <mergeCell ref="AZ6:BA6"/>
    <mergeCell ref="A7:A10"/>
    <mergeCell ref="B7:B10"/>
    <mergeCell ref="C7:S7"/>
    <mergeCell ref="T7:AJ7"/>
    <mergeCell ref="AK7:BA7"/>
    <mergeCell ref="C8:C10"/>
    <mergeCell ref="D8:E8"/>
    <mergeCell ref="F8:L8"/>
    <mergeCell ref="M8:S8"/>
    <mergeCell ref="T8:T10"/>
    <mergeCell ref="D9:D10"/>
    <mergeCell ref="E9:E10"/>
    <mergeCell ref="F9:F10"/>
    <mergeCell ref="G9:I9"/>
    <mergeCell ref="AN8:AT8"/>
    <mergeCell ref="AU8:BA8"/>
  </mergeCells>
  <dataValidations count="1">
    <dataValidation allowBlank="1" showInputMessage="1" showErrorMessage="1" prompt="ct 135" sqref="I35"/>
  </dataValidations>
  <pageMargins left="0" right="0" top="0" bottom="0" header="0.31496062992125984" footer="0.31496062992125984"/>
  <pageSetup paperSize="9" scale="7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33"/>
  <sheetViews>
    <sheetView showZeros="0" zoomScale="90" zoomScaleNormal="90" workbookViewId="0">
      <pane xSplit="2" ySplit="13" topLeftCell="C14" activePane="bottomRight" state="frozen"/>
      <selection activeCell="B14" sqref="B14"/>
      <selection pane="topRight" activeCell="B14" sqref="B14"/>
      <selection pane="bottomLeft" activeCell="B14" sqref="B14"/>
      <selection pane="bottomRight" activeCell="T19" sqref="T19"/>
    </sheetView>
  </sheetViews>
  <sheetFormatPr defaultColWidth="9.140625" defaultRowHeight="15" outlineLevelCol="1"/>
  <cols>
    <col min="1" max="1" width="5.7109375" style="267" customWidth="1"/>
    <col min="2" max="2" width="25" style="267" customWidth="1"/>
    <col min="3" max="3" width="10.7109375" style="266" customWidth="1"/>
    <col min="4" max="19" width="7.28515625" style="266" customWidth="1" outlineLevel="1"/>
    <col min="20" max="20" width="10.85546875" style="267" customWidth="1"/>
    <col min="21" max="36" width="7.28515625" style="267" customWidth="1" outlineLevel="1"/>
    <col min="37" max="37" width="11.5703125" style="267" customWidth="1"/>
    <col min="38" max="53" width="9.140625" style="267" customWidth="1" outlineLevel="1"/>
    <col min="54" max="16384" width="9.140625" style="267"/>
  </cols>
  <sheetData>
    <row r="1" spans="1:53" ht="15" customHeight="1">
      <c r="A1" s="711" t="s">
        <v>890</v>
      </c>
      <c r="B1" s="711"/>
      <c r="Q1" s="712"/>
      <c r="R1" s="712"/>
      <c r="S1" s="712"/>
    </row>
    <row r="2" spans="1:53">
      <c r="A2" s="268"/>
    </row>
    <row r="3" spans="1:53">
      <c r="A3" s="713" t="s">
        <v>956</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3"/>
      <c r="AQ3" s="713"/>
      <c r="AR3" s="713"/>
      <c r="AS3" s="713"/>
      <c r="AT3" s="713"/>
      <c r="AU3" s="713"/>
      <c r="AV3" s="713"/>
      <c r="AW3" s="713"/>
      <c r="AX3" s="713"/>
      <c r="AY3" s="713"/>
      <c r="AZ3" s="713"/>
      <c r="BA3" s="713"/>
    </row>
    <row r="4" spans="1:53">
      <c r="A4" s="714" t="s">
        <v>953</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A4" s="714"/>
    </row>
    <row r="5" spans="1:53" hidden="1">
      <c r="B5" s="269"/>
      <c r="Y5" s="270"/>
    </row>
    <row r="6" spans="1:53">
      <c r="B6" s="269"/>
      <c r="R6" s="271"/>
      <c r="S6" s="271"/>
      <c r="AZ6" s="714" t="s">
        <v>62</v>
      </c>
      <c r="BA6" s="714"/>
    </row>
    <row r="7" spans="1:53" s="215" customFormat="1" ht="24.75" customHeight="1">
      <c r="A7" s="707" t="s">
        <v>16</v>
      </c>
      <c r="B7" s="707" t="s">
        <v>63</v>
      </c>
      <c r="C7" s="708" t="s">
        <v>1032</v>
      </c>
      <c r="D7" s="708"/>
      <c r="E7" s="708"/>
      <c r="F7" s="708"/>
      <c r="G7" s="708"/>
      <c r="H7" s="708"/>
      <c r="I7" s="708"/>
      <c r="J7" s="708"/>
      <c r="K7" s="708"/>
      <c r="L7" s="708"/>
      <c r="M7" s="708"/>
      <c r="N7" s="708"/>
      <c r="O7" s="708"/>
      <c r="P7" s="708"/>
      <c r="Q7" s="708"/>
      <c r="R7" s="708"/>
      <c r="S7" s="708"/>
      <c r="T7" s="709" t="s">
        <v>631</v>
      </c>
      <c r="U7" s="709"/>
      <c r="V7" s="709"/>
      <c r="W7" s="709"/>
      <c r="X7" s="709"/>
      <c r="Y7" s="709"/>
      <c r="Z7" s="709"/>
      <c r="AA7" s="709"/>
      <c r="AB7" s="709"/>
      <c r="AC7" s="709"/>
      <c r="AD7" s="709"/>
      <c r="AE7" s="709"/>
      <c r="AF7" s="709"/>
      <c r="AG7" s="709"/>
      <c r="AH7" s="709"/>
      <c r="AI7" s="709"/>
      <c r="AJ7" s="709"/>
      <c r="AK7" s="709" t="s">
        <v>632</v>
      </c>
      <c r="AL7" s="709"/>
      <c r="AM7" s="709"/>
      <c r="AN7" s="709"/>
      <c r="AO7" s="709"/>
      <c r="AP7" s="709"/>
      <c r="AQ7" s="709"/>
      <c r="AR7" s="709"/>
      <c r="AS7" s="709"/>
      <c r="AT7" s="709"/>
      <c r="AU7" s="709"/>
      <c r="AV7" s="709"/>
      <c r="AW7" s="709"/>
      <c r="AX7" s="709"/>
      <c r="AY7" s="709"/>
      <c r="AZ7" s="709"/>
      <c r="BA7" s="709"/>
    </row>
    <row r="8" spans="1:53">
      <c r="A8" s="707"/>
      <c r="B8" s="707"/>
      <c r="C8" s="637" t="s">
        <v>155</v>
      </c>
      <c r="D8" s="637" t="s">
        <v>161</v>
      </c>
      <c r="E8" s="637"/>
      <c r="F8" s="637" t="s">
        <v>621</v>
      </c>
      <c r="G8" s="637"/>
      <c r="H8" s="637"/>
      <c r="I8" s="637"/>
      <c r="J8" s="637"/>
      <c r="K8" s="637"/>
      <c r="L8" s="637"/>
      <c r="M8" s="637" t="s">
        <v>620</v>
      </c>
      <c r="N8" s="637"/>
      <c r="O8" s="637"/>
      <c r="P8" s="637"/>
      <c r="Q8" s="637"/>
      <c r="R8" s="637"/>
      <c r="S8" s="637"/>
      <c r="T8" s="707" t="s">
        <v>155</v>
      </c>
      <c r="U8" s="707" t="s">
        <v>161</v>
      </c>
      <c r="V8" s="707"/>
      <c r="W8" s="707" t="s">
        <v>621</v>
      </c>
      <c r="X8" s="707"/>
      <c r="Y8" s="707"/>
      <c r="Z8" s="707"/>
      <c r="AA8" s="707"/>
      <c r="AB8" s="707"/>
      <c r="AC8" s="707"/>
      <c r="AD8" s="707" t="s">
        <v>620</v>
      </c>
      <c r="AE8" s="707"/>
      <c r="AF8" s="707"/>
      <c r="AG8" s="707"/>
      <c r="AH8" s="707"/>
      <c r="AI8" s="707"/>
      <c r="AJ8" s="707"/>
      <c r="AK8" s="707" t="s">
        <v>155</v>
      </c>
      <c r="AL8" s="707" t="s">
        <v>161</v>
      </c>
      <c r="AM8" s="707"/>
      <c r="AN8" s="707" t="s">
        <v>621</v>
      </c>
      <c r="AO8" s="707"/>
      <c r="AP8" s="707"/>
      <c r="AQ8" s="707"/>
      <c r="AR8" s="707"/>
      <c r="AS8" s="707"/>
      <c r="AT8" s="707"/>
      <c r="AU8" s="707" t="s">
        <v>620</v>
      </c>
      <c r="AV8" s="707"/>
      <c r="AW8" s="707"/>
      <c r="AX8" s="707"/>
      <c r="AY8" s="707"/>
      <c r="AZ8" s="707"/>
      <c r="BA8" s="707"/>
    </row>
    <row r="9" spans="1:53">
      <c r="A9" s="707"/>
      <c r="B9" s="707"/>
      <c r="C9" s="637"/>
      <c r="D9" s="710" t="s">
        <v>185</v>
      </c>
      <c r="E9" s="710" t="s">
        <v>186</v>
      </c>
      <c r="F9" s="637" t="s">
        <v>155</v>
      </c>
      <c r="G9" s="710" t="s">
        <v>185</v>
      </c>
      <c r="H9" s="710"/>
      <c r="I9" s="710"/>
      <c r="J9" s="710" t="s">
        <v>186</v>
      </c>
      <c r="K9" s="710"/>
      <c r="L9" s="710"/>
      <c r="M9" s="637" t="s">
        <v>155</v>
      </c>
      <c r="N9" s="710" t="s">
        <v>185</v>
      </c>
      <c r="O9" s="710"/>
      <c r="P9" s="710"/>
      <c r="Q9" s="710" t="s">
        <v>186</v>
      </c>
      <c r="R9" s="710"/>
      <c r="S9" s="710"/>
      <c r="T9" s="707"/>
      <c r="U9" s="715" t="s">
        <v>185</v>
      </c>
      <c r="V9" s="715" t="s">
        <v>186</v>
      </c>
      <c r="W9" s="707" t="s">
        <v>155</v>
      </c>
      <c r="X9" s="715" t="s">
        <v>185</v>
      </c>
      <c r="Y9" s="715"/>
      <c r="Z9" s="715"/>
      <c r="AA9" s="715" t="s">
        <v>186</v>
      </c>
      <c r="AB9" s="715"/>
      <c r="AC9" s="715"/>
      <c r="AD9" s="707" t="s">
        <v>155</v>
      </c>
      <c r="AE9" s="715" t="s">
        <v>185</v>
      </c>
      <c r="AF9" s="715"/>
      <c r="AG9" s="715"/>
      <c r="AH9" s="715" t="s">
        <v>186</v>
      </c>
      <c r="AI9" s="715"/>
      <c r="AJ9" s="715"/>
      <c r="AK9" s="707"/>
      <c r="AL9" s="715" t="s">
        <v>185</v>
      </c>
      <c r="AM9" s="715" t="s">
        <v>186</v>
      </c>
      <c r="AN9" s="707" t="s">
        <v>155</v>
      </c>
      <c r="AO9" s="715" t="s">
        <v>185</v>
      </c>
      <c r="AP9" s="715"/>
      <c r="AQ9" s="715"/>
      <c r="AR9" s="715" t="s">
        <v>186</v>
      </c>
      <c r="AS9" s="715"/>
      <c r="AT9" s="715"/>
      <c r="AU9" s="707" t="s">
        <v>155</v>
      </c>
      <c r="AV9" s="715" t="s">
        <v>185</v>
      </c>
      <c r="AW9" s="715"/>
      <c r="AX9" s="715"/>
      <c r="AY9" s="715" t="s">
        <v>186</v>
      </c>
      <c r="AZ9" s="715"/>
      <c r="BA9" s="715"/>
    </row>
    <row r="10" spans="1:53" ht="46.5" customHeight="1">
      <c r="A10" s="707"/>
      <c r="B10" s="707"/>
      <c r="C10" s="637"/>
      <c r="D10" s="710"/>
      <c r="E10" s="710"/>
      <c r="F10" s="637"/>
      <c r="G10" s="403" t="s">
        <v>155</v>
      </c>
      <c r="H10" s="403" t="s">
        <v>174</v>
      </c>
      <c r="I10" s="403" t="s">
        <v>173</v>
      </c>
      <c r="J10" s="403" t="s">
        <v>155</v>
      </c>
      <c r="K10" s="403" t="s">
        <v>174</v>
      </c>
      <c r="L10" s="403" t="s">
        <v>173</v>
      </c>
      <c r="M10" s="637"/>
      <c r="N10" s="403" t="s">
        <v>155</v>
      </c>
      <c r="O10" s="403" t="s">
        <v>174</v>
      </c>
      <c r="P10" s="403" t="s">
        <v>173</v>
      </c>
      <c r="Q10" s="403" t="s">
        <v>155</v>
      </c>
      <c r="R10" s="403" t="s">
        <v>174</v>
      </c>
      <c r="S10" s="403" t="s">
        <v>173</v>
      </c>
      <c r="T10" s="707"/>
      <c r="U10" s="715"/>
      <c r="V10" s="715"/>
      <c r="W10" s="707"/>
      <c r="X10" s="402" t="s">
        <v>155</v>
      </c>
      <c r="Y10" s="402" t="s">
        <v>174</v>
      </c>
      <c r="Z10" s="402" t="s">
        <v>173</v>
      </c>
      <c r="AA10" s="402" t="s">
        <v>155</v>
      </c>
      <c r="AB10" s="402" t="s">
        <v>174</v>
      </c>
      <c r="AC10" s="402" t="s">
        <v>173</v>
      </c>
      <c r="AD10" s="707"/>
      <c r="AE10" s="402" t="s">
        <v>155</v>
      </c>
      <c r="AF10" s="402" t="s">
        <v>174</v>
      </c>
      <c r="AG10" s="402" t="s">
        <v>173</v>
      </c>
      <c r="AH10" s="402" t="s">
        <v>155</v>
      </c>
      <c r="AI10" s="402" t="s">
        <v>174</v>
      </c>
      <c r="AJ10" s="402" t="s">
        <v>173</v>
      </c>
      <c r="AK10" s="707"/>
      <c r="AL10" s="715"/>
      <c r="AM10" s="715"/>
      <c r="AN10" s="707"/>
      <c r="AO10" s="402" t="s">
        <v>155</v>
      </c>
      <c r="AP10" s="402" t="s">
        <v>174</v>
      </c>
      <c r="AQ10" s="402" t="s">
        <v>173</v>
      </c>
      <c r="AR10" s="402" t="s">
        <v>155</v>
      </c>
      <c r="AS10" s="402" t="s">
        <v>174</v>
      </c>
      <c r="AT10" s="402" t="s">
        <v>173</v>
      </c>
      <c r="AU10" s="707"/>
      <c r="AV10" s="402" t="s">
        <v>155</v>
      </c>
      <c r="AW10" s="402" t="s">
        <v>174</v>
      </c>
      <c r="AX10" s="402" t="s">
        <v>173</v>
      </c>
      <c r="AY10" s="402" t="s">
        <v>155</v>
      </c>
      <c r="AZ10" s="402" t="s">
        <v>174</v>
      </c>
      <c r="BA10" s="402" t="s">
        <v>173</v>
      </c>
    </row>
    <row r="11" spans="1:53" ht="27" customHeight="1">
      <c r="A11" s="402" t="s">
        <v>23</v>
      </c>
      <c r="B11" s="402" t="s">
        <v>24</v>
      </c>
      <c r="C11" s="403" t="s">
        <v>149</v>
      </c>
      <c r="D11" s="403" t="s">
        <v>619</v>
      </c>
      <c r="E11" s="403" t="s">
        <v>618</v>
      </c>
      <c r="F11" s="403" t="s">
        <v>617</v>
      </c>
      <c r="G11" s="403" t="s">
        <v>616</v>
      </c>
      <c r="H11" s="403">
        <v>6</v>
      </c>
      <c r="I11" s="403">
        <v>7</v>
      </c>
      <c r="J11" s="403" t="s">
        <v>615</v>
      </c>
      <c r="K11" s="403">
        <v>9</v>
      </c>
      <c r="L11" s="403">
        <v>10</v>
      </c>
      <c r="M11" s="403" t="s">
        <v>614</v>
      </c>
      <c r="N11" s="403" t="s">
        <v>613</v>
      </c>
      <c r="O11" s="403">
        <v>13</v>
      </c>
      <c r="P11" s="403">
        <v>14</v>
      </c>
      <c r="Q11" s="403" t="s">
        <v>612</v>
      </c>
      <c r="R11" s="403">
        <v>16</v>
      </c>
      <c r="S11" s="403">
        <v>17</v>
      </c>
      <c r="T11" s="402" t="s">
        <v>622</v>
      </c>
      <c r="U11" s="402" t="s">
        <v>623</v>
      </c>
      <c r="V11" s="402" t="s">
        <v>624</v>
      </c>
      <c r="W11" s="402" t="s">
        <v>625</v>
      </c>
      <c r="X11" s="402" t="s">
        <v>626</v>
      </c>
      <c r="Y11" s="402">
        <v>8</v>
      </c>
      <c r="Z11" s="402">
        <v>9</v>
      </c>
      <c r="AA11" s="402" t="s">
        <v>627</v>
      </c>
      <c r="AB11" s="402">
        <v>11</v>
      </c>
      <c r="AC11" s="402">
        <v>12</v>
      </c>
      <c r="AD11" s="402" t="s">
        <v>628</v>
      </c>
      <c r="AE11" s="402" t="s">
        <v>629</v>
      </c>
      <c r="AF11" s="402">
        <v>15</v>
      </c>
      <c r="AG11" s="402">
        <v>16</v>
      </c>
      <c r="AH11" s="402" t="s">
        <v>630</v>
      </c>
      <c r="AI11" s="402">
        <v>18</v>
      </c>
      <c r="AJ11" s="402">
        <v>19</v>
      </c>
      <c r="AK11" s="402" t="s">
        <v>811</v>
      </c>
      <c r="AL11" s="402" t="s">
        <v>812</v>
      </c>
      <c r="AM11" s="402" t="s">
        <v>813</v>
      </c>
      <c r="AN11" s="402" t="s">
        <v>814</v>
      </c>
      <c r="AO11" s="402" t="s">
        <v>815</v>
      </c>
      <c r="AP11" s="402" t="s">
        <v>816</v>
      </c>
      <c r="AQ11" s="402" t="s">
        <v>817</v>
      </c>
      <c r="AR11" s="402" t="s">
        <v>818</v>
      </c>
      <c r="AS11" s="402" t="s">
        <v>819</v>
      </c>
      <c r="AT11" s="402" t="s">
        <v>820</v>
      </c>
      <c r="AU11" s="402" t="s">
        <v>821</v>
      </c>
      <c r="AV11" s="402" t="s">
        <v>822</v>
      </c>
      <c r="AW11" s="402" t="s">
        <v>823</v>
      </c>
      <c r="AX11" s="402" t="s">
        <v>824</v>
      </c>
      <c r="AY11" s="402" t="s">
        <v>825</v>
      </c>
      <c r="AZ11" s="402" t="s">
        <v>826</v>
      </c>
      <c r="BA11" s="402" t="s">
        <v>827</v>
      </c>
    </row>
    <row r="12" spans="1:53">
      <c r="A12" s="274"/>
      <c r="B12" s="275" t="s">
        <v>157</v>
      </c>
      <c r="C12" s="276">
        <f t="shared" ref="C12:AJ12" si="0">SUBTOTAL(9,C13:C30)</f>
        <v>9378</v>
      </c>
      <c r="D12" s="276">
        <f t="shared" si="0"/>
        <v>0</v>
      </c>
      <c r="E12" s="276">
        <f t="shared" si="0"/>
        <v>9378</v>
      </c>
      <c r="F12" s="276">
        <f t="shared" si="0"/>
        <v>4435</v>
      </c>
      <c r="G12" s="276">
        <f t="shared" si="0"/>
        <v>0</v>
      </c>
      <c r="H12" s="276">
        <f t="shared" si="0"/>
        <v>0</v>
      </c>
      <c r="I12" s="276">
        <f t="shared" si="0"/>
        <v>0</v>
      </c>
      <c r="J12" s="276">
        <f t="shared" si="0"/>
        <v>4435</v>
      </c>
      <c r="K12" s="276">
        <f t="shared" si="0"/>
        <v>4435</v>
      </c>
      <c r="L12" s="276">
        <f t="shared" si="0"/>
        <v>0</v>
      </c>
      <c r="M12" s="276">
        <f t="shared" si="0"/>
        <v>4943</v>
      </c>
      <c r="N12" s="276">
        <f t="shared" si="0"/>
        <v>0</v>
      </c>
      <c r="O12" s="276">
        <f t="shared" si="0"/>
        <v>0</v>
      </c>
      <c r="P12" s="276">
        <f t="shared" si="0"/>
        <v>0</v>
      </c>
      <c r="Q12" s="276">
        <f t="shared" si="0"/>
        <v>4943</v>
      </c>
      <c r="R12" s="276">
        <f t="shared" si="0"/>
        <v>4943</v>
      </c>
      <c r="S12" s="276">
        <f t="shared" si="0"/>
        <v>0</v>
      </c>
      <c r="T12" s="277">
        <f t="shared" si="0"/>
        <v>43796.432468999992</v>
      </c>
      <c r="U12" s="277">
        <f t="shared" si="0"/>
        <v>39005.422468999983</v>
      </c>
      <c r="V12" s="277">
        <f t="shared" si="0"/>
        <v>4791.01</v>
      </c>
      <c r="W12" s="277">
        <f t="shared" si="0"/>
        <v>36700.703468999993</v>
      </c>
      <c r="X12" s="277">
        <f t="shared" si="0"/>
        <v>36700.703468999993</v>
      </c>
      <c r="Y12" s="277">
        <f t="shared" si="0"/>
        <v>36700.703468999993</v>
      </c>
      <c r="Z12" s="277">
        <f t="shared" si="0"/>
        <v>0</v>
      </c>
      <c r="AA12" s="277">
        <f t="shared" si="0"/>
        <v>0</v>
      </c>
      <c r="AB12" s="277">
        <f t="shared" si="0"/>
        <v>0</v>
      </c>
      <c r="AC12" s="277">
        <f t="shared" si="0"/>
        <v>0</v>
      </c>
      <c r="AD12" s="277">
        <f t="shared" si="0"/>
        <v>7095.7290000000003</v>
      </c>
      <c r="AE12" s="277">
        <f t="shared" si="0"/>
        <v>2304.7190000000001</v>
      </c>
      <c r="AF12" s="277">
        <f t="shared" si="0"/>
        <v>2304.7190000000001</v>
      </c>
      <c r="AG12" s="277">
        <f t="shared" si="0"/>
        <v>0</v>
      </c>
      <c r="AH12" s="277">
        <f t="shared" si="0"/>
        <v>4791.01</v>
      </c>
      <c r="AI12" s="277">
        <f t="shared" si="0"/>
        <v>4791.01</v>
      </c>
      <c r="AJ12" s="277">
        <f t="shared" si="0"/>
        <v>0</v>
      </c>
      <c r="AK12" s="514">
        <f>T12/C12</f>
        <v>4.6701250233525267</v>
      </c>
      <c r="AL12" s="514"/>
      <c r="AM12" s="514">
        <f t="shared" ref="AM12:AZ14" si="1">V12/E12</f>
        <v>0.51087758583919818</v>
      </c>
      <c r="AN12" s="514">
        <f t="shared" si="1"/>
        <v>8.2752431722660642</v>
      </c>
      <c r="AO12" s="514"/>
      <c r="AP12" s="514"/>
      <c r="AQ12" s="514"/>
      <c r="AR12" s="514">
        <f t="shared" si="1"/>
        <v>0</v>
      </c>
      <c r="AS12" s="514">
        <f t="shared" si="1"/>
        <v>0</v>
      </c>
      <c r="AT12" s="514"/>
      <c r="AU12" s="514">
        <f t="shared" si="1"/>
        <v>1.4355106210803157</v>
      </c>
      <c r="AV12" s="514"/>
      <c r="AW12" s="514"/>
      <c r="AX12" s="514"/>
      <c r="AY12" s="514">
        <f t="shared" si="1"/>
        <v>0.96925146672061502</v>
      </c>
      <c r="AZ12" s="514">
        <f t="shared" si="1"/>
        <v>0.96925146672061502</v>
      </c>
      <c r="BA12" s="514"/>
    </row>
    <row r="13" spans="1:53">
      <c r="A13" s="361" t="s">
        <v>28</v>
      </c>
      <c r="B13" s="362" t="s">
        <v>481</v>
      </c>
      <c r="C13" s="276">
        <f t="shared" ref="C13:AJ13" si="2">SUBTOTAL(9,C14:C18)</f>
        <v>4935</v>
      </c>
      <c r="D13" s="276">
        <f t="shared" si="2"/>
        <v>0</v>
      </c>
      <c r="E13" s="276">
        <f t="shared" si="2"/>
        <v>4935</v>
      </c>
      <c r="F13" s="276">
        <f t="shared" si="2"/>
        <v>4435</v>
      </c>
      <c r="G13" s="276">
        <f t="shared" si="2"/>
        <v>0</v>
      </c>
      <c r="H13" s="276">
        <f t="shared" si="2"/>
        <v>0</v>
      </c>
      <c r="I13" s="276">
        <f t="shared" si="2"/>
        <v>0</v>
      </c>
      <c r="J13" s="276">
        <f t="shared" si="2"/>
        <v>4435</v>
      </c>
      <c r="K13" s="276">
        <f t="shared" si="2"/>
        <v>4435</v>
      </c>
      <c r="L13" s="276">
        <f t="shared" si="2"/>
        <v>0</v>
      </c>
      <c r="M13" s="276">
        <f t="shared" si="2"/>
        <v>500</v>
      </c>
      <c r="N13" s="276">
        <f t="shared" si="2"/>
        <v>0</v>
      </c>
      <c r="O13" s="276">
        <f t="shared" si="2"/>
        <v>0</v>
      </c>
      <c r="P13" s="276">
        <f t="shared" si="2"/>
        <v>0</v>
      </c>
      <c r="Q13" s="276">
        <f t="shared" si="2"/>
        <v>500</v>
      </c>
      <c r="R13" s="276">
        <f t="shared" si="2"/>
        <v>500</v>
      </c>
      <c r="S13" s="276">
        <f t="shared" si="2"/>
        <v>0</v>
      </c>
      <c r="T13" s="276">
        <f t="shared" si="2"/>
        <v>37058.607468999995</v>
      </c>
      <c r="U13" s="276">
        <f t="shared" si="2"/>
        <v>36570.607468999995</v>
      </c>
      <c r="V13" s="276">
        <f t="shared" si="2"/>
        <v>488</v>
      </c>
      <c r="W13" s="276">
        <f t="shared" si="2"/>
        <v>36570.607468999995</v>
      </c>
      <c r="X13" s="276">
        <f t="shared" si="2"/>
        <v>36570.607468999995</v>
      </c>
      <c r="Y13" s="276">
        <f t="shared" si="2"/>
        <v>36570.607468999995</v>
      </c>
      <c r="Z13" s="276">
        <f t="shared" si="2"/>
        <v>0</v>
      </c>
      <c r="AA13" s="276">
        <f t="shared" si="2"/>
        <v>0</v>
      </c>
      <c r="AB13" s="276">
        <f t="shared" si="2"/>
        <v>0</v>
      </c>
      <c r="AC13" s="276">
        <f t="shared" si="2"/>
        <v>0</v>
      </c>
      <c r="AD13" s="276">
        <f t="shared" si="2"/>
        <v>488</v>
      </c>
      <c r="AE13" s="276">
        <f t="shared" si="2"/>
        <v>0</v>
      </c>
      <c r="AF13" s="276">
        <f t="shared" si="2"/>
        <v>0</v>
      </c>
      <c r="AG13" s="276">
        <f t="shared" si="2"/>
        <v>0</v>
      </c>
      <c r="AH13" s="276">
        <f t="shared" si="2"/>
        <v>488</v>
      </c>
      <c r="AI13" s="276">
        <f t="shared" si="2"/>
        <v>488</v>
      </c>
      <c r="AJ13" s="276">
        <f t="shared" si="2"/>
        <v>0</v>
      </c>
      <c r="AK13" s="514">
        <f>T13/C13</f>
        <v>7.5093429521783168</v>
      </c>
      <c r="AL13" s="514"/>
      <c r="AM13" s="514">
        <f t="shared" si="1"/>
        <v>9.8885511651469096E-2</v>
      </c>
      <c r="AN13" s="514">
        <f t="shared" si="1"/>
        <v>8.2459092376550149</v>
      </c>
      <c r="AO13" s="514"/>
      <c r="AP13" s="514"/>
      <c r="AQ13" s="514"/>
      <c r="AR13" s="514">
        <f t="shared" si="1"/>
        <v>0</v>
      </c>
      <c r="AS13" s="514">
        <f t="shared" si="1"/>
        <v>0</v>
      </c>
      <c r="AT13" s="514"/>
      <c r="AU13" s="514">
        <f t="shared" si="1"/>
        <v>0.97599999999999998</v>
      </c>
      <c r="AV13" s="514"/>
      <c r="AW13" s="514"/>
      <c r="AX13" s="514"/>
      <c r="AY13" s="514">
        <f t="shared" si="1"/>
        <v>0.97599999999999998</v>
      </c>
      <c r="AZ13" s="514">
        <f t="shared" si="1"/>
        <v>0.97599999999999998</v>
      </c>
      <c r="BA13" s="514"/>
    </row>
    <row r="14" spans="1:53" ht="24.75" customHeight="1">
      <c r="A14" s="365">
        <v>1</v>
      </c>
      <c r="B14" s="366" t="s">
        <v>560</v>
      </c>
      <c r="C14" s="515">
        <f t="shared" ref="C14:C18" si="3">D14+E14</f>
        <v>500</v>
      </c>
      <c r="D14" s="392">
        <f t="shared" ref="D14:D18" si="4">G14+N14</f>
        <v>0</v>
      </c>
      <c r="E14" s="392">
        <f t="shared" ref="E14:E18" si="5">J14+Q14</f>
        <v>500</v>
      </c>
      <c r="F14" s="392">
        <f t="shared" ref="F14:F18" si="6">G14+J14</f>
        <v>0</v>
      </c>
      <c r="G14" s="392">
        <f t="shared" ref="G14:G18" si="7">H14+I14</f>
        <v>0</v>
      </c>
      <c r="H14" s="392"/>
      <c r="I14" s="392"/>
      <c r="J14" s="392">
        <f t="shared" ref="J14:J18" si="8">K14+L14</f>
        <v>0</v>
      </c>
      <c r="K14" s="392"/>
      <c r="L14" s="392"/>
      <c r="M14" s="392">
        <f t="shared" ref="M14:M18" si="9">N14+Q14</f>
        <v>500</v>
      </c>
      <c r="N14" s="392">
        <f t="shared" ref="N14:N18" si="10">O14+P14</f>
        <v>0</v>
      </c>
      <c r="O14" s="285"/>
      <c r="P14" s="392"/>
      <c r="Q14" s="392">
        <f t="shared" ref="Q14:Q18" si="11">R14+S14</f>
        <v>500</v>
      </c>
      <c r="R14" s="392">
        <v>500</v>
      </c>
      <c r="S14" s="392"/>
      <c r="T14" s="516">
        <f t="shared" ref="T14:T18" si="12">U14+V14</f>
        <v>488</v>
      </c>
      <c r="U14" s="367">
        <f t="shared" ref="U14:U18" si="13">X14+AE14</f>
        <v>0</v>
      </c>
      <c r="V14" s="367">
        <f t="shared" ref="V14:V18" si="14">AA14+AH14</f>
        <v>488</v>
      </c>
      <c r="W14" s="367">
        <f t="shared" ref="W14:W18" si="15">X14+AA14</f>
        <v>0</v>
      </c>
      <c r="X14" s="367">
        <f t="shared" ref="X14:X18" si="16">Y14+Z14</f>
        <v>0</v>
      </c>
      <c r="Y14" s="517"/>
      <c r="Z14" s="367"/>
      <c r="AA14" s="367">
        <f t="shared" ref="AA14" si="17">AB14+AC14</f>
        <v>0</v>
      </c>
      <c r="AB14" s="367"/>
      <c r="AC14" s="367"/>
      <c r="AD14" s="518">
        <f t="shared" ref="AD14" si="18">AE14+AH14</f>
        <v>488</v>
      </c>
      <c r="AE14" s="518">
        <f t="shared" ref="AE14" si="19">AF14+AG14</f>
        <v>0</v>
      </c>
      <c r="AF14" s="367"/>
      <c r="AG14" s="367"/>
      <c r="AH14" s="518">
        <f t="shared" ref="AH14:AH18" si="20">AI14+AJ14</f>
        <v>488</v>
      </c>
      <c r="AI14" s="367">
        <v>488</v>
      </c>
      <c r="AJ14" s="367"/>
      <c r="AK14" s="519">
        <f t="shared" ref="AK14" si="21">T14/C14</f>
        <v>0.97599999999999998</v>
      </c>
      <c r="AL14" s="519"/>
      <c r="AM14" s="519">
        <f t="shared" si="1"/>
        <v>0.97599999999999998</v>
      </c>
      <c r="AN14" s="519"/>
      <c r="AO14" s="519"/>
      <c r="AP14" s="519"/>
      <c r="AQ14" s="519"/>
      <c r="AR14" s="519"/>
      <c r="AS14" s="519"/>
      <c r="AT14" s="519"/>
      <c r="AU14" s="519">
        <f t="shared" si="1"/>
        <v>0.97599999999999998</v>
      </c>
      <c r="AV14" s="519"/>
      <c r="AW14" s="519"/>
      <c r="AX14" s="519"/>
      <c r="AY14" s="519">
        <f t="shared" si="1"/>
        <v>0.97599999999999998</v>
      </c>
      <c r="AZ14" s="519">
        <f t="shared" si="1"/>
        <v>0.97599999999999998</v>
      </c>
      <c r="BA14" s="519"/>
    </row>
    <row r="15" spans="1:53">
      <c r="A15" s="365">
        <v>2</v>
      </c>
      <c r="B15" s="366" t="s">
        <v>609</v>
      </c>
      <c r="C15" s="515">
        <f t="shared" si="3"/>
        <v>0</v>
      </c>
      <c r="D15" s="392">
        <f t="shared" si="4"/>
        <v>0</v>
      </c>
      <c r="E15" s="392">
        <f t="shared" si="5"/>
        <v>0</v>
      </c>
      <c r="F15" s="392">
        <f t="shared" si="6"/>
        <v>0</v>
      </c>
      <c r="G15" s="392">
        <f t="shared" si="7"/>
        <v>0</v>
      </c>
      <c r="H15" s="392"/>
      <c r="I15" s="294"/>
      <c r="J15" s="392">
        <f t="shared" si="8"/>
        <v>0</v>
      </c>
      <c r="K15" s="294"/>
      <c r="L15" s="294"/>
      <c r="M15" s="392">
        <f t="shared" si="9"/>
        <v>0</v>
      </c>
      <c r="N15" s="392">
        <f t="shared" si="10"/>
        <v>0</v>
      </c>
      <c r="O15" s="285"/>
      <c r="P15" s="294"/>
      <c r="Q15" s="392">
        <f t="shared" si="11"/>
        <v>0</v>
      </c>
      <c r="R15" s="294"/>
      <c r="S15" s="294"/>
      <c r="T15" s="516">
        <f t="shared" si="12"/>
        <v>11772.936613999998</v>
      </c>
      <c r="U15" s="367">
        <f t="shared" si="13"/>
        <v>11772.936613999998</v>
      </c>
      <c r="V15" s="367">
        <f t="shared" si="14"/>
        <v>0</v>
      </c>
      <c r="W15" s="367">
        <f t="shared" si="15"/>
        <v>11772.936613999998</v>
      </c>
      <c r="X15" s="367">
        <f t="shared" si="16"/>
        <v>11772.936613999998</v>
      </c>
      <c r="Y15" s="518">
        <v>11772.936613999998</v>
      </c>
      <c r="Z15" s="295"/>
      <c r="AA15" s="295"/>
      <c r="AB15" s="295"/>
      <c r="AC15" s="295"/>
      <c r="AD15" s="518">
        <f t="shared" ref="AD15:AD18" si="22">AE15+AH15</f>
        <v>0</v>
      </c>
      <c r="AE15" s="518">
        <f t="shared" ref="AE15:AE18" si="23">AF15+AG15</f>
        <v>0</v>
      </c>
      <c r="AF15" s="292"/>
      <c r="AG15" s="295"/>
      <c r="AH15" s="518">
        <f t="shared" si="20"/>
        <v>0</v>
      </c>
      <c r="AI15" s="295"/>
      <c r="AJ15" s="295"/>
      <c r="AK15" s="520"/>
      <c r="AL15" s="519"/>
      <c r="AM15" s="520"/>
      <c r="AN15" s="520"/>
      <c r="AO15" s="520"/>
      <c r="AP15" s="520"/>
      <c r="AQ15" s="520"/>
      <c r="AR15" s="520"/>
      <c r="AS15" s="520"/>
      <c r="AT15" s="520"/>
      <c r="AU15" s="520"/>
      <c r="AV15" s="520"/>
      <c r="AW15" s="520"/>
      <c r="AX15" s="520"/>
      <c r="AY15" s="520"/>
      <c r="AZ15" s="520"/>
      <c r="BA15" s="520"/>
    </row>
    <row r="16" spans="1:53">
      <c r="A16" s="365">
        <v>3</v>
      </c>
      <c r="B16" s="366" t="s">
        <v>608</v>
      </c>
      <c r="C16" s="515">
        <f t="shared" si="3"/>
        <v>0</v>
      </c>
      <c r="D16" s="392">
        <f t="shared" si="4"/>
        <v>0</v>
      </c>
      <c r="E16" s="392">
        <f t="shared" si="5"/>
        <v>0</v>
      </c>
      <c r="F16" s="392">
        <f t="shared" si="6"/>
        <v>0</v>
      </c>
      <c r="G16" s="392">
        <f t="shared" si="7"/>
        <v>0</v>
      </c>
      <c r="H16" s="392"/>
      <c r="I16" s="294"/>
      <c r="J16" s="392">
        <f t="shared" si="8"/>
        <v>0</v>
      </c>
      <c r="K16" s="294"/>
      <c r="L16" s="294"/>
      <c r="M16" s="392">
        <f t="shared" si="9"/>
        <v>0</v>
      </c>
      <c r="N16" s="392">
        <f t="shared" si="10"/>
        <v>0</v>
      </c>
      <c r="O16" s="285"/>
      <c r="P16" s="294"/>
      <c r="Q16" s="392">
        <f t="shared" si="11"/>
        <v>0</v>
      </c>
      <c r="R16" s="294"/>
      <c r="S16" s="294"/>
      <c r="T16" s="516">
        <f t="shared" si="12"/>
        <v>23495.892952999999</v>
      </c>
      <c r="U16" s="367">
        <f t="shared" si="13"/>
        <v>23495.892952999999</v>
      </c>
      <c r="V16" s="367">
        <f t="shared" si="14"/>
        <v>0</v>
      </c>
      <c r="W16" s="367">
        <f t="shared" si="15"/>
        <v>23495.892952999999</v>
      </c>
      <c r="X16" s="367">
        <f t="shared" si="16"/>
        <v>23495.892952999999</v>
      </c>
      <c r="Y16" s="518">
        <v>23495.892952999999</v>
      </c>
      <c r="Z16" s="295"/>
      <c r="AA16" s="295"/>
      <c r="AB16" s="295"/>
      <c r="AC16" s="295"/>
      <c r="AD16" s="518">
        <f t="shared" si="22"/>
        <v>0</v>
      </c>
      <c r="AE16" s="518">
        <f t="shared" si="23"/>
        <v>0</v>
      </c>
      <c r="AF16" s="292"/>
      <c r="AG16" s="295"/>
      <c r="AH16" s="518">
        <f t="shared" si="20"/>
        <v>0</v>
      </c>
      <c r="AI16" s="295"/>
      <c r="AJ16" s="295"/>
      <c r="AK16" s="519"/>
      <c r="AL16" s="519"/>
      <c r="AM16" s="519"/>
      <c r="AN16" s="519"/>
      <c r="AO16" s="519"/>
      <c r="AP16" s="519"/>
      <c r="AQ16" s="519"/>
      <c r="AR16" s="519"/>
      <c r="AS16" s="519"/>
      <c r="AT16" s="519"/>
      <c r="AU16" s="519"/>
      <c r="AV16" s="519"/>
      <c r="AW16" s="519"/>
      <c r="AX16" s="519"/>
      <c r="AY16" s="519"/>
      <c r="AZ16" s="519"/>
      <c r="BA16" s="519"/>
    </row>
    <row r="17" spans="1:55">
      <c r="A17" s="365">
        <v>4</v>
      </c>
      <c r="B17" s="366" t="s">
        <v>607</v>
      </c>
      <c r="C17" s="515">
        <f t="shared" si="3"/>
        <v>0</v>
      </c>
      <c r="D17" s="392">
        <f t="shared" si="4"/>
        <v>0</v>
      </c>
      <c r="E17" s="392">
        <f t="shared" si="5"/>
        <v>0</v>
      </c>
      <c r="F17" s="392">
        <f t="shared" si="6"/>
        <v>0</v>
      </c>
      <c r="G17" s="392">
        <f t="shared" si="7"/>
        <v>0</v>
      </c>
      <c r="H17" s="392"/>
      <c r="I17" s="294"/>
      <c r="J17" s="392">
        <f t="shared" si="8"/>
        <v>0</v>
      </c>
      <c r="K17" s="294"/>
      <c r="L17" s="294"/>
      <c r="M17" s="392">
        <f t="shared" si="9"/>
        <v>0</v>
      </c>
      <c r="N17" s="392">
        <f t="shared" si="10"/>
        <v>0</v>
      </c>
      <c r="O17" s="285"/>
      <c r="P17" s="294"/>
      <c r="Q17" s="392">
        <f t="shared" si="11"/>
        <v>0</v>
      </c>
      <c r="R17" s="294"/>
      <c r="S17" s="294"/>
      <c r="T17" s="516">
        <f t="shared" si="12"/>
        <v>1301.7779020000012</v>
      </c>
      <c r="U17" s="367">
        <f t="shared" si="13"/>
        <v>1301.7779020000012</v>
      </c>
      <c r="V17" s="367">
        <f t="shared" si="14"/>
        <v>0</v>
      </c>
      <c r="W17" s="367">
        <f t="shared" si="15"/>
        <v>1301.7779020000012</v>
      </c>
      <c r="X17" s="367">
        <f t="shared" si="16"/>
        <v>1301.7779020000012</v>
      </c>
      <c r="Y17" s="518">
        <v>1301.7779020000012</v>
      </c>
      <c r="Z17" s="295"/>
      <c r="AA17" s="295"/>
      <c r="AB17" s="295"/>
      <c r="AC17" s="295"/>
      <c r="AD17" s="518">
        <f t="shared" si="22"/>
        <v>0</v>
      </c>
      <c r="AE17" s="518">
        <f t="shared" si="23"/>
        <v>0</v>
      </c>
      <c r="AF17" s="292"/>
      <c r="AG17" s="295"/>
      <c r="AH17" s="518">
        <f t="shared" si="20"/>
        <v>0</v>
      </c>
      <c r="AI17" s="295"/>
      <c r="AJ17" s="295"/>
      <c r="AK17" s="519"/>
      <c r="AL17" s="519"/>
      <c r="AM17" s="519"/>
      <c r="AN17" s="519"/>
      <c r="AO17" s="519"/>
      <c r="AP17" s="519"/>
      <c r="AQ17" s="519"/>
      <c r="AR17" s="519"/>
      <c r="AS17" s="519"/>
      <c r="AT17" s="519"/>
      <c r="AU17" s="519"/>
      <c r="AV17" s="519"/>
      <c r="AW17" s="519"/>
      <c r="AX17" s="519"/>
      <c r="AY17" s="519"/>
      <c r="AZ17" s="519"/>
      <c r="BA17" s="519"/>
    </row>
    <row r="18" spans="1:55">
      <c r="A18" s="365">
        <v>5</v>
      </c>
      <c r="B18" s="282" t="s">
        <v>1033</v>
      </c>
      <c r="C18" s="515">
        <f t="shared" si="3"/>
        <v>4435</v>
      </c>
      <c r="D18" s="392">
        <f t="shared" si="4"/>
        <v>0</v>
      </c>
      <c r="E18" s="392">
        <f t="shared" si="5"/>
        <v>4435</v>
      </c>
      <c r="F18" s="392">
        <f t="shared" si="6"/>
        <v>4435</v>
      </c>
      <c r="G18" s="392">
        <f t="shared" si="7"/>
        <v>0</v>
      </c>
      <c r="H18" s="392"/>
      <c r="I18" s="294"/>
      <c r="J18" s="392">
        <f t="shared" si="8"/>
        <v>4435</v>
      </c>
      <c r="K18" s="294">
        <v>4435</v>
      </c>
      <c r="L18" s="294"/>
      <c r="M18" s="392">
        <f t="shared" si="9"/>
        <v>0</v>
      </c>
      <c r="N18" s="392">
        <f t="shared" si="10"/>
        <v>0</v>
      </c>
      <c r="O18" s="285"/>
      <c r="P18" s="294"/>
      <c r="Q18" s="392">
        <f t="shared" si="11"/>
        <v>0</v>
      </c>
      <c r="R18" s="294"/>
      <c r="S18" s="294"/>
      <c r="T18" s="516">
        <f t="shared" si="12"/>
        <v>0</v>
      </c>
      <c r="U18" s="367">
        <f t="shared" si="13"/>
        <v>0</v>
      </c>
      <c r="V18" s="367">
        <f t="shared" si="14"/>
        <v>0</v>
      </c>
      <c r="W18" s="367">
        <f t="shared" si="15"/>
        <v>0</v>
      </c>
      <c r="X18" s="367">
        <f t="shared" si="16"/>
        <v>0</v>
      </c>
      <c r="Y18" s="518"/>
      <c r="Z18" s="295"/>
      <c r="AA18" s="295"/>
      <c r="AB18" s="295"/>
      <c r="AC18" s="295"/>
      <c r="AD18" s="518">
        <f t="shared" si="22"/>
        <v>0</v>
      </c>
      <c r="AE18" s="518">
        <f t="shared" si="23"/>
        <v>0</v>
      </c>
      <c r="AF18" s="292"/>
      <c r="AG18" s="295"/>
      <c r="AH18" s="518">
        <f t="shared" si="20"/>
        <v>0</v>
      </c>
      <c r="AI18" s="295"/>
      <c r="AJ18" s="295"/>
      <c r="AK18" s="519">
        <f t="shared" ref="AK18:AK27" si="24">T18/C18</f>
        <v>0</v>
      </c>
      <c r="AL18" s="519"/>
      <c r="AM18" s="519"/>
      <c r="AN18" s="519"/>
      <c r="AO18" s="519"/>
      <c r="AP18" s="519"/>
      <c r="AQ18" s="519"/>
      <c r="AR18" s="519"/>
      <c r="AS18" s="519"/>
      <c r="AT18" s="519"/>
      <c r="AU18" s="519"/>
      <c r="AV18" s="519"/>
      <c r="AW18" s="519"/>
      <c r="AX18" s="519"/>
      <c r="AY18" s="519"/>
      <c r="AZ18" s="519"/>
      <c r="BA18" s="519"/>
    </row>
    <row r="19" spans="1:55" s="298" customFormat="1" ht="14.25">
      <c r="A19" s="361" t="s">
        <v>33</v>
      </c>
      <c r="B19" s="297" t="s">
        <v>611</v>
      </c>
      <c r="C19" s="159">
        <f t="shared" ref="C19:AJ19" si="25">SUBTOTAL(9,C20:C30)</f>
        <v>4443</v>
      </c>
      <c r="D19" s="276">
        <f t="shared" si="25"/>
        <v>0</v>
      </c>
      <c r="E19" s="276">
        <f t="shared" si="25"/>
        <v>4443</v>
      </c>
      <c r="F19" s="276">
        <f t="shared" si="25"/>
        <v>0</v>
      </c>
      <c r="G19" s="276">
        <f t="shared" si="25"/>
        <v>0</v>
      </c>
      <c r="H19" s="276">
        <f t="shared" si="25"/>
        <v>0</v>
      </c>
      <c r="I19" s="276">
        <f t="shared" si="25"/>
        <v>0</v>
      </c>
      <c r="J19" s="276">
        <f t="shared" si="25"/>
        <v>0</v>
      </c>
      <c r="K19" s="276">
        <f t="shared" si="25"/>
        <v>0</v>
      </c>
      <c r="L19" s="276">
        <f t="shared" si="25"/>
        <v>0</v>
      </c>
      <c r="M19" s="276">
        <f t="shared" si="25"/>
        <v>4443</v>
      </c>
      <c r="N19" s="276">
        <f t="shared" si="25"/>
        <v>0</v>
      </c>
      <c r="O19" s="276">
        <f t="shared" si="25"/>
        <v>0</v>
      </c>
      <c r="P19" s="276">
        <f t="shared" si="25"/>
        <v>0</v>
      </c>
      <c r="Q19" s="276">
        <f t="shared" si="25"/>
        <v>4443</v>
      </c>
      <c r="R19" s="276">
        <f t="shared" si="25"/>
        <v>4443</v>
      </c>
      <c r="S19" s="276">
        <f t="shared" si="25"/>
        <v>0</v>
      </c>
      <c r="T19" s="277">
        <f t="shared" si="25"/>
        <v>6737.8250000000007</v>
      </c>
      <c r="U19" s="277">
        <f t="shared" si="25"/>
        <v>2434.8149999999996</v>
      </c>
      <c r="V19" s="277">
        <f t="shared" si="25"/>
        <v>4303.01</v>
      </c>
      <c r="W19" s="277">
        <f t="shared" si="25"/>
        <v>130.09599999999949</v>
      </c>
      <c r="X19" s="276">
        <f t="shared" si="25"/>
        <v>130.09599999999949</v>
      </c>
      <c r="Y19" s="276">
        <f t="shared" si="25"/>
        <v>130.09599999999949</v>
      </c>
      <c r="Z19" s="276">
        <f t="shared" si="25"/>
        <v>0</v>
      </c>
      <c r="AA19" s="277">
        <f t="shared" si="25"/>
        <v>0</v>
      </c>
      <c r="AB19" s="277">
        <f t="shared" si="25"/>
        <v>0</v>
      </c>
      <c r="AC19" s="277">
        <f t="shared" si="25"/>
        <v>0</v>
      </c>
      <c r="AD19" s="277">
        <f t="shared" si="25"/>
        <v>6607.7290000000003</v>
      </c>
      <c r="AE19" s="277">
        <f t="shared" si="25"/>
        <v>2304.7190000000001</v>
      </c>
      <c r="AF19" s="277">
        <f t="shared" si="25"/>
        <v>2304.7190000000001</v>
      </c>
      <c r="AG19" s="277">
        <f t="shared" si="25"/>
        <v>0</v>
      </c>
      <c r="AH19" s="277">
        <f t="shared" si="25"/>
        <v>4303.01</v>
      </c>
      <c r="AI19" s="277">
        <f t="shared" si="25"/>
        <v>4303.01</v>
      </c>
      <c r="AJ19" s="277">
        <f t="shared" si="25"/>
        <v>0</v>
      </c>
      <c r="AK19" s="514">
        <f t="shared" si="24"/>
        <v>1.5165034886338062</v>
      </c>
      <c r="AL19" s="514"/>
      <c r="AM19" s="514">
        <f t="shared" ref="AM19:AM28" si="26">V19/E19</f>
        <v>0.9684920099032186</v>
      </c>
      <c r="AN19" s="514"/>
      <c r="AO19" s="514"/>
      <c r="AP19" s="514"/>
      <c r="AQ19" s="514"/>
      <c r="AR19" s="514"/>
      <c r="AS19" s="514"/>
      <c r="AT19" s="514"/>
      <c r="AU19" s="514">
        <f t="shared" ref="AU19:AU28" si="27">AD19/M19</f>
        <v>1.4872223722709881</v>
      </c>
      <c r="AV19" s="514"/>
      <c r="AW19" s="514"/>
      <c r="AX19" s="514"/>
      <c r="AY19" s="514">
        <f t="shared" ref="AY19:AZ28" si="28">AH19/Q19</f>
        <v>0.9684920099032186</v>
      </c>
      <c r="AZ19" s="514">
        <f t="shared" si="28"/>
        <v>0.9684920099032186</v>
      </c>
      <c r="BA19" s="514"/>
    </row>
    <row r="20" spans="1:55">
      <c r="A20" s="365">
        <v>1</v>
      </c>
      <c r="B20" s="366" t="s">
        <v>810</v>
      </c>
      <c r="C20" s="515">
        <f>D20+E20</f>
        <v>1692</v>
      </c>
      <c r="D20" s="392">
        <f>G20+N20</f>
        <v>0</v>
      </c>
      <c r="E20" s="392">
        <f>J20+Q20</f>
        <v>1692</v>
      </c>
      <c r="F20" s="392">
        <f>G20+J20</f>
        <v>0</v>
      </c>
      <c r="G20" s="392">
        <f>H20+I20</f>
        <v>0</v>
      </c>
      <c r="H20" s="392"/>
      <c r="I20" s="392"/>
      <c r="J20" s="392">
        <f>K20+L20</f>
        <v>0</v>
      </c>
      <c r="K20" s="392"/>
      <c r="L20" s="392"/>
      <c r="M20" s="392">
        <f>N20+Q20</f>
        <v>1692</v>
      </c>
      <c r="N20" s="392">
        <f>O20+P20</f>
        <v>0</v>
      </c>
      <c r="O20" s="392"/>
      <c r="P20" s="392"/>
      <c r="Q20" s="392">
        <f>R20+S20</f>
        <v>1692</v>
      </c>
      <c r="R20" s="392">
        <v>1692</v>
      </c>
      <c r="S20" s="392"/>
      <c r="T20" s="516">
        <f t="shared" ref="T20:T29" si="29">U20+V20</f>
        <v>1955.7729999999999</v>
      </c>
      <c r="U20" s="367">
        <f>X20+AE20</f>
        <v>350</v>
      </c>
      <c r="V20" s="367">
        <f>AA20+AH20</f>
        <v>1605.7729999999999</v>
      </c>
      <c r="W20" s="367">
        <f t="shared" ref="W20:W29" si="30">X20+AA20</f>
        <v>0</v>
      </c>
      <c r="X20" s="392">
        <f>Y20+Z20</f>
        <v>0</v>
      </c>
      <c r="Y20" s="392"/>
      <c r="Z20" s="392"/>
      <c r="AA20" s="518">
        <f>AB20+AC20</f>
        <v>0</v>
      </c>
      <c r="AB20" s="392"/>
      <c r="AC20" s="518"/>
      <c r="AD20" s="518">
        <f>AE20+AH20</f>
        <v>1955.7729999999999</v>
      </c>
      <c r="AE20" s="518">
        <f>AF20+AG20</f>
        <v>350</v>
      </c>
      <c r="AF20" s="292">
        <v>350</v>
      </c>
      <c r="AG20" s="518"/>
      <c r="AH20" s="518">
        <f>AI20+AJ20</f>
        <v>1605.7729999999999</v>
      </c>
      <c r="AI20" s="518">
        <v>1605.7729999999999</v>
      </c>
      <c r="AJ20" s="518">
        <v>0</v>
      </c>
      <c r="AK20" s="519">
        <f t="shared" si="24"/>
        <v>1.1558942080378249</v>
      </c>
      <c r="AL20" s="519"/>
      <c r="AM20" s="519">
        <f t="shared" si="26"/>
        <v>0.94903841607565009</v>
      </c>
      <c r="AN20" s="519"/>
      <c r="AO20" s="519"/>
      <c r="AP20" s="519"/>
      <c r="AQ20" s="519"/>
      <c r="AR20" s="519"/>
      <c r="AS20" s="519"/>
      <c r="AT20" s="519"/>
      <c r="AU20" s="519">
        <f t="shared" si="27"/>
        <v>1.1558942080378249</v>
      </c>
      <c r="AV20" s="519"/>
      <c r="AW20" s="519"/>
      <c r="AX20" s="519"/>
      <c r="AY20" s="519">
        <f t="shared" si="28"/>
        <v>0.94903841607565009</v>
      </c>
      <c r="AZ20" s="519">
        <f t="shared" si="28"/>
        <v>0.94903841607565009</v>
      </c>
      <c r="BA20" s="519"/>
      <c r="BC20" s="270"/>
    </row>
    <row r="21" spans="1:55">
      <c r="A21" s="365">
        <v>2</v>
      </c>
      <c r="B21" s="366" t="s">
        <v>602</v>
      </c>
      <c r="C21" s="515">
        <f t="shared" ref="C21:C29" si="31">D21+E21</f>
        <v>635</v>
      </c>
      <c r="D21" s="392">
        <f t="shared" ref="D21:D29" si="32">G21+N21</f>
        <v>0</v>
      </c>
      <c r="E21" s="392">
        <f t="shared" ref="E21:E29" si="33">J21+Q21</f>
        <v>635</v>
      </c>
      <c r="F21" s="392">
        <f t="shared" ref="F21:F29" si="34">G21+J21</f>
        <v>0</v>
      </c>
      <c r="G21" s="392">
        <f t="shared" ref="G21:G29" si="35">H21+I21</f>
        <v>0</v>
      </c>
      <c r="H21" s="392"/>
      <c r="I21" s="392"/>
      <c r="J21" s="392">
        <f t="shared" ref="J21:J29" si="36">K21+L21</f>
        <v>0</v>
      </c>
      <c r="K21" s="392"/>
      <c r="L21" s="392"/>
      <c r="M21" s="392">
        <f t="shared" ref="M21:M29" si="37">N21+Q21</f>
        <v>635</v>
      </c>
      <c r="N21" s="392">
        <f t="shared" ref="N21:N29" si="38">O21+P21</f>
        <v>0</v>
      </c>
      <c r="O21" s="392"/>
      <c r="P21" s="392"/>
      <c r="Q21" s="392">
        <f t="shared" ref="Q21:Q29" si="39">R21+S21</f>
        <v>635</v>
      </c>
      <c r="R21" s="392">
        <v>635</v>
      </c>
      <c r="S21" s="392"/>
      <c r="T21" s="516">
        <f t="shared" si="29"/>
        <v>801.5</v>
      </c>
      <c r="U21" s="367">
        <f t="shared" ref="U21:U29" si="40">X21+AE21</f>
        <v>213.7</v>
      </c>
      <c r="V21" s="367">
        <f t="shared" ref="V21:V29" si="41">AA21+AH21</f>
        <v>587.79999999999995</v>
      </c>
      <c r="W21" s="367">
        <f t="shared" si="30"/>
        <v>0</v>
      </c>
      <c r="X21" s="392">
        <f t="shared" ref="X21:X29" si="42">Y21+Z21</f>
        <v>0</v>
      </c>
      <c r="Y21" s="392"/>
      <c r="Z21" s="392"/>
      <c r="AA21" s="518">
        <f t="shared" ref="AA21:AA29" si="43">AB21+AC21</f>
        <v>0</v>
      </c>
      <c r="AB21" s="392"/>
      <c r="AC21" s="518"/>
      <c r="AD21" s="518">
        <f t="shared" ref="AD21:AD29" si="44">AE21+AH21</f>
        <v>801.5</v>
      </c>
      <c r="AE21" s="518">
        <f t="shared" ref="AE21:AE29" si="45">AF21+AG21</f>
        <v>213.7</v>
      </c>
      <c r="AF21" s="292">
        <v>213.7</v>
      </c>
      <c r="AG21" s="518"/>
      <c r="AH21" s="518">
        <f t="shared" ref="AH21:AH29" si="46">AI21+AJ21</f>
        <v>587.79999999999995</v>
      </c>
      <c r="AI21" s="518">
        <v>587.79999999999995</v>
      </c>
      <c r="AJ21" s="518">
        <v>0</v>
      </c>
      <c r="AK21" s="519">
        <f t="shared" si="24"/>
        <v>1.2622047244094488</v>
      </c>
      <c r="AL21" s="519"/>
      <c r="AM21" s="519">
        <f t="shared" si="26"/>
        <v>0.92566929133858256</v>
      </c>
      <c r="AN21" s="519"/>
      <c r="AO21" s="519"/>
      <c r="AP21" s="519"/>
      <c r="AQ21" s="519"/>
      <c r="AR21" s="519"/>
      <c r="AS21" s="519"/>
      <c r="AT21" s="519"/>
      <c r="AU21" s="519">
        <f t="shared" si="27"/>
        <v>1.2622047244094488</v>
      </c>
      <c r="AV21" s="519"/>
      <c r="AW21" s="519"/>
      <c r="AX21" s="519"/>
      <c r="AY21" s="519">
        <f t="shared" si="28"/>
        <v>0.92566929133858256</v>
      </c>
      <c r="AZ21" s="519">
        <f t="shared" si="28"/>
        <v>0.92566929133858256</v>
      </c>
      <c r="BA21" s="519"/>
      <c r="BC21" s="270"/>
    </row>
    <row r="22" spans="1:55">
      <c r="A22" s="365">
        <v>3</v>
      </c>
      <c r="B22" s="366" t="s">
        <v>603</v>
      </c>
      <c r="C22" s="515">
        <f t="shared" si="31"/>
        <v>317</v>
      </c>
      <c r="D22" s="392">
        <f t="shared" si="32"/>
        <v>0</v>
      </c>
      <c r="E22" s="392">
        <f t="shared" si="33"/>
        <v>317</v>
      </c>
      <c r="F22" s="392">
        <f t="shared" si="34"/>
        <v>0</v>
      </c>
      <c r="G22" s="392">
        <f t="shared" si="35"/>
        <v>0</v>
      </c>
      <c r="H22" s="392"/>
      <c r="I22" s="392"/>
      <c r="J22" s="392">
        <f t="shared" si="36"/>
        <v>0</v>
      </c>
      <c r="K22" s="392"/>
      <c r="L22" s="392"/>
      <c r="M22" s="392">
        <f t="shared" si="37"/>
        <v>317</v>
      </c>
      <c r="N22" s="392">
        <f t="shared" si="38"/>
        <v>0</v>
      </c>
      <c r="O22" s="392"/>
      <c r="P22" s="392"/>
      <c r="Q22" s="392">
        <f t="shared" si="39"/>
        <v>317</v>
      </c>
      <c r="R22" s="392">
        <v>317</v>
      </c>
      <c r="S22" s="392"/>
      <c r="T22" s="516">
        <f t="shared" si="29"/>
        <v>377.291</v>
      </c>
      <c r="U22" s="367">
        <f t="shared" si="40"/>
        <v>60.291000000000004</v>
      </c>
      <c r="V22" s="367">
        <f t="shared" si="41"/>
        <v>317</v>
      </c>
      <c r="W22" s="367">
        <f t="shared" si="30"/>
        <v>7.5819999999999999</v>
      </c>
      <c r="X22" s="392">
        <f t="shared" si="42"/>
        <v>7.5819999999999999</v>
      </c>
      <c r="Y22" s="392">
        <v>7.5819999999999999</v>
      </c>
      <c r="Z22" s="392"/>
      <c r="AA22" s="518">
        <f t="shared" si="43"/>
        <v>0</v>
      </c>
      <c r="AB22" s="392"/>
      <c r="AC22" s="518"/>
      <c r="AD22" s="518">
        <f t="shared" si="44"/>
        <v>369.709</v>
      </c>
      <c r="AE22" s="518">
        <f t="shared" si="45"/>
        <v>52.709000000000003</v>
      </c>
      <c r="AF22" s="292">
        <v>52.709000000000003</v>
      </c>
      <c r="AG22" s="518"/>
      <c r="AH22" s="518">
        <f t="shared" si="46"/>
        <v>317</v>
      </c>
      <c r="AI22" s="518">
        <v>317</v>
      </c>
      <c r="AJ22" s="518">
        <v>0</v>
      </c>
      <c r="AK22" s="519">
        <f t="shared" si="24"/>
        <v>1.190192429022082</v>
      </c>
      <c r="AL22" s="519"/>
      <c r="AM22" s="519">
        <f t="shared" si="26"/>
        <v>1</v>
      </c>
      <c r="AN22" s="519"/>
      <c r="AO22" s="519"/>
      <c r="AP22" s="519"/>
      <c r="AQ22" s="519"/>
      <c r="AR22" s="519"/>
      <c r="AS22" s="519"/>
      <c r="AT22" s="519"/>
      <c r="AU22" s="519">
        <f t="shared" si="27"/>
        <v>1.1662744479495268</v>
      </c>
      <c r="AV22" s="519"/>
      <c r="AW22" s="519"/>
      <c r="AX22" s="519"/>
      <c r="AY22" s="519">
        <f t="shared" si="28"/>
        <v>1</v>
      </c>
      <c r="AZ22" s="519">
        <f t="shared" si="28"/>
        <v>1</v>
      </c>
      <c r="BA22" s="519"/>
      <c r="BC22" s="270"/>
    </row>
    <row r="23" spans="1:55">
      <c r="A23" s="365">
        <v>4</v>
      </c>
      <c r="B23" s="366" t="s">
        <v>604</v>
      </c>
      <c r="C23" s="515">
        <f t="shared" si="31"/>
        <v>741</v>
      </c>
      <c r="D23" s="392">
        <f t="shared" si="32"/>
        <v>0</v>
      </c>
      <c r="E23" s="392">
        <f t="shared" si="33"/>
        <v>741</v>
      </c>
      <c r="F23" s="392">
        <f t="shared" si="34"/>
        <v>0</v>
      </c>
      <c r="G23" s="392">
        <f t="shared" si="35"/>
        <v>0</v>
      </c>
      <c r="H23" s="392"/>
      <c r="I23" s="392"/>
      <c r="J23" s="392">
        <f t="shared" si="36"/>
        <v>0</v>
      </c>
      <c r="K23" s="392"/>
      <c r="L23" s="392"/>
      <c r="M23" s="392">
        <f t="shared" si="37"/>
        <v>741</v>
      </c>
      <c r="N23" s="392">
        <f t="shared" si="38"/>
        <v>0</v>
      </c>
      <c r="O23" s="392"/>
      <c r="P23" s="392"/>
      <c r="Q23" s="392">
        <f t="shared" si="39"/>
        <v>741</v>
      </c>
      <c r="R23" s="392">
        <v>741</v>
      </c>
      <c r="S23" s="392"/>
      <c r="T23" s="516">
        <f t="shared" si="29"/>
        <v>886.17000000000007</v>
      </c>
      <c r="U23" s="367">
        <f t="shared" si="40"/>
        <v>145.17000000000002</v>
      </c>
      <c r="V23" s="367">
        <f t="shared" si="41"/>
        <v>741</v>
      </c>
      <c r="W23" s="367">
        <f t="shared" si="30"/>
        <v>2.4119999999999999</v>
      </c>
      <c r="X23" s="392">
        <f t="shared" si="42"/>
        <v>2.4119999999999999</v>
      </c>
      <c r="Y23" s="392">
        <v>2.4119999999999999</v>
      </c>
      <c r="Z23" s="392"/>
      <c r="AA23" s="518">
        <f t="shared" si="43"/>
        <v>0</v>
      </c>
      <c r="AB23" s="392"/>
      <c r="AC23" s="518"/>
      <c r="AD23" s="518">
        <f t="shared" si="44"/>
        <v>883.75800000000004</v>
      </c>
      <c r="AE23" s="518">
        <f t="shared" si="45"/>
        <v>142.75800000000001</v>
      </c>
      <c r="AF23" s="292">
        <v>142.75800000000001</v>
      </c>
      <c r="AG23" s="518"/>
      <c r="AH23" s="518">
        <f t="shared" si="46"/>
        <v>741</v>
      </c>
      <c r="AI23" s="518">
        <v>741</v>
      </c>
      <c r="AJ23" s="518"/>
      <c r="AK23" s="519">
        <f t="shared" si="24"/>
        <v>1.1959109311740892</v>
      </c>
      <c r="AL23" s="519"/>
      <c r="AM23" s="519">
        <f t="shared" si="26"/>
        <v>1</v>
      </c>
      <c r="AN23" s="519"/>
      <c r="AO23" s="519"/>
      <c r="AP23" s="519"/>
      <c r="AQ23" s="519"/>
      <c r="AR23" s="519"/>
      <c r="AS23" s="519"/>
      <c r="AT23" s="519"/>
      <c r="AU23" s="519">
        <f t="shared" si="27"/>
        <v>1.1926558704453443</v>
      </c>
      <c r="AV23" s="519"/>
      <c r="AW23" s="519"/>
      <c r="AX23" s="519"/>
      <c r="AY23" s="519">
        <f t="shared" si="28"/>
        <v>1</v>
      </c>
      <c r="AZ23" s="519">
        <f t="shared" si="28"/>
        <v>1</v>
      </c>
      <c r="BA23" s="519"/>
    </row>
    <row r="24" spans="1:55">
      <c r="A24" s="365">
        <v>5</v>
      </c>
      <c r="B24" s="366" t="s">
        <v>609</v>
      </c>
      <c r="C24" s="515">
        <f t="shared" si="31"/>
        <v>0</v>
      </c>
      <c r="D24" s="392">
        <f t="shared" si="32"/>
        <v>0</v>
      </c>
      <c r="E24" s="392">
        <f t="shared" si="33"/>
        <v>0</v>
      </c>
      <c r="F24" s="392">
        <f t="shared" si="34"/>
        <v>0</v>
      </c>
      <c r="G24" s="392">
        <f t="shared" si="35"/>
        <v>0</v>
      </c>
      <c r="H24" s="392"/>
      <c r="I24" s="294"/>
      <c r="J24" s="392">
        <f t="shared" si="36"/>
        <v>0</v>
      </c>
      <c r="K24" s="392"/>
      <c r="L24" s="294"/>
      <c r="M24" s="392">
        <f t="shared" si="37"/>
        <v>0</v>
      </c>
      <c r="N24" s="392">
        <f t="shared" si="38"/>
        <v>0</v>
      </c>
      <c r="O24" s="392"/>
      <c r="P24" s="294"/>
      <c r="Q24" s="392">
        <f t="shared" si="39"/>
        <v>0</v>
      </c>
      <c r="R24" s="392"/>
      <c r="S24" s="294"/>
      <c r="T24" s="516">
        <f t="shared" si="29"/>
        <v>106.40999999999948</v>
      </c>
      <c r="U24" s="367">
        <f t="shared" si="40"/>
        <v>106.40999999999948</v>
      </c>
      <c r="V24" s="367">
        <f t="shared" si="41"/>
        <v>0</v>
      </c>
      <c r="W24" s="367">
        <f t="shared" si="30"/>
        <v>82.559999999999491</v>
      </c>
      <c r="X24" s="392">
        <f t="shared" si="42"/>
        <v>82.559999999999491</v>
      </c>
      <c r="Y24" s="392">
        <v>82.559999999999491</v>
      </c>
      <c r="Z24" s="294"/>
      <c r="AA24" s="518">
        <f t="shared" si="43"/>
        <v>0</v>
      </c>
      <c r="AB24" s="295"/>
      <c r="AC24" s="295"/>
      <c r="AD24" s="518">
        <f t="shared" si="44"/>
        <v>23.85</v>
      </c>
      <c r="AE24" s="518">
        <f t="shared" si="45"/>
        <v>23.85</v>
      </c>
      <c r="AF24" s="292">
        <v>23.85</v>
      </c>
      <c r="AG24" s="295"/>
      <c r="AH24" s="518">
        <f t="shared" si="46"/>
        <v>0</v>
      </c>
      <c r="AI24" s="295"/>
      <c r="AJ24" s="295"/>
      <c r="AK24" s="519"/>
      <c r="AL24" s="519"/>
      <c r="AM24" s="519"/>
      <c r="AN24" s="519"/>
      <c r="AO24" s="519"/>
      <c r="AP24" s="519"/>
      <c r="AQ24" s="519"/>
      <c r="AR24" s="519"/>
      <c r="AS24" s="519"/>
      <c r="AT24" s="519"/>
      <c r="AU24" s="519"/>
      <c r="AV24" s="519"/>
      <c r="AW24" s="519"/>
      <c r="AX24" s="519"/>
      <c r="AY24" s="519"/>
      <c r="AZ24" s="519"/>
      <c r="BA24" s="519"/>
    </row>
    <row r="25" spans="1:55">
      <c r="A25" s="365">
        <v>6</v>
      </c>
      <c r="B25" s="366" t="s">
        <v>605</v>
      </c>
      <c r="C25" s="515">
        <f t="shared" si="31"/>
        <v>212</v>
      </c>
      <c r="D25" s="392">
        <f t="shared" si="32"/>
        <v>0</v>
      </c>
      <c r="E25" s="392">
        <f t="shared" si="33"/>
        <v>212</v>
      </c>
      <c r="F25" s="392">
        <f t="shared" si="34"/>
        <v>0</v>
      </c>
      <c r="G25" s="392">
        <f t="shared" si="35"/>
        <v>0</v>
      </c>
      <c r="H25" s="392"/>
      <c r="I25" s="294"/>
      <c r="J25" s="392">
        <f t="shared" si="36"/>
        <v>0</v>
      </c>
      <c r="K25" s="392"/>
      <c r="L25" s="294"/>
      <c r="M25" s="392">
        <f t="shared" si="37"/>
        <v>212</v>
      </c>
      <c r="N25" s="392">
        <f t="shared" si="38"/>
        <v>0</v>
      </c>
      <c r="O25" s="392"/>
      <c r="P25" s="294"/>
      <c r="Q25" s="392">
        <f t="shared" si="39"/>
        <v>212</v>
      </c>
      <c r="R25" s="392">
        <v>212</v>
      </c>
      <c r="S25" s="294"/>
      <c r="T25" s="516">
        <f t="shared" si="29"/>
        <v>240.64</v>
      </c>
      <c r="U25" s="367">
        <f t="shared" si="40"/>
        <v>28.64</v>
      </c>
      <c r="V25" s="367">
        <f t="shared" si="41"/>
        <v>212</v>
      </c>
      <c r="W25" s="367">
        <f t="shared" si="30"/>
        <v>18.14</v>
      </c>
      <c r="X25" s="392">
        <f t="shared" si="42"/>
        <v>18.14</v>
      </c>
      <c r="Y25" s="392">
        <v>18.14</v>
      </c>
      <c r="Z25" s="294"/>
      <c r="AA25" s="518">
        <f t="shared" si="43"/>
        <v>0</v>
      </c>
      <c r="AB25" s="295"/>
      <c r="AC25" s="295"/>
      <c r="AD25" s="518">
        <f t="shared" si="44"/>
        <v>222.5</v>
      </c>
      <c r="AE25" s="518">
        <f t="shared" si="45"/>
        <v>10.5</v>
      </c>
      <c r="AF25" s="292">
        <v>10.5</v>
      </c>
      <c r="AG25" s="295"/>
      <c r="AH25" s="518">
        <f t="shared" si="46"/>
        <v>212</v>
      </c>
      <c r="AI25" s="295">
        <v>212</v>
      </c>
      <c r="AJ25" s="295"/>
      <c r="AK25" s="519">
        <f t="shared" si="24"/>
        <v>1.1350943396226414</v>
      </c>
      <c r="AL25" s="519"/>
      <c r="AM25" s="519">
        <f t="shared" si="26"/>
        <v>1</v>
      </c>
      <c r="AN25" s="519"/>
      <c r="AO25" s="519"/>
      <c r="AP25" s="519"/>
      <c r="AQ25" s="519"/>
      <c r="AR25" s="519"/>
      <c r="AS25" s="519"/>
      <c r="AT25" s="519"/>
      <c r="AU25" s="519">
        <f t="shared" si="27"/>
        <v>1.0495283018867925</v>
      </c>
      <c r="AV25" s="519"/>
      <c r="AW25" s="519"/>
      <c r="AX25" s="519"/>
      <c r="AY25" s="519">
        <f t="shared" si="28"/>
        <v>1</v>
      </c>
      <c r="AZ25" s="519">
        <f t="shared" si="28"/>
        <v>1</v>
      </c>
      <c r="BA25" s="519"/>
    </row>
    <row r="26" spans="1:55">
      <c r="A26" s="365">
        <v>7</v>
      </c>
      <c r="B26" s="366" t="s">
        <v>606</v>
      </c>
      <c r="C26" s="515">
        <f t="shared" si="31"/>
        <v>317</v>
      </c>
      <c r="D26" s="392">
        <f t="shared" si="32"/>
        <v>0</v>
      </c>
      <c r="E26" s="392">
        <f t="shared" si="33"/>
        <v>317</v>
      </c>
      <c r="F26" s="392">
        <f t="shared" si="34"/>
        <v>0</v>
      </c>
      <c r="G26" s="392">
        <f t="shared" si="35"/>
        <v>0</v>
      </c>
      <c r="H26" s="392"/>
      <c r="I26" s="294"/>
      <c r="J26" s="392">
        <f t="shared" si="36"/>
        <v>0</v>
      </c>
      <c r="K26" s="392"/>
      <c r="L26" s="294"/>
      <c r="M26" s="392">
        <f t="shared" si="37"/>
        <v>317</v>
      </c>
      <c r="N26" s="392">
        <f t="shared" si="38"/>
        <v>0</v>
      </c>
      <c r="O26" s="392"/>
      <c r="P26" s="294"/>
      <c r="Q26" s="392">
        <f t="shared" si="39"/>
        <v>317</v>
      </c>
      <c r="R26" s="392">
        <v>317</v>
      </c>
      <c r="S26" s="294"/>
      <c r="T26" s="516">
        <f t="shared" si="29"/>
        <v>686.29</v>
      </c>
      <c r="U26" s="367">
        <f t="shared" si="40"/>
        <v>370.39299999999997</v>
      </c>
      <c r="V26" s="367">
        <f t="shared" si="41"/>
        <v>315.89699999999999</v>
      </c>
      <c r="W26" s="367">
        <f t="shared" si="30"/>
        <v>19.402000000000001</v>
      </c>
      <c r="X26" s="392">
        <f t="shared" si="42"/>
        <v>19.402000000000001</v>
      </c>
      <c r="Y26" s="392">
        <v>19.402000000000001</v>
      </c>
      <c r="Z26" s="294"/>
      <c r="AA26" s="518">
        <f t="shared" si="43"/>
        <v>0</v>
      </c>
      <c r="AB26" s="295"/>
      <c r="AC26" s="295"/>
      <c r="AD26" s="518">
        <f t="shared" si="44"/>
        <v>666.88799999999992</v>
      </c>
      <c r="AE26" s="518">
        <f t="shared" si="45"/>
        <v>350.99099999999999</v>
      </c>
      <c r="AF26" s="292">
        <v>350.99099999999999</v>
      </c>
      <c r="AG26" s="295"/>
      <c r="AH26" s="518">
        <f t="shared" si="46"/>
        <v>315.89699999999999</v>
      </c>
      <c r="AI26" s="295">
        <v>315.89699999999999</v>
      </c>
      <c r="AJ26" s="295"/>
      <c r="AK26" s="519">
        <f t="shared" si="24"/>
        <v>2.1649526813880127</v>
      </c>
      <c r="AL26" s="519"/>
      <c r="AM26" s="519">
        <f t="shared" si="26"/>
        <v>0.99652050473186116</v>
      </c>
      <c r="AN26" s="519"/>
      <c r="AO26" s="519"/>
      <c r="AP26" s="519"/>
      <c r="AQ26" s="519"/>
      <c r="AR26" s="519"/>
      <c r="AS26" s="519"/>
      <c r="AT26" s="519"/>
      <c r="AU26" s="519">
        <f t="shared" si="27"/>
        <v>2.1037476340694004</v>
      </c>
      <c r="AV26" s="519"/>
      <c r="AW26" s="519"/>
      <c r="AX26" s="519"/>
      <c r="AY26" s="519">
        <f t="shared" si="28"/>
        <v>0.99652050473186116</v>
      </c>
      <c r="AZ26" s="519">
        <f t="shared" si="28"/>
        <v>0.99652050473186116</v>
      </c>
      <c r="BA26" s="519"/>
    </row>
    <row r="27" spans="1:55">
      <c r="A27" s="365">
        <v>8</v>
      </c>
      <c r="B27" s="366" t="s">
        <v>558</v>
      </c>
      <c r="C27" s="515">
        <f t="shared" si="31"/>
        <v>317</v>
      </c>
      <c r="D27" s="392">
        <f t="shared" si="32"/>
        <v>0</v>
      </c>
      <c r="E27" s="392">
        <f t="shared" si="33"/>
        <v>317</v>
      </c>
      <c r="F27" s="392">
        <f t="shared" si="34"/>
        <v>0</v>
      </c>
      <c r="G27" s="392">
        <f t="shared" si="35"/>
        <v>0</v>
      </c>
      <c r="H27" s="392"/>
      <c r="I27" s="294"/>
      <c r="J27" s="392">
        <f t="shared" si="36"/>
        <v>0</v>
      </c>
      <c r="K27" s="392"/>
      <c r="L27" s="294"/>
      <c r="M27" s="392">
        <f t="shared" si="37"/>
        <v>317</v>
      </c>
      <c r="N27" s="392">
        <f t="shared" si="38"/>
        <v>0</v>
      </c>
      <c r="O27" s="392"/>
      <c r="P27" s="294"/>
      <c r="Q27" s="392">
        <f t="shared" si="39"/>
        <v>317</v>
      </c>
      <c r="R27" s="392">
        <v>317</v>
      </c>
      <c r="S27" s="294"/>
      <c r="T27" s="516">
        <f t="shared" si="29"/>
        <v>316.54000000000002</v>
      </c>
      <c r="U27" s="367">
        <f t="shared" si="40"/>
        <v>0</v>
      </c>
      <c r="V27" s="367">
        <f t="shared" si="41"/>
        <v>316.54000000000002</v>
      </c>
      <c r="W27" s="367">
        <f t="shared" si="30"/>
        <v>0</v>
      </c>
      <c r="X27" s="392">
        <f t="shared" si="42"/>
        <v>0</v>
      </c>
      <c r="Y27" s="392"/>
      <c r="Z27" s="294"/>
      <c r="AA27" s="518">
        <f t="shared" si="43"/>
        <v>0</v>
      </c>
      <c r="AB27" s="295"/>
      <c r="AC27" s="295"/>
      <c r="AD27" s="518">
        <f t="shared" si="44"/>
        <v>316.54000000000002</v>
      </c>
      <c r="AE27" s="518">
        <f t="shared" si="45"/>
        <v>0</v>
      </c>
      <c r="AF27" s="292"/>
      <c r="AG27" s="295"/>
      <c r="AH27" s="518">
        <f t="shared" si="46"/>
        <v>316.54000000000002</v>
      </c>
      <c r="AI27" s="295">
        <v>316.54000000000002</v>
      </c>
      <c r="AJ27" s="295"/>
      <c r="AK27" s="519">
        <f t="shared" si="24"/>
        <v>0.99854889589905371</v>
      </c>
      <c r="AL27" s="519"/>
      <c r="AM27" s="519">
        <f t="shared" si="26"/>
        <v>0.99854889589905371</v>
      </c>
      <c r="AN27" s="519"/>
      <c r="AO27" s="519"/>
      <c r="AP27" s="519"/>
      <c r="AQ27" s="519"/>
      <c r="AR27" s="519"/>
      <c r="AS27" s="519"/>
      <c r="AT27" s="519"/>
      <c r="AU27" s="519">
        <f t="shared" si="27"/>
        <v>0.99854889589905371</v>
      </c>
      <c r="AV27" s="519"/>
      <c r="AW27" s="519"/>
      <c r="AX27" s="519"/>
      <c r="AY27" s="519">
        <f t="shared" si="28"/>
        <v>0.99854889589905371</v>
      </c>
      <c r="AZ27" s="519">
        <f t="shared" si="28"/>
        <v>0.99854889589905371</v>
      </c>
      <c r="BA27" s="519"/>
      <c r="BC27" s="270"/>
    </row>
    <row r="28" spans="1:55">
      <c r="A28" s="365">
        <v>9</v>
      </c>
      <c r="B28" s="366" t="s">
        <v>608</v>
      </c>
      <c r="C28" s="515">
        <f t="shared" si="31"/>
        <v>212</v>
      </c>
      <c r="D28" s="392">
        <f t="shared" si="32"/>
        <v>0</v>
      </c>
      <c r="E28" s="392">
        <f t="shared" si="33"/>
        <v>212</v>
      </c>
      <c r="F28" s="392">
        <f t="shared" si="34"/>
        <v>0</v>
      </c>
      <c r="G28" s="392">
        <f t="shared" si="35"/>
        <v>0</v>
      </c>
      <c r="H28" s="392"/>
      <c r="I28" s="294"/>
      <c r="J28" s="392">
        <f t="shared" si="36"/>
        <v>0</v>
      </c>
      <c r="K28" s="392"/>
      <c r="L28" s="294"/>
      <c r="M28" s="392">
        <f t="shared" si="37"/>
        <v>212</v>
      </c>
      <c r="N28" s="392">
        <f t="shared" si="38"/>
        <v>0</v>
      </c>
      <c r="O28" s="392"/>
      <c r="P28" s="294"/>
      <c r="Q28" s="392">
        <f t="shared" si="39"/>
        <v>212</v>
      </c>
      <c r="R28" s="392">
        <v>212</v>
      </c>
      <c r="S28" s="294"/>
      <c r="T28" s="516">
        <f t="shared" si="29"/>
        <v>1367.211</v>
      </c>
      <c r="U28" s="367">
        <f t="shared" si="40"/>
        <v>1160.211</v>
      </c>
      <c r="V28" s="367">
        <f t="shared" si="41"/>
        <v>207</v>
      </c>
      <c r="W28" s="367">
        <f t="shared" si="30"/>
        <v>0</v>
      </c>
      <c r="X28" s="392">
        <f t="shared" si="42"/>
        <v>0</v>
      </c>
      <c r="Y28" s="392"/>
      <c r="Z28" s="294"/>
      <c r="AA28" s="518">
        <f t="shared" si="43"/>
        <v>0</v>
      </c>
      <c r="AB28" s="295"/>
      <c r="AC28" s="295"/>
      <c r="AD28" s="518">
        <f t="shared" si="44"/>
        <v>1367.211</v>
      </c>
      <c r="AE28" s="518">
        <f t="shared" si="45"/>
        <v>1160.211</v>
      </c>
      <c r="AF28" s="292">
        <v>1160.211</v>
      </c>
      <c r="AG28" s="295"/>
      <c r="AH28" s="518">
        <f t="shared" si="46"/>
        <v>207</v>
      </c>
      <c r="AI28" s="295">
        <v>207</v>
      </c>
      <c r="AJ28" s="295"/>
      <c r="AK28" s="519">
        <f>T28/C28</f>
        <v>6.4491084905660374</v>
      </c>
      <c r="AL28" s="519"/>
      <c r="AM28" s="519">
        <f t="shared" si="26"/>
        <v>0.97641509433962259</v>
      </c>
      <c r="AN28" s="519"/>
      <c r="AO28" s="519"/>
      <c r="AP28" s="519"/>
      <c r="AQ28" s="519"/>
      <c r="AR28" s="519"/>
      <c r="AS28" s="519"/>
      <c r="AT28" s="519"/>
      <c r="AU28" s="519">
        <f t="shared" si="27"/>
        <v>6.4491084905660374</v>
      </c>
      <c r="AV28" s="519"/>
      <c r="AW28" s="519"/>
      <c r="AX28" s="519"/>
      <c r="AY28" s="519">
        <f t="shared" si="28"/>
        <v>0.97641509433962259</v>
      </c>
      <c r="AZ28" s="519">
        <f t="shared" si="28"/>
        <v>0.97641509433962259</v>
      </c>
      <c r="BA28" s="519"/>
      <c r="BC28" s="270"/>
    </row>
    <row r="29" spans="1:55">
      <c r="A29" s="365">
        <v>10</v>
      </c>
      <c r="B29" s="366" t="s">
        <v>607</v>
      </c>
      <c r="C29" s="515">
        <f t="shared" si="31"/>
        <v>0</v>
      </c>
      <c r="D29" s="392">
        <f t="shared" si="32"/>
        <v>0</v>
      </c>
      <c r="E29" s="392">
        <f t="shared" si="33"/>
        <v>0</v>
      </c>
      <c r="F29" s="392">
        <f t="shared" si="34"/>
        <v>0</v>
      </c>
      <c r="G29" s="392">
        <f t="shared" si="35"/>
        <v>0</v>
      </c>
      <c r="H29" s="392"/>
      <c r="I29" s="294"/>
      <c r="J29" s="392">
        <f t="shared" si="36"/>
        <v>0</v>
      </c>
      <c r="K29" s="392"/>
      <c r="L29" s="294"/>
      <c r="M29" s="392">
        <f t="shared" si="37"/>
        <v>0</v>
      </c>
      <c r="N29" s="392">
        <f t="shared" si="38"/>
        <v>0</v>
      </c>
      <c r="O29" s="392"/>
      <c r="P29" s="294"/>
      <c r="Q29" s="392">
        <f t="shared" si="39"/>
        <v>0</v>
      </c>
      <c r="R29" s="392"/>
      <c r="S29" s="294"/>
      <c r="T29" s="516">
        <f t="shared" si="29"/>
        <v>0</v>
      </c>
      <c r="U29" s="367">
        <f t="shared" si="40"/>
        <v>0</v>
      </c>
      <c r="V29" s="367">
        <f t="shared" si="41"/>
        <v>0</v>
      </c>
      <c r="W29" s="367">
        <f t="shared" si="30"/>
        <v>0</v>
      </c>
      <c r="X29" s="392">
        <f t="shared" si="42"/>
        <v>0</v>
      </c>
      <c r="Y29" s="392"/>
      <c r="Z29" s="294"/>
      <c r="AA29" s="518">
        <f t="shared" si="43"/>
        <v>0</v>
      </c>
      <c r="AB29" s="295"/>
      <c r="AC29" s="295"/>
      <c r="AD29" s="518">
        <f t="shared" si="44"/>
        <v>0</v>
      </c>
      <c r="AE29" s="518">
        <f t="shared" si="45"/>
        <v>0</v>
      </c>
      <c r="AF29" s="292"/>
      <c r="AG29" s="295"/>
      <c r="AH29" s="367">
        <f t="shared" si="46"/>
        <v>0</v>
      </c>
      <c r="AI29" s="295"/>
      <c r="AJ29" s="295"/>
      <c r="AK29" s="519"/>
      <c r="AL29" s="519"/>
      <c r="AM29" s="519"/>
      <c r="AN29" s="519"/>
      <c r="AO29" s="519"/>
      <c r="AP29" s="519"/>
      <c r="AQ29" s="519"/>
      <c r="AR29" s="519"/>
      <c r="AS29" s="519"/>
      <c r="AT29" s="519"/>
      <c r="AU29" s="519"/>
      <c r="AV29" s="519"/>
      <c r="AW29" s="519"/>
      <c r="AX29" s="519"/>
      <c r="AY29" s="519"/>
      <c r="AZ29" s="519"/>
      <c r="BA29" s="519"/>
    </row>
    <row r="30" spans="1:55" ht="9" customHeight="1">
      <c r="A30" s="493"/>
      <c r="B30" s="300"/>
      <c r="C30" s="521"/>
      <c r="D30" s="522"/>
      <c r="E30" s="522"/>
      <c r="F30" s="522"/>
      <c r="G30" s="522"/>
      <c r="H30" s="522"/>
      <c r="I30" s="522"/>
      <c r="J30" s="522"/>
      <c r="K30" s="522"/>
      <c r="L30" s="522"/>
      <c r="M30" s="522"/>
      <c r="N30" s="522"/>
      <c r="O30" s="522"/>
      <c r="P30" s="522"/>
      <c r="Q30" s="522"/>
      <c r="R30" s="522"/>
      <c r="S30" s="522"/>
      <c r="T30" s="523"/>
      <c r="U30" s="524"/>
      <c r="V30" s="524"/>
      <c r="W30" s="524"/>
      <c r="X30" s="524"/>
      <c r="Y30" s="524"/>
      <c r="Z30" s="524"/>
      <c r="AA30" s="524"/>
      <c r="AB30" s="524"/>
      <c r="AC30" s="524"/>
      <c r="AD30" s="524"/>
      <c r="AE30" s="524"/>
      <c r="AF30" s="524"/>
      <c r="AG30" s="524"/>
      <c r="AH30" s="524"/>
      <c r="AI30" s="524"/>
      <c r="AJ30" s="524"/>
      <c r="AK30" s="525"/>
      <c r="AL30" s="526"/>
      <c r="AM30" s="526"/>
      <c r="AN30" s="526"/>
      <c r="AO30" s="526"/>
      <c r="AP30" s="526"/>
      <c r="AQ30" s="526"/>
      <c r="AR30" s="526"/>
      <c r="AS30" s="526"/>
      <c r="AT30" s="526"/>
      <c r="AU30" s="526"/>
      <c r="AV30" s="526"/>
      <c r="AW30" s="526"/>
      <c r="AX30" s="526"/>
      <c r="AY30" s="526"/>
      <c r="AZ30" s="526"/>
      <c r="BA30" s="526"/>
    </row>
    <row r="32" spans="1:55">
      <c r="B32" s="267" t="s">
        <v>1034</v>
      </c>
    </row>
    <row r="33" spans="1:56" s="266" customFormat="1">
      <c r="A33" s="267"/>
      <c r="B33" s="267"/>
      <c r="C33" s="30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row>
  </sheetData>
  <mergeCells count="46">
    <mergeCell ref="AR9:AT9"/>
    <mergeCell ref="AU9:AU10"/>
    <mergeCell ref="AV9:AX9"/>
    <mergeCell ref="AY9:BA9"/>
    <mergeCell ref="AE9:AG9"/>
    <mergeCell ref="AH9:AJ9"/>
    <mergeCell ref="AL9:AL10"/>
    <mergeCell ref="AM9:AM10"/>
    <mergeCell ref="AN9:AN10"/>
    <mergeCell ref="AO9:AQ9"/>
    <mergeCell ref="J9:L9"/>
    <mergeCell ref="M9:M10"/>
    <mergeCell ref="N9:P9"/>
    <mergeCell ref="Q9:S9"/>
    <mergeCell ref="U9:U10"/>
    <mergeCell ref="W8:AC8"/>
    <mergeCell ref="AD8:AJ8"/>
    <mergeCell ref="AK8:AK10"/>
    <mergeCell ref="AL8:AM8"/>
    <mergeCell ref="U8:V8"/>
    <mergeCell ref="W9:W10"/>
    <mergeCell ref="X9:Z9"/>
    <mergeCell ref="AA9:AC9"/>
    <mergeCell ref="AD9:AD10"/>
    <mergeCell ref="V9:V10"/>
    <mergeCell ref="A1:B1"/>
    <mergeCell ref="Q1:S1"/>
    <mergeCell ref="A3:BA3"/>
    <mergeCell ref="A4:BA4"/>
    <mergeCell ref="AZ6:BA6"/>
    <mergeCell ref="A7:A10"/>
    <mergeCell ref="B7:B10"/>
    <mergeCell ref="C7:S7"/>
    <mergeCell ref="T7:AJ7"/>
    <mergeCell ref="AK7:BA7"/>
    <mergeCell ref="C8:C10"/>
    <mergeCell ref="D8:E8"/>
    <mergeCell ref="F8:L8"/>
    <mergeCell ref="M8:S8"/>
    <mergeCell ref="T8:T10"/>
    <mergeCell ref="D9:D10"/>
    <mergeCell ref="E9:E10"/>
    <mergeCell ref="F9:F10"/>
    <mergeCell ref="G9:I9"/>
    <mergeCell ref="AN8:AT8"/>
    <mergeCell ref="AU8:BA8"/>
  </mergeCells>
  <dataValidations count="1">
    <dataValidation allowBlank="1" showInputMessage="1" showErrorMessage="1" prompt="ct 135" sqref="I19"/>
  </dataValidations>
  <pageMargins left="0" right="0" top="0" bottom="0" header="0.31496062992125984" footer="0.31496062992125984"/>
  <pageSetup paperSize="9" scale="7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9"/>
  <sheetViews>
    <sheetView workbookViewId="0">
      <selection activeCell="G19" sqref="G19"/>
    </sheetView>
  </sheetViews>
  <sheetFormatPr defaultColWidth="7.7109375" defaultRowHeight="18.75"/>
  <cols>
    <col min="1" max="1" width="3.42578125" style="226" customWidth="1"/>
    <col min="2" max="2" width="37.42578125" style="226" customWidth="1"/>
    <col min="3" max="3" width="14.7109375" style="226" customWidth="1"/>
    <col min="4" max="4" width="12.140625" style="226" customWidth="1"/>
    <col min="5" max="5" width="12.85546875" style="226" customWidth="1"/>
    <col min="6" max="6" width="10.7109375" style="226" customWidth="1"/>
    <col min="7" max="7" width="12.5703125" style="226" customWidth="1"/>
    <col min="8" max="8" width="10.7109375" style="226" customWidth="1"/>
    <col min="9" max="9" width="11.28515625" style="226" customWidth="1"/>
    <col min="10" max="11" width="10.7109375" style="226" customWidth="1"/>
    <col min="12" max="12" width="15.140625" style="226" customWidth="1"/>
    <col min="13" max="13" width="7.7109375" style="226"/>
    <col min="14" max="14" width="8.42578125" style="226" bestFit="1" customWidth="1"/>
    <col min="15" max="256" width="7.7109375" style="226"/>
    <col min="257" max="257" width="3.42578125" style="226" customWidth="1"/>
    <col min="258" max="258" width="14.5703125" style="226" customWidth="1"/>
    <col min="259" max="268" width="10.7109375" style="226" customWidth="1"/>
    <col min="269" max="512" width="7.7109375" style="226"/>
    <col min="513" max="513" width="3.42578125" style="226" customWidth="1"/>
    <col min="514" max="514" width="14.5703125" style="226" customWidth="1"/>
    <col min="515" max="524" width="10.7109375" style="226" customWidth="1"/>
    <col min="525" max="768" width="7.7109375" style="226"/>
    <col min="769" max="769" width="3.42578125" style="226" customWidth="1"/>
    <col min="770" max="770" width="14.5703125" style="226" customWidth="1"/>
    <col min="771" max="780" width="10.7109375" style="226" customWidth="1"/>
    <col min="781" max="1024" width="7.7109375" style="226"/>
    <col min="1025" max="1025" width="3.42578125" style="226" customWidth="1"/>
    <col min="1026" max="1026" width="14.5703125" style="226" customWidth="1"/>
    <col min="1027" max="1036" width="10.7109375" style="226" customWidth="1"/>
    <col min="1037" max="1280" width="7.7109375" style="226"/>
    <col min="1281" max="1281" width="3.42578125" style="226" customWidth="1"/>
    <col min="1282" max="1282" width="14.5703125" style="226" customWidth="1"/>
    <col min="1283" max="1292" width="10.7109375" style="226" customWidth="1"/>
    <col min="1293" max="1536" width="7.7109375" style="226"/>
    <col min="1537" max="1537" width="3.42578125" style="226" customWidth="1"/>
    <col min="1538" max="1538" width="14.5703125" style="226" customWidth="1"/>
    <col min="1539" max="1548" width="10.7109375" style="226" customWidth="1"/>
    <col min="1549" max="1792" width="7.7109375" style="226"/>
    <col min="1793" max="1793" width="3.42578125" style="226" customWidth="1"/>
    <col min="1794" max="1794" width="14.5703125" style="226" customWidth="1"/>
    <col min="1795" max="1804" width="10.7109375" style="226" customWidth="1"/>
    <col min="1805" max="2048" width="7.7109375" style="226"/>
    <col min="2049" max="2049" width="3.42578125" style="226" customWidth="1"/>
    <col min="2050" max="2050" width="14.5703125" style="226" customWidth="1"/>
    <col min="2051" max="2060" width="10.7109375" style="226" customWidth="1"/>
    <col min="2061" max="2304" width="7.7109375" style="226"/>
    <col min="2305" max="2305" width="3.42578125" style="226" customWidth="1"/>
    <col min="2306" max="2306" width="14.5703125" style="226" customWidth="1"/>
    <col min="2307" max="2316" width="10.7109375" style="226" customWidth="1"/>
    <col min="2317" max="2560" width="7.7109375" style="226"/>
    <col min="2561" max="2561" width="3.42578125" style="226" customWidth="1"/>
    <col min="2562" max="2562" width="14.5703125" style="226" customWidth="1"/>
    <col min="2563" max="2572" width="10.7109375" style="226" customWidth="1"/>
    <col min="2573" max="2816" width="7.7109375" style="226"/>
    <col min="2817" max="2817" width="3.42578125" style="226" customWidth="1"/>
    <col min="2818" max="2818" width="14.5703125" style="226" customWidth="1"/>
    <col min="2819" max="2828" width="10.7109375" style="226" customWidth="1"/>
    <col min="2829" max="3072" width="7.7109375" style="226"/>
    <col min="3073" max="3073" width="3.42578125" style="226" customWidth="1"/>
    <col min="3074" max="3074" width="14.5703125" style="226" customWidth="1"/>
    <col min="3075" max="3084" width="10.7109375" style="226" customWidth="1"/>
    <col min="3085" max="3328" width="7.7109375" style="226"/>
    <col min="3329" max="3329" width="3.42578125" style="226" customWidth="1"/>
    <col min="3330" max="3330" width="14.5703125" style="226" customWidth="1"/>
    <col min="3331" max="3340" width="10.7109375" style="226" customWidth="1"/>
    <col min="3341" max="3584" width="7.7109375" style="226"/>
    <col min="3585" max="3585" width="3.42578125" style="226" customWidth="1"/>
    <col min="3586" max="3586" width="14.5703125" style="226" customWidth="1"/>
    <col min="3587" max="3596" width="10.7109375" style="226" customWidth="1"/>
    <col min="3597" max="3840" width="7.7109375" style="226"/>
    <col min="3841" max="3841" width="3.42578125" style="226" customWidth="1"/>
    <col min="3842" max="3842" width="14.5703125" style="226" customWidth="1"/>
    <col min="3843" max="3852" width="10.7109375" style="226" customWidth="1"/>
    <col min="3853" max="4096" width="7.7109375" style="226"/>
    <col min="4097" max="4097" width="3.42578125" style="226" customWidth="1"/>
    <col min="4098" max="4098" width="14.5703125" style="226" customWidth="1"/>
    <col min="4099" max="4108" width="10.7109375" style="226" customWidth="1"/>
    <col min="4109" max="4352" width="7.7109375" style="226"/>
    <col min="4353" max="4353" width="3.42578125" style="226" customWidth="1"/>
    <col min="4354" max="4354" width="14.5703125" style="226" customWidth="1"/>
    <col min="4355" max="4364" width="10.7109375" style="226" customWidth="1"/>
    <col min="4365" max="4608" width="7.7109375" style="226"/>
    <col min="4609" max="4609" width="3.42578125" style="226" customWidth="1"/>
    <col min="4610" max="4610" width="14.5703125" style="226" customWidth="1"/>
    <col min="4611" max="4620" width="10.7109375" style="226" customWidth="1"/>
    <col min="4621" max="4864" width="7.7109375" style="226"/>
    <col min="4865" max="4865" width="3.42578125" style="226" customWidth="1"/>
    <col min="4866" max="4866" width="14.5703125" style="226" customWidth="1"/>
    <col min="4867" max="4876" width="10.7109375" style="226" customWidth="1"/>
    <col min="4877" max="5120" width="7.7109375" style="226"/>
    <col min="5121" max="5121" width="3.42578125" style="226" customWidth="1"/>
    <col min="5122" max="5122" width="14.5703125" style="226" customWidth="1"/>
    <col min="5123" max="5132" width="10.7109375" style="226" customWidth="1"/>
    <col min="5133" max="5376" width="7.7109375" style="226"/>
    <col min="5377" max="5377" width="3.42578125" style="226" customWidth="1"/>
    <col min="5378" max="5378" width="14.5703125" style="226" customWidth="1"/>
    <col min="5379" max="5388" width="10.7109375" style="226" customWidth="1"/>
    <col min="5389" max="5632" width="7.7109375" style="226"/>
    <col min="5633" max="5633" width="3.42578125" style="226" customWidth="1"/>
    <col min="5634" max="5634" width="14.5703125" style="226" customWidth="1"/>
    <col min="5635" max="5644" width="10.7109375" style="226" customWidth="1"/>
    <col min="5645" max="5888" width="7.7109375" style="226"/>
    <col min="5889" max="5889" width="3.42578125" style="226" customWidth="1"/>
    <col min="5890" max="5890" width="14.5703125" style="226" customWidth="1"/>
    <col min="5891" max="5900" width="10.7109375" style="226" customWidth="1"/>
    <col min="5901" max="6144" width="7.7109375" style="226"/>
    <col min="6145" max="6145" width="3.42578125" style="226" customWidth="1"/>
    <col min="6146" max="6146" width="14.5703125" style="226" customWidth="1"/>
    <col min="6147" max="6156" width="10.7109375" style="226" customWidth="1"/>
    <col min="6157" max="6400" width="7.7109375" style="226"/>
    <col min="6401" max="6401" width="3.42578125" style="226" customWidth="1"/>
    <col min="6402" max="6402" width="14.5703125" style="226" customWidth="1"/>
    <col min="6403" max="6412" width="10.7109375" style="226" customWidth="1"/>
    <col min="6413" max="6656" width="7.7109375" style="226"/>
    <col min="6657" max="6657" width="3.42578125" style="226" customWidth="1"/>
    <col min="6658" max="6658" width="14.5703125" style="226" customWidth="1"/>
    <col min="6659" max="6668" width="10.7109375" style="226" customWidth="1"/>
    <col min="6669" max="6912" width="7.7109375" style="226"/>
    <col min="6913" max="6913" width="3.42578125" style="226" customWidth="1"/>
    <col min="6914" max="6914" width="14.5703125" style="226" customWidth="1"/>
    <col min="6915" max="6924" width="10.7109375" style="226" customWidth="1"/>
    <col min="6925" max="7168" width="7.7109375" style="226"/>
    <col min="7169" max="7169" width="3.42578125" style="226" customWidth="1"/>
    <col min="7170" max="7170" width="14.5703125" style="226" customWidth="1"/>
    <col min="7171" max="7180" width="10.7109375" style="226" customWidth="1"/>
    <col min="7181" max="7424" width="7.7109375" style="226"/>
    <col min="7425" max="7425" width="3.42578125" style="226" customWidth="1"/>
    <col min="7426" max="7426" width="14.5703125" style="226" customWidth="1"/>
    <col min="7427" max="7436" width="10.7109375" style="226" customWidth="1"/>
    <col min="7437" max="7680" width="7.7109375" style="226"/>
    <col min="7681" max="7681" width="3.42578125" style="226" customWidth="1"/>
    <col min="7682" max="7682" width="14.5703125" style="226" customWidth="1"/>
    <col min="7683" max="7692" width="10.7109375" style="226" customWidth="1"/>
    <col min="7693" max="7936" width="7.7109375" style="226"/>
    <col min="7937" max="7937" width="3.42578125" style="226" customWidth="1"/>
    <col min="7938" max="7938" width="14.5703125" style="226" customWidth="1"/>
    <col min="7939" max="7948" width="10.7109375" style="226" customWidth="1"/>
    <col min="7949" max="8192" width="7.7109375" style="226"/>
    <col min="8193" max="8193" width="3.42578125" style="226" customWidth="1"/>
    <col min="8194" max="8194" width="14.5703125" style="226" customWidth="1"/>
    <col min="8195" max="8204" width="10.7109375" style="226" customWidth="1"/>
    <col min="8205" max="8448" width="7.7109375" style="226"/>
    <col min="8449" max="8449" width="3.42578125" style="226" customWidth="1"/>
    <col min="8450" max="8450" width="14.5703125" style="226" customWidth="1"/>
    <col min="8451" max="8460" width="10.7109375" style="226" customWidth="1"/>
    <col min="8461" max="8704" width="7.7109375" style="226"/>
    <col min="8705" max="8705" width="3.42578125" style="226" customWidth="1"/>
    <col min="8706" max="8706" width="14.5703125" style="226" customWidth="1"/>
    <col min="8707" max="8716" width="10.7109375" style="226" customWidth="1"/>
    <col min="8717" max="8960" width="7.7109375" style="226"/>
    <col min="8961" max="8961" width="3.42578125" style="226" customWidth="1"/>
    <col min="8962" max="8962" width="14.5703125" style="226" customWidth="1"/>
    <col min="8963" max="8972" width="10.7109375" style="226" customWidth="1"/>
    <col min="8973" max="9216" width="7.7109375" style="226"/>
    <col min="9217" max="9217" width="3.42578125" style="226" customWidth="1"/>
    <col min="9218" max="9218" width="14.5703125" style="226" customWidth="1"/>
    <col min="9219" max="9228" width="10.7109375" style="226" customWidth="1"/>
    <col min="9229" max="9472" width="7.7109375" style="226"/>
    <col min="9473" max="9473" width="3.42578125" style="226" customWidth="1"/>
    <col min="9474" max="9474" width="14.5703125" style="226" customWidth="1"/>
    <col min="9475" max="9484" width="10.7109375" style="226" customWidth="1"/>
    <col min="9485" max="9728" width="7.7109375" style="226"/>
    <col min="9729" max="9729" width="3.42578125" style="226" customWidth="1"/>
    <col min="9730" max="9730" width="14.5703125" style="226" customWidth="1"/>
    <col min="9731" max="9740" width="10.7109375" style="226" customWidth="1"/>
    <col min="9741" max="9984" width="7.7109375" style="226"/>
    <col min="9985" max="9985" width="3.42578125" style="226" customWidth="1"/>
    <col min="9986" max="9986" width="14.5703125" style="226" customWidth="1"/>
    <col min="9987" max="9996" width="10.7109375" style="226" customWidth="1"/>
    <col min="9997" max="10240" width="7.7109375" style="226"/>
    <col min="10241" max="10241" width="3.42578125" style="226" customWidth="1"/>
    <col min="10242" max="10242" width="14.5703125" style="226" customWidth="1"/>
    <col min="10243" max="10252" width="10.7109375" style="226" customWidth="1"/>
    <col min="10253" max="10496" width="7.7109375" style="226"/>
    <col min="10497" max="10497" width="3.42578125" style="226" customWidth="1"/>
    <col min="10498" max="10498" width="14.5703125" style="226" customWidth="1"/>
    <col min="10499" max="10508" width="10.7109375" style="226" customWidth="1"/>
    <col min="10509" max="10752" width="7.7109375" style="226"/>
    <col min="10753" max="10753" width="3.42578125" style="226" customWidth="1"/>
    <col min="10754" max="10754" width="14.5703125" style="226" customWidth="1"/>
    <col min="10755" max="10764" width="10.7109375" style="226" customWidth="1"/>
    <col min="10765" max="11008" width="7.7109375" style="226"/>
    <col min="11009" max="11009" width="3.42578125" style="226" customWidth="1"/>
    <col min="11010" max="11010" width="14.5703125" style="226" customWidth="1"/>
    <col min="11011" max="11020" width="10.7109375" style="226" customWidth="1"/>
    <col min="11021" max="11264" width="7.7109375" style="226"/>
    <col min="11265" max="11265" width="3.42578125" style="226" customWidth="1"/>
    <col min="11266" max="11266" width="14.5703125" style="226" customWidth="1"/>
    <col min="11267" max="11276" width="10.7109375" style="226" customWidth="1"/>
    <col min="11277" max="11520" width="7.7109375" style="226"/>
    <col min="11521" max="11521" width="3.42578125" style="226" customWidth="1"/>
    <col min="11522" max="11522" width="14.5703125" style="226" customWidth="1"/>
    <col min="11523" max="11532" width="10.7109375" style="226" customWidth="1"/>
    <col min="11533" max="11776" width="7.7109375" style="226"/>
    <col min="11777" max="11777" width="3.42578125" style="226" customWidth="1"/>
    <col min="11778" max="11778" width="14.5703125" style="226" customWidth="1"/>
    <col min="11779" max="11788" width="10.7109375" style="226" customWidth="1"/>
    <col min="11789" max="12032" width="7.7109375" style="226"/>
    <col min="12033" max="12033" width="3.42578125" style="226" customWidth="1"/>
    <col min="12034" max="12034" width="14.5703125" style="226" customWidth="1"/>
    <col min="12035" max="12044" width="10.7109375" style="226" customWidth="1"/>
    <col min="12045" max="12288" width="7.7109375" style="226"/>
    <col min="12289" max="12289" width="3.42578125" style="226" customWidth="1"/>
    <col min="12290" max="12290" width="14.5703125" style="226" customWidth="1"/>
    <col min="12291" max="12300" width="10.7109375" style="226" customWidth="1"/>
    <col min="12301" max="12544" width="7.7109375" style="226"/>
    <col min="12545" max="12545" width="3.42578125" style="226" customWidth="1"/>
    <col min="12546" max="12546" width="14.5703125" style="226" customWidth="1"/>
    <col min="12547" max="12556" width="10.7109375" style="226" customWidth="1"/>
    <col min="12557" max="12800" width="7.7109375" style="226"/>
    <col min="12801" max="12801" width="3.42578125" style="226" customWidth="1"/>
    <col min="12802" max="12802" width="14.5703125" style="226" customWidth="1"/>
    <col min="12803" max="12812" width="10.7109375" style="226" customWidth="1"/>
    <col min="12813" max="13056" width="7.7109375" style="226"/>
    <col min="13057" max="13057" width="3.42578125" style="226" customWidth="1"/>
    <col min="13058" max="13058" width="14.5703125" style="226" customWidth="1"/>
    <col min="13059" max="13068" width="10.7109375" style="226" customWidth="1"/>
    <col min="13069" max="13312" width="7.7109375" style="226"/>
    <col min="13313" max="13313" width="3.42578125" style="226" customWidth="1"/>
    <col min="13314" max="13314" width="14.5703125" style="226" customWidth="1"/>
    <col min="13315" max="13324" width="10.7109375" style="226" customWidth="1"/>
    <col min="13325" max="13568" width="7.7109375" style="226"/>
    <col min="13569" max="13569" width="3.42578125" style="226" customWidth="1"/>
    <col min="13570" max="13570" width="14.5703125" style="226" customWidth="1"/>
    <col min="13571" max="13580" width="10.7109375" style="226" customWidth="1"/>
    <col min="13581" max="13824" width="7.7109375" style="226"/>
    <col min="13825" max="13825" width="3.42578125" style="226" customWidth="1"/>
    <col min="13826" max="13826" width="14.5703125" style="226" customWidth="1"/>
    <col min="13827" max="13836" width="10.7109375" style="226" customWidth="1"/>
    <col min="13837" max="14080" width="7.7109375" style="226"/>
    <col min="14081" max="14081" width="3.42578125" style="226" customWidth="1"/>
    <col min="14082" max="14082" width="14.5703125" style="226" customWidth="1"/>
    <col min="14083" max="14092" width="10.7109375" style="226" customWidth="1"/>
    <col min="14093" max="14336" width="7.7109375" style="226"/>
    <col min="14337" max="14337" width="3.42578125" style="226" customWidth="1"/>
    <col min="14338" max="14338" width="14.5703125" style="226" customWidth="1"/>
    <col min="14339" max="14348" width="10.7109375" style="226" customWidth="1"/>
    <col min="14349" max="14592" width="7.7109375" style="226"/>
    <col min="14593" max="14593" width="3.42578125" style="226" customWidth="1"/>
    <col min="14594" max="14594" width="14.5703125" style="226" customWidth="1"/>
    <col min="14595" max="14604" width="10.7109375" style="226" customWidth="1"/>
    <col min="14605" max="14848" width="7.7109375" style="226"/>
    <col min="14849" max="14849" width="3.42578125" style="226" customWidth="1"/>
    <col min="14850" max="14850" width="14.5703125" style="226" customWidth="1"/>
    <col min="14851" max="14860" width="10.7109375" style="226" customWidth="1"/>
    <col min="14861" max="15104" width="7.7109375" style="226"/>
    <col min="15105" max="15105" width="3.42578125" style="226" customWidth="1"/>
    <col min="15106" max="15106" width="14.5703125" style="226" customWidth="1"/>
    <col min="15107" max="15116" width="10.7109375" style="226" customWidth="1"/>
    <col min="15117" max="15360" width="7.7109375" style="226"/>
    <col min="15361" max="15361" width="3.42578125" style="226" customWidth="1"/>
    <col min="15362" max="15362" width="14.5703125" style="226" customWidth="1"/>
    <col min="15363" max="15372" width="10.7109375" style="226" customWidth="1"/>
    <col min="15373" max="15616" width="7.7109375" style="226"/>
    <col min="15617" max="15617" width="3.42578125" style="226" customWidth="1"/>
    <col min="15618" max="15618" width="14.5703125" style="226" customWidth="1"/>
    <col min="15619" max="15628" width="10.7109375" style="226" customWidth="1"/>
    <col min="15629" max="15872" width="7.7109375" style="226"/>
    <col min="15873" max="15873" width="3.42578125" style="226" customWidth="1"/>
    <col min="15874" max="15874" width="14.5703125" style="226" customWidth="1"/>
    <col min="15875" max="15884" width="10.7109375" style="226" customWidth="1"/>
    <col min="15885" max="16128" width="7.7109375" style="226"/>
    <col min="16129" max="16129" width="3.42578125" style="226" customWidth="1"/>
    <col min="16130" max="16130" width="14.5703125" style="226" customWidth="1"/>
    <col min="16131" max="16140" width="10.7109375" style="226" customWidth="1"/>
    <col min="16141" max="16384" width="7.7109375" style="226"/>
  </cols>
  <sheetData>
    <row r="1" spans="1:19">
      <c r="L1" s="227" t="s">
        <v>672</v>
      </c>
      <c r="M1" s="228"/>
    </row>
    <row r="2" spans="1:19" s="229" customFormat="1">
      <c r="A2" s="717" t="s">
        <v>673</v>
      </c>
      <c r="B2" s="717"/>
      <c r="C2" s="717"/>
      <c r="D2" s="717"/>
      <c r="E2" s="717"/>
      <c r="F2" s="717"/>
      <c r="G2" s="717"/>
      <c r="H2" s="717"/>
      <c r="I2" s="717"/>
      <c r="J2" s="717"/>
      <c r="K2" s="717"/>
      <c r="L2" s="717"/>
    </row>
    <row r="3" spans="1:19" s="229" customFormat="1">
      <c r="A3" s="717" t="s">
        <v>957</v>
      </c>
      <c r="B3" s="717"/>
      <c r="C3" s="717"/>
      <c r="D3" s="717"/>
      <c r="E3" s="717"/>
      <c r="F3" s="717"/>
      <c r="G3" s="717"/>
      <c r="H3" s="717"/>
      <c r="I3" s="717"/>
      <c r="J3" s="717"/>
      <c r="K3" s="717"/>
      <c r="L3" s="717"/>
    </row>
    <row r="4" spans="1:19" s="229" customFormat="1">
      <c r="A4" s="718" t="s">
        <v>953</v>
      </c>
      <c r="B4" s="718"/>
      <c r="C4" s="718"/>
      <c r="D4" s="718"/>
      <c r="E4" s="718"/>
      <c r="F4" s="718"/>
      <c r="G4" s="718"/>
      <c r="H4" s="718"/>
      <c r="I4" s="718"/>
      <c r="J4" s="718"/>
      <c r="K4" s="718"/>
      <c r="L4" s="718"/>
    </row>
    <row r="5" spans="1:19" s="229" customFormat="1">
      <c r="A5" s="719"/>
      <c r="B5" s="719"/>
      <c r="C5" s="719"/>
      <c r="D5" s="230"/>
      <c r="E5" s="230"/>
      <c r="F5" s="230"/>
      <c r="G5" s="230"/>
      <c r="H5" s="230"/>
    </row>
    <row r="6" spans="1:19">
      <c r="L6" s="157" t="s">
        <v>62</v>
      </c>
      <c r="M6" s="158"/>
      <c r="N6" s="158"/>
      <c r="O6" s="158"/>
    </row>
    <row r="7" spans="1:19" s="256" customFormat="1">
      <c r="A7" s="716" t="s">
        <v>16</v>
      </c>
      <c r="B7" s="720" t="s">
        <v>674</v>
      </c>
      <c r="C7" s="716" t="s">
        <v>684</v>
      </c>
      <c r="D7" s="716" t="s">
        <v>958</v>
      </c>
      <c r="E7" s="716"/>
      <c r="F7" s="716"/>
      <c r="G7" s="716"/>
      <c r="H7" s="716" t="s">
        <v>959</v>
      </c>
      <c r="I7" s="716"/>
      <c r="J7" s="716"/>
      <c r="K7" s="716"/>
      <c r="L7" s="716" t="s">
        <v>960</v>
      </c>
      <c r="O7" s="229"/>
      <c r="P7" s="229"/>
      <c r="Q7" s="229"/>
      <c r="R7" s="229"/>
      <c r="S7" s="229"/>
    </row>
    <row r="8" spans="1:19" s="256" customFormat="1" ht="36.75" customHeight="1">
      <c r="A8" s="716"/>
      <c r="B8" s="720"/>
      <c r="C8" s="716"/>
      <c r="D8" s="716" t="s">
        <v>675</v>
      </c>
      <c r="E8" s="716"/>
      <c r="F8" s="716" t="s">
        <v>676</v>
      </c>
      <c r="G8" s="716" t="s">
        <v>677</v>
      </c>
      <c r="H8" s="716" t="s">
        <v>675</v>
      </c>
      <c r="I8" s="716"/>
      <c r="J8" s="716" t="s">
        <v>676</v>
      </c>
      <c r="K8" s="716" t="s">
        <v>677</v>
      </c>
      <c r="L8" s="716"/>
      <c r="O8" s="158"/>
      <c r="P8" s="226"/>
      <c r="Q8" s="226"/>
      <c r="R8" s="226"/>
      <c r="S8" s="226"/>
    </row>
    <row r="9" spans="1:19" s="256" customFormat="1">
      <c r="A9" s="716"/>
      <c r="B9" s="720"/>
      <c r="C9" s="716"/>
      <c r="D9" s="716" t="s">
        <v>155</v>
      </c>
      <c r="E9" s="716" t="s">
        <v>934</v>
      </c>
      <c r="F9" s="716"/>
      <c r="G9" s="716"/>
      <c r="H9" s="716" t="s">
        <v>155</v>
      </c>
      <c r="I9" s="716" t="s">
        <v>934</v>
      </c>
      <c r="J9" s="716"/>
      <c r="K9" s="716"/>
      <c r="L9" s="716"/>
      <c r="O9" s="229"/>
      <c r="P9" s="229"/>
      <c r="Q9" s="229"/>
      <c r="R9" s="229"/>
      <c r="S9" s="229"/>
    </row>
    <row r="10" spans="1:19" s="230" customFormat="1" ht="42.75" customHeight="1">
      <c r="A10" s="716"/>
      <c r="B10" s="720"/>
      <c r="C10" s="716"/>
      <c r="D10" s="716"/>
      <c r="E10" s="716"/>
      <c r="F10" s="716"/>
      <c r="G10" s="716"/>
      <c r="H10" s="716"/>
      <c r="I10" s="716"/>
      <c r="J10" s="716"/>
      <c r="K10" s="716"/>
      <c r="L10" s="716"/>
    </row>
    <row r="11" spans="1:19" s="231" customFormat="1" ht="12.75">
      <c r="A11" s="255" t="s">
        <v>23</v>
      </c>
      <c r="B11" s="255" t="s">
        <v>24</v>
      </c>
      <c r="C11" s="255">
        <v>1</v>
      </c>
      <c r="D11" s="255">
        <f>C11+1</f>
        <v>2</v>
      </c>
      <c r="E11" s="255">
        <f>D11+1</f>
        <v>3</v>
      </c>
      <c r="F11" s="255">
        <f>E11+1</f>
        <v>4</v>
      </c>
      <c r="G11" s="255" t="s">
        <v>678</v>
      </c>
      <c r="H11" s="255">
        <v>6</v>
      </c>
      <c r="I11" s="255">
        <f>H11+1</f>
        <v>7</v>
      </c>
      <c r="J11" s="255">
        <f>I11+1</f>
        <v>8</v>
      </c>
      <c r="K11" s="255" t="s">
        <v>679</v>
      </c>
      <c r="L11" s="255" t="s">
        <v>680</v>
      </c>
    </row>
    <row r="12" spans="1:19" s="231" customFormat="1" ht="12.75">
      <c r="A12" s="232"/>
      <c r="B12" s="233" t="s">
        <v>854</v>
      </c>
      <c r="C12" s="234">
        <f>SUM(C13:C29)</f>
        <v>545830.78443399991</v>
      </c>
      <c r="D12" s="234">
        <f t="shared" ref="D12:L12" si="0">SUM(D13:D29)</f>
        <v>298634</v>
      </c>
      <c r="E12" s="234">
        <f t="shared" si="0"/>
        <v>28270</v>
      </c>
      <c r="F12" s="234">
        <f t="shared" si="0"/>
        <v>281874</v>
      </c>
      <c r="G12" s="234">
        <f t="shared" si="0"/>
        <v>16760</v>
      </c>
      <c r="H12" s="234">
        <f t="shared" si="0"/>
        <v>555813.81658300001</v>
      </c>
      <c r="I12" s="234">
        <f t="shared" si="0"/>
        <v>151018</v>
      </c>
      <c r="J12" s="234">
        <f t="shared" si="0"/>
        <v>578898.100951</v>
      </c>
      <c r="K12" s="234">
        <f t="shared" si="0"/>
        <v>-23084.284368000001</v>
      </c>
      <c r="L12" s="234">
        <f t="shared" si="0"/>
        <v>522746.50006599998</v>
      </c>
      <c r="N12" s="235"/>
    </row>
    <row r="13" spans="1:19" s="228" customFormat="1" ht="15.75">
      <c r="A13" s="257">
        <v>1</v>
      </c>
      <c r="B13" s="258" t="s">
        <v>831</v>
      </c>
      <c r="C13" s="259">
        <v>165969</v>
      </c>
      <c r="D13" s="259">
        <v>20736</v>
      </c>
      <c r="E13" s="259">
        <v>10000</v>
      </c>
      <c r="F13" s="259">
        <v>13052</v>
      </c>
      <c r="G13" s="259">
        <f>D13-F13</f>
        <v>7684</v>
      </c>
      <c r="H13" s="259">
        <v>37480</v>
      </c>
      <c r="I13" s="259"/>
      <c r="J13" s="259">
        <v>17446</v>
      </c>
      <c r="K13" s="259">
        <f>H13-J13</f>
        <v>20034</v>
      </c>
      <c r="L13" s="259">
        <f>C13+H13-J13</f>
        <v>186003</v>
      </c>
      <c r="N13" s="236"/>
      <c r="O13" s="236"/>
    </row>
    <row r="14" spans="1:19" s="228" customFormat="1" ht="15.75">
      <c r="A14" s="257">
        <v>2</v>
      </c>
      <c r="B14" s="258" t="s">
        <v>768</v>
      </c>
      <c r="C14" s="259">
        <v>170534</v>
      </c>
      <c r="D14" s="259">
        <v>7548</v>
      </c>
      <c r="E14" s="259"/>
      <c r="F14" s="259">
        <v>33</v>
      </c>
      <c r="G14" s="259">
        <f t="shared" ref="G14:G29" si="1">D14-F14</f>
        <v>7515</v>
      </c>
      <c r="H14" s="259">
        <v>135831</v>
      </c>
      <c r="I14" s="259">
        <v>135446</v>
      </c>
      <c r="J14" s="259">
        <v>258912</v>
      </c>
      <c r="K14" s="259">
        <f t="shared" ref="K14:K29" si="2">H14-J14</f>
        <v>-123081</v>
      </c>
      <c r="L14" s="259">
        <f t="shared" ref="L14:L29" si="3">C14+H14-J14</f>
        <v>47453</v>
      </c>
      <c r="N14" s="236"/>
      <c r="O14" s="236"/>
    </row>
    <row r="15" spans="1:19" s="228" customFormat="1" ht="15.75">
      <c r="A15" s="257">
        <v>3</v>
      </c>
      <c r="B15" s="260" t="s">
        <v>832</v>
      </c>
      <c r="C15" s="259">
        <v>169174</v>
      </c>
      <c r="D15" s="259">
        <v>240000</v>
      </c>
      <c r="E15" s="259"/>
      <c r="F15" s="259">
        <v>243023</v>
      </c>
      <c r="G15" s="259">
        <f t="shared" si="1"/>
        <v>-3023</v>
      </c>
      <c r="H15" s="259">
        <v>335103</v>
      </c>
      <c r="I15" s="259"/>
      <c r="J15" s="259">
        <v>260492</v>
      </c>
      <c r="K15" s="259">
        <f t="shared" si="2"/>
        <v>74611</v>
      </c>
      <c r="L15" s="259">
        <f t="shared" si="3"/>
        <v>243785</v>
      </c>
      <c r="N15" s="236"/>
      <c r="O15" s="236"/>
    </row>
    <row r="16" spans="1:19" s="237" customFormat="1">
      <c r="A16" s="257">
        <v>4</v>
      </c>
      <c r="B16" s="258" t="s">
        <v>833</v>
      </c>
      <c r="C16" s="259">
        <v>597</v>
      </c>
      <c r="D16" s="259">
        <v>1000</v>
      </c>
      <c r="E16" s="259"/>
      <c r="F16" s="259">
        <v>1000</v>
      </c>
      <c r="G16" s="259">
        <f t="shared" si="1"/>
        <v>0</v>
      </c>
      <c r="H16" s="259">
        <v>3744</v>
      </c>
      <c r="I16" s="259"/>
      <c r="J16" s="259">
        <v>1124</v>
      </c>
      <c r="K16" s="259">
        <f t="shared" si="2"/>
        <v>2620</v>
      </c>
      <c r="L16" s="259">
        <f t="shared" si="3"/>
        <v>3217</v>
      </c>
      <c r="N16" s="236"/>
      <c r="O16" s="236"/>
    </row>
    <row r="17" spans="1:15" s="237" customFormat="1">
      <c r="A17" s="257">
        <v>5</v>
      </c>
      <c r="B17" s="258" t="s">
        <v>834</v>
      </c>
      <c r="C17" s="259">
        <v>10981</v>
      </c>
      <c r="D17" s="259">
        <v>200</v>
      </c>
      <c r="E17" s="259"/>
      <c r="F17" s="259">
        <v>200</v>
      </c>
      <c r="G17" s="259">
        <f t="shared" si="1"/>
        <v>0</v>
      </c>
      <c r="H17" s="259">
        <v>17500</v>
      </c>
      <c r="I17" s="259"/>
      <c r="J17" s="259">
        <v>12028</v>
      </c>
      <c r="K17" s="259">
        <f t="shared" si="2"/>
        <v>5472</v>
      </c>
      <c r="L17" s="259">
        <f t="shared" si="3"/>
        <v>16453</v>
      </c>
      <c r="N17" s="236"/>
      <c r="O17" s="236"/>
    </row>
    <row r="18" spans="1:15" s="237" customFormat="1">
      <c r="A18" s="257">
        <v>6</v>
      </c>
      <c r="B18" s="260" t="s">
        <v>835</v>
      </c>
      <c r="C18" s="259">
        <v>255</v>
      </c>
      <c r="D18" s="259">
        <v>601</v>
      </c>
      <c r="E18" s="259"/>
      <c r="F18" s="259">
        <v>510</v>
      </c>
      <c r="G18" s="259">
        <f t="shared" si="1"/>
        <v>91</v>
      </c>
      <c r="H18" s="259">
        <v>500</v>
      </c>
      <c r="I18" s="259"/>
      <c r="J18" s="259">
        <v>370</v>
      </c>
      <c r="K18" s="259">
        <f t="shared" si="2"/>
        <v>130</v>
      </c>
      <c r="L18" s="259">
        <f t="shared" si="3"/>
        <v>385</v>
      </c>
      <c r="N18" s="236"/>
      <c r="O18" s="236"/>
    </row>
    <row r="19" spans="1:15" s="237" customFormat="1">
      <c r="A19" s="257">
        <v>7</v>
      </c>
      <c r="B19" s="260" t="s">
        <v>836</v>
      </c>
      <c r="C19" s="259">
        <v>316</v>
      </c>
      <c r="D19" s="259">
        <v>600</v>
      </c>
      <c r="E19" s="259"/>
      <c r="F19" s="259">
        <v>596</v>
      </c>
      <c r="G19" s="259">
        <f t="shared" si="1"/>
        <v>4</v>
      </c>
      <c r="H19" s="259">
        <v>507</v>
      </c>
      <c r="I19" s="259"/>
      <c r="J19" s="259">
        <v>609</v>
      </c>
      <c r="K19" s="259">
        <f t="shared" si="2"/>
        <v>-102</v>
      </c>
      <c r="L19" s="259">
        <f t="shared" si="3"/>
        <v>214</v>
      </c>
      <c r="N19" s="236"/>
      <c r="O19" s="236"/>
    </row>
    <row r="20" spans="1:15" s="237" customFormat="1">
      <c r="A20" s="257">
        <v>8</v>
      </c>
      <c r="B20" s="260" t="s">
        <v>828</v>
      </c>
      <c r="C20" s="259">
        <v>5069.6845270000003</v>
      </c>
      <c r="D20" s="259">
        <v>14270</v>
      </c>
      <c r="E20" s="259">
        <v>14270</v>
      </c>
      <c r="F20" s="259">
        <v>15198</v>
      </c>
      <c r="G20" s="259">
        <f t="shared" si="1"/>
        <v>-928</v>
      </c>
      <c r="H20" s="259">
        <v>14072</v>
      </c>
      <c r="I20" s="259">
        <v>14072</v>
      </c>
      <c r="J20" s="259">
        <v>9548.518951</v>
      </c>
      <c r="K20" s="259">
        <f t="shared" si="2"/>
        <v>4523.481049</v>
      </c>
      <c r="L20" s="259">
        <f t="shared" si="3"/>
        <v>9593.1655760000012</v>
      </c>
      <c r="M20" s="238"/>
      <c r="N20" s="239"/>
      <c r="O20" s="239"/>
    </row>
    <row r="21" spans="1:15" s="237" customFormat="1">
      <c r="A21" s="257">
        <v>9</v>
      </c>
      <c r="B21" s="258" t="s">
        <v>837</v>
      </c>
      <c r="C21" s="259">
        <v>560.10000000000014</v>
      </c>
      <c r="D21" s="259"/>
      <c r="E21" s="259"/>
      <c r="F21" s="259">
        <v>0</v>
      </c>
      <c r="G21" s="259">
        <f t="shared" si="1"/>
        <v>0</v>
      </c>
      <c r="H21" s="259">
        <v>380.7</v>
      </c>
      <c r="I21" s="259"/>
      <c r="J21" s="259">
        <v>424.3</v>
      </c>
      <c r="K21" s="259">
        <f t="shared" si="2"/>
        <v>-43.600000000000023</v>
      </c>
      <c r="L21" s="259">
        <f t="shared" si="3"/>
        <v>516.50000000000023</v>
      </c>
      <c r="N21" s="236"/>
      <c r="O21" s="236"/>
    </row>
    <row r="22" spans="1:15" s="237" customFormat="1">
      <c r="A22" s="257">
        <v>10</v>
      </c>
      <c r="B22" s="260" t="s">
        <v>838</v>
      </c>
      <c r="C22" s="259">
        <v>14955.007294999999</v>
      </c>
      <c r="D22" s="259">
        <v>2390</v>
      </c>
      <c r="E22" s="259"/>
      <c r="F22" s="259">
        <v>0</v>
      </c>
      <c r="G22" s="259">
        <f t="shared" si="1"/>
        <v>2390</v>
      </c>
      <c r="H22" s="259">
        <v>6539.8687499999996</v>
      </c>
      <c r="I22" s="259"/>
      <c r="J22" s="259">
        <v>14298</v>
      </c>
      <c r="K22" s="259">
        <f t="shared" si="2"/>
        <v>-7758.1312500000004</v>
      </c>
      <c r="L22" s="259">
        <f t="shared" si="3"/>
        <v>7196.8760449999972</v>
      </c>
      <c r="N22" s="236"/>
      <c r="O22" s="236"/>
    </row>
    <row r="23" spans="1:15" s="237" customFormat="1">
      <c r="A23" s="257">
        <v>11</v>
      </c>
      <c r="B23" s="258" t="s">
        <v>839</v>
      </c>
      <c r="C23" s="259">
        <v>529.61390300000005</v>
      </c>
      <c r="D23" s="259">
        <v>100</v>
      </c>
      <c r="E23" s="259"/>
      <c r="F23" s="259">
        <v>420</v>
      </c>
      <c r="G23" s="259">
        <f t="shared" si="1"/>
        <v>-320</v>
      </c>
      <c r="H23" s="259">
        <v>116.932</v>
      </c>
      <c r="I23" s="259"/>
      <c r="J23" s="259">
        <v>149.84399999999999</v>
      </c>
      <c r="K23" s="259">
        <f t="shared" si="2"/>
        <v>-32.911999999999992</v>
      </c>
      <c r="L23" s="259">
        <f t="shared" si="3"/>
        <v>496.70190300000007</v>
      </c>
      <c r="N23" s="236"/>
      <c r="O23" s="236"/>
    </row>
    <row r="24" spans="1:15" s="237" customFormat="1">
      <c r="A24" s="257">
        <v>12</v>
      </c>
      <c r="B24" s="260" t="s">
        <v>840</v>
      </c>
      <c r="C24" s="259">
        <v>8.0179259999999992</v>
      </c>
      <c r="D24" s="259">
        <v>70</v>
      </c>
      <c r="E24" s="259"/>
      <c r="F24" s="259">
        <v>51</v>
      </c>
      <c r="G24" s="259">
        <f t="shared" si="1"/>
        <v>19</v>
      </c>
      <c r="H24" s="259">
        <v>325.10112600000002</v>
      </c>
      <c r="I24" s="259"/>
      <c r="J24" s="259">
        <v>318.517</v>
      </c>
      <c r="K24" s="259">
        <f t="shared" si="2"/>
        <v>6.5841260000000261</v>
      </c>
      <c r="L24" s="259">
        <f t="shared" si="3"/>
        <v>14.602052000000015</v>
      </c>
      <c r="N24" s="236"/>
      <c r="O24" s="236"/>
    </row>
    <row r="25" spans="1:15">
      <c r="A25" s="257">
        <v>13</v>
      </c>
      <c r="B25" s="260" t="s">
        <v>841</v>
      </c>
      <c r="C25" s="261">
        <v>185.895431</v>
      </c>
      <c r="D25" s="261"/>
      <c r="E25" s="259"/>
      <c r="F25" s="261">
        <v>0</v>
      </c>
      <c r="G25" s="259">
        <f t="shared" si="1"/>
        <v>0</v>
      </c>
      <c r="H25" s="261"/>
      <c r="I25" s="261"/>
      <c r="J25" s="261"/>
      <c r="K25" s="259">
        <f t="shared" si="2"/>
        <v>0</v>
      </c>
      <c r="L25" s="259">
        <f t="shared" si="3"/>
        <v>185.895431</v>
      </c>
      <c r="N25" s="236"/>
      <c r="O25" s="236"/>
    </row>
    <row r="26" spans="1:15">
      <c r="A26" s="257">
        <v>14</v>
      </c>
      <c r="B26" s="258" t="s">
        <v>842</v>
      </c>
      <c r="C26" s="261">
        <v>1277.4653519999999</v>
      </c>
      <c r="D26" s="261">
        <v>219</v>
      </c>
      <c r="E26" s="259"/>
      <c r="F26" s="261">
        <v>121</v>
      </c>
      <c r="G26" s="259">
        <f t="shared" si="1"/>
        <v>98</v>
      </c>
      <c r="H26" s="261">
        <v>84.214707000000004</v>
      </c>
      <c r="I26" s="261"/>
      <c r="J26" s="261">
        <v>0.92100000000000004</v>
      </c>
      <c r="K26" s="259">
        <f t="shared" si="2"/>
        <v>83.293706999999998</v>
      </c>
      <c r="L26" s="259">
        <f t="shared" si="3"/>
        <v>1360.759059</v>
      </c>
      <c r="N26" s="236"/>
      <c r="O26" s="236"/>
    </row>
    <row r="27" spans="1:15">
      <c r="A27" s="257">
        <v>15</v>
      </c>
      <c r="B27" s="258" t="s">
        <v>843</v>
      </c>
      <c r="C27" s="261">
        <v>0</v>
      </c>
      <c r="D27" s="261">
        <v>9000</v>
      </c>
      <c r="E27" s="261">
        <v>3000</v>
      </c>
      <c r="F27" s="261">
        <v>6000</v>
      </c>
      <c r="G27" s="259">
        <f t="shared" si="1"/>
        <v>3000</v>
      </c>
      <c r="H27" s="261">
        <v>1000</v>
      </c>
      <c r="I27" s="261">
        <v>1000</v>
      </c>
      <c r="J27" s="261">
        <v>1000</v>
      </c>
      <c r="K27" s="259">
        <f t="shared" si="2"/>
        <v>0</v>
      </c>
      <c r="L27" s="259">
        <f t="shared" si="3"/>
        <v>0</v>
      </c>
      <c r="N27" s="236"/>
      <c r="O27" s="236"/>
    </row>
    <row r="28" spans="1:15">
      <c r="A28" s="257">
        <v>16</v>
      </c>
      <c r="B28" s="260" t="s">
        <v>844</v>
      </c>
      <c r="C28" s="261">
        <v>2439</v>
      </c>
      <c r="D28" s="261">
        <v>400</v>
      </c>
      <c r="E28" s="261"/>
      <c r="F28" s="261">
        <v>170</v>
      </c>
      <c r="G28" s="259">
        <f t="shared" si="1"/>
        <v>230</v>
      </c>
      <c r="H28" s="261">
        <v>2630</v>
      </c>
      <c r="I28" s="261"/>
      <c r="J28" s="261">
        <v>2177</v>
      </c>
      <c r="K28" s="259">
        <f t="shared" si="2"/>
        <v>453</v>
      </c>
      <c r="L28" s="259">
        <f t="shared" si="3"/>
        <v>2892</v>
      </c>
      <c r="N28" s="236"/>
      <c r="O28" s="236"/>
    </row>
    <row r="29" spans="1:15">
      <c r="A29" s="262">
        <v>17</v>
      </c>
      <c r="B29" s="263" t="s">
        <v>845</v>
      </c>
      <c r="C29" s="264">
        <v>2980</v>
      </c>
      <c r="D29" s="264">
        <v>1500</v>
      </c>
      <c r="E29" s="264">
        <v>1000</v>
      </c>
      <c r="F29" s="264">
        <v>1500</v>
      </c>
      <c r="G29" s="265">
        <f t="shared" si="1"/>
        <v>0</v>
      </c>
      <c r="H29" s="264"/>
      <c r="I29" s="264">
        <v>500</v>
      </c>
      <c r="J29" s="264"/>
      <c r="K29" s="265">
        <f t="shared" si="2"/>
        <v>0</v>
      </c>
      <c r="L29" s="265">
        <f t="shared" si="3"/>
        <v>2980</v>
      </c>
      <c r="N29" s="236"/>
      <c r="O29" s="236"/>
    </row>
  </sheetData>
  <mergeCells count="20">
    <mergeCell ref="E9:E10"/>
    <mergeCell ref="H9:H10"/>
    <mergeCell ref="I9:I10"/>
    <mergeCell ref="D8:E8"/>
    <mergeCell ref="F8:F10"/>
    <mergeCell ref="G8:G10"/>
    <mergeCell ref="H8:I8"/>
    <mergeCell ref="J8:J10"/>
    <mergeCell ref="A2:L2"/>
    <mergeCell ref="A3:L3"/>
    <mergeCell ref="A4:L4"/>
    <mergeCell ref="A5:C5"/>
    <mergeCell ref="A7:A10"/>
    <mergeCell ref="B7:B10"/>
    <mergeCell ref="C7:C10"/>
    <mergeCell ref="D7:G7"/>
    <mergeCell ref="H7:K7"/>
    <mergeCell ref="L7:L10"/>
    <mergeCell ref="K8:K10"/>
    <mergeCell ref="D9:D10"/>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showZeros="0" topLeftCell="A5" workbookViewId="0">
      <selection activeCell="D68" sqref="D68"/>
    </sheetView>
  </sheetViews>
  <sheetFormatPr defaultColWidth="9.28515625" defaultRowHeight="15.75" outlineLevelRow="1"/>
  <cols>
    <col min="1" max="1" width="5.28515625" style="5" customWidth="1"/>
    <col min="2" max="2" width="36.5703125" style="5" customWidth="1"/>
    <col min="3" max="3" width="15.5703125" style="5" customWidth="1"/>
    <col min="4" max="4" width="14.28515625" style="5" customWidth="1"/>
    <col min="5" max="5" width="13.5703125" style="5" customWidth="1"/>
    <col min="6" max="6" width="9.28515625" style="5" customWidth="1"/>
    <col min="7" max="16384" width="9.28515625" style="5"/>
  </cols>
  <sheetData>
    <row r="1" spans="1:6">
      <c r="A1" s="722" t="s">
        <v>664</v>
      </c>
      <c r="B1" s="722"/>
      <c r="C1" s="722"/>
      <c r="D1" s="722"/>
      <c r="E1" s="722"/>
    </row>
    <row r="2" spans="1:6">
      <c r="A2" s="723" t="s">
        <v>961</v>
      </c>
      <c r="B2" s="723"/>
      <c r="C2" s="723"/>
      <c r="D2" s="723"/>
      <c r="E2" s="723"/>
    </row>
    <row r="3" spans="1:6">
      <c r="A3" s="723" t="s">
        <v>665</v>
      </c>
      <c r="B3" s="723"/>
      <c r="C3" s="723"/>
      <c r="D3" s="723"/>
      <c r="E3" s="723"/>
    </row>
    <row r="4" spans="1:6" ht="33.75" customHeight="1">
      <c r="A4" s="724" t="s">
        <v>953</v>
      </c>
      <c r="B4" s="724"/>
      <c r="C4" s="724"/>
      <c r="D4" s="724"/>
      <c r="E4" s="724"/>
    </row>
    <row r="5" spans="1:6">
      <c r="A5" s="725"/>
      <c r="B5" s="725"/>
      <c r="C5" s="725"/>
      <c r="D5" s="725"/>
      <c r="E5" s="209"/>
    </row>
    <row r="6" spans="1:6" ht="18.75">
      <c r="B6" s="538"/>
      <c r="D6" s="213"/>
      <c r="E6" s="126" t="s">
        <v>62</v>
      </c>
    </row>
    <row r="7" spans="1:6" ht="25.5">
      <c r="A7" s="549" t="s">
        <v>16</v>
      </c>
      <c r="B7" s="549" t="s">
        <v>63</v>
      </c>
      <c r="C7" s="549" t="s">
        <v>958</v>
      </c>
      <c r="D7" s="549" t="s">
        <v>959</v>
      </c>
      <c r="E7" s="549" t="s">
        <v>64</v>
      </c>
    </row>
    <row r="8" spans="1:6">
      <c r="A8" s="191" t="s">
        <v>23</v>
      </c>
      <c r="B8" s="191" t="s">
        <v>24</v>
      </c>
      <c r="C8" s="191">
        <v>1</v>
      </c>
      <c r="D8" s="191">
        <v>2</v>
      </c>
      <c r="E8" s="191" t="s">
        <v>112</v>
      </c>
    </row>
    <row r="9" spans="1:6">
      <c r="A9" s="562"/>
      <c r="B9" s="563" t="s">
        <v>157</v>
      </c>
      <c r="C9" s="596">
        <f>C10+C42</f>
        <v>512561.07799999998</v>
      </c>
      <c r="D9" s="596">
        <f>D10+D42</f>
        <v>503737.033</v>
      </c>
      <c r="E9" s="596">
        <f>D9/C9*100</f>
        <v>98.27844029155878</v>
      </c>
    </row>
    <row r="10" spans="1:6">
      <c r="A10" s="564" t="s">
        <v>28</v>
      </c>
      <c r="B10" s="563" t="s">
        <v>933</v>
      </c>
      <c r="C10" s="596">
        <f>C11+C15+C16+C17+C21+C22+C23+C36+C40</f>
        <v>479594</v>
      </c>
      <c r="D10" s="596">
        <f>D11+D15+D16+D17+D21+D22+D23+D36+D40</f>
        <v>471172</v>
      </c>
      <c r="E10" s="596">
        <f>D10/C10*100</f>
        <v>98.243931325245939</v>
      </c>
    </row>
    <row r="11" spans="1:6">
      <c r="A11" s="562">
        <v>1</v>
      </c>
      <c r="B11" s="565" t="s">
        <v>666</v>
      </c>
      <c r="C11" s="597">
        <f>C12+C13+C14</f>
        <v>45994</v>
      </c>
      <c r="D11" s="597">
        <f>D12+D13+D14</f>
        <v>36033</v>
      </c>
      <c r="E11" s="598">
        <f>D11/C11*100</f>
        <v>78.342827325303304</v>
      </c>
    </row>
    <row r="12" spans="1:6" ht="15.75" hidden="1" customHeight="1" outlineLevel="1">
      <c r="A12" s="562" t="s">
        <v>30</v>
      </c>
      <c r="B12" s="566" t="s">
        <v>278</v>
      </c>
      <c r="C12" s="599">
        <v>28839</v>
      </c>
      <c r="D12" s="600">
        <v>19994</v>
      </c>
      <c r="E12" s="598">
        <f t="shared" ref="E12:E13" si="0">D12/C12*100</f>
        <v>69.329727105655536</v>
      </c>
      <c r="F12" s="721"/>
    </row>
    <row r="13" spans="1:6" ht="25.5" hidden="1" customHeight="1" outlineLevel="1">
      <c r="A13" s="562" t="s">
        <v>30</v>
      </c>
      <c r="B13" s="566" t="s">
        <v>1035</v>
      </c>
      <c r="C13" s="601">
        <v>13200</v>
      </c>
      <c r="D13" s="602">
        <v>12084</v>
      </c>
      <c r="E13" s="598">
        <f t="shared" si="0"/>
        <v>91.545454545454547</v>
      </c>
      <c r="F13" s="721"/>
    </row>
    <row r="14" spans="1:6" ht="25.5" hidden="1" customHeight="1" outlineLevel="1">
      <c r="A14" s="567" t="s">
        <v>30</v>
      </c>
      <c r="B14" s="568" t="s">
        <v>1036</v>
      </c>
      <c r="C14" s="601">
        <v>3955</v>
      </c>
      <c r="D14" s="602">
        <v>3955</v>
      </c>
      <c r="E14" s="598">
        <f>D14/C14*100</f>
        <v>100</v>
      </c>
    </row>
    <row r="15" spans="1:6" ht="25.5" collapsed="1">
      <c r="A15" s="567">
        <v>2</v>
      </c>
      <c r="B15" s="569" t="s">
        <v>1037</v>
      </c>
      <c r="C15" s="598">
        <v>1737</v>
      </c>
      <c r="D15" s="598">
        <v>1737</v>
      </c>
      <c r="E15" s="598">
        <f>D15/C15*100</f>
        <v>100</v>
      </c>
    </row>
    <row r="16" spans="1:6">
      <c r="A16" s="567">
        <v>3</v>
      </c>
      <c r="B16" s="569" t="s">
        <v>276</v>
      </c>
      <c r="C16" s="598">
        <v>411859</v>
      </c>
      <c r="D16" s="598">
        <v>393652</v>
      </c>
      <c r="E16" s="598">
        <f t="shared" ref="E16:E18" si="1">D16/C16*100</f>
        <v>95.579312337474718</v>
      </c>
    </row>
    <row r="17" spans="1:5">
      <c r="A17" s="567">
        <v>4</v>
      </c>
      <c r="B17" s="569" t="s">
        <v>669</v>
      </c>
      <c r="C17" s="601">
        <f>C18+C19+C20</f>
        <v>225</v>
      </c>
      <c r="D17" s="601">
        <f>D18+D19+D20</f>
        <v>271</v>
      </c>
      <c r="E17" s="598">
        <f t="shared" si="1"/>
        <v>120.44444444444444</v>
      </c>
    </row>
    <row r="18" spans="1:5" hidden="1">
      <c r="A18" s="567" t="s">
        <v>30</v>
      </c>
      <c r="B18" s="569" t="s">
        <v>935</v>
      </c>
      <c r="C18" s="601">
        <v>225</v>
      </c>
      <c r="D18" s="598">
        <v>69</v>
      </c>
      <c r="E18" s="598">
        <f t="shared" si="1"/>
        <v>30.666666666666664</v>
      </c>
    </row>
    <row r="19" spans="1:5" ht="31.5" hidden="1" customHeight="1" outlineLevel="1">
      <c r="A19" s="567" t="s">
        <v>30</v>
      </c>
      <c r="B19" s="569" t="s">
        <v>1038</v>
      </c>
      <c r="C19" s="601">
        <v>0</v>
      </c>
      <c r="D19" s="598">
        <v>177</v>
      </c>
      <c r="E19" s="598"/>
    </row>
    <row r="20" spans="1:5" hidden="1" outlineLevel="1">
      <c r="A20" s="567" t="s">
        <v>30</v>
      </c>
      <c r="B20" s="569" t="s">
        <v>936</v>
      </c>
      <c r="C20" s="601">
        <v>0</v>
      </c>
      <c r="D20" s="598">
        <v>25</v>
      </c>
      <c r="E20" s="598"/>
    </row>
    <row r="21" spans="1:5" collapsed="1">
      <c r="A21" s="567">
        <v>5</v>
      </c>
      <c r="B21" s="569" t="s">
        <v>670</v>
      </c>
      <c r="C21" s="598">
        <v>4435</v>
      </c>
      <c r="D21" s="598">
        <v>5086</v>
      </c>
      <c r="E21" s="598">
        <f>D21/C21*100</f>
        <v>114.67869222096955</v>
      </c>
    </row>
    <row r="22" spans="1:5" ht="29.25" customHeight="1">
      <c r="A22" s="567">
        <v>6</v>
      </c>
      <c r="B22" s="569" t="s">
        <v>1039</v>
      </c>
      <c r="C22" s="601">
        <v>0</v>
      </c>
      <c r="D22" s="598">
        <v>6</v>
      </c>
      <c r="E22" s="598"/>
    </row>
    <row r="23" spans="1:5">
      <c r="A23" s="567">
        <v>7</v>
      </c>
      <c r="B23" s="569" t="s">
        <v>269</v>
      </c>
      <c r="C23" s="598">
        <f>C24+C25+C26+C27+C28+C29+C30+C32+C35</f>
        <v>15344</v>
      </c>
      <c r="D23" s="598">
        <f>D24+D25+D26+D27+D28+D29+D30+D32+D35</f>
        <v>30607</v>
      </c>
      <c r="E23" s="598">
        <f>D23/C23*100</f>
        <v>199.47210636079248</v>
      </c>
    </row>
    <row r="24" spans="1:5" ht="25.5" hidden="1" customHeight="1" outlineLevel="1">
      <c r="A24" s="567" t="s">
        <v>30</v>
      </c>
      <c r="B24" s="569" t="s">
        <v>1040</v>
      </c>
      <c r="C24" s="601">
        <v>0</v>
      </c>
      <c r="D24" s="598">
        <v>2067</v>
      </c>
      <c r="E24" s="598"/>
    </row>
    <row r="25" spans="1:5" ht="15.75" hidden="1" customHeight="1" outlineLevel="1">
      <c r="A25" s="570" t="s">
        <v>30</v>
      </c>
      <c r="B25" s="569" t="s">
        <v>450</v>
      </c>
      <c r="C25" s="601">
        <v>823</v>
      </c>
      <c r="D25" s="598">
        <v>1214</v>
      </c>
      <c r="E25" s="598">
        <f t="shared" ref="E25" si="2">D25/C25*100</f>
        <v>147.50911300121507</v>
      </c>
    </row>
    <row r="26" spans="1:5" ht="15.75" hidden="1" customHeight="1" outlineLevel="1">
      <c r="A26" s="570" t="s">
        <v>30</v>
      </c>
      <c r="B26" s="569" t="s">
        <v>937</v>
      </c>
      <c r="C26" s="601">
        <v>0</v>
      </c>
      <c r="D26" s="601">
        <v>0</v>
      </c>
      <c r="E26" s="598"/>
    </row>
    <row r="27" spans="1:5" ht="15.75" hidden="1" customHeight="1" outlineLevel="1">
      <c r="A27" s="570" t="s">
        <v>30</v>
      </c>
      <c r="B27" s="569" t="s">
        <v>1041</v>
      </c>
      <c r="C27" s="603">
        <v>5322</v>
      </c>
      <c r="D27" s="603">
        <v>4046</v>
      </c>
      <c r="E27" s="603">
        <f>D27/C27*100</f>
        <v>76.024051108605789</v>
      </c>
    </row>
    <row r="28" spans="1:5" ht="15.75" hidden="1" customHeight="1" outlineLevel="1">
      <c r="A28" s="570" t="s">
        <v>30</v>
      </c>
      <c r="B28" s="571" t="s">
        <v>1042</v>
      </c>
      <c r="C28" s="601">
        <v>0</v>
      </c>
      <c r="D28" s="604">
        <v>2696</v>
      </c>
      <c r="E28" s="598"/>
    </row>
    <row r="29" spans="1:5" ht="15.75" hidden="1" customHeight="1" outlineLevel="1">
      <c r="A29" s="570" t="s">
        <v>30</v>
      </c>
      <c r="B29" s="571" t="s">
        <v>1043</v>
      </c>
      <c r="C29" s="598">
        <v>4065</v>
      </c>
      <c r="D29" s="604">
        <v>4065</v>
      </c>
      <c r="E29" s="598">
        <f>D29/C29*100</f>
        <v>100</v>
      </c>
    </row>
    <row r="30" spans="1:5" ht="15.75" hidden="1" customHeight="1" outlineLevel="1">
      <c r="A30" s="567" t="s">
        <v>30</v>
      </c>
      <c r="B30" s="569" t="s">
        <v>938</v>
      </c>
      <c r="C30" s="598">
        <f>C31</f>
        <v>5134</v>
      </c>
      <c r="D30" s="598">
        <f>D31</f>
        <v>3589</v>
      </c>
      <c r="E30" s="598">
        <f>D30/C30*100</f>
        <v>69.90650564861707</v>
      </c>
    </row>
    <row r="31" spans="1:5" ht="25.5" hidden="1" outlineLevel="1">
      <c r="A31" s="570" t="s">
        <v>191</v>
      </c>
      <c r="B31" s="569" t="s">
        <v>1044</v>
      </c>
      <c r="C31" s="598">
        <v>5134</v>
      </c>
      <c r="D31" s="598">
        <v>3589</v>
      </c>
      <c r="E31" s="598">
        <f>D31/C31*100</f>
        <v>69.90650564861707</v>
      </c>
    </row>
    <row r="32" spans="1:5" ht="15.75" hidden="1" customHeight="1" outlineLevel="1">
      <c r="A32" s="567" t="s">
        <v>30</v>
      </c>
      <c r="B32" s="569" t="s">
        <v>939</v>
      </c>
      <c r="C32" s="601">
        <f>C33+C34</f>
        <v>0</v>
      </c>
      <c r="D32" s="598">
        <f>D33+D34</f>
        <v>7060</v>
      </c>
      <c r="E32" s="598"/>
    </row>
    <row r="33" spans="1:7" hidden="1" outlineLevel="1">
      <c r="A33" s="570" t="s">
        <v>191</v>
      </c>
      <c r="B33" s="569" t="s">
        <v>940</v>
      </c>
      <c r="C33" s="598">
        <v>0</v>
      </c>
      <c r="D33" s="598">
        <v>6647</v>
      </c>
      <c r="E33" s="598"/>
      <c r="F33" s="210"/>
      <c r="G33" s="210"/>
    </row>
    <row r="34" spans="1:7" hidden="1" outlineLevel="1">
      <c r="A34" s="570" t="s">
        <v>191</v>
      </c>
      <c r="B34" s="569" t="s">
        <v>941</v>
      </c>
      <c r="C34" s="598">
        <v>0</v>
      </c>
      <c r="D34" s="598">
        <v>413</v>
      </c>
      <c r="E34" s="598"/>
    </row>
    <row r="35" spans="1:7" ht="25.5" hidden="1" customHeight="1" outlineLevel="1">
      <c r="A35" s="570" t="s">
        <v>30</v>
      </c>
      <c r="B35" s="569" t="s">
        <v>1045</v>
      </c>
      <c r="C35" s="598">
        <v>0</v>
      </c>
      <c r="D35" s="598">
        <v>5870</v>
      </c>
      <c r="E35" s="598"/>
    </row>
    <row r="36" spans="1:7" collapsed="1">
      <c r="A36" s="567">
        <v>8</v>
      </c>
      <c r="B36" s="569" t="s">
        <v>902</v>
      </c>
      <c r="C36" s="601">
        <f>C37+C38+C39</f>
        <v>0</v>
      </c>
      <c r="D36" s="598">
        <f>D37+D38+D39</f>
        <v>566</v>
      </c>
      <c r="E36" s="598"/>
      <c r="F36" s="211"/>
    </row>
    <row r="37" spans="1:7" hidden="1" outlineLevel="1">
      <c r="A37" s="567" t="s">
        <v>30</v>
      </c>
      <c r="B37" s="569" t="s">
        <v>903</v>
      </c>
      <c r="C37" s="601">
        <v>0</v>
      </c>
      <c r="D37" s="601">
        <v>0</v>
      </c>
      <c r="E37" s="598"/>
    </row>
    <row r="38" spans="1:7" hidden="1" outlineLevel="1">
      <c r="A38" s="567" t="s">
        <v>30</v>
      </c>
      <c r="B38" s="569" t="s">
        <v>904</v>
      </c>
      <c r="C38" s="601">
        <v>0</v>
      </c>
      <c r="D38" s="598">
        <v>375</v>
      </c>
      <c r="E38" s="598"/>
    </row>
    <row r="39" spans="1:7" hidden="1" outlineLevel="1">
      <c r="A39" s="567" t="s">
        <v>30</v>
      </c>
      <c r="B39" s="569" t="s">
        <v>905</v>
      </c>
      <c r="C39" s="601">
        <v>0</v>
      </c>
      <c r="D39" s="598">
        <v>191</v>
      </c>
      <c r="E39" s="598"/>
    </row>
    <row r="40" spans="1:7" collapsed="1">
      <c r="A40" s="567">
        <v>9</v>
      </c>
      <c r="B40" s="569" t="s">
        <v>942</v>
      </c>
      <c r="C40" s="601">
        <f>C41</f>
        <v>0</v>
      </c>
      <c r="D40" s="598">
        <f>D41</f>
        <v>3214</v>
      </c>
      <c r="E40" s="598"/>
    </row>
    <row r="41" spans="1:7" hidden="1">
      <c r="A41" s="567" t="s">
        <v>30</v>
      </c>
      <c r="B41" s="569" t="s">
        <v>943</v>
      </c>
      <c r="C41" s="598">
        <v>0</v>
      </c>
      <c r="D41" s="598">
        <v>3214</v>
      </c>
      <c r="E41" s="598"/>
    </row>
    <row r="42" spans="1:7">
      <c r="A42" s="572" t="s">
        <v>33</v>
      </c>
      <c r="B42" s="573" t="s">
        <v>891</v>
      </c>
      <c r="C42" s="605">
        <f>C43+C53+C57+C63+C68+C78+C82+C83+C87+C88</f>
        <v>32967.078000000001</v>
      </c>
      <c r="D42" s="605">
        <f>D43+D53+D57+D63+D68+D78+D82+D83+D87+D88</f>
        <v>32565.032999999999</v>
      </c>
      <c r="E42" s="605">
        <f>D42/C42*100</f>
        <v>98.780465165884578</v>
      </c>
    </row>
    <row r="43" spans="1:7" s="539" customFormat="1">
      <c r="A43" s="567">
        <v>1</v>
      </c>
      <c r="B43" s="574" t="s">
        <v>601</v>
      </c>
      <c r="C43" s="598">
        <f>C44+C47+C48+C49+C50+C51+C52</f>
        <v>6441</v>
      </c>
      <c r="D43" s="598">
        <f>D44+D47+D48+D49+D50+D51+D52</f>
        <v>5384.29</v>
      </c>
      <c r="E43" s="598">
        <f>D43/C43*100</f>
        <v>83.594007141748179</v>
      </c>
    </row>
    <row r="44" spans="1:7" hidden="1" outlineLevel="1">
      <c r="A44" s="567" t="s">
        <v>188</v>
      </c>
      <c r="B44" s="569" t="s">
        <v>666</v>
      </c>
      <c r="C44" s="598">
        <f>C45+C46</f>
        <v>2915</v>
      </c>
      <c r="D44" s="598">
        <f>D45+D46</f>
        <v>1590.13</v>
      </c>
      <c r="E44" s="598">
        <f>D44/C44*100</f>
        <v>54.549914236706698</v>
      </c>
    </row>
    <row r="45" spans="1:7" hidden="1" outlineLevel="1">
      <c r="A45" s="567" t="s">
        <v>30</v>
      </c>
      <c r="B45" s="568" t="s">
        <v>278</v>
      </c>
      <c r="C45" s="598">
        <v>2915</v>
      </c>
      <c r="D45" s="598">
        <v>1590.13</v>
      </c>
      <c r="E45" s="598">
        <f>D45/C45*100</f>
        <v>54.549914236706698</v>
      </c>
    </row>
    <row r="46" spans="1:7" hidden="1" outlineLevel="1">
      <c r="A46" s="567" t="s">
        <v>30</v>
      </c>
      <c r="B46" s="568" t="s">
        <v>667</v>
      </c>
      <c r="C46" s="598"/>
      <c r="D46" s="598"/>
      <c r="E46" s="598"/>
    </row>
    <row r="47" spans="1:7" hidden="1" outlineLevel="1">
      <c r="A47" s="567" t="s">
        <v>189</v>
      </c>
      <c r="B47" s="569" t="s">
        <v>668</v>
      </c>
      <c r="C47" s="598"/>
      <c r="D47" s="598"/>
      <c r="E47" s="598"/>
    </row>
    <row r="48" spans="1:7" hidden="1" outlineLevel="1">
      <c r="A48" s="567" t="s">
        <v>190</v>
      </c>
      <c r="B48" s="569" t="s">
        <v>276</v>
      </c>
      <c r="C48" s="598"/>
      <c r="D48" s="598"/>
      <c r="E48" s="598"/>
    </row>
    <row r="49" spans="1:5" hidden="1" outlineLevel="1">
      <c r="A49" s="567" t="s">
        <v>215</v>
      </c>
      <c r="B49" s="569" t="s">
        <v>669</v>
      </c>
      <c r="C49" s="598">
        <v>146</v>
      </c>
      <c r="D49" s="598">
        <v>146</v>
      </c>
      <c r="E49" s="598">
        <f>D49/C49*100</f>
        <v>100</v>
      </c>
    </row>
    <row r="50" spans="1:5" hidden="1" outlineLevel="1">
      <c r="A50" s="567" t="s">
        <v>892</v>
      </c>
      <c r="B50" s="569" t="s">
        <v>670</v>
      </c>
      <c r="C50" s="598"/>
      <c r="D50" s="598"/>
      <c r="E50" s="598"/>
    </row>
    <row r="51" spans="1:5" hidden="1" outlineLevel="1">
      <c r="A51" s="567" t="s">
        <v>893</v>
      </c>
      <c r="B51" s="569" t="s">
        <v>671</v>
      </c>
      <c r="C51" s="598"/>
      <c r="D51" s="598"/>
      <c r="E51" s="598"/>
    </row>
    <row r="52" spans="1:5" hidden="1" outlineLevel="1">
      <c r="A52" s="567" t="s">
        <v>894</v>
      </c>
      <c r="B52" s="569" t="s">
        <v>269</v>
      </c>
      <c r="C52" s="598">
        <v>3380</v>
      </c>
      <c r="D52" s="598">
        <v>3648.16</v>
      </c>
      <c r="E52" s="598">
        <f>D52/C52*100</f>
        <v>107.93372781065089</v>
      </c>
    </row>
    <row r="53" spans="1:5" s="539" customFormat="1" collapsed="1">
      <c r="A53" s="567">
        <v>2</v>
      </c>
      <c r="B53" s="574" t="s">
        <v>602</v>
      </c>
      <c r="C53" s="598">
        <f>C54</f>
        <v>903.34</v>
      </c>
      <c r="D53" s="598">
        <f t="shared" ref="D53:E53" si="3">D54</f>
        <v>1769.78</v>
      </c>
      <c r="E53" s="598">
        <f t="shared" si="3"/>
        <v>195.91515929771734</v>
      </c>
    </row>
    <row r="54" spans="1:5" hidden="1" outlineLevel="1">
      <c r="A54" s="562" t="s">
        <v>197</v>
      </c>
      <c r="B54" s="565" t="s">
        <v>666</v>
      </c>
      <c r="C54" s="599">
        <f>C55+C56</f>
        <v>903.34</v>
      </c>
      <c r="D54" s="599">
        <f>D55+D56</f>
        <v>1769.78</v>
      </c>
      <c r="E54" s="599">
        <f>D54/C54*100</f>
        <v>195.91515929771734</v>
      </c>
    </row>
    <row r="55" spans="1:5" hidden="1" outlineLevel="1">
      <c r="A55" s="562" t="s">
        <v>30</v>
      </c>
      <c r="B55" s="566" t="s">
        <v>278</v>
      </c>
      <c r="C55" s="599">
        <v>903.34</v>
      </c>
      <c r="D55" s="599">
        <v>740.25</v>
      </c>
      <c r="E55" s="599">
        <f>D55/C55*100</f>
        <v>81.945889698231014</v>
      </c>
    </row>
    <row r="56" spans="1:5" hidden="1" outlineLevel="1">
      <c r="A56" s="562" t="s">
        <v>30</v>
      </c>
      <c r="B56" s="566" t="s">
        <v>667</v>
      </c>
      <c r="C56" s="599">
        <v>0</v>
      </c>
      <c r="D56" s="599">
        <v>1029.53</v>
      </c>
      <c r="E56" s="599"/>
    </row>
    <row r="57" spans="1:5" s="539" customFormat="1" collapsed="1">
      <c r="A57" s="562">
        <v>3</v>
      </c>
      <c r="B57" s="575" t="s">
        <v>603</v>
      </c>
      <c r="C57" s="599">
        <f>C58+C59+C60</f>
        <v>9780.9</v>
      </c>
      <c r="D57" s="599">
        <f>D58+D59+D60</f>
        <v>9607.398000000001</v>
      </c>
      <c r="E57" s="599">
        <f>D57/C57*100</f>
        <v>98.226114161273514</v>
      </c>
    </row>
    <row r="58" spans="1:5" hidden="1" outlineLevel="1">
      <c r="A58" s="562" t="s">
        <v>202</v>
      </c>
      <c r="B58" s="575" t="s">
        <v>895</v>
      </c>
      <c r="C58" s="599">
        <v>1300</v>
      </c>
      <c r="D58" s="599">
        <v>1358</v>
      </c>
      <c r="E58" s="599">
        <f t="shared" ref="E58:E63" si="4">D58/C58*100</f>
        <v>104.46153846153847</v>
      </c>
    </row>
    <row r="59" spans="1:5" hidden="1" outlineLevel="1">
      <c r="A59" s="562" t="s">
        <v>201</v>
      </c>
      <c r="B59" s="575" t="s">
        <v>896</v>
      </c>
      <c r="C59" s="599">
        <v>1615</v>
      </c>
      <c r="D59" s="599">
        <v>2125.1550000000002</v>
      </c>
      <c r="E59" s="599">
        <f t="shared" si="4"/>
        <v>131.58854489164088</v>
      </c>
    </row>
    <row r="60" spans="1:5" hidden="1" outlineLevel="1">
      <c r="A60" s="562" t="s">
        <v>30</v>
      </c>
      <c r="B60" s="575" t="s">
        <v>1046</v>
      </c>
      <c r="C60" s="599">
        <f>C61+C62</f>
        <v>6865.9</v>
      </c>
      <c r="D60" s="599">
        <f>D61+D62</f>
        <v>6124.2430000000004</v>
      </c>
      <c r="E60" s="599">
        <f t="shared" si="4"/>
        <v>89.197963850332812</v>
      </c>
    </row>
    <row r="61" spans="1:5" hidden="1" outlineLevel="1">
      <c r="A61" s="576" t="s">
        <v>191</v>
      </c>
      <c r="B61" s="575" t="s">
        <v>667</v>
      </c>
      <c r="C61" s="599">
        <v>0</v>
      </c>
      <c r="D61" s="599">
        <v>52.6</v>
      </c>
      <c r="E61" s="599" t="e">
        <f t="shared" si="4"/>
        <v>#DIV/0!</v>
      </c>
    </row>
    <row r="62" spans="1:5" hidden="1" outlineLevel="1">
      <c r="A62" s="576" t="s">
        <v>191</v>
      </c>
      <c r="B62" s="575" t="s">
        <v>278</v>
      </c>
      <c r="C62" s="599">
        <v>6865.9</v>
      </c>
      <c r="D62" s="599">
        <v>6071.643</v>
      </c>
      <c r="E62" s="599">
        <f t="shared" si="4"/>
        <v>88.431858896867126</v>
      </c>
    </row>
    <row r="63" spans="1:5" s="539" customFormat="1" collapsed="1">
      <c r="A63" s="562">
        <v>4</v>
      </c>
      <c r="B63" s="575" t="s">
        <v>604</v>
      </c>
      <c r="C63" s="599">
        <f>C64+C66+C67</f>
        <v>10474</v>
      </c>
      <c r="D63" s="599">
        <f>D64+D66+D67</f>
        <v>10086.18</v>
      </c>
      <c r="E63" s="599">
        <f t="shared" si="4"/>
        <v>96.297307618865773</v>
      </c>
    </row>
    <row r="64" spans="1:5" hidden="1" outlineLevel="1">
      <c r="A64" s="562" t="s">
        <v>203</v>
      </c>
      <c r="B64" s="565" t="s">
        <v>666</v>
      </c>
      <c r="C64" s="599">
        <f>C65</f>
        <v>1010</v>
      </c>
      <c r="D64" s="599">
        <f>D65</f>
        <v>1120</v>
      </c>
      <c r="E64" s="599">
        <f>E65</f>
        <v>110.8910891089109</v>
      </c>
    </row>
    <row r="65" spans="1:5" hidden="1" outlineLevel="1">
      <c r="A65" s="576" t="s">
        <v>30</v>
      </c>
      <c r="B65" s="565" t="s">
        <v>278</v>
      </c>
      <c r="C65" s="599">
        <v>1010</v>
      </c>
      <c r="D65" s="599">
        <v>1120</v>
      </c>
      <c r="E65" s="600">
        <f t="shared" ref="E65:E77" si="5">D65/C65*100</f>
        <v>110.8910891089109</v>
      </c>
    </row>
    <row r="66" spans="1:5" hidden="1" outlineLevel="1">
      <c r="A66" s="562" t="s">
        <v>204</v>
      </c>
      <c r="B66" s="575" t="s">
        <v>895</v>
      </c>
      <c r="C66" s="599">
        <v>368</v>
      </c>
      <c r="D66" s="599">
        <v>389.88</v>
      </c>
      <c r="E66" s="600">
        <f t="shared" si="5"/>
        <v>105.94565217391305</v>
      </c>
    </row>
    <row r="67" spans="1:5" hidden="1" outlineLevel="1">
      <c r="A67" s="562" t="s">
        <v>205</v>
      </c>
      <c r="B67" s="575" t="s">
        <v>269</v>
      </c>
      <c r="C67" s="599">
        <v>9096</v>
      </c>
      <c r="D67" s="599">
        <v>8576.2999999999993</v>
      </c>
      <c r="E67" s="600">
        <f t="shared" si="5"/>
        <v>94.286499560246256</v>
      </c>
    </row>
    <row r="68" spans="1:5" s="539" customFormat="1" collapsed="1">
      <c r="A68" s="562">
        <v>5</v>
      </c>
      <c r="B68" s="575" t="s">
        <v>605</v>
      </c>
      <c r="C68" s="599">
        <f>C69+C72+C73+C74+C75+C76+C77</f>
        <v>1558.4</v>
      </c>
      <c r="D68" s="599">
        <f>D69+D72+D73+D74+D75+D76+D77</f>
        <v>1387.8129999999999</v>
      </c>
      <c r="E68" s="599">
        <f t="shared" si="5"/>
        <v>89.05370893223818</v>
      </c>
    </row>
    <row r="69" spans="1:5" hidden="1" outlineLevel="1">
      <c r="A69" s="562" t="s">
        <v>217</v>
      </c>
      <c r="B69" s="565" t="s">
        <v>666</v>
      </c>
      <c r="C69" s="599">
        <f>C70+C71</f>
        <v>745.4</v>
      </c>
      <c r="D69" s="599">
        <f>D70+D71</f>
        <v>642.51299999999992</v>
      </c>
      <c r="E69" s="599">
        <f t="shared" si="5"/>
        <v>86.197075395760663</v>
      </c>
    </row>
    <row r="70" spans="1:5" hidden="1" outlineLevel="1">
      <c r="A70" s="562" t="s">
        <v>30</v>
      </c>
      <c r="B70" s="566" t="s">
        <v>278</v>
      </c>
      <c r="C70" s="599">
        <v>469.2</v>
      </c>
      <c r="D70" s="599">
        <v>259.113</v>
      </c>
      <c r="E70" s="599">
        <f t="shared" si="5"/>
        <v>55.224424552429674</v>
      </c>
    </row>
    <row r="71" spans="1:5" hidden="1" outlineLevel="1">
      <c r="A71" s="562" t="s">
        <v>30</v>
      </c>
      <c r="B71" s="566" t="s">
        <v>667</v>
      </c>
      <c r="C71" s="599">
        <v>276.2</v>
      </c>
      <c r="D71" s="599">
        <v>383.4</v>
      </c>
      <c r="E71" s="599">
        <f t="shared" si="5"/>
        <v>138.81245474293991</v>
      </c>
    </row>
    <row r="72" spans="1:5" hidden="1" outlineLevel="1">
      <c r="A72" s="562" t="s">
        <v>218</v>
      </c>
      <c r="B72" s="565" t="s">
        <v>668</v>
      </c>
      <c r="C72" s="599">
        <v>0</v>
      </c>
      <c r="D72" s="599">
        <v>0</v>
      </c>
      <c r="E72" s="599">
        <v>0</v>
      </c>
    </row>
    <row r="73" spans="1:5" hidden="1" outlineLevel="1">
      <c r="A73" s="562" t="s">
        <v>219</v>
      </c>
      <c r="B73" s="565" t="s">
        <v>276</v>
      </c>
      <c r="C73" s="599">
        <v>0</v>
      </c>
      <c r="D73" s="599">
        <v>0</v>
      </c>
      <c r="E73" s="599">
        <v>0</v>
      </c>
    </row>
    <row r="74" spans="1:5" hidden="1" outlineLevel="1">
      <c r="A74" s="562" t="s">
        <v>897</v>
      </c>
      <c r="B74" s="565" t="s">
        <v>669</v>
      </c>
      <c r="C74" s="599">
        <v>0</v>
      </c>
      <c r="D74" s="599">
        <v>0</v>
      </c>
      <c r="E74" s="599">
        <v>0</v>
      </c>
    </row>
    <row r="75" spans="1:5" hidden="1" outlineLevel="1">
      <c r="A75" s="562" t="s">
        <v>898</v>
      </c>
      <c r="B75" s="565" t="s">
        <v>670</v>
      </c>
      <c r="C75" s="599">
        <v>0</v>
      </c>
      <c r="D75" s="599">
        <v>0</v>
      </c>
      <c r="E75" s="599">
        <v>0</v>
      </c>
    </row>
    <row r="76" spans="1:5" hidden="1" outlineLevel="1">
      <c r="A76" s="562" t="s">
        <v>899</v>
      </c>
      <c r="B76" s="565" t="s">
        <v>671</v>
      </c>
      <c r="C76" s="599">
        <v>0</v>
      </c>
      <c r="D76" s="599">
        <v>0</v>
      </c>
      <c r="E76" s="599">
        <v>0</v>
      </c>
    </row>
    <row r="77" spans="1:5" hidden="1" outlineLevel="1">
      <c r="A77" s="562" t="s">
        <v>900</v>
      </c>
      <c r="B77" s="565" t="s">
        <v>269</v>
      </c>
      <c r="C77" s="599">
        <v>813</v>
      </c>
      <c r="D77" s="599">
        <v>745.3</v>
      </c>
      <c r="E77" s="599">
        <f t="shared" si="5"/>
        <v>91.672816728167277</v>
      </c>
    </row>
    <row r="78" spans="1:5" s="539" customFormat="1" collapsed="1">
      <c r="A78" s="562">
        <v>6</v>
      </c>
      <c r="B78" s="575" t="s">
        <v>606</v>
      </c>
      <c r="C78" s="599">
        <f>C79+C81</f>
        <v>1482.4380000000001</v>
      </c>
      <c r="D78" s="599">
        <f>D79+D81</f>
        <v>1704.4939999999999</v>
      </c>
      <c r="E78" s="599">
        <f>D78/C78*100</f>
        <v>114.97910873844302</v>
      </c>
    </row>
    <row r="79" spans="1:5" hidden="1" outlineLevel="1">
      <c r="A79" s="562" t="s">
        <v>223</v>
      </c>
      <c r="B79" s="565" t="s">
        <v>666</v>
      </c>
      <c r="C79" s="599">
        <f>C80</f>
        <v>595.66800000000001</v>
      </c>
      <c r="D79" s="599">
        <f>D80</f>
        <v>581.173</v>
      </c>
      <c r="E79" s="599">
        <f>E80</f>
        <v>97.566597500621157</v>
      </c>
    </row>
    <row r="80" spans="1:5" hidden="1" outlineLevel="1">
      <c r="A80" s="576" t="s">
        <v>191</v>
      </c>
      <c r="B80" s="566" t="s">
        <v>278</v>
      </c>
      <c r="C80" s="599">
        <v>595.66800000000001</v>
      </c>
      <c r="D80" s="599">
        <v>581.173</v>
      </c>
      <c r="E80" s="599">
        <f>D80/C80*100</f>
        <v>97.566597500621157</v>
      </c>
    </row>
    <row r="81" spans="1:5" hidden="1" outlineLevel="1">
      <c r="A81" s="562" t="s">
        <v>224</v>
      </c>
      <c r="B81" s="575" t="s">
        <v>895</v>
      </c>
      <c r="C81" s="599">
        <v>886.77</v>
      </c>
      <c r="D81" s="599">
        <v>1123.3209999999999</v>
      </c>
      <c r="E81" s="599">
        <f>D81/C81*100</f>
        <v>126.67557540286658</v>
      </c>
    </row>
    <row r="82" spans="1:5" s="539" customFormat="1" collapsed="1">
      <c r="A82" s="562">
        <v>7</v>
      </c>
      <c r="B82" s="575" t="s">
        <v>607</v>
      </c>
      <c r="C82" s="599">
        <v>0</v>
      </c>
      <c r="D82" s="599">
        <v>0</v>
      </c>
      <c r="E82" s="599">
        <v>0</v>
      </c>
    </row>
    <row r="83" spans="1:5" s="539" customFormat="1">
      <c r="A83" s="562">
        <v>8</v>
      </c>
      <c r="B83" s="575" t="s">
        <v>558</v>
      </c>
      <c r="C83" s="599">
        <f>C84+C85+C86</f>
        <v>691</v>
      </c>
      <c r="D83" s="599">
        <f>D84+D85+D86</f>
        <v>842.11</v>
      </c>
      <c r="E83" s="599">
        <f>D83/C83*100</f>
        <v>121.86830680173661</v>
      </c>
    </row>
    <row r="84" spans="1:5" hidden="1" outlineLevel="1">
      <c r="A84" s="562" t="s">
        <v>30</v>
      </c>
      <c r="B84" s="575" t="s">
        <v>895</v>
      </c>
      <c r="C84" s="599">
        <v>600</v>
      </c>
      <c r="D84" s="599">
        <v>596.36</v>
      </c>
      <c r="E84" s="599">
        <f>D84/C84*100</f>
        <v>99.393333333333331</v>
      </c>
    </row>
    <row r="85" spans="1:5" hidden="1" outlineLevel="1">
      <c r="A85" s="562" t="s">
        <v>30</v>
      </c>
      <c r="B85" s="565" t="s">
        <v>901</v>
      </c>
      <c r="C85" s="599">
        <v>91</v>
      </c>
      <c r="D85" s="599">
        <v>91</v>
      </c>
      <c r="E85" s="599">
        <f>D85/C85*100</f>
        <v>100</v>
      </c>
    </row>
    <row r="86" spans="1:5" hidden="1" outlineLevel="1">
      <c r="A86" s="562" t="s">
        <v>30</v>
      </c>
      <c r="B86" s="575" t="s">
        <v>278</v>
      </c>
      <c r="C86" s="599">
        <v>0</v>
      </c>
      <c r="D86" s="599">
        <v>154.75</v>
      </c>
      <c r="E86" s="606"/>
    </row>
    <row r="87" spans="1:5" s="539" customFormat="1" collapsed="1">
      <c r="A87" s="562">
        <v>9</v>
      </c>
      <c r="B87" s="575" t="s">
        <v>608</v>
      </c>
      <c r="C87" s="599">
        <v>1555</v>
      </c>
      <c r="D87" s="599">
        <v>1782.9680000000001</v>
      </c>
      <c r="E87" s="599">
        <f>D87/C87*100</f>
        <v>114.66032154340837</v>
      </c>
    </row>
    <row r="88" spans="1:5" s="539" customFormat="1" ht="17.25" customHeight="1">
      <c r="A88" s="587">
        <v>10</v>
      </c>
      <c r="B88" s="588" t="s">
        <v>1047</v>
      </c>
      <c r="C88" s="607">
        <f>C89+C92+C93+C94+C95+C96</f>
        <v>81</v>
      </c>
      <c r="D88" s="607">
        <f>D89+D92+D93+D94+D95+D96</f>
        <v>0</v>
      </c>
      <c r="E88" s="607">
        <f>D88/C88*100</f>
        <v>0</v>
      </c>
    </row>
    <row r="89" spans="1:5" ht="15" hidden="1" customHeight="1" outlineLevel="1">
      <c r="A89" s="545" t="s">
        <v>1048</v>
      </c>
      <c r="B89" s="546" t="s">
        <v>666</v>
      </c>
      <c r="C89" s="547">
        <f>C90+C91</f>
        <v>81</v>
      </c>
      <c r="D89" s="547">
        <v>0</v>
      </c>
      <c r="E89" s="548"/>
    </row>
    <row r="90" spans="1:5" hidden="1" outlineLevel="1">
      <c r="A90" s="577" t="s">
        <v>191</v>
      </c>
      <c r="B90" s="581" t="s">
        <v>278</v>
      </c>
      <c r="C90" s="582">
        <v>81</v>
      </c>
      <c r="D90" s="583"/>
      <c r="E90" s="584"/>
    </row>
    <row r="91" spans="1:5" ht="15" hidden="1" customHeight="1" outlineLevel="1">
      <c r="A91" s="577" t="s">
        <v>191</v>
      </c>
      <c r="B91" s="578" t="s">
        <v>667</v>
      </c>
      <c r="C91" s="579"/>
      <c r="D91" s="579"/>
      <c r="E91" s="580"/>
    </row>
    <row r="92" spans="1:5" hidden="1" outlineLevel="1">
      <c r="A92" s="577" t="s">
        <v>1049</v>
      </c>
      <c r="B92" s="578" t="s">
        <v>668</v>
      </c>
      <c r="C92" s="585"/>
      <c r="D92" s="585"/>
      <c r="E92" s="586"/>
    </row>
    <row r="93" spans="1:5" hidden="1" outlineLevel="1">
      <c r="A93" s="577" t="s">
        <v>1050</v>
      </c>
      <c r="B93" s="578" t="s">
        <v>276</v>
      </c>
      <c r="C93" s="583"/>
      <c r="D93" s="583"/>
      <c r="E93" s="584"/>
    </row>
    <row r="94" spans="1:5" hidden="1" outlineLevel="1">
      <c r="A94" s="577" t="s">
        <v>1051</v>
      </c>
      <c r="B94" s="578" t="s">
        <v>669</v>
      </c>
      <c r="C94" s="583"/>
      <c r="D94" s="583"/>
      <c r="E94" s="584"/>
    </row>
    <row r="95" spans="1:5" hidden="1" outlineLevel="1">
      <c r="A95" s="577" t="s">
        <v>1052</v>
      </c>
      <c r="B95" s="578" t="s">
        <v>670</v>
      </c>
      <c r="C95" s="583"/>
      <c r="D95" s="583"/>
      <c r="E95" s="584"/>
    </row>
    <row r="96" spans="1:5" hidden="1" outlineLevel="1">
      <c r="A96" s="540" t="s">
        <v>1053</v>
      </c>
      <c r="B96" s="541" t="s">
        <v>671</v>
      </c>
      <c r="C96" s="542"/>
      <c r="D96" s="542"/>
      <c r="E96" s="543"/>
    </row>
    <row r="97" spans="1:1" collapsed="1"/>
    <row r="99" spans="1:1">
      <c r="A99" s="544"/>
    </row>
    <row r="100" spans="1:1">
      <c r="A100" s="544"/>
    </row>
  </sheetData>
  <mergeCells count="6">
    <mergeCell ref="F12:F13"/>
    <mergeCell ref="A1:E1"/>
    <mergeCell ref="A2:E2"/>
    <mergeCell ref="A3:E3"/>
    <mergeCell ref="A4:E4"/>
    <mergeCell ref="A5:D5"/>
  </mergeCells>
  <pageMargins left="0.7" right="0.2" top="0.31" bottom="0.22" header="0.3" footer="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pane xSplit="2" ySplit="3" topLeftCell="C4" activePane="bottomRight" state="frozen"/>
      <selection pane="topRight" activeCell="C1" sqref="C1"/>
      <selection pane="bottomLeft" activeCell="A4" sqref="A4"/>
      <selection pane="bottomRight" activeCell="D9" sqref="D9"/>
    </sheetView>
  </sheetViews>
  <sheetFormatPr defaultColWidth="9.140625" defaultRowHeight="18.75"/>
  <cols>
    <col min="1" max="1" width="5.5703125" style="122" customWidth="1"/>
    <col min="2" max="2" width="53.5703125" style="122" customWidth="1"/>
    <col min="3" max="3" width="17.42578125" style="122" customWidth="1"/>
    <col min="4" max="4" width="20.5703125" style="122" customWidth="1"/>
    <col min="5" max="5" width="21.7109375" style="122" customWidth="1"/>
    <col min="6" max="6" width="19" style="122" customWidth="1"/>
    <col min="7" max="16384" width="9.140625" style="122"/>
  </cols>
  <sheetData>
    <row r="1" spans="1:7" s="115" customFormat="1">
      <c r="A1" s="628" t="s">
        <v>635</v>
      </c>
      <c r="B1" s="628"/>
      <c r="C1" s="628"/>
      <c r="D1" s="628"/>
      <c r="E1" s="628"/>
      <c r="F1" s="628"/>
    </row>
    <row r="3" spans="1:7" s="117" customFormat="1" ht="37.5">
      <c r="A3" s="116" t="s">
        <v>16</v>
      </c>
      <c r="B3" s="116" t="s">
        <v>636</v>
      </c>
      <c r="C3" s="116" t="s">
        <v>637</v>
      </c>
      <c r="D3" s="116" t="s">
        <v>638</v>
      </c>
      <c r="E3" s="116" t="s">
        <v>639</v>
      </c>
      <c r="F3" s="116" t="s">
        <v>640</v>
      </c>
    </row>
    <row r="4" spans="1:7" ht="36" customHeight="1">
      <c r="A4" s="118">
        <v>1</v>
      </c>
      <c r="B4" s="119" t="s">
        <v>948</v>
      </c>
      <c r="C4" s="120" t="s">
        <v>641</v>
      </c>
      <c r="D4" s="121" t="s">
        <v>642</v>
      </c>
      <c r="E4" s="121" t="s">
        <v>647</v>
      </c>
      <c r="F4" s="629" t="s">
        <v>682</v>
      </c>
    </row>
    <row r="5" spans="1:7" ht="37.5">
      <c r="A5" s="121">
        <v>2</v>
      </c>
      <c r="B5" s="123" t="s">
        <v>643</v>
      </c>
      <c r="C5" s="124" t="s">
        <v>644</v>
      </c>
      <c r="D5" s="121" t="s">
        <v>642</v>
      </c>
      <c r="E5" s="121"/>
      <c r="F5" s="630"/>
    </row>
    <row r="6" spans="1:7" ht="37.5">
      <c r="A6" s="121">
        <v>3</v>
      </c>
      <c r="B6" s="123" t="s">
        <v>645</v>
      </c>
      <c r="C6" s="124" t="s">
        <v>646</v>
      </c>
      <c r="D6" s="121" t="s">
        <v>647</v>
      </c>
      <c r="E6" s="121"/>
      <c r="F6" s="630"/>
    </row>
    <row r="7" spans="1:7" ht="37.5">
      <c r="A7" s="121">
        <v>4</v>
      </c>
      <c r="B7" s="123" t="s">
        <v>652</v>
      </c>
      <c r="C7" s="124" t="s">
        <v>648</v>
      </c>
      <c r="D7" s="121" t="s">
        <v>654</v>
      </c>
      <c r="E7" s="121" t="s">
        <v>662</v>
      </c>
      <c r="F7" s="630"/>
    </row>
    <row r="8" spans="1:7" ht="37.5">
      <c r="A8" s="121">
        <v>5</v>
      </c>
      <c r="B8" s="123" t="s">
        <v>653</v>
      </c>
      <c r="C8" s="124" t="s">
        <v>649</v>
      </c>
      <c r="D8" s="121" t="s">
        <v>654</v>
      </c>
      <c r="E8" s="121"/>
      <c r="F8" s="630"/>
    </row>
    <row r="9" spans="1:7" ht="37.5">
      <c r="A9" s="121">
        <v>6</v>
      </c>
      <c r="B9" s="123" t="s">
        <v>655</v>
      </c>
      <c r="C9" s="124" t="s">
        <v>650</v>
      </c>
      <c r="D9" s="121" t="s">
        <v>951</v>
      </c>
      <c r="E9" s="121" t="s">
        <v>662</v>
      </c>
      <c r="F9" s="630"/>
    </row>
    <row r="10" spans="1:7" ht="37.5">
      <c r="A10" s="121">
        <v>7</v>
      </c>
      <c r="B10" s="123" t="s">
        <v>656</v>
      </c>
      <c r="C10" s="124" t="s">
        <v>651</v>
      </c>
      <c r="D10" s="121" t="s">
        <v>654</v>
      </c>
      <c r="E10" s="121"/>
      <c r="F10" s="630"/>
    </row>
    <row r="11" spans="1:7" ht="37.5">
      <c r="A11" s="121">
        <v>8</v>
      </c>
      <c r="B11" s="123" t="s">
        <v>660</v>
      </c>
      <c r="C11" s="124" t="s">
        <v>657</v>
      </c>
      <c r="D11" s="121" t="s">
        <v>654</v>
      </c>
      <c r="E11" s="121"/>
      <c r="F11" s="630"/>
    </row>
    <row r="12" spans="1:7" ht="37.5">
      <c r="A12" s="121">
        <v>9</v>
      </c>
      <c r="B12" s="123" t="s">
        <v>663</v>
      </c>
      <c r="C12" s="124" t="s">
        <v>658</v>
      </c>
      <c r="D12" s="121" t="s">
        <v>654</v>
      </c>
      <c r="E12" s="121"/>
      <c r="F12" s="630"/>
    </row>
    <row r="13" spans="1:7">
      <c r="A13" s="121">
        <v>10</v>
      </c>
      <c r="B13" s="123" t="s">
        <v>661</v>
      </c>
      <c r="C13" s="124" t="s">
        <v>659</v>
      </c>
      <c r="D13" s="121" t="s">
        <v>662</v>
      </c>
      <c r="E13" s="121" t="s">
        <v>683</v>
      </c>
      <c r="F13" s="630"/>
    </row>
    <row r="14" spans="1:7" ht="37.5">
      <c r="A14" s="121">
        <v>11</v>
      </c>
      <c r="B14" s="128" t="s">
        <v>949</v>
      </c>
      <c r="C14" s="124" t="s">
        <v>672</v>
      </c>
      <c r="D14" s="127" t="s">
        <v>947</v>
      </c>
      <c r="E14" s="127" t="s">
        <v>681</v>
      </c>
      <c r="F14" s="630"/>
      <c r="G14" s="129" t="s">
        <v>685</v>
      </c>
    </row>
    <row r="15" spans="1:7" ht="56.25">
      <c r="A15" s="121">
        <v>12</v>
      </c>
      <c r="B15" s="128" t="s">
        <v>950</v>
      </c>
      <c r="C15" s="124" t="s">
        <v>664</v>
      </c>
      <c r="D15" s="127" t="s">
        <v>681</v>
      </c>
      <c r="E15" s="127"/>
      <c r="F15" s="631"/>
      <c r="G15" s="129" t="s">
        <v>685</v>
      </c>
    </row>
    <row r="16" spans="1:7">
      <c r="A16" s="125"/>
      <c r="B16" s="125"/>
      <c r="C16" s="125"/>
      <c r="D16" s="125"/>
      <c r="E16" s="125"/>
      <c r="F16" s="125"/>
    </row>
  </sheetData>
  <mergeCells count="2">
    <mergeCell ref="A1:F1"/>
    <mergeCell ref="F4:F15"/>
  </mergeCell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50"/>
  <sheetViews>
    <sheetView zoomScaleNormal="100" workbookViewId="0">
      <pane ySplit="7" topLeftCell="A23" activePane="bottomLeft" state="frozen"/>
      <selection activeCell="B14" sqref="B14"/>
      <selection pane="bottomLeft" activeCell="E16" sqref="E16"/>
    </sheetView>
  </sheetViews>
  <sheetFormatPr defaultColWidth="9.140625" defaultRowHeight="15"/>
  <cols>
    <col min="1" max="1" width="0" style="266" hidden="1" customWidth="1"/>
    <col min="2" max="2" width="7.7109375" style="266" customWidth="1"/>
    <col min="3" max="3" width="29" style="266" customWidth="1"/>
    <col min="4" max="4" width="14.140625" style="266" customWidth="1"/>
    <col min="5" max="5" width="13.7109375" style="266" customWidth="1"/>
    <col min="6" max="6" width="11.7109375" style="266" customWidth="1"/>
    <col min="7" max="7" width="12.5703125" style="266" customWidth="1"/>
    <col min="8" max="8" width="9.140625" style="266" customWidth="1"/>
    <col min="9" max="9" width="10.140625" style="266" customWidth="1"/>
    <col min="10" max="10" width="14.140625" style="266" customWidth="1"/>
    <col min="11" max="16384" width="9.140625" style="266"/>
  </cols>
  <sheetData>
    <row r="1" spans="2:10">
      <c r="B1" s="383"/>
      <c r="F1" s="633" t="s">
        <v>641</v>
      </c>
      <c r="G1" s="633"/>
    </row>
    <row r="2" spans="2:10">
      <c r="B2" s="634" t="s">
        <v>952</v>
      </c>
      <c r="C2" s="634"/>
      <c r="D2" s="634"/>
      <c r="E2" s="634"/>
      <c r="F2" s="634"/>
      <c r="G2" s="634"/>
    </row>
    <row r="3" spans="2:10">
      <c r="B3" s="635" t="s">
        <v>953</v>
      </c>
      <c r="C3" s="635"/>
      <c r="D3" s="635"/>
      <c r="E3" s="635"/>
      <c r="F3" s="635"/>
      <c r="G3" s="635"/>
    </row>
    <row r="4" spans="2:10">
      <c r="B4" s="536"/>
      <c r="F4" s="636" t="s">
        <v>888</v>
      </c>
      <c r="G4" s="636"/>
    </row>
    <row r="5" spans="2:10">
      <c r="B5" s="637" t="s">
        <v>16</v>
      </c>
      <c r="C5" s="637" t="s">
        <v>17</v>
      </c>
      <c r="D5" s="637" t="s">
        <v>18</v>
      </c>
      <c r="E5" s="637" t="s">
        <v>19</v>
      </c>
      <c r="F5" s="637" t="s">
        <v>916</v>
      </c>
      <c r="G5" s="637"/>
    </row>
    <row r="6" spans="2:10" ht="21" customHeight="1">
      <c r="B6" s="637"/>
      <c r="C6" s="637"/>
      <c r="D6" s="637"/>
      <c r="E6" s="637"/>
      <c r="F6" s="537" t="s">
        <v>21</v>
      </c>
      <c r="G6" s="537" t="s">
        <v>22</v>
      </c>
    </row>
    <row r="7" spans="2:10">
      <c r="B7" s="537" t="s">
        <v>23</v>
      </c>
      <c r="C7" s="537" t="s">
        <v>24</v>
      </c>
      <c r="D7" s="537">
        <v>1</v>
      </c>
      <c r="E7" s="537">
        <v>2</v>
      </c>
      <c r="F7" s="537" t="s">
        <v>25</v>
      </c>
      <c r="G7" s="537" t="s">
        <v>26</v>
      </c>
    </row>
    <row r="8" spans="2:10" ht="24.75" customHeight="1">
      <c r="B8" s="553" t="s">
        <v>23</v>
      </c>
      <c r="C8" s="554" t="s">
        <v>27</v>
      </c>
      <c r="D8" s="555">
        <f>D9+D12+D15+D16+D17+D18+D19</f>
        <v>7758365</v>
      </c>
      <c r="E8" s="555">
        <f>E9+E12+E15+E16+E17+E18+E19+E20+0.3</f>
        <v>10427450.634206001</v>
      </c>
      <c r="F8" s="508">
        <f>E8-D8</f>
        <v>2669085.6342060007</v>
      </c>
      <c r="G8" s="168">
        <f>IF(D8=0, ,E8/D8*100)</f>
        <v>134.40268193370639</v>
      </c>
      <c r="H8" s="404"/>
      <c r="I8" s="404"/>
      <c r="J8" s="404"/>
    </row>
    <row r="9" spans="2:10" ht="36.75" customHeight="1">
      <c r="B9" s="386" t="s">
        <v>28</v>
      </c>
      <c r="C9" s="387" t="s">
        <v>29</v>
      </c>
      <c r="D9" s="388">
        <f>D10+D11</f>
        <v>3046300</v>
      </c>
      <c r="E9" s="388">
        <f>E10+E11</f>
        <v>3031304.5862059994</v>
      </c>
      <c r="F9" s="344">
        <f t="shared" ref="F9:F45" si="0">E9-D9</f>
        <v>-14995.413794000633</v>
      </c>
      <c r="G9" s="389">
        <f t="shared" ref="G9:G45" si="1">IF(D9=0, ,E9/D9*100)</f>
        <v>99.507749932902186</v>
      </c>
    </row>
    <row r="10" spans="2:10" ht="21" customHeight="1">
      <c r="B10" s="390" t="s">
        <v>30</v>
      </c>
      <c r="C10" s="391" t="s">
        <v>31</v>
      </c>
      <c r="D10" s="392">
        <v>1994100</v>
      </c>
      <c r="E10" s="392">
        <v>1813188.6862059997</v>
      </c>
      <c r="F10" s="343">
        <f t="shared" si="0"/>
        <v>-180911.31379400031</v>
      </c>
      <c r="G10" s="393">
        <f t="shared" si="1"/>
        <v>90.927670939571726</v>
      </c>
    </row>
    <row r="11" spans="2:10" ht="33" customHeight="1">
      <c r="B11" s="390" t="s">
        <v>30</v>
      </c>
      <c r="C11" s="391" t="s">
        <v>32</v>
      </c>
      <c r="D11" s="556">
        <v>1052200</v>
      </c>
      <c r="E11" s="392">
        <v>1218115.8999999999</v>
      </c>
      <c r="F11" s="343">
        <f t="shared" si="0"/>
        <v>165915.89999999991</v>
      </c>
      <c r="G11" s="393">
        <f t="shared" si="1"/>
        <v>115.76847557498573</v>
      </c>
    </row>
    <row r="12" spans="2:10" ht="30" customHeight="1">
      <c r="B12" s="386" t="s">
        <v>33</v>
      </c>
      <c r="C12" s="387" t="s">
        <v>34</v>
      </c>
      <c r="D12" s="388">
        <f>SUM(D13:D14)</f>
        <v>4712065</v>
      </c>
      <c r="E12" s="388">
        <f>SUM(E13:E14)</f>
        <v>4588049.9720000001</v>
      </c>
      <c r="F12" s="344">
        <f t="shared" si="0"/>
        <v>-124015.02799999993</v>
      </c>
      <c r="G12" s="389">
        <f t="shared" si="1"/>
        <v>97.368138427632047</v>
      </c>
    </row>
    <row r="13" spans="2:10" ht="26.25" customHeight="1">
      <c r="B13" s="390">
        <v>1</v>
      </c>
      <c r="C13" s="391" t="s">
        <v>35</v>
      </c>
      <c r="D13" s="557">
        <v>3270925</v>
      </c>
      <c r="E13" s="392">
        <v>3270925</v>
      </c>
      <c r="F13" s="343">
        <f t="shared" si="0"/>
        <v>0</v>
      </c>
      <c r="G13" s="393">
        <f t="shared" si="1"/>
        <v>100</v>
      </c>
    </row>
    <row r="14" spans="2:10" ht="24" customHeight="1">
      <c r="B14" s="390">
        <v>2</v>
      </c>
      <c r="C14" s="391" t="s">
        <v>36</v>
      </c>
      <c r="D14" s="392">
        <v>1441140</v>
      </c>
      <c r="E14" s="392">
        <v>1317124.9720000001</v>
      </c>
      <c r="F14" s="343">
        <f t="shared" si="0"/>
        <v>-124015.02799999993</v>
      </c>
      <c r="G14" s="393">
        <f t="shared" si="1"/>
        <v>91.39465784032086</v>
      </c>
    </row>
    <row r="15" spans="2:10" ht="22.5" customHeight="1">
      <c r="B15" s="386" t="s">
        <v>37</v>
      </c>
      <c r="C15" s="387" t="s">
        <v>38</v>
      </c>
      <c r="D15" s="388"/>
      <c r="E15" s="388">
        <v>45091</v>
      </c>
      <c r="F15" s="344">
        <f t="shared" si="0"/>
        <v>45091</v>
      </c>
      <c r="G15" s="389">
        <f t="shared" si="1"/>
        <v>0</v>
      </c>
    </row>
    <row r="16" spans="2:10" ht="21.75" customHeight="1">
      <c r="B16" s="386" t="s">
        <v>39</v>
      </c>
      <c r="C16" s="387" t="s">
        <v>862</v>
      </c>
      <c r="D16" s="388"/>
      <c r="E16" s="388">
        <v>52954.448385000003</v>
      </c>
      <c r="F16" s="344">
        <f t="shared" si="0"/>
        <v>52954.448385000003</v>
      </c>
      <c r="G16" s="389">
        <f t="shared" si="1"/>
        <v>0</v>
      </c>
    </row>
    <row r="17" spans="2:11" ht="30.75" customHeight="1">
      <c r="B17" s="386" t="s">
        <v>40</v>
      </c>
      <c r="C17" s="387" t="s">
        <v>41</v>
      </c>
      <c r="D17" s="388"/>
      <c r="E17" s="388">
        <v>2591890.6532199997</v>
      </c>
      <c r="F17" s="344">
        <f t="shared" si="0"/>
        <v>2591890.6532199997</v>
      </c>
      <c r="G17" s="389">
        <f t="shared" si="1"/>
        <v>0</v>
      </c>
    </row>
    <row r="18" spans="2:11" ht="30.75" customHeight="1">
      <c r="B18" s="386" t="s">
        <v>126</v>
      </c>
      <c r="C18" s="387" t="s">
        <v>860</v>
      </c>
      <c r="D18" s="388"/>
      <c r="E18" s="388">
        <v>98321.674394999995</v>
      </c>
      <c r="F18" s="344">
        <f t="shared" si="0"/>
        <v>98321.674394999995</v>
      </c>
      <c r="G18" s="389">
        <f t="shared" si="1"/>
        <v>0</v>
      </c>
    </row>
    <row r="19" spans="2:11" ht="30.75" customHeight="1">
      <c r="B19" s="386" t="s">
        <v>159</v>
      </c>
      <c r="C19" s="387" t="s">
        <v>861</v>
      </c>
      <c r="D19" s="388"/>
      <c r="E19" s="388">
        <v>19838</v>
      </c>
      <c r="F19" s="344">
        <f t="shared" si="0"/>
        <v>19838</v>
      </c>
      <c r="G19" s="389">
        <f t="shared" si="1"/>
        <v>0</v>
      </c>
    </row>
    <row r="20" spans="2:11" ht="30.75" customHeight="1">
      <c r="B20" s="386" t="s">
        <v>788</v>
      </c>
      <c r="C20" s="387" t="s">
        <v>912</v>
      </c>
      <c r="D20" s="388"/>
      <c r="E20" s="388"/>
      <c r="F20" s="344">
        <f t="shared" si="0"/>
        <v>0</v>
      </c>
      <c r="G20" s="389">
        <f t="shared" si="1"/>
        <v>0</v>
      </c>
    </row>
    <row r="21" spans="2:11" ht="23.25" customHeight="1">
      <c r="B21" s="386" t="s">
        <v>24</v>
      </c>
      <c r="C21" s="387" t="s">
        <v>42</v>
      </c>
      <c r="D21" s="388">
        <f>D22+D33+D36+D37</f>
        <v>7842265</v>
      </c>
      <c r="E21" s="388">
        <f>E22+E33+E36+E37</f>
        <v>10351562.523144001</v>
      </c>
      <c r="F21" s="344">
        <f t="shared" si="0"/>
        <v>2509297.5231440011</v>
      </c>
      <c r="G21" s="389">
        <f t="shared" si="1"/>
        <v>131.99710189778082</v>
      </c>
      <c r="I21" s="404"/>
      <c r="J21" s="404"/>
    </row>
    <row r="22" spans="2:11" ht="25.5" customHeight="1">
      <c r="B22" s="386" t="s">
        <v>28</v>
      </c>
      <c r="C22" s="387" t="s">
        <v>921</v>
      </c>
      <c r="D22" s="388">
        <f>D23+D32</f>
        <v>6401125</v>
      </c>
      <c r="E22" s="388">
        <f>E23+E32</f>
        <v>6127440.8491620012</v>
      </c>
      <c r="F22" s="344">
        <f t="shared" si="0"/>
        <v>-273684.15083799884</v>
      </c>
      <c r="G22" s="389">
        <f t="shared" si="1"/>
        <v>95.724436707016352</v>
      </c>
      <c r="J22" s="404"/>
    </row>
    <row r="23" spans="2:11" ht="25.5" customHeight="1">
      <c r="B23" s="386" t="s">
        <v>712</v>
      </c>
      <c r="C23" s="387" t="s">
        <v>922</v>
      </c>
      <c r="D23" s="388">
        <f>D24+D25+D26+D27+D28+D29+D30+D31</f>
        <v>6317225</v>
      </c>
      <c r="E23" s="388">
        <f>E24+E25+E26+E27+E28+E29+E30+E31</f>
        <v>6108163.3360650009</v>
      </c>
      <c r="F23" s="388">
        <f t="shared" ref="F23" si="2">F24+F25+F26+F27+F28+F29</f>
        <v>-181961.36393499933</v>
      </c>
      <c r="G23" s="389">
        <f t="shared" si="1"/>
        <v>96.690609184649929</v>
      </c>
      <c r="J23" s="404"/>
    </row>
    <row r="24" spans="2:11" ht="23.25" customHeight="1">
      <c r="B24" s="390">
        <v>1</v>
      </c>
      <c r="C24" s="391" t="s">
        <v>43</v>
      </c>
      <c r="D24" s="392">
        <f>'Bieu 51_'!D10</f>
        <v>902220</v>
      </c>
      <c r="E24" s="392">
        <f>'Bieu 51_'!E10</f>
        <v>1257560.1399480002</v>
      </c>
      <c r="F24" s="343">
        <f t="shared" si="0"/>
        <v>355340.1399480002</v>
      </c>
      <c r="G24" s="393">
        <f t="shared" si="1"/>
        <v>139.38508788854162</v>
      </c>
      <c r="J24" s="404"/>
    </row>
    <row r="25" spans="2:11" ht="19.5" customHeight="1">
      <c r="B25" s="390">
        <v>2</v>
      </c>
      <c r="C25" s="391" t="s">
        <v>44</v>
      </c>
      <c r="D25" s="392">
        <f>'Bieu 51_'!D20</f>
        <v>4457168</v>
      </c>
      <c r="E25" s="392">
        <f>'Bieu 51_'!E20</f>
        <v>4776892.6441170005</v>
      </c>
      <c r="F25" s="343">
        <f t="shared" si="0"/>
        <v>319724.64411700051</v>
      </c>
      <c r="G25" s="393">
        <f t="shared" si="1"/>
        <v>107.17326885854428</v>
      </c>
    </row>
    <row r="26" spans="2:11" ht="28.5" customHeight="1">
      <c r="B26" s="390">
        <v>3</v>
      </c>
      <c r="C26" s="391" t="s">
        <v>923</v>
      </c>
      <c r="D26" s="392">
        <f>'Bieu 51_'!D24</f>
        <v>2000</v>
      </c>
      <c r="E26" s="398">
        <f>'Bieu 51_'!E24</f>
        <v>9500.851999999999</v>
      </c>
      <c r="F26" s="343">
        <f t="shared" si="0"/>
        <v>7500.851999999999</v>
      </c>
      <c r="G26" s="393">
        <f t="shared" si="1"/>
        <v>475.04259999999994</v>
      </c>
      <c r="J26" s="404"/>
      <c r="K26" s="404"/>
    </row>
    <row r="27" spans="2:11" ht="27" customHeight="1">
      <c r="B27" s="390">
        <v>4</v>
      </c>
      <c r="C27" s="391" t="s">
        <v>45</v>
      </c>
      <c r="D27" s="392">
        <f>'Bieu 51_'!D25</f>
        <v>1000</v>
      </c>
      <c r="E27" s="398">
        <f>'Bieu 51_'!E25</f>
        <v>1000</v>
      </c>
      <c r="F27" s="343">
        <f t="shared" si="0"/>
        <v>0</v>
      </c>
      <c r="G27" s="393">
        <f t="shared" si="1"/>
        <v>100</v>
      </c>
    </row>
    <row r="28" spans="2:11" ht="21.75" customHeight="1">
      <c r="B28" s="390">
        <v>5</v>
      </c>
      <c r="C28" s="391" t="s">
        <v>46</v>
      </c>
      <c r="D28" s="392">
        <f>'Bieu 51_'!D26</f>
        <v>126345</v>
      </c>
      <c r="E28" s="398">
        <f>'Bieu 51_'!E26</f>
        <v>0</v>
      </c>
      <c r="F28" s="343">
        <f t="shared" si="0"/>
        <v>-126345</v>
      </c>
      <c r="G28" s="393">
        <f t="shared" si="1"/>
        <v>0</v>
      </c>
    </row>
    <row r="29" spans="2:11" ht="36" customHeight="1">
      <c r="B29" s="390">
        <v>6</v>
      </c>
      <c r="C29" s="391" t="s">
        <v>804</v>
      </c>
      <c r="D29" s="392">
        <f>'Bieu 51_'!D27</f>
        <v>789492</v>
      </c>
      <c r="E29" s="398">
        <f>'Bieu 51_'!E27</f>
        <v>51310</v>
      </c>
      <c r="F29" s="343">
        <f t="shared" si="0"/>
        <v>-738182</v>
      </c>
      <c r="G29" s="393">
        <f t="shared" si="1"/>
        <v>6.4991158871780836</v>
      </c>
    </row>
    <row r="30" spans="2:11" ht="36" customHeight="1">
      <c r="B30" s="390">
        <v>7</v>
      </c>
      <c r="C30" s="391" t="s">
        <v>984</v>
      </c>
      <c r="D30" s="392">
        <f>'Bieu 51_'!D28</f>
        <v>39000</v>
      </c>
      <c r="E30" s="398">
        <f>'Bieu 51_'!E28</f>
        <v>0</v>
      </c>
      <c r="F30" s="343">
        <f t="shared" ref="F30:F31" si="3">E30-D30</f>
        <v>-39000</v>
      </c>
      <c r="G30" s="393">
        <f t="shared" ref="G30:G31" si="4">IF(D30=0, ,E30/D30*100)</f>
        <v>0</v>
      </c>
    </row>
    <row r="31" spans="2:11" ht="36" customHeight="1">
      <c r="B31" s="390">
        <v>8</v>
      </c>
      <c r="C31" s="391" t="s">
        <v>1026</v>
      </c>
      <c r="D31" s="392">
        <f>'Bieu 51_'!D29</f>
        <v>0</v>
      </c>
      <c r="E31" s="398">
        <f>'Bieu 51_'!E29</f>
        <v>11899.7</v>
      </c>
      <c r="F31" s="343">
        <f t="shared" si="3"/>
        <v>11899.7</v>
      </c>
      <c r="G31" s="393">
        <f t="shared" si="4"/>
        <v>0</v>
      </c>
    </row>
    <row r="32" spans="2:11" s="405" customFormat="1" ht="36" customHeight="1">
      <c r="B32" s="386" t="s">
        <v>776</v>
      </c>
      <c r="C32" s="387" t="s">
        <v>859</v>
      </c>
      <c r="D32" s="388">
        <f>'Bieu 51_'!D30</f>
        <v>83900</v>
      </c>
      <c r="E32" s="399">
        <f>'Bieu 51_'!E30</f>
        <v>19277.513097000003</v>
      </c>
      <c r="F32" s="344">
        <f t="shared" si="0"/>
        <v>-64622.486902999997</v>
      </c>
      <c r="G32" s="389">
        <f t="shared" si="1"/>
        <v>22.976773655542317</v>
      </c>
    </row>
    <row r="33" spans="2:10" ht="27.75" customHeight="1">
      <c r="B33" s="386" t="s">
        <v>33</v>
      </c>
      <c r="C33" s="387" t="s">
        <v>47</v>
      </c>
      <c r="D33" s="388">
        <f>SUM(D34:D35)</f>
        <v>1441140</v>
      </c>
      <c r="E33" s="399">
        <f>E34+E35</f>
        <v>1589410.533905</v>
      </c>
      <c r="F33" s="344">
        <f t="shared" si="0"/>
        <v>148270.53390499996</v>
      </c>
      <c r="G33" s="389">
        <f t="shared" si="1"/>
        <v>110.28841985546165</v>
      </c>
    </row>
    <row r="34" spans="2:10" ht="30" customHeight="1">
      <c r="B34" s="390">
        <v>1</v>
      </c>
      <c r="C34" s="391" t="s">
        <v>48</v>
      </c>
      <c r="D34" s="392">
        <f>'Bieu 51_'!D33</f>
        <v>0</v>
      </c>
      <c r="E34" s="392">
        <f>'Bieu 51_'!E32</f>
        <v>43796.432468999999</v>
      </c>
      <c r="F34" s="343">
        <f t="shared" si="0"/>
        <v>43796.432468999999</v>
      </c>
      <c r="G34" s="393">
        <f t="shared" si="1"/>
        <v>0</v>
      </c>
    </row>
    <row r="35" spans="2:10" ht="27.75" customHeight="1">
      <c r="B35" s="390">
        <v>2</v>
      </c>
      <c r="C35" s="391" t="s">
        <v>49</v>
      </c>
      <c r="D35" s="392">
        <f>'Bieu 51_'!D31</f>
        <v>1441140</v>
      </c>
      <c r="E35" s="392">
        <f>'Bieu 51_'!E31-'Bieu 51_'!E32</f>
        <v>1545614.1014359999</v>
      </c>
      <c r="F35" s="343">
        <f t="shared" si="0"/>
        <v>104474.10143599985</v>
      </c>
      <c r="G35" s="393">
        <f t="shared" si="1"/>
        <v>107.24940681932358</v>
      </c>
    </row>
    <row r="36" spans="2:10" ht="32.25" customHeight="1">
      <c r="B36" s="386" t="s">
        <v>37</v>
      </c>
      <c r="C36" s="387" t="s">
        <v>50</v>
      </c>
      <c r="D36" s="388">
        <f>'Bieu 51_'!D105</f>
        <v>0</v>
      </c>
      <c r="E36" s="388">
        <f>'Bieu 51_'!E105</f>
        <v>2204821.649613</v>
      </c>
      <c r="F36" s="344">
        <f t="shared" si="0"/>
        <v>2204821.649613</v>
      </c>
      <c r="G36" s="389">
        <f t="shared" si="1"/>
        <v>0</v>
      </c>
    </row>
    <row r="37" spans="2:10" ht="32.25" customHeight="1">
      <c r="B37" s="386" t="s">
        <v>39</v>
      </c>
      <c r="C37" s="387" t="s">
        <v>805</v>
      </c>
      <c r="D37" s="388">
        <f>'Bieu 51_'!D106</f>
        <v>0</v>
      </c>
      <c r="E37" s="388">
        <f>'Bieu 51_'!E106</f>
        <v>429889.49046399997</v>
      </c>
      <c r="F37" s="344">
        <f t="shared" si="0"/>
        <v>429889.49046399997</v>
      </c>
      <c r="G37" s="389">
        <f t="shared" si="1"/>
        <v>0</v>
      </c>
    </row>
    <row r="38" spans="2:10" s="18" customFormat="1" ht="32.25" customHeight="1">
      <c r="B38" s="406" t="s">
        <v>51</v>
      </c>
      <c r="C38" s="407" t="s">
        <v>1027</v>
      </c>
      <c r="D38" s="399"/>
      <c r="E38" s="399"/>
      <c r="F38" s="408">
        <f t="shared" ref="F38" si="5">E38-D38</f>
        <v>0</v>
      </c>
      <c r="G38" s="389">
        <f t="shared" ref="G38" si="6">IF(D38=0, ,E38/D38*100)</f>
        <v>0</v>
      </c>
    </row>
    <row r="39" spans="2:10" ht="25.5" customHeight="1">
      <c r="B39" s="386" t="s">
        <v>52</v>
      </c>
      <c r="C39" s="387" t="s">
        <v>53</v>
      </c>
      <c r="D39" s="388">
        <f>D40+D41</f>
        <v>7100</v>
      </c>
      <c r="E39" s="388">
        <f>E40+E41</f>
        <v>7642.9970000000003</v>
      </c>
      <c r="F39" s="344">
        <f t="shared" si="0"/>
        <v>542.9970000000003</v>
      </c>
      <c r="G39" s="389">
        <f t="shared" si="1"/>
        <v>107.64784507042253</v>
      </c>
    </row>
    <row r="40" spans="2:10" ht="19.5" customHeight="1">
      <c r="B40" s="386" t="s">
        <v>28</v>
      </c>
      <c r="C40" s="387" t="s">
        <v>54</v>
      </c>
      <c r="D40" s="388">
        <v>7100</v>
      </c>
      <c r="E40" s="388"/>
      <c r="F40" s="344">
        <f t="shared" si="0"/>
        <v>-7100</v>
      </c>
      <c r="G40" s="389">
        <f t="shared" si="1"/>
        <v>0</v>
      </c>
    </row>
    <row r="41" spans="2:10" ht="30" customHeight="1">
      <c r="B41" s="386" t="s">
        <v>33</v>
      </c>
      <c r="C41" s="387" t="s">
        <v>55</v>
      </c>
      <c r="D41" s="394"/>
      <c r="E41" s="394">
        <v>7642.9970000000003</v>
      </c>
      <c r="F41" s="395">
        <f t="shared" si="0"/>
        <v>7642.9970000000003</v>
      </c>
      <c r="G41" s="389">
        <f t="shared" si="1"/>
        <v>0</v>
      </c>
    </row>
    <row r="42" spans="2:10" ht="21" customHeight="1">
      <c r="B42" s="386" t="s">
        <v>56</v>
      </c>
      <c r="C42" s="387" t="s">
        <v>57</v>
      </c>
      <c r="D42" s="388">
        <v>91000</v>
      </c>
      <c r="E42" s="388">
        <f>E19</f>
        <v>19838</v>
      </c>
      <c r="F42" s="344">
        <f t="shared" si="0"/>
        <v>-71162</v>
      </c>
      <c r="G42" s="389">
        <f t="shared" si="1"/>
        <v>21.8</v>
      </c>
    </row>
    <row r="43" spans="2:10" ht="18" hidden="1" customHeight="1">
      <c r="B43" s="386" t="s">
        <v>28</v>
      </c>
      <c r="C43" s="387" t="s">
        <v>58</v>
      </c>
      <c r="D43" s="388"/>
      <c r="E43" s="388"/>
      <c r="F43" s="344">
        <f t="shared" si="0"/>
        <v>0</v>
      </c>
      <c r="G43" s="389">
        <f t="shared" si="1"/>
        <v>0</v>
      </c>
    </row>
    <row r="44" spans="2:10" ht="16.5" hidden="1" customHeight="1">
      <c r="B44" s="386" t="s">
        <v>33</v>
      </c>
      <c r="C44" s="387" t="s">
        <v>59</v>
      </c>
      <c r="D44" s="388"/>
      <c r="E44" s="388"/>
      <c r="F44" s="344">
        <f t="shared" si="0"/>
        <v>0</v>
      </c>
      <c r="G44" s="389">
        <f t="shared" si="1"/>
        <v>0</v>
      </c>
    </row>
    <row r="45" spans="2:10" ht="33.75" customHeight="1">
      <c r="B45" s="396" t="s">
        <v>60</v>
      </c>
      <c r="C45" s="397" t="s">
        <v>61</v>
      </c>
      <c r="D45" s="558">
        <v>130487</v>
      </c>
      <c r="E45" s="559">
        <v>60033</v>
      </c>
      <c r="F45" s="560">
        <f t="shared" si="0"/>
        <v>-70454</v>
      </c>
      <c r="G45" s="561">
        <f t="shared" si="1"/>
        <v>46.006881911608055</v>
      </c>
      <c r="J45" s="404"/>
    </row>
    <row r="47" spans="2:10" ht="92.25" customHeight="1">
      <c r="B47" s="632" t="s">
        <v>913</v>
      </c>
      <c r="C47" s="632"/>
      <c r="D47" s="632"/>
      <c r="E47" s="632"/>
      <c r="F47" s="632"/>
      <c r="G47" s="632"/>
    </row>
    <row r="50" spans="5:5">
      <c r="E50" s="404"/>
    </row>
  </sheetData>
  <mergeCells count="10">
    <mergeCell ref="B47:G47"/>
    <mergeCell ref="F1:G1"/>
    <mergeCell ref="B2:G2"/>
    <mergeCell ref="B3:G3"/>
    <mergeCell ref="F4:G4"/>
    <mergeCell ref="B5:B6"/>
    <mergeCell ref="C5:C6"/>
    <mergeCell ref="D5:D6"/>
    <mergeCell ref="E5:E6"/>
    <mergeCell ref="F5:G5"/>
  </mergeCells>
  <pageMargins left="0.70866141732283472" right="0.31496062992125984"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87"/>
  <sheetViews>
    <sheetView showZeros="0" topLeftCell="A17" zoomScaleNormal="100" workbookViewId="0">
      <selection activeCell="F37" sqref="F37"/>
    </sheetView>
  </sheetViews>
  <sheetFormatPr defaultColWidth="9.140625" defaultRowHeight="15" outlineLevelRow="1"/>
  <cols>
    <col min="1" max="1" width="9.140625" style="215"/>
    <col min="2" max="2" width="6.7109375" style="215" customWidth="1"/>
    <col min="3" max="3" width="46" style="215" customWidth="1"/>
    <col min="4" max="4" width="12.7109375" style="215" customWidth="1"/>
    <col min="5" max="5" width="11.7109375" style="215" customWidth="1"/>
    <col min="6" max="6" width="11.42578125" style="215" customWidth="1"/>
    <col min="7" max="7" width="11.7109375" style="215" customWidth="1"/>
    <col min="8" max="9" width="11.28515625" style="215" customWidth="1"/>
    <col min="10" max="10" width="9.140625" style="215"/>
    <col min="11" max="11" width="12.5703125" style="215" bestFit="1" customWidth="1"/>
    <col min="12" max="12" width="18.42578125" style="215" customWidth="1"/>
    <col min="13" max="16384" width="9.140625" style="215"/>
  </cols>
  <sheetData>
    <row r="1" spans="2:12">
      <c r="B1" s="214" t="s">
        <v>910</v>
      </c>
    </row>
    <row r="2" spans="2:12" ht="25.5" customHeight="1">
      <c r="B2" s="638" t="s">
        <v>954</v>
      </c>
      <c r="C2" s="638"/>
      <c r="D2" s="638"/>
      <c r="E2" s="638"/>
      <c r="F2" s="638"/>
      <c r="G2" s="638"/>
      <c r="H2" s="638"/>
      <c r="I2" s="638"/>
    </row>
    <row r="3" spans="2:12">
      <c r="B3" s="639" t="s">
        <v>953</v>
      </c>
      <c r="C3" s="639"/>
      <c r="D3" s="639"/>
      <c r="E3" s="639"/>
      <c r="F3" s="639"/>
      <c r="G3" s="639"/>
      <c r="H3" s="639"/>
      <c r="I3" s="639"/>
    </row>
    <row r="4" spans="2:12" hidden="1">
      <c r="B4" s="216"/>
      <c r="C4" s="217" t="s">
        <v>906</v>
      </c>
      <c r="D4" s="216"/>
      <c r="E4" s="216"/>
      <c r="F4" s="216"/>
      <c r="G4" s="216"/>
      <c r="H4" s="216"/>
      <c r="I4" s="216"/>
    </row>
    <row r="5" spans="2:12">
      <c r="C5" s="359"/>
      <c r="F5" s="360"/>
      <c r="G5" s="218"/>
      <c r="H5" s="640" t="s">
        <v>62</v>
      </c>
      <c r="I5" s="640"/>
    </row>
    <row r="6" spans="2:12">
      <c r="B6" s="641" t="s">
        <v>16</v>
      </c>
      <c r="C6" s="641" t="s">
        <v>63</v>
      </c>
      <c r="D6" s="641" t="s">
        <v>18</v>
      </c>
      <c r="E6" s="641"/>
      <c r="F6" s="641" t="s">
        <v>19</v>
      </c>
      <c r="G6" s="641"/>
      <c r="H6" s="641" t="s">
        <v>64</v>
      </c>
      <c r="I6" s="641"/>
    </row>
    <row r="7" spans="2:12" ht="25.5">
      <c r="B7" s="641"/>
      <c r="C7" s="641"/>
      <c r="D7" s="316" t="s">
        <v>65</v>
      </c>
      <c r="E7" s="316" t="s">
        <v>66</v>
      </c>
      <c r="F7" s="316" t="s">
        <v>65</v>
      </c>
      <c r="G7" s="316" t="s">
        <v>66</v>
      </c>
      <c r="H7" s="316" t="s">
        <v>65</v>
      </c>
      <c r="I7" s="316" t="s">
        <v>66</v>
      </c>
    </row>
    <row r="8" spans="2:12">
      <c r="B8" s="191" t="s">
        <v>23</v>
      </c>
      <c r="C8" s="191" t="s">
        <v>24</v>
      </c>
      <c r="D8" s="191">
        <v>1</v>
      </c>
      <c r="E8" s="191">
        <v>2</v>
      </c>
      <c r="F8" s="191">
        <v>3</v>
      </c>
      <c r="G8" s="191">
        <v>4</v>
      </c>
      <c r="H8" s="191" t="s">
        <v>67</v>
      </c>
      <c r="I8" s="191" t="s">
        <v>68</v>
      </c>
    </row>
    <row r="9" spans="2:12" ht="34.5" customHeight="1">
      <c r="B9" s="361"/>
      <c r="C9" s="362" t="s">
        <v>69</v>
      </c>
      <c r="D9" s="363">
        <f>D10+D77+D79+D80</f>
        <v>3500000</v>
      </c>
      <c r="E9" s="363">
        <f>E10+E77+E79+E80</f>
        <v>3046300</v>
      </c>
      <c r="F9" s="363">
        <f>F10+F77+F79+F80</f>
        <v>6323729.1736069992</v>
      </c>
      <c r="G9" s="363">
        <f>G10+G77+G79+G80</f>
        <v>5741078.6516209999</v>
      </c>
      <c r="H9" s="364">
        <f>IFERROR(F9/D9,"")</f>
        <v>1.8067797638877141</v>
      </c>
      <c r="I9" s="364">
        <f>IFERROR(G9/E9,"")</f>
        <v>1.8846071140797032</v>
      </c>
      <c r="K9" s="219"/>
      <c r="L9" s="219"/>
    </row>
    <row r="10" spans="2:12" s="214" customFormat="1" ht="21" customHeight="1">
      <c r="B10" s="361" t="s">
        <v>23</v>
      </c>
      <c r="C10" s="362" t="s">
        <v>70</v>
      </c>
      <c r="D10" s="363">
        <f>D11+D68+D67+D75</f>
        <v>3500000</v>
      </c>
      <c r="E10" s="363">
        <f>E11+E68+E67+E75</f>
        <v>3046300</v>
      </c>
      <c r="F10" s="363">
        <f>F11+F68+F67+F75+F76</f>
        <v>3659045.7537229997</v>
      </c>
      <c r="G10" s="363">
        <f>G11+G68+G67+G75+G76</f>
        <v>3076395.2317369999</v>
      </c>
      <c r="H10" s="364">
        <f t="shared" ref="H10:I80" si="0">IFERROR(F10/D10,"")</f>
        <v>1.0454416439208571</v>
      </c>
      <c r="I10" s="364">
        <f t="shared" si="0"/>
        <v>1.0098792737868889</v>
      </c>
      <c r="K10" s="220"/>
      <c r="L10" s="220"/>
    </row>
    <row r="11" spans="2:12" s="214" customFormat="1" ht="19.5" customHeight="1">
      <c r="B11" s="361" t="s">
        <v>28</v>
      </c>
      <c r="C11" s="362" t="s">
        <v>0</v>
      </c>
      <c r="D11" s="363">
        <f>D12+D18+D24+D27+D34+D35+D38+D39+D44+D45+D46+D47+D48+D49+D51+D52+D53+D54+D57+D66</f>
        <v>3253200</v>
      </c>
      <c r="E11" s="363">
        <f>E12+E18+E24+E27+E34+E35+E38+E39+E44+E45+E46+E47+E48+E49+E51+E52+E53+E54+E57+E66</f>
        <v>3046300</v>
      </c>
      <c r="F11" s="363">
        <f>F12+F18+F24+F27+F34+F35+F38+F39+F44+F45+F46+F47+F48+F49+F51+F52+F53+F54+F57</f>
        <v>3305633.0500519997</v>
      </c>
      <c r="G11" s="363">
        <f>G12+G18+G24+G27+G34+G35+G38+G39+G44+G45+G46+G47+G48+G49+G51+G52+G53+G54+G57</f>
        <v>3031304.2317369999</v>
      </c>
      <c r="H11" s="364">
        <f t="shared" si="0"/>
        <v>1.0161173767527356</v>
      </c>
      <c r="I11" s="364">
        <f t="shared" si="0"/>
        <v>0.99507738296851922</v>
      </c>
      <c r="L11" s="220"/>
    </row>
    <row r="12" spans="2:12" s="214" customFormat="1" ht="24" customHeight="1">
      <c r="B12" s="361">
        <v>1</v>
      </c>
      <c r="C12" s="362" t="s">
        <v>71</v>
      </c>
      <c r="D12" s="363">
        <f>D13+D14+D15</f>
        <v>729000</v>
      </c>
      <c r="E12" s="363">
        <f>E13+E14+E15</f>
        <v>729000</v>
      </c>
      <c r="F12" s="363">
        <f t="shared" ref="F12:G12" si="1">F13+F14+F15</f>
        <v>734620.67226299993</v>
      </c>
      <c r="G12" s="363">
        <f t="shared" si="1"/>
        <v>734620.67226299993</v>
      </c>
      <c r="H12" s="364">
        <f t="shared" si="0"/>
        <v>1.0077101128436212</v>
      </c>
      <c r="I12" s="364">
        <f t="shared" si="0"/>
        <v>1.0077101128436212</v>
      </c>
      <c r="L12" s="221"/>
    </row>
    <row r="13" spans="2:12" ht="18" customHeight="1">
      <c r="B13" s="365" t="s">
        <v>188</v>
      </c>
      <c r="C13" s="366" t="s">
        <v>192</v>
      </c>
      <c r="D13" s="367">
        <v>312000</v>
      </c>
      <c r="E13" s="367">
        <f>D13</f>
        <v>312000</v>
      </c>
      <c r="F13" s="367">
        <v>277099.63050500001</v>
      </c>
      <c r="G13" s="367">
        <f>F13</f>
        <v>277099.63050500001</v>
      </c>
      <c r="H13" s="368">
        <f t="shared" si="0"/>
        <v>0.88813984136217949</v>
      </c>
      <c r="I13" s="368">
        <f t="shared" si="0"/>
        <v>0.88813984136217949</v>
      </c>
      <c r="L13" s="215" t="s">
        <v>907</v>
      </c>
    </row>
    <row r="14" spans="2:12" ht="19.5" customHeight="1">
      <c r="B14" s="365" t="s">
        <v>189</v>
      </c>
      <c r="C14" s="366" t="s">
        <v>193</v>
      </c>
      <c r="D14" s="367">
        <v>12000</v>
      </c>
      <c r="E14" s="367">
        <f t="shared" ref="E14:E17" si="2">D14</f>
        <v>12000</v>
      </c>
      <c r="F14" s="367">
        <v>12902.881449</v>
      </c>
      <c r="G14" s="367">
        <f t="shared" ref="G14:G15" si="3">F14</f>
        <v>12902.881449</v>
      </c>
      <c r="H14" s="368">
        <f t="shared" si="0"/>
        <v>1.07524012075</v>
      </c>
      <c r="I14" s="368">
        <f t="shared" si="0"/>
        <v>1.07524012075</v>
      </c>
    </row>
    <row r="15" spans="2:12" ht="19.5" customHeight="1">
      <c r="B15" s="365" t="s">
        <v>190</v>
      </c>
      <c r="C15" s="366" t="s">
        <v>194</v>
      </c>
      <c r="D15" s="367">
        <v>405000</v>
      </c>
      <c r="E15" s="367">
        <f t="shared" si="2"/>
        <v>405000</v>
      </c>
      <c r="F15" s="367">
        <v>444618.160309</v>
      </c>
      <c r="G15" s="367">
        <f t="shared" si="3"/>
        <v>444618.160309</v>
      </c>
      <c r="H15" s="368">
        <f t="shared" si="0"/>
        <v>1.0978226180469135</v>
      </c>
      <c r="I15" s="368">
        <f t="shared" si="0"/>
        <v>1.0978226180469135</v>
      </c>
    </row>
    <row r="16" spans="2:12" ht="19.5" customHeight="1">
      <c r="B16" s="369" t="s">
        <v>191</v>
      </c>
      <c r="C16" s="366" t="s">
        <v>195</v>
      </c>
      <c r="D16" s="367"/>
      <c r="E16" s="367">
        <f t="shared" si="2"/>
        <v>0</v>
      </c>
      <c r="F16" s="367"/>
      <c r="G16" s="367"/>
      <c r="H16" s="368" t="str">
        <f t="shared" si="0"/>
        <v/>
      </c>
      <c r="I16" s="368" t="str">
        <f t="shared" si="0"/>
        <v/>
      </c>
    </row>
    <row r="17" spans="2:9" ht="16.5" customHeight="1">
      <c r="B17" s="369" t="s">
        <v>191</v>
      </c>
      <c r="C17" s="366" t="s">
        <v>196</v>
      </c>
      <c r="D17" s="367"/>
      <c r="E17" s="367">
        <f t="shared" si="2"/>
        <v>0</v>
      </c>
      <c r="F17" s="367"/>
      <c r="G17" s="367"/>
      <c r="H17" s="368" t="str">
        <f t="shared" si="0"/>
        <v/>
      </c>
      <c r="I17" s="368" t="str">
        <f t="shared" si="0"/>
        <v/>
      </c>
    </row>
    <row r="18" spans="2:9" ht="19.5" customHeight="1">
      <c r="B18" s="361">
        <v>2</v>
      </c>
      <c r="C18" s="362" t="s">
        <v>73</v>
      </c>
      <c r="D18" s="363">
        <f>D19+D20+D21</f>
        <v>30000</v>
      </c>
      <c r="E18" s="363">
        <f>E19+E20+E21</f>
        <v>30000</v>
      </c>
      <c r="F18" s="363">
        <f t="shared" ref="F18:G18" si="4">F19+F20+F21</f>
        <v>49820.109534999996</v>
      </c>
      <c r="G18" s="363">
        <f t="shared" si="4"/>
        <v>49820.109534999996</v>
      </c>
      <c r="H18" s="364">
        <f t="shared" si="0"/>
        <v>1.6606703178333333</v>
      </c>
      <c r="I18" s="364">
        <f t="shared" si="0"/>
        <v>1.6606703178333333</v>
      </c>
    </row>
    <row r="19" spans="2:9">
      <c r="B19" s="365" t="s">
        <v>197</v>
      </c>
      <c r="C19" s="366" t="s">
        <v>192</v>
      </c>
      <c r="D19" s="367">
        <v>20100</v>
      </c>
      <c r="E19" s="367">
        <f>D19</f>
        <v>20100</v>
      </c>
      <c r="F19" s="367">
        <v>38595.255416</v>
      </c>
      <c r="G19" s="367">
        <f>F19</f>
        <v>38595.255416</v>
      </c>
      <c r="H19" s="368">
        <f t="shared" si="0"/>
        <v>1.9201619609950249</v>
      </c>
      <c r="I19" s="368">
        <f t="shared" si="0"/>
        <v>1.9201619609950249</v>
      </c>
    </row>
    <row r="20" spans="2:9">
      <c r="B20" s="365" t="s">
        <v>198</v>
      </c>
      <c r="C20" s="366" t="s">
        <v>193</v>
      </c>
      <c r="D20" s="367">
        <v>8800</v>
      </c>
      <c r="E20" s="367">
        <f t="shared" ref="E20:E23" si="5">D20</f>
        <v>8800</v>
      </c>
      <c r="F20" s="367">
        <v>9956.557546</v>
      </c>
      <c r="G20" s="367">
        <f t="shared" ref="G20:G21" si="6">F20</f>
        <v>9956.557546</v>
      </c>
      <c r="H20" s="368">
        <f t="shared" si="0"/>
        <v>1.1314269938636363</v>
      </c>
      <c r="I20" s="368">
        <f t="shared" si="0"/>
        <v>1.1314269938636363</v>
      </c>
    </row>
    <row r="21" spans="2:9">
      <c r="B21" s="365" t="s">
        <v>199</v>
      </c>
      <c r="C21" s="366" t="s">
        <v>194</v>
      </c>
      <c r="D21" s="367">
        <v>1100</v>
      </c>
      <c r="E21" s="367">
        <f t="shared" si="5"/>
        <v>1100</v>
      </c>
      <c r="F21" s="367">
        <v>1268.2965730000001</v>
      </c>
      <c r="G21" s="367">
        <f t="shared" si="6"/>
        <v>1268.2965730000001</v>
      </c>
      <c r="H21" s="368">
        <f t="shared" si="0"/>
        <v>1.1529968845454546</v>
      </c>
      <c r="I21" s="368">
        <f t="shared" si="0"/>
        <v>1.1529968845454546</v>
      </c>
    </row>
    <row r="22" spans="2:9">
      <c r="B22" s="369" t="s">
        <v>191</v>
      </c>
      <c r="C22" s="366" t="s">
        <v>200</v>
      </c>
      <c r="D22" s="367"/>
      <c r="E22" s="367">
        <f t="shared" si="5"/>
        <v>0</v>
      </c>
      <c r="F22" s="367"/>
      <c r="G22" s="367"/>
      <c r="H22" s="368" t="str">
        <f t="shared" si="0"/>
        <v/>
      </c>
      <c r="I22" s="368" t="str">
        <f t="shared" si="0"/>
        <v/>
      </c>
    </row>
    <row r="23" spans="2:9">
      <c r="B23" s="369" t="s">
        <v>191</v>
      </c>
      <c r="C23" s="366" t="s">
        <v>196</v>
      </c>
      <c r="D23" s="367"/>
      <c r="E23" s="367">
        <f t="shared" si="5"/>
        <v>0</v>
      </c>
      <c r="F23" s="367"/>
      <c r="G23" s="367"/>
      <c r="H23" s="368" t="str">
        <f t="shared" si="0"/>
        <v/>
      </c>
      <c r="I23" s="368" t="str">
        <f t="shared" si="0"/>
        <v/>
      </c>
    </row>
    <row r="24" spans="2:9" ht="25.5">
      <c r="B24" s="361">
        <v>3</v>
      </c>
      <c r="C24" s="362" t="s">
        <v>74</v>
      </c>
      <c r="D24" s="363">
        <f>D25+D26</f>
        <v>4000</v>
      </c>
      <c r="E24" s="363">
        <f>E25+E26</f>
        <v>4000</v>
      </c>
      <c r="F24" s="363">
        <f t="shared" ref="F24:G24" si="7">F25+F26</f>
        <v>4826.4250320000001</v>
      </c>
      <c r="G24" s="363">
        <f t="shared" si="7"/>
        <v>4826.4250320000001</v>
      </c>
      <c r="H24" s="364">
        <f t="shared" si="0"/>
        <v>1.2066062580000001</v>
      </c>
      <c r="I24" s="364">
        <f t="shared" si="0"/>
        <v>1.2066062580000001</v>
      </c>
    </row>
    <row r="25" spans="2:9">
      <c r="B25" s="365" t="s">
        <v>202</v>
      </c>
      <c r="C25" s="366" t="s">
        <v>192</v>
      </c>
      <c r="D25" s="367">
        <v>2000</v>
      </c>
      <c r="E25" s="367">
        <f>D25</f>
        <v>2000</v>
      </c>
      <c r="F25" s="367">
        <v>2572.211108</v>
      </c>
      <c r="G25" s="367">
        <f>F25</f>
        <v>2572.211108</v>
      </c>
      <c r="H25" s="368">
        <f t="shared" si="0"/>
        <v>1.2861055539999999</v>
      </c>
      <c r="I25" s="368">
        <f t="shared" si="0"/>
        <v>1.2861055539999999</v>
      </c>
    </row>
    <row r="26" spans="2:9">
      <c r="B26" s="365" t="s">
        <v>201</v>
      </c>
      <c r="C26" s="366" t="s">
        <v>193</v>
      </c>
      <c r="D26" s="367">
        <v>2000</v>
      </c>
      <c r="E26" s="367">
        <f>D26</f>
        <v>2000</v>
      </c>
      <c r="F26" s="367">
        <v>2254.2139240000001</v>
      </c>
      <c r="G26" s="367">
        <f>F26</f>
        <v>2254.2139240000001</v>
      </c>
      <c r="H26" s="368">
        <f t="shared" si="0"/>
        <v>1.127106962</v>
      </c>
      <c r="I26" s="368">
        <f t="shared" si="0"/>
        <v>1.127106962</v>
      </c>
    </row>
    <row r="27" spans="2:9">
      <c r="B27" s="361">
        <v>4</v>
      </c>
      <c r="C27" s="362" t="s">
        <v>75</v>
      </c>
      <c r="D27" s="363">
        <f>D28+D29+D30+D31</f>
        <v>670000</v>
      </c>
      <c r="E27" s="363">
        <f>E28+E29+E30+E31</f>
        <v>670000</v>
      </c>
      <c r="F27" s="363">
        <f t="shared" ref="F27:G27" si="8">F28+F29+F30+F31</f>
        <v>979944.42323199997</v>
      </c>
      <c r="G27" s="363">
        <f t="shared" si="8"/>
        <v>979944.42323199997</v>
      </c>
      <c r="H27" s="364">
        <f t="shared" si="0"/>
        <v>1.4626036167641792</v>
      </c>
      <c r="I27" s="364">
        <f t="shared" si="0"/>
        <v>1.4626036167641792</v>
      </c>
    </row>
    <row r="28" spans="2:9">
      <c r="B28" s="365" t="s">
        <v>203</v>
      </c>
      <c r="C28" s="366" t="s">
        <v>192</v>
      </c>
      <c r="D28" s="367">
        <v>495400</v>
      </c>
      <c r="E28" s="367">
        <f>D28</f>
        <v>495400</v>
      </c>
      <c r="F28" s="367">
        <v>713628.617142</v>
      </c>
      <c r="G28" s="367">
        <f>F28</f>
        <v>713628.617142</v>
      </c>
      <c r="H28" s="368">
        <f t="shared" si="0"/>
        <v>1.4405099255995155</v>
      </c>
      <c r="I28" s="368">
        <f t="shared" si="0"/>
        <v>1.4405099255995155</v>
      </c>
    </row>
    <row r="29" spans="2:9">
      <c r="B29" s="365" t="s">
        <v>204</v>
      </c>
      <c r="C29" s="366" t="s">
        <v>193</v>
      </c>
      <c r="D29" s="367">
        <v>29600</v>
      </c>
      <c r="E29" s="367">
        <f t="shared" ref="E29:E33" si="9">D29</f>
        <v>29600</v>
      </c>
      <c r="F29" s="367">
        <v>42553.216664</v>
      </c>
      <c r="G29" s="367">
        <f t="shared" ref="G29:G33" si="10">F29</f>
        <v>42553.216664</v>
      </c>
      <c r="H29" s="368">
        <f t="shared" si="0"/>
        <v>1.4376086710810811</v>
      </c>
      <c r="I29" s="368">
        <f t="shared" si="0"/>
        <v>1.4376086710810811</v>
      </c>
    </row>
    <row r="30" spans="2:9">
      <c r="B30" s="365" t="s">
        <v>205</v>
      </c>
      <c r="C30" s="366" t="s">
        <v>206</v>
      </c>
      <c r="D30" s="367">
        <v>3300</v>
      </c>
      <c r="E30" s="367">
        <f t="shared" si="9"/>
        <v>3300</v>
      </c>
      <c r="F30" s="367">
        <v>2723.0175840000002</v>
      </c>
      <c r="G30" s="367">
        <f t="shared" si="10"/>
        <v>2723.0175840000002</v>
      </c>
      <c r="H30" s="368">
        <f t="shared" si="0"/>
        <v>0.82515684363636366</v>
      </c>
      <c r="I30" s="368">
        <f t="shared" si="0"/>
        <v>0.82515684363636366</v>
      </c>
    </row>
    <row r="31" spans="2:9">
      <c r="B31" s="365" t="s">
        <v>207</v>
      </c>
      <c r="C31" s="366" t="s">
        <v>194</v>
      </c>
      <c r="D31" s="367">
        <v>141700</v>
      </c>
      <c r="E31" s="367">
        <f t="shared" si="9"/>
        <v>141700</v>
      </c>
      <c r="F31" s="367">
        <v>221039.57184199998</v>
      </c>
      <c r="G31" s="367">
        <f t="shared" si="10"/>
        <v>221039.57184199998</v>
      </c>
      <c r="H31" s="368">
        <f t="shared" si="0"/>
        <v>1.5599122924629498</v>
      </c>
      <c r="I31" s="368">
        <f t="shared" si="0"/>
        <v>1.5599122924629498</v>
      </c>
    </row>
    <row r="32" spans="2:9">
      <c r="B32" s="369" t="s">
        <v>191</v>
      </c>
      <c r="C32" s="366" t="s">
        <v>195</v>
      </c>
      <c r="D32" s="367"/>
      <c r="E32" s="367">
        <f t="shared" si="9"/>
        <v>0</v>
      </c>
      <c r="F32" s="367"/>
      <c r="G32" s="367">
        <f t="shared" si="10"/>
        <v>0</v>
      </c>
      <c r="H32" s="368" t="str">
        <f t="shared" si="0"/>
        <v/>
      </c>
      <c r="I32" s="368" t="str">
        <f t="shared" si="0"/>
        <v/>
      </c>
    </row>
    <row r="33" spans="2:9">
      <c r="B33" s="369" t="s">
        <v>191</v>
      </c>
      <c r="C33" s="366" t="s">
        <v>196</v>
      </c>
      <c r="D33" s="367"/>
      <c r="E33" s="367">
        <f t="shared" si="9"/>
        <v>0</v>
      </c>
      <c r="F33" s="367"/>
      <c r="G33" s="367">
        <f t="shared" si="10"/>
        <v>0</v>
      </c>
      <c r="H33" s="368" t="str">
        <f t="shared" si="0"/>
        <v/>
      </c>
      <c r="I33" s="368" t="str">
        <f t="shared" si="0"/>
        <v/>
      </c>
    </row>
    <row r="34" spans="2:9">
      <c r="B34" s="361">
        <v>5</v>
      </c>
      <c r="C34" s="362" t="s">
        <v>76</v>
      </c>
      <c r="D34" s="363">
        <v>87000</v>
      </c>
      <c r="E34" s="363">
        <f>D34</f>
        <v>87000</v>
      </c>
      <c r="F34" s="363">
        <v>115803.88278299999</v>
      </c>
      <c r="G34" s="363">
        <f>F34</f>
        <v>115803.88278299999</v>
      </c>
      <c r="H34" s="364">
        <f t="shared" si="0"/>
        <v>1.3310791124482757</v>
      </c>
      <c r="I34" s="364">
        <f t="shared" si="0"/>
        <v>1.3310791124482757</v>
      </c>
    </row>
    <row r="35" spans="2:9">
      <c r="B35" s="361">
        <v>6</v>
      </c>
      <c r="C35" s="362" t="s">
        <v>77</v>
      </c>
      <c r="D35" s="363">
        <f>D36+D37</f>
        <v>255000</v>
      </c>
      <c r="E35" s="363">
        <f>E36+E37</f>
        <v>94900</v>
      </c>
      <c r="F35" s="363">
        <v>270507.75191300001</v>
      </c>
      <c r="G35" s="363">
        <v>100645.243114</v>
      </c>
      <c r="H35" s="364">
        <f t="shared" si="0"/>
        <v>1.0608147133843138</v>
      </c>
      <c r="I35" s="364">
        <f t="shared" si="0"/>
        <v>1.0605399695890412</v>
      </c>
    </row>
    <row r="36" spans="2:9" s="222" customFormat="1" ht="27.75" customHeight="1">
      <c r="B36" s="370" t="s">
        <v>30</v>
      </c>
      <c r="C36" s="371" t="s">
        <v>924</v>
      </c>
      <c r="D36" s="372">
        <v>94900</v>
      </c>
      <c r="E36" s="372">
        <f>D36</f>
        <v>94900</v>
      </c>
      <c r="F36" s="372">
        <v>26.061409999999999</v>
      </c>
      <c r="G36" s="372">
        <f>F36</f>
        <v>26.061409999999999</v>
      </c>
      <c r="H36" s="373">
        <f t="shared" si="0"/>
        <v>2.7461970495258164E-4</v>
      </c>
      <c r="I36" s="373">
        <f t="shared" si="0"/>
        <v>2.7461970495258164E-4</v>
      </c>
    </row>
    <row r="37" spans="2:9" s="222" customFormat="1">
      <c r="B37" s="370" t="s">
        <v>30</v>
      </c>
      <c r="C37" s="371" t="s">
        <v>925</v>
      </c>
      <c r="D37" s="372">
        <v>160100</v>
      </c>
      <c r="E37" s="372"/>
      <c r="F37" s="372"/>
      <c r="G37" s="372"/>
      <c r="H37" s="373">
        <f t="shared" si="0"/>
        <v>0</v>
      </c>
      <c r="I37" s="373" t="str">
        <f t="shared" si="0"/>
        <v/>
      </c>
    </row>
    <row r="38" spans="2:9">
      <c r="B38" s="361">
        <v>7</v>
      </c>
      <c r="C38" s="362" t="s">
        <v>78</v>
      </c>
      <c r="D38" s="363">
        <v>74000</v>
      </c>
      <c r="E38" s="363">
        <f>D38</f>
        <v>74000</v>
      </c>
      <c r="F38" s="363">
        <v>110260.15243700001</v>
      </c>
      <c r="G38" s="363">
        <f>F38</f>
        <v>110260.15243700001</v>
      </c>
      <c r="H38" s="364">
        <f t="shared" si="0"/>
        <v>1.4900020599594597</v>
      </c>
      <c r="I38" s="364">
        <f t="shared" si="0"/>
        <v>1.4900020599594597</v>
      </c>
    </row>
    <row r="39" spans="2:9">
      <c r="B39" s="361">
        <v>8</v>
      </c>
      <c r="C39" s="362" t="s">
        <v>79</v>
      </c>
      <c r="D39" s="363">
        <v>57800</v>
      </c>
      <c r="E39" s="363">
        <f>D39-D40</f>
        <v>46000</v>
      </c>
      <c r="F39" s="363">
        <f t="shared" ref="F39" si="11">SUM(F40:F43)</f>
        <v>63097.643436999999</v>
      </c>
      <c r="G39" s="363">
        <f>SUM(G40:G43)</f>
        <v>47442.652483999998</v>
      </c>
      <c r="H39" s="364">
        <f t="shared" si="0"/>
        <v>1.0916547307439446</v>
      </c>
      <c r="I39" s="364">
        <f t="shared" si="0"/>
        <v>1.0313620105217391</v>
      </c>
    </row>
    <row r="40" spans="2:9" s="222" customFormat="1">
      <c r="B40" s="370" t="s">
        <v>30</v>
      </c>
      <c r="C40" s="371" t="s">
        <v>80</v>
      </c>
      <c r="D40" s="372">
        <v>11800</v>
      </c>
      <c r="E40" s="372"/>
      <c r="F40" s="372">
        <v>16020.837855</v>
      </c>
      <c r="G40" s="372">
        <v>365.846902</v>
      </c>
      <c r="H40" s="373">
        <f t="shared" si="0"/>
        <v>1.3576981233050847</v>
      </c>
      <c r="I40" s="364" t="str">
        <f t="shared" si="0"/>
        <v/>
      </c>
    </row>
    <row r="41" spans="2:9" s="222" customFormat="1">
      <c r="B41" s="370" t="s">
        <v>30</v>
      </c>
      <c r="C41" s="371" t="s">
        <v>81</v>
      </c>
      <c r="D41" s="372"/>
      <c r="E41" s="372"/>
      <c r="F41" s="372">
        <v>25040.768849</v>
      </c>
      <c r="G41" s="372">
        <f>F41</f>
        <v>25040.768849</v>
      </c>
      <c r="H41" s="373" t="str">
        <f t="shared" si="0"/>
        <v/>
      </c>
      <c r="I41" s="373" t="str">
        <f t="shared" si="0"/>
        <v/>
      </c>
    </row>
    <row r="42" spans="2:9" s="222" customFormat="1">
      <c r="B42" s="370" t="s">
        <v>30</v>
      </c>
      <c r="C42" s="371" t="s">
        <v>82</v>
      </c>
      <c r="D42" s="372"/>
      <c r="E42" s="372">
        <f>D42</f>
        <v>0</v>
      </c>
      <c r="F42" s="372">
        <v>10483.546255000001</v>
      </c>
      <c r="G42" s="372">
        <f t="shared" ref="G42:G43" si="12">F42</f>
        <v>10483.546255000001</v>
      </c>
      <c r="H42" s="373" t="str">
        <f t="shared" si="0"/>
        <v/>
      </c>
      <c r="I42" s="373" t="str">
        <f t="shared" si="0"/>
        <v/>
      </c>
    </row>
    <row r="43" spans="2:9" s="222" customFormat="1">
      <c r="B43" s="370" t="s">
        <v>30</v>
      </c>
      <c r="C43" s="371" t="s">
        <v>83</v>
      </c>
      <c r="D43" s="372"/>
      <c r="E43" s="372"/>
      <c r="F43" s="372">
        <v>11552.490478</v>
      </c>
      <c r="G43" s="372">
        <f t="shared" si="12"/>
        <v>11552.490478</v>
      </c>
      <c r="H43" s="373" t="str">
        <f t="shared" si="0"/>
        <v/>
      </c>
      <c r="I43" s="373" t="str">
        <f t="shared" si="0"/>
        <v/>
      </c>
    </row>
    <row r="44" spans="2:9">
      <c r="B44" s="361">
        <v>9</v>
      </c>
      <c r="C44" s="362" t="s">
        <v>84</v>
      </c>
      <c r="D44" s="363">
        <v>0</v>
      </c>
      <c r="E44" s="363">
        <f>D44</f>
        <v>0</v>
      </c>
      <c r="F44" s="363">
        <v>20.085007000000001</v>
      </c>
      <c r="G44" s="363">
        <f>F44</f>
        <v>20.085007000000001</v>
      </c>
      <c r="H44" s="364" t="str">
        <f t="shared" si="0"/>
        <v/>
      </c>
      <c r="I44" s="364" t="str">
        <f t="shared" si="0"/>
        <v/>
      </c>
    </row>
    <row r="45" spans="2:9">
      <c r="B45" s="361">
        <v>10</v>
      </c>
      <c r="C45" s="362" t="s">
        <v>85</v>
      </c>
      <c r="D45" s="363">
        <v>3600</v>
      </c>
      <c r="E45" s="363">
        <f>D45</f>
        <v>3600</v>
      </c>
      <c r="F45" s="363">
        <v>3734.1190729999998</v>
      </c>
      <c r="G45" s="363">
        <f t="shared" ref="G45:G50" si="13">F45</f>
        <v>3734.1190729999998</v>
      </c>
      <c r="H45" s="364">
        <f t="shared" si="0"/>
        <v>1.0372552980555556</v>
      </c>
      <c r="I45" s="364">
        <f t="shared" si="0"/>
        <v>1.0372552980555556</v>
      </c>
    </row>
    <row r="46" spans="2:9">
      <c r="B46" s="361">
        <v>11</v>
      </c>
      <c r="C46" s="362" t="s">
        <v>86</v>
      </c>
      <c r="D46" s="363">
        <v>20000</v>
      </c>
      <c r="E46" s="363">
        <f>D46</f>
        <v>20000</v>
      </c>
      <c r="F46" s="363">
        <v>88703.267487000005</v>
      </c>
      <c r="G46" s="363">
        <f t="shared" si="13"/>
        <v>88703.267487000005</v>
      </c>
      <c r="H46" s="364">
        <f t="shared" si="0"/>
        <v>4.4351633743500001</v>
      </c>
      <c r="I46" s="364">
        <f t="shared" si="0"/>
        <v>4.4351633743500001</v>
      </c>
    </row>
    <row r="47" spans="2:9">
      <c r="B47" s="361">
        <v>12</v>
      </c>
      <c r="C47" s="362" t="s">
        <v>87</v>
      </c>
      <c r="D47" s="363">
        <v>300000</v>
      </c>
      <c r="E47" s="363">
        <f>D47</f>
        <v>300000</v>
      </c>
      <c r="F47" s="363">
        <v>390538.20909599995</v>
      </c>
      <c r="G47" s="363">
        <f t="shared" si="13"/>
        <v>390538.20909599995</v>
      </c>
      <c r="H47" s="364">
        <f t="shared" si="0"/>
        <v>1.3017940303199997</v>
      </c>
      <c r="I47" s="364">
        <f t="shared" si="0"/>
        <v>1.3017940303199997</v>
      </c>
    </row>
    <row r="48" spans="2:9" ht="17.25" customHeight="1">
      <c r="B48" s="361">
        <v>13</v>
      </c>
      <c r="C48" s="362" t="s">
        <v>88</v>
      </c>
      <c r="D48" s="363"/>
      <c r="E48" s="363"/>
      <c r="F48" s="363">
        <v>244.34269900000001</v>
      </c>
      <c r="G48" s="363">
        <f t="shared" si="13"/>
        <v>244.34269900000001</v>
      </c>
      <c r="H48" s="364" t="str">
        <f t="shared" si="0"/>
        <v/>
      </c>
      <c r="I48" s="364" t="str">
        <f t="shared" si="0"/>
        <v/>
      </c>
    </row>
    <row r="49" spans="2:12">
      <c r="B49" s="361">
        <v>14</v>
      </c>
      <c r="C49" s="362" t="s">
        <v>89</v>
      </c>
      <c r="D49" s="363">
        <v>90000</v>
      </c>
      <c r="E49" s="363">
        <f>D49</f>
        <v>90000</v>
      </c>
      <c r="F49" s="363">
        <v>99005.989660000007</v>
      </c>
      <c r="G49" s="363">
        <f t="shared" si="13"/>
        <v>99005.989660000007</v>
      </c>
      <c r="H49" s="364">
        <f t="shared" si="0"/>
        <v>1.1000665517777779</v>
      </c>
      <c r="I49" s="364">
        <f t="shared" si="0"/>
        <v>1.1000665517777779</v>
      </c>
    </row>
    <row r="50" spans="2:12" hidden="1">
      <c r="B50" s="362"/>
      <c r="C50" s="362" t="s">
        <v>72</v>
      </c>
      <c r="D50" s="374"/>
      <c r="E50" s="363">
        <f t="shared" ref="E50" si="14">D50</f>
        <v>0</v>
      </c>
      <c r="F50" s="374"/>
      <c r="G50" s="363">
        <f t="shared" si="13"/>
        <v>0</v>
      </c>
      <c r="H50" s="364" t="str">
        <f t="shared" si="0"/>
        <v/>
      </c>
      <c r="I50" s="364" t="str">
        <f t="shared" si="0"/>
        <v/>
      </c>
    </row>
    <row r="51" spans="2:12" ht="15.75" customHeight="1">
      <c r="B51" s="361">
        <v>15</v>
      </c>
      <c r="C51" s="362" t="s">
        <v>90</v>
      </c>
      <c r="D51" s="363">
        <v>30000</v>
      </c>
      <c r="E51" s="363">
        <v>16000</v>
      </c>
      <c r="F51" s="363">
        <v>100794.77147400001</v>
      </c>
      <c r="G51" s="363">
        <v>36923.657778000001</v>
      </c>
      <c r="H51" s="364">
        <f t="shared" si="0"/>
        <v>3.3598257158000004</v>
      </c>
      <c r="I51" s="364">
        <f t="shared" si="0"/>
        <v>2.3077286111249999</v>
      </c>
    </row>
    <row r="52" spans="2:12">
      <c r="B52" s="361">
        <v>16</v>
      </c>
      <c r="C52" s="362" t="s">
        <v>91</v>
      </c>
      <c r="D52" s="363">
        <v>54900</v>
      </c>
      <c r="E52" s="363">
        <v>33900</v>
      </c>
      <c r="F52" s="363">
        <v>58375.788975000003</v>
      </c>
      <c r="G52" s="363">
        <v>33435.584107999995</v>
      </c>
      <c r="H52" s="364">
        <f t="shared" si="0"/>
        <v>1.0633112745901641</v>
      </c>
      <c r="I52" s="364">
        <f t="shared" si="0"/>
        <v>0.9863004161651916</v>
      </c>
    </row>
    <row r="53" spans="2:12" ht="16.5" customHeight="1">
      <c r="B53" s="361">
        <v>17</v>
      </c>
      <c r="C53" s="362" t="s">
        <v>92</v>
      </c>
      <c r="D53" s="363">
        <v>500</v>
      </c>
      <c r="E53" s="363">
        <f>D53</f>
        <v>500</v>
      </c>
      <c r="F53" s="363">
        <v>1593.935285</v>
      </c>
      <c r="G53" s="363">
        <f>F53</f>
        <v>1593.935285</v>
      </c>
      <c r="H53" s="364">
        <f t="shared" si="0"/>
        <v>3.1878705699999998</v>
      </c>
      <c r="I53" s="364">
        <f t="shared" si="0"/>
        <v>3.1878705699999998</v>
      </c>
    </row>
    <row r="54" spans="2:12">
      <c r="B54" s="361">
        <v>18</v>
      </c>
      <c r="C54" s="362" t="s">
        <v>93</v>
      </c>
      <c r="D54" s="363">
        <v>2000</v>
      </c>
      <c r="E54" s="363">
        <f>D54</f>
        <v>2000</v>
      </c>
      <c r="F54" s="363">
        <v>4060.364255</v>
      </c>
      <c r="G54" s="363">
        <f>F54</f>
        <v>4060.364255</v>
      </c>
      <c r="H54" s="364">
        <f t="shared" si="0"/>
        <v>2.0301821274999998</v>
      </c>
      <c r="I54" s="364">
        <f t="shared" si="0"/>
        <v>2.0301821274999998</v>
      </c>
    </row>
    <row r="55" spans="2:12" ht="37.5" customHeight="1">
      <c r="B55" s="361">
        <v>19</v>
      </c>
      <c r="C55" s="362" t="s">
        <v>94</v>
      </c>
      <c r="D55" s="363"/>
      <c r="E55" s="363"/>
      <c r="F55" s="363"/>
      <c r="G55" s="363"/>
      <c r="H55" s="364" t="str">
        <f t="shared" si="0"/>
        <v/>
      </c>
      <c r="I55" s="364" t="str">
        <f t="shared" si="0"/>
        <v/>
      </c>
    </row>
    <row r="56" spans="2:12" ht="20.25" customHeight="1">
      <c r="B56" s="361">
        <v>20</v>
      </c>
      <c r="C56" s="362" t="s">
        <v>95</v>
      </c>
      <c r="D56" s="363"/>
      <c r="E56" s="363"/>
      <c r="F56" s="363"/>
      <c r="G56" s="363"/>
      <c r="H56" s="364" t="str">
        <f t="shared" si="0"/>
        <v/>
      </c>
      <c r="I56" s="364" t="str">
        <f t="shared" si="0"/>
        <v/>
      </c>
    </row>
    <row r="57" spans="2:12" ht="38.25">
      <c r="B57" s="361">
        <v>21</v>
      </c>
      <c r="C57" s="362" t="s">
        <v>829</v>
      </c>
      <c r="D57" s="363">
        <v>806400</v>
      </c>
      <c r="E57" s="363">
        <f>D57</f>
        <v>806400</v>
      </c>
      <c r="F57" s="363">
        <f>SUM(F59:F65)</f>
        <v>229681.11640900001</v>
      </c>
      <c r="G57" s="363">
        <f>SUM(G59:G65)</f>
        <v>229681.11640900001</v>
      </c>
      <c r="H57" s="364">
        <f t="shared" si="0"/>
        <v>0.28482281300719248</v>
      </c>
      <c r="I57" s="364">
        <f t="shared" si="0"/>
        <v>0.28482281300719248</v>
      </c>
      <c r="K57" s="223"/>
      <c r="L57" s="224"/>
    </row>
    <row r="58" spans="2:12" s="222" customFormat="1" hidden="1" outlineLevel="1">
      <c r="B58" s="370" t="s">
        <v>855</v>
      </c>
      <c r="C58" s="371" t="s">
        <v>124</v>
      </c>
      <c r="D58" s="372"/>
      <c r="E58" s="372"/>
      <c r="F58" s="372"/>
      <c r="G58" s="372"/>
      <c r="H58" s="373"/>
      <c r="I58" s="373"/>
    </row>
    <row r="59" spans="2:12" s="222" customFormat="1" ht="25.5" hidden="1" outlineLevel="1">
      <c r="B59" s="375" t="s">
        <v>30</v>
      </c>
      <c r="C59" s="376" t="s">
        <v>908</v>
      </c>
      <c r="D59" s="372"/>
      <c r="E59" s="372"/>
      <c r="F59" s="372">
        <v>27643.381409999998</v>
      </c>
      <c r="G59" s="372">
        <f>F59</f>
        <v>27643.381409999998</v>
      </c>
      <c r="H59" s="373"/>
      <c r="I59" s="373"/>
    </row>
    <row r="60" spans="2:12" s="222" customFormat="1" ht="38.25" hidden="1" outlineLevel="1">
      <c r="B60" s="375" t="s">
        <v>30</v>
      </c>
      <c r="C60" s="376" t="s">
        <v>1020</v>
      </c>
      <c r="D60" s="372"/>
      <c r="E60" s="372"/>
      <c r="F60" s="372">
        <v>90760.89</v>
      </c>
      <c r="G60" s="372">
        <f>F60</f>
        <v>90760.89</v>
      </c>
      <c r="H60" s="373"/>
      <c r="I60" s="373"/>
    </row>
    <row r="61" spans="2:12" s="222" customFormat="1" ht="38.25" hidden="1" outlineLevel="1">
      <c r="B61" s="375" t="s">
        <v>30</v>
      </c>
      <c r="C61" s="376" t="s">
        <v>1021</v>
      </c>
      <c r="D61" s="372"/>
      <c r="E61" s="372"/>
      <c r="F61" s="372">
        <v>2803.5</v>
      </c>
      <c r="G61" s="372">
        <f>F61</f>
        <v>2803.5</v>
      </c>
      <c r="H61" s="373"/>
      <c r="I61" s="373"/>
    </row>
    <row r="62" spans="2:12" s="222" customFormat="1" ht="38.25" hidden="1" outlineLevel="1">
      <c r="B62" s="375" t="s">
        <v>30</v>
      </c>
      <c r="C62" s="376" t="s">
        <v>1022</v>
      </c>
      <c r="D62" s="372"/>
      <c r="E62" s="372"/>
      <c r="F62" s="372">
        <v>39201.199999999997</v>
      </c>
      <c r="G62" s="372">
        <f>F62</f>
        <v>39201.199999999997</v>
      </c>
      <c r="H62" s="373"/>
      <c r="I62" s="373"/>
    </row>
    <row r="63" spans="2:12" ht="25.5" hidden="1" outlineLevel="1">
      <c r="B63" s="377" t="s">
        <v>30</v>
      </c>
      <c r="C63" s="376" t="s">
        <v>909</v>
      </c>
      <c r="D63" s="363"/>
      <c r="E63" s="363"/>
      <c r="F63" s="372">
        <v>13192.750666</v>
      </c>
      <c r="G63" s="372">
        <f t="shared" ref="G63:G65" si="15">F63</f>
        <v>13192.750666</v>
      </c>
      <c r="H63" s="364"/>
      <c r="I63" s="364"/>
    </row>
    <row r="64" spans="2:12" s="222" customFormat="1" hidden="1" outlineLevel="1">
      <c r="B64" s="375" t="s">
        <v>30</v>
      </c>
      <c r="C64" s="376" t="s">
        <v>1023</v>
      </c>
      <c r="D64" s="372"/>
      <c r="E64" s="372"/>
      <c r="F64" s="372">
        <v>45343.756038</v>
      </c>
      <c r="G64" s="372">
        <f t="shared" si="15"/>
        <v>45343.756038</v>
      </c>
      <c r="H64" s="373"/>
      <c r="I64" s="373"/>
    </row>
    <row r="65" spans="2:9" ht="25.5" hidden="1" outlineLevel="1">
      <c r="B65" s="361"/>
      <c r="C65" s="376" t="s">
        <v>1024</v>
      </c>
      <c r="D65" s="363"/>
      <c r="E65" s="363"/>
      <c r="F65" s="372">
        <v>10735.638295000001</v>
      </c>
      <c r="G65" s="372">
        <f t="shared" si="15"/>
        <v>10735.638295000001</v>
      </c>
      <c r="H65" s="364"/>
      <c r="I65" s="364"/>
    </row>
    <row r="66" spans="2:9" ht="20.25" customHeight="1" collapsed="1">
      <c r="B66" s="361">
        <v>22</v>
      </c>
      <c r="C66" s="362" t="s">
        <v>1025</v>
      </c>
      <c r="D66" s="363">
        <v>39000</v>
      </c>
      <c r="E66" s="363">
        <f>D66</f>
        <v>39000</v>
      </c>
      <c r="F66" s="363"/>
      <c r="G66" s="363"/>
      <c r="H66" s="364">
        <f t="shared" ref="H66:I66" si="16">IFERROR(F66/D66,"")</f>
        <v>0</v>
      </c>
      <c r="I66" s="364">
        <f t="shared" si="16"/>
        <v>0</v>
      </c>
    </row>
    <row r="67" spans="2:9">
      <c r="B67" s="361" t="s">
        <v>33</v>
      </c>
      <c r="C67" s="362" t="s">
        <v>96</v>
      </c>
      <c r="D67" s="367"/>
      <c r="E67" s="367"/>
      <c r="F67" s="367"/>
      <c r="G67" s="367"/>
      <c r="H67" s="364" t="str">
        <f t="shared" si="0"/>
        <v/>
      </c>
      <c r="I67" s="364" t="str">
        <f t="shared" si="0"/>
        <v/>
      </c>
    </row>
    <row r="68" spans="2:9">
      <c r="B68" s="361" t="s">
        <v>37</v>
      </c>
      <c r="C68" s="362" t="s">
        <v>97</v>
      </c>
      <c r="D68" s="363">
        <f>SUM(D69:D74)</f>
        <v>246800</v>
      </c>
      <c r="E68" s="363">
        <f t="shared" ref="E68:G68" si="17">SUM(E69:E74)</f>
        <v>0</v>
      </c>
      <c r="F68" s="363">
        <f t="shared" si="17"/>
        <v>302944.90286800003</v>
      </c>
      <c r="G68" s="363">
        <f t="shared" si="17"/>
        <v>0</v>
      </c>
      <c r="H68" s="364">
        <f t="shared" si="0"/>
        <v>1.2274915027066451</v>
      </c>
      <c r="I68" s="364" t="str">
        <f t="shared" si="0"/>
        <v/>
      </c>
    </row>
    <row r="69" spans="2:9">
      <c r="B69" s="365">
        <v>1</v>
      </c>
      <c r="C69" s="366" t="s">
        <v>98</v>
      </c>
      <c r="D69" s="367">
        <v>3800</v>
      </c>
      <c r="E69" s="367"/>
      <c r="F69" s="367">
        <v>4623.5582100000001</v>
      </c>
      <c r="G69" s="367"/>
      <c r="H69" s="368">
        <f t="shared" si="0"/>
        <v>1.2167258447368421</v>
      </c>
      <c r="I69" s="368" t="str">
        <f t="shared" si="0"/>
        <v/>
      </c>
    </row>
    <row r="70" spans="2:9">
      <c r="B70" s="365">
        <v>2</v>
      </c>
      <c r="C70" s="366" t="s">
        <v>99</v>
      </c>
      <c r="D70" s="367"/>
      <c r="E70" s="367"/>
      <c r="F70" s="367">
        <v>2346.682738</v>
      </c>
      <c r="G70" s="367"/>
      <c r="H70" s="368" t="str">
        <f t="shared" si="0"/>
        <v/>
      </c>
      <c r="I70" s="368" t="str">
        <f t="shared" si="0"/>
        <v/>
      </c>
    </row>
    <row r="71" spans="2:9" ht="19.5" customHeight="1">
      <c r="B71" s="365">
        <v>3</v>
      </c>
      <c r="C71" s="366" t="s">
        <v>100</v>
      </c>
      <c r="D71" s="367"/>
      <c r="E71" s="367"/>
      <c r="F71" s="367"/>
      <c r="G71" s="367"/>
      <c r="H71" s="368" t="str">
        <f t="shared" si="0"/>
        <v/>
      </c>
      <c r="I71" s="368" t="str">
        <f t="shared" si="0"/>
        <v/>
      </c>
    </row>
    <row r="72" spans="2:9" ht="14.25" customHeight="1">
      <c r="B72" s="365">
        <v>4</v>
      </c>
      <c r="C72" s="366" t="s">
        <v>101</v>
      </c>
      <c r="D72" s="367"/>
      <c r="E72" s="367"/>
      <c r="F72" s="367">
        <v>2.7</v>
      </c>
      <c r="G72" s="367"/>
      <c r="H72" s="368" t="str">
        <f t="shared" si="0"/>
        <v/>
      </c>
      <c r="I72" s="368" t="str">
        <f t="shared" si="0"/>
        <v/>
      </c>
    </row>
    <row r="73" spans="2:9" ht="15" customHeight="1">
      <c r="B73" s="365">
        <v>5</v>
      </c>
      <c r="C73" s="366" t="s">
        <v>102</v>
      </c>
      <c r="D73" s="367">
        <v>243000</v>
      </c>
      <c r="E73" s="367"/>
      <c r="F73" s="367">
        <v>295595.94216400001</v>
      </c>
      <c r="G73" s="367"/>
      <c r="H73" s="368">
        <f t="shared" si="0"/>
        <v>1.216444206436214</v>
      </c>
      <c r="I73" s="368" t="str">
        <f t="shared" si="0"/>
        <v/>
      </c>
    </row>
    <row r="74" spans="2:9">
      <c r="B74" s="365">
        <v>6</v>
      </c>
      <c r="C74" s="366" t="s">
        <v>103</v>
      </c>
      <c r="D74" s="367"/>
      <c r="E74" s="367"/>
      <c r="F74" s="367">
        <v>376.01975599999997</v>
      </c>
      <c r="G74" s="367"/>
      <c r="H74" s="368" t="str">
        <f t="shared" si="0"/>
        <v/>
      </c>
      <c r="I74" s="368" t="str">
        <f t="shared" si="0"/>
        <v/>
      </c>
    </row>
    <row r="75" spans="2:9" s="214" customFormat="1" ht="14.25">
      <c r="B75" s="361" t="s">
        <v>39</v>
      </c>
      <c r="C75" s="362" t="s">
        <v>830</v>
      </c>
      <c r="D75" s="363"/>
      <c r="E75" s="363"/>
      <c r="F75" s="363">
        <v>5376.8008030000001</v>
      </c>
      <c r="G75" s="363"/>
      <c r="H75" s="364" t="str">
        <f t="shared" si="0"/>
        <v/>
      </c>
      <c r="I75" s="364" t="str">
        <f t="shared" si="0"/>
        <v/>
      </c>
    </row>
    <row r="76" spans="2:9" s="214" customFormat="1" ht="14.25">
      <c r="B76" s="361" t="s">
        <v>40</v>
      </c>
      <c r="C76" s="362" t="s">
        <v>38</v>
      </c>
      <c r="D76" s="363"/>
      <c r="E76" s="363"/>
      <c r="F76" s="363">
        <v>45091</v>
      </c>
      <c r="G76" s="363">
        <v>45091</v>
      </c>
      <c r="H76" s="364" t="str">
        <f t="shared" si="0"/>
        <v/>
      </c>
      <c r="I76" s="364" t="str">
        <f t="shared" si="0"/>
        <v/>
      </c>
    </row>
    <row r="77" spans="2:9" ht="21" customHeight="1">
      <c r="B77" s="361" t="s">
        <v>24</v>
      </c>
      <c r="C77" s="362" t="s">
        <v>926</v>
      </c>
      <c r="D77" s="367"/>
      <c r="E77" s="367"/>
      <c r="F77" s="363">
        <f>F78</f>
        <v>19838.318278999999</v>
      </c>
      <c r="G77" s="363">
        <f>F77</f>
        <v>19838.318278999999</v>
      </c>
      <c r="H77" s="364" t="str">
        <f t="shared" si="0"/>
        <v/>
      </c>
      <c r="I77" s="364" t="str">
        <f t="shared" si="0"/>
        <v/>
      </c>
    </row>
    <row r="78" spans="2:9" ht="21" customHeight="1">
      <c r="B78" s="361"/>
      <c r="C78" s="378" t="s">
        <v>927</v>
      </c>
      <c r="D78" s="367"/>
      <c r="E78" s="367"/>
      <c r="F78" s="367">
        <v>19838.318278999999</v>
      </c>
      <c r="G78" s="367">
        <f>F78</f>
        <v>19838.318278999999</v>
      </c>
      <c r="H78" s="364"/>
      <c r="I78" s="364"/>
    </row>
    <row r="79" spans="2:9" s="214" customFormat="1" ht="14.25">
      <c r="B79" s="361" t="s">
        <v>51</v>
      </c>
      <c r="C79" s="362" t="s">
        <v>104</v>
      </c>
      <c r="D79" s="363"/>
      <c r="E79" s="363"/>
      <c r="F79" s="363">
        <v>52954.448385000003</v>
      </c>
      <c r="G79" s="363">
        <f>F79</f>
        <v>52954.448385000003</v>
      </c>
      <c r="H79" s="364" t="str">
        <f t="shared" si="0"/>
        <v/>
      </c>
      <c r="I79" s="364" t="str">
        <f t="shared" si="0"/>
        <v/>
      </c>
    </row>
    <row r="80" spans="2:9" s="214" customFormat="1" ht="28.5" customHeight="1">
      <c r="B80" s="379" t="s">
        <v>52</v>
      </c>
      <c r="C80" s="380" t="s">
        <v>105</v>
      </c>
      <c r="D80" s="381"/>
      <c r="E80" s="381"/>
      <c r="F80" s="381">
        <v>2591890.6532199997</v>
      </c>
      <c r="G80" s="381">
        <f>F80</f>
        <v>2591890.6532199997</v>
      </c>
      <c r="H80" s="382" t="str">
        <f t="shared" si="0"/>
        <v/>
      </c>
      <c r="I80" s="382" t="str">
        <f t="shared" si="0"/>
        <v/>
      </c>
    </row>
    <row r="82" spans="2:9">
      <c r="B82" s="225" t="s">
        <v>106</v>
      </c>
    </row>
    <row r="83" spans="2:9" ht="24.75" customHeight="1">
      <c r="B83" s="642" t="s">
        <v>107</v>
      </c>
      <c r="C83" s="642"/>
      <c r="D83" s="642"/>
      <c r="E83" s="642"/>
      <c r="F83" s="642"/>
      <c r="G83" s="642"/>
      <c r="H83" s="642"/>
      <c r="I83" s="642"/>
    </row>
    <row r="84" spans="2:9" ht="24.75" customHeight="1">
      <c r="B84" s="642" t="s">
        <v>108</v>
      </c>
      <c r="C84" s="642"/>
      <c r="D84" s="642"/>
      <c r="E84" s="642"/>
      <c r="F84" s="642"/>
      <c r="G84" s="642"/>
      <c r="H84" s="642"/>
      <c r="I84" s="642"/>
    </row>
    <row r="85" spans="2:9" ht="28.5" customHeight="1">
      <c r="B85" s="642" t="s">
        <v>109</v>
      </c>
      <c r="C85" s="642"/>
      <c r="D85" s="642"/>
      <c r="E85" s="642"/>
      <c r="F85" s="642"/>
      <c r="G85" s="642"/>
      <c r="H85" s="642"/>
      <c r="I85" s="642"/>
    </row>
    <row r="86" spans="2:9" ht="29.25" customHeight="1">
      <c r="B86" s="642" t="s">
        <v>110</v>
      </c>
      <c r="C86" s="642"/>
      <c r="D86" s="642"/>
      <c r="E86" s="642"/>
      <c r="F86" s="642"/>
      <c r="G86" s="642"/>
      <c r="H86" s="642"/>
      <c r="I86" s="642"/>
    </row>
    <row r="87" spans="2:9" ht="41.25" customHeight="1">
      <c r="B87" s="642" t="s">
        <v>111</v>
      </c>
      <c r="C87" s="642"/>
      <c r="D87" s="642"/>
      <c r="E87" s="642"/>
      <c r="F87" s="642"/>
      <c r="G87" s="642"/>
      <c r="H87" s="642"/>
      <c r="I87" s="642"/>
    </row>
  </sheetData>
  <mergeCells count="13">
    <mergeCell ref="B83:I83"/>
    <mergeCell ref="B84:I84"/>
    <mergeCell ref="B85:I85"/>
    <mergeCell ref="B86:I86"/>
    <mergeCell ref="B87:I87"/>
    <mergeCell ref="B2:I2"/>
    <mergeCell ref="B3:I3"/>
    <mergeCell ref="H5:I5"/>
    <mergeCell ref="B6:B7"/>
    <mergeCell ref="C6:C7"/>
    <mergeCell ref="D6:E6"/>
    <mergeCell ref="F6:G6"/>
    <mergeCell ref="H6:I6"/>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108"/>
  <sheetViews>
    <sheetView zoomScaleNormal="100" workbookViewId="0">
      <pane ySplit="5" topLeftCell="A6" activePane="bottomLeft" state="frozen"/>
      <selection pane="bottomLeft" activeCell="E32" sqref="E32"/>
    </sheetView>
  </sheetViews>
  <sheetFormatPr defaultColWidth="9.140625" defaultRowHeight="15"/>
  <cols>
    <col min="1" max="1" width="4.140625" style="174" customWidth="1"/>
    <col min="2" max="2" width="7.85546875" style="174" customWidth="1"/>
    <col min="3" max="3" width="50" style="174" customWidth="1"/>
    <col min="4" max="4" width="13.42578125" style="174" customWidth="1"/>
    <col min="5" max="5" width="13.28515625" style="174" customWidth="1"/>
    <col min="6" max="6" width="12.5703125" style="174" customWidth="1"/>
    <col min="7" max="7" width="9.140625" style="527"/>
    <col min="8" max="8" width="10.5703125" style="527" bestFit="1" customWidth="1"/>
    <col min="9" max="10" width="10.140625" style="527" bestFit="1" customWidth="1"/>
    <col min="11" max="12" width="9.140625" style="527"/>
    <col min="13" max="16384" width="9.140625" style="174"/>
  </cols>
  <sheetData>
    <row r="1" spans="2:12">
      <c r="B1" s="163"/>
      <c r="E1" s="645" t="s">
        <v>648</v>
      </c>
      <c r="F1" s="645"/>
    </row>
    <row r="2" spans="2:12" s="175" customFormat="1" ht="23.25" customHeight="1">
      <c r="B2" s="646" t="s">
        <v>965</v>
      </c>
      <c r="C2" s="646"/>
      <c r="D2" s="646"/>
      <c r="E2" s="646"/>
      <c r="F2" s="646"/>
      <c r="G2" s="528"/>
      <c r="H2" s="528"/>
      <c r="I2" s="528"/>
      <c r="J2" s="528"/>
      <c r="K2" s="528"/>
      <c r="L2" s="528"/>
    </row>
    <row r="3" spans="2:12">
      <c r="B3" s="647" t="s">
        <v>953</v>
      </c>
      <c r="C3" s="647"/>
      <c r="D3" s="647"/>
      <c r="E3" s="647"/>
      <c r="F3" s="647"/>
    </row>
    <row r="4" spans="2:12">
      <c r="B4" s="176"/>
      <c r="C4" s="176"/>
      <c r="D4" s="176"/>
      <c r="E4" s="648" t="s">
        <v>888</v>
      </c>
      <c r="F4" s="648"/>
    </row>
    <row r="5" spans="2:12" ht="27" customHeight="1">
      <c r="B5" s="177" t="s">
        <v>16</v>
      </c>
      <c r="C5" s="177" t="s">
        <v>17</v>
      </c>
      <c r="D5" s="177" t="s">
        <v>18</v>
      </c>
      <c r="E5" s="177" t="s">
        <v>19</v>
      </c>
      <c r="F5" s="177" t="s">
        <v>917</v>
      </c>
    </row>
    <row r="6" spans="2:12">
      <c r="B6" s="177" t="s">
        <v>23</v>
      </c>
      <c r="C6" s="177" t="s">
        <v>24</v>
      </c>
      <c r="D6" s="177">
        <v>1</v>
      </c>
      <c r="E6" s="177">
        <v>2</v>
      </c>
      <c r="F6" s="177" t="s">
        <v>112</v>
      </c>
    </row>
    <row r="7" spans="2:12" ht="26.25" customHeight="1">
      <c r="B7" s="178"/>
      <c r="C7" s="179" t="s">
        <v>113</v>
      </c>
      <c r="D7" s="180">
        <f>D8+D31+D105+D106</f>
        <v>7842265</v>
      </c>
      <c r="E7" s="180">
        <f>E8+E31+E105+E106</f>
        <v>10351562.723144002</v>
      </c>
      <c r="F7" s="181">
        <f>IF(D7=0, ,E7/D7*100)</f>
        <v>131.99710444806445</v>
      </c>
      <c r="H7" s="529"/>
      <c r="I7" s="529"/>
    </row>
    <row r="8" spans="2:12" ht="26.25" customHeight="1">
      <c r="B8" s="308" t="s">
        <v>23</v>
      </c>
      <c r="C8" s="311" t="s">
        <v>856</v>
      </c>
      <c r="D8" s="317">
        <f>D9+D30</f>
        <v>6401125</v>
      </c>
      <c r="E8" s="351">
        <f>E9+E30</f>
        <v>6127441.0491620013</v>
      </c>
      <c r="F8" s="310">
        <f t="shared" ref="F8:F94" si="0">IF(D8=0, ,E8/D8*100)</f>
        <v>95.724439831467151</v>
      </c>
      <c r="I8" s="529">
        <f>13421148002998/1000000</f>
        <v>13421148.002998</v>
      </c>
    </row>
    <row r="9" spans="2:12" ht="27" customHeight="1">
      <c r="B9" s="308" t="s">
        <v>857</v>
      </c>
      <c r="C9" s="311" t="s">
        <v>114</v>
      </c>
      <c r="D9" s="315">
        <f>D10+D20+D24+D25+D26+D27+D28</f>
        <v>6317225</v>
      </c>
      <c r="E9" s="315">
        <f>E10+E20+E24+E25+E26+E27+E28+E29+0.2</f>
        <v>6108163.536065001</v>
      </c>
      <c r="F9" s="310">
        <f t="shared" si="0"/>
        <v>96.690612350596993</v>
      </c>
      <c r="I9" s="529">
        <f>I8-E7</f>
        <v>3069585.2798539978</v>
      </c>
    </row>
    <row r="10" spans="2:12">
      <c r="B10" s="308" t="s">
        <v>28</v>
      </c>
      <c r="C10" s="311" t="s">
        <v>43</v>
      </c>
      <c r="D10" s="315">
        <f>D11+D18+D19</f>
        <v>902220</v>
      </c>
      <c r="E10" s="315">
        <f>E11+E18+E19</f>
        <v>1257560.1399480002</v>
      </c>
      <c r="F10" s="310">
        <f t="shared" si="0"/>
        <v>139.38508788854162</v>
      </c>
      <c r="G10" s="529">
        <f>E10+E36+'Bieu 61_Hien'!U12+E30+E27</f>
        <v>2719750.9291979996</v>
      </c>
      <c r="I10" s="529">
        <f>E10+E27+E30+E36+'Bieu 61_Hien'!U12</f>
        <v>2719750.9291980001</v>
      </c>
    </row>
    <row r="11" spans="2:12">
      <c r="B11" s="318">
        <v>1</v>
      </c>
      <c r="C11" s="312" t="s">
        <v>115</v>
      </c>
      <c r="D11" s="319">
        <f>506220+300000+90000+6000</f>
        <v>902220</v>
      </c>
      <c r="E11" s="319">
        <f>2702308.475198-'Bieu 61_Hien'!U12-E36-E30-E27</f>
        <v>1240117.6859480003</v>
      </c>
      <c r="F11" s="314">
        <f t="shared" si="0"/>
        <v>137.45180620558182</v>
      </c>
      <c r="I11" s="529"/>
    </row>
    <row r="12" spans="2:12">
      <c r="B12" s="318"/>
      <c r="C12" s="320" t="s">
        <v>116</v>
      </c>
      <c r="D12" s="319"/>
      <c r="E12" s="319"/>
      <c r="F12" s="314">
        <f t="shared" si="0"/>
        <v>0</v>
      </c>
    </row>
    <row r="13" spans="2:12" ht="19.5" customHeight="1">
      <c r="B13" s="318" t="s">
        <v>30</v>
      </c>
      <c r="C13" s="320" t="s">
        <v>117</v>
      </c>
      <c r="D13" s="319">
        <f>121711-D57</f>
        <v>121011</v>
      </c>
      <c r="E13" s="319">
        <f>177791.799072-E57</f>
        <v>177791.79907199999</v>
      </c>
      <c r="F13" s="314">
        <f t="shared" si="0"/>
        <v>146.92201458710366</v>
      </c>
      <c r="H13" s="529"/>
    </row>
    <row r="14" spans="2:12">
      <c r="B14" s="318" t="s">
        <v>30</v>
      </c>
      <c r="C14" s="320" t="s">
        <v>118</v>
      </c>
      <c r="D14" s="319">
        <v>27508.376</v>
      </c>
      <c r="E14" s="319">
        <v>17646.610184000001</v>
      </c>
      <c r="F14" s="314">
        <f t="shared" si="0"/>
        <v>64.149952668961632</v>
      </c>
    </row>
    <row r="15" spans="2:12" ht="16.5" customHeight="1">
      <c r="B15" s="318"/>
      <c r="C15" s="320" t="s">
        <v>119</v>
      </c>
      <c r="D15" s="319"/>
      <c r="E15" s="319"/>
      <c r="F15" s="314">
        <f t="shared" si="0"/>
        <v>0</v>
      </c>
    </row>
    <row r="16" spans="2:12" ht="18.75" customHeight="1">
      <c r="B16" s="318" t="s">
        <v>30</v>
      </c>
      <c r="C16" s="320" t="s">
        <v>120</v>
      </c>
      <c r="D16" s="319">
        <v>300000</v>
      </c>
      <c r="E16" s="595">
        <f>224669.178-E27+327277.82</f>
        <v>500636.99800000002</v>
      </c>
      <c r="F16" s="314">
        <f t="shared" si="0"/>
        <v>166.87899933333335</v>
      </c>
    </row>
    <row r="17" spans="2:10" ht="17.25" customHeight="1">
      <c r="B17" s="318" t="s">
        <v>30</v>
      </c>
      <c r="C17" s="320" t="s">
        <v>121</v>
      </c>
      <c r="D17" s="319">
        <v>90000</v>
      </c>
      <c r="E17" s="319">
        <v>95334.849699999992</v>
      </c>
      <c r="F17" s="314">
        <f t="shared" si="0"/>
        <v>105.92761077777777</v>
      </c>
    </row>
    <row r="18" spans="2:10" ht="65.25" customHeight="1">
      <c r="B18" s="318">
        <v>2</v>
      </c>
      <c r="C18" s="312" t="s">
        <v>122</v>
      </c>
      <c r="D18" s="319"/>
      <c r="E18" s="319">
        <v>9596</v>
      </c>
      <c r="F18" s="314">
        <f t="shared" si="0"/>
        <v>0</v>
      </c>
    </row>
    <row r="19" spans="2:10">
      <c r="B19" s="318">
        <v>3</v>
      </c>
      <c r="C19" s="312" t="s">
        <v>123</v>
      </c>
      <c r="D19" s="319"/>
      <c r="E19" s="319">
        <v>7846.4539999999997</v>
      </c>
      <c r="F19" s="314">
        <f t="shared" si="0"/>
        <v>0</v>
      </c>
    </row>
    <row r="20" spans="2:10">
      <c r="B20" s="308" t="s">
        <v>33</v>
      </c>
      <c r="C20" s="311" t="s">
        <v>44</v>
      </c>
      <c r="D20" s="315">
        <v>4457168</v>
      </c>
      <c r="E20" s="315">
        <f>4974699.901869-'Bieu 61_Hien'!V12-E68</f>
        <v>4776892.6441170005</v>
      </c>
      <c r="F20" s="310">
        <f t="shared" si="0"/>
        <v>107.17326885854428</v>
      </c>
      <c r="G20" s="529">
        <f>E20+E68+'Bieu 61_Hien'!V12</f>
        <v>4974699.9018689999</v>
      </c>
    </row>
    <row r="21" spans="2:10">
      <c r="B21" s="318"/>
      <c r="C21" s="320" t="s">
        <v>124</v>
      </c>
      <c r="D21" s="319"/>
      <c r="E21" s="319"/>
      <c r="F21" s="314">
        <f t="shared" si="0"/>
        <v>0</v>
      </c>
    </row>
    <row r="22" spans="2:10">
      <c r="B22" s="318">
        <v>1</v>
      </c>
      <c r="C22" s="320" t="s">
        <v>117</v>
      </c>
      <c r="D22" s="319">
        <f>1973977</f>
        <v>1973977</v>
      </c>
      <c r="E22" s="319">
        <f>2161276.957805-E75-E76-E77-E78-E79-E80-E81-E82-E83-E84-E85</f>
        <v>2097483.470305</v>
      </c>
      <c r="F22" s="314">
        <f t="shared" si="0"/>
        <v>106.25673299663572</v>
      </c>
    </row>
    <row r="23" spans="2:10">
      <c r="B23" s="318">
        <v>2</v>
      </c>
      <c r="C23" s="320" t="s">
        <v>125</v>
      </c>
      <c r="D23" s="319">
        <v>16442</v>
      </c>
      <c r="E23" s="319">
        <v>8845.6528870000002</v>
      </c>
      <c r="F23" s="314">
        <f t="shared" si="0"/>
        <v>53.799129588857809</v>
      </c>
    </row>
    <row r="24" spans="2:10">
      <c r="B24" s="308" t="s">
        <v>37</v>
      </c>
      <c r="C24" s="311" t="s">
        <v>923</v>
      </c>
      <c r="D24" s="315">
        <v>2000</v>
      </c>
      <c r="E24" s="315">
        <f>8312.382+1188.47</f>
        <v>9500.851999999999</v>
      </c>
      <c r="F24" s="310">
        <f t="shared" si="0"/>
        <v>475.04259999999994</v>
      </c>
      <c r="H24" s="529"/>
    </row>
    <row r="25" spans="2:10">
      <c r="B25" s="308" t="s">
        <v>39</v>
      </c>
      <c r="C25" s="311" t="s">
        <v>45</v>
      </c>
      <c r="D25" s="315">
        <v>1000</v>
      </c>
      <c r="E25" s="315">
        <v>1000</v>
      </c>
      <c r="F25" s="310">
        <f t="shared" si="0"/>
        <v>100</v>
      </c>
      <c r="I25" s="529"/>
    </row>
    <row r="26" spans="2:10">
      <c r="B26" s="308" t="s">
        <v>40</v>
      </c>
      <c r="C26" s="311" t="s">
        <v>46</v>
      </c>
      <c r="D26" s="315">
        <v>126345</v>
      </c>
      <c r="E26" s="315"/>
      <c r="F26" s="310">
        <f t="shared" si="0"/>
        <v>0</v>
      </c>
      <c r="J26" s="529"/>
    </row>
    <row r="27" spans="2:10" ht="63.75">
      <c r="B27" s="308" t="s">
        <v>126</v>
      </c>
      <c r="C27" s="311" t="s">
        <v>983</v>
      </c>
      <c r="D27" s="321">
        <v>789492</v>
      </c>
      <c r="E27" s="608">
        <f>9305+42005</f>
        <v>51310</v>
      </c>
      <c r="F27" s="310">
        <f t="shared" si="0"/>
        <v>6.4991158871780836</v>
      </c>
    </row>
    <row r="28" spans="2:10">
      <c r="B28" s="308" t="s">
        <v>159</v>
      </c>
      <c r="C28" s="311" t="s">
        <v>984</v>
      </c>
      <c r="D28" s="315">
        <v>39000</v>
      </c>
      <c r="E28" s="315">
        <v>0</v>
      </c>
      <c r="F28" s="310">
        <f t="shared" si="0"/>
        <v>0</v>
      </c>
    </row>
    <row r="29" spans="2:10">
      <c r="B29" s="308" t="s">
        <v>788</v>
      </c>
      <c r="C29" s="311" t="s">
        <v>1007</v>
      </c>
      <c r="D29" s="315"/>
      <c r="E29" s="315">
        <v>11899.7</v>
      </c>
      <c r="F29" s="310">
        <f t="shared" si="0"/>
        <v>0</v>
      </c>
    </row>
    <row r="30" spans="2:10">
      <c r="B30" s="308" t="s">
        <v>858</v>
      </c>
      <c r="C30" s="311" t="s">
        <v>859</v>
      </c>
      <c r="D30" s="315">
        <v>83900</v>
      </c>
      <c r="E30" s="321">
        <v>19277.513097000003</v>
      </c>
      <c r="F30" s="310">
        <f t="shared" si="0"/>
        <v>22.976773655542317</v>
      </c>
    </row>
    <row r="31" spans="2:10" ht="30" customHeight="1">
      <c r="B31" s="308" t="s">
        <v>24</v>
      </c>
      <c r="C31" s="311" t="s">
        <v>127</v>
      </c>
      <c r="D31" s="315">
        <f>D32+D35</f>
        <v>1441140</v>
      </c>
      <c r="E31" s="315">
        <f>E32+E35</f>
        <v>1589410.533905</v>
      </c>
      <c r="F31" s="310">
        <f t="shared" si="0"/>
        <v>110.28841985546165</v>
      </c>
      <c r="J31" s="529"/>
    </row>
    <row r="32" spans="2:10">
      <c r="B32" s="308" t="s">
        <v>28</v>
      </c>
      <c r="C32" s="311" t="s">
        <v>48</v>
      </c>
      <c r="D32" s="315">
        <f>D33+D34</f>
        <v>0</v>
      </c>
      <c r="E32" s="315">
        <f>E33+E34</f>
        <v>43796.432468999999</v>
      </c>
      <c r="F32" s="310">
        <f t="shared" si="0"/>
        <v>0</v>
      </c>
    </row>
    <row r="33" spans="2:12">
      <c r="B33" s="318">
        <v>1</v>
      </c>
      <c r="C33" s="312" t="s">
        <v>208</v>
      </c>
      <c r="D33" s="319"/>
      <c r="E33" s="319">
        <v>7095.7290000000003</v>
      </c>
      <c r="F33" s="314">
        <f t="shared" si="0"/>
        <v>0</v>
      </c>
    </row>
    <row r="34" spans="2:12">
      <c r="B34" s="318">
        <v>2</v>
      </c>
      <c r="C34" s="312" t="s">
        <v>209</v>
      </c>
      <c r="D34" s="319"/>
      <c r="E34" s="319">
        <v>36700.703469</v>
      </c>
      <c r="F34" s="314">
        <f t="shared" si="0"/>
        <v>0</v>
      </c>
      <c r="J34" s="529"/>
    </row>
    <row r="35" spans="2:12">
      <c r="B35" s="308" t="s">
        <v>33</v>
      </c>
      <c r="C35" s="311" t="s">
        <v>128</v>
      </c>
      <c r="D35" s="315">
        <f>D36+D68</f>
        <v>1441140</v>
      </c>
      <c r="E35" s="315">
        <f>E36+E68</f>
        <v>1545614.1014359999</v>
      </c>
      <c r="F35" s="310">
        <f t="shared" si="0"/>
        <v>107.24940681932358</v>
      </c>
    </row>
    <row r="36" spans="2:12">
      <c r="B36" s="308" t="s">
        <v>210</v>
      </c>
      <c r="C36" s="311" t="s">
        <v>211</v>
      </c>
      <c r="D36" s="315">
        <f>D37+D50</f>
        <v>1234788</v>
      </c>
      <c r="E36" s="315">
        <f>E37+E46+E50</f>
        <v>1352597.853684</v>
      </c>
      <c r="F36" s="310">
        <f t="shared" si="0"/>
        <v>109.54089719725167</v>
      </c>
      <c r="G36" s="527" t="s">
        <v>966</v>
      </c>
    </row>
    <row r="37" spans="2:12">
      <c r="B37" s="308">
        <v>1</v>
      </c>
      <c r="C37" s="311" t="s">
        <v>212</v>
      </c>
      <c r="D37" s="315">
        <f>D38+D41</f>
        <v>386030</v>
      </c>
      <c r="E37" s="315">
        <f>E38+E41</f>
        <v>370724.38072699995</v>
      </c>
      <c r="F37" s="310">
        <f t="shared" si="0"/>
        <v>96.035121810999129</v>
      </c>
      <c r="H37" s="530">
        <f>E36+37059</f>
        <v>1389656.853684</v>
      </c>
    </row>
    <row r="38" spans="2:12" s="160" customFormat="1" ht="14.25">
      <c r="B38" s="339" t="s">
        <v>188</v>
      </c>
      <c r="C38" s="340" t="s">
        <v>863</v>
      </c>
      <c r="D38" s="341">
        <f>SUM(D39:D40)</f>
        <v>0</v>
      </c>
      <c r="E38" s="352">
        <f>SUM(E39:E40)</f>
        <v>199806.565</v>
      </c>
      <c r="F38" s="326">
        <f t="shared" si="0"/>
        <v>0</v>
      </c>
      <c r="G38" s="531"/>
      <c r="H38" s="531"/>
      <c r="I38" s="531"/>
      <c r="J38" s="531"/>
      <c r="K38" s="531"/>
      <c r="L38" s="531"/>
    </row>
    <row r="39" spans="2:12" ht="25.5">
      <c r="B39" s="308" t="s">
        <v>30</v>
      </c>
      <c r="C39" s="323" t="s">
        <v>244</v>
      </c>
      <c r="D39" s="322"/>
      <c r="E39" s="353">
        <v>195985.905</v>
      </c>
      <c r="F39" s="324">
        <f t="shared" si="0"/>
        <v>0</v>
      </c>
    </row>
    <row r="40" spans="2:12" ht="25.5">
      <c r="B40" s="308" t="s">
        <v>30</v>
      </c>
      <c r="C40" s="325" t="s">
        <v>864</v>
      </c>
      <c r="D40" s="322"/>
      <c r="E40" s="353">
        <v>3820.66</v>
      </c>
      <c r="F40" s="324">
        <f t="shared" si="0"/>
        <v>0</v>
      </c>
    </row>
    <row r="41" spans="2:12">
      <c r="B41" s="308" t="s">
        <v>189</v>
      </c>
      <c r="C41" s="311" t="s">
        <v>865</v>
      </c>
      <c r="D41" s="341">
        <f>SUM(D42:D45)</f>
        <v>386030</v>
      </c>
      <c r="E41" s="352">
        <f>SUM(E42:E45)</f>
        <v>170917.81572699998</v>
      </c>
      <c r="F41" s="326">
        <f t="shared" si="0"/>
        <v>44.275785749035045</v>
      </c>
    </row>
    <row r="42" spans="2:12" ht="25.5">
      <c r="B42" s="308" t="s">
        <v>30</v>
      </c>
      <c r="C42" s="323" t="s">
        <v>866</v>
      </c>
      <c r="D42" s="322">
        <v>35904</v>
      </c>
      <c r="E42" s="353">
        <v>22279.692595</v>
      </c>
      <c r="F42" s="324">
        <f t="shared" si="0"/>
        <v>62.053511015485739</v>
      </c>
    </row>
    <row r="43" spans="2:12">
      <c r="B43" s="308" t="s">
        <v>30</v>
      </c>
      <c r="C43" s="327" t="s">
        <v>867</v>
      </c>
      <c r="D43" s="322">
        <v>46980</v>
      </c>
      <c r="E43" s="353">
        <v>38692.844313000001</v>
      </c>
      <c r="F43" s="324">
        <f t="shared" si="0"/>
        <v>82.360247579821205</v>
      </c>
    </row>
    <row r="44" spans="2:12" ht="25.5">
      <c r="B44" s="308" t="s">
        <v>30</v>
      </c>
      <c r="C44" s="328" t="s">
        <v>424</v>
      </c>
      <c r="D44" s="322">
        <v>224000</v>
      </c>
      <c r="E44" s="353">
        <v>83489.148786999998</v>
      </c>
      <c r="F44" s="324">
        <f t="shared" si="0"/>
        <v>37.27194142276786</v>
      </c>
    </row>
    <row r="45" spans="2:12" ht="25.5">
      <c r="B45" s="308" t="s">
        <v>30</v>
      </c>
      <c r="C45" s="325" t="s">
        <v>868</v>
      </c>
      <c r="D45" s="322">
        <v>79146</v>
      </c>
      <c r="E45" s="353">
        <v>26456.130031999997</v>
      </c>
      <c r="F45" s="324">
        <f t="shared" si="0"/>
        <v>33.426995719303562</v>
      </c>
    </row>
    <row r="46" spans="2:12">
      <c r="B46" s="308" t="s">
        <v>869</v>
      </c>
      <c r="C46" s="329" t="s">
        <v>870</v>
      </c>
      <c r="D46" s="317">
        <f>SUM(D47:D49)</f>
        <v>0</v>
      </c>
      <c r="E46" s="351">
        <f>SUM(E47:E49)</f>
        <v>10254.152539000001</v>
      </c>
      <c r="F46" s="310">
        <f t="shared" si="0"/>
        <v>0</v>
      </c>
    </row>
    <row r="47" spans="2:12">
      <c r="B47" s="308" t="s">
        <v>30</v>
      </c>
      <c r="C47" s="327" t="s">
        <v>867</v>
      </c>
      <c r="D47" s="322">
        <f>12546-12546</f>
        <v>0</v>
      </c>
      <c r="E47" s="353">
        <v>1227.0024410000005</v>
      </c>
      <c r="F47" s="310">
        <f t="shared" si="0"/>
        <v>0</v>
      </c>
    </row>
    <row r="48" spans="2:12" ht="25.5">
      <c r="B48" s="308" t="s">
        <v>30</v>
      </c>
      <c r="C48" s="328" t="s">
        <v>424</v>
      </c>
      <c r="D48" s="322">
        <f>7332-7332</f>
        <v>0</v>
      </c>
      <c r="E48" s="353">
        <v>8571.2636870000006</v>
      </c>
      <c r="F48" s="310">
        <f t="shared" si="0"/>
        <v>0</v>
      </c>
    </row>
    <row r="49" spans="2:6" ht="25.5">
      <c r="B49" s="308" t="s">
        <v>30</v>
      </c>
      <c r="C49" s="323" t="s">
        <v>866</v>
      </c>
      <c r="D49" s="322">
        <f>5672-5672</f>
        <v>0</v>
      </c>
      <c r="E49" s="353">
        <v>455.88641100000001</v>
      </c>
      <c r="F49" s="310">
        <f t="shared" si="0"/>
        <v>0</v>
      </c>
    </row>
    <row r="50" spans="2:6">
      <c r="B50" s="308" t="s">
        <v>871</v>
      </c>
      <c r="C50" s="311" t="s">
        <v>174</v>
      </c>
      <c r="D50" s="317">
        <f>D51+D65</f>
        <v>848758</v>
      </c>
      <c r="E50" s="351">
        <f>E51+E65</f>
        <v>971619.3204180001</v>
      </c>
      <c r="F50" s="310">
        <f t="shared" si="0"/>
        <v>114.47542413950738</v>
      </c>
    </row>
    <row r="51" spans="2:6">
      <c r="B51" s="308" t="s">
        <v>872</v>
      </c>
      <c r="C51" s="311" t="s">
        <v>873</v>
      </c>
      <c r="D51" s="341">
        <f>SUM(D52:D64)</f>
        <v>848758</v>
      </c>
      <c r="E51" s="352">
        <f>SUM(E52:E64)</f>
        <v>892690.55371300015</v>
      </c>
      <c r="F51" s="324">
        <f t="shared" si="0"/>
        <v>105.17609892489969</v>
      </c>
    </row>
    <row r="52" spans="2:6">
      <c r="B52" s="308" t="s">
        <v>30</v>
      </c>
      <c r="C52" s="330" t="s">
        <v>1008</v>
      </c>
      <c r="D52" s="338">
        <v>476376</v>
      </c>
      <c r="E52" s="354">
        <v>294180.01506100001</v>
      </c>
      <c r="F52" s="324">
        <f t="shared" si="0"/>
        <v>61.75374390418493</v>
      </c>
    </row>
    <row r="53" spans="2:6">
      <c r="B53" s="308" t="s">
        <v>30</v>
      </c>
      <c r="C53" s="330" t="s">
        <v>1009</v>
      </c>
      <c r="D53" s="338">
        <v>99426.442999999999</v>
      </c>
      <c r="E53" s="354">
        <v>92597.739499999996</v>
      </c>
      <c r="F53" s="324">
        <f t="shared" si="0"/>
        <v>93.131904054940392</v>
      </c>
    </row>
    <row r="54" spans="2:6">
      <c r="B54" s="308" t="s">
        <v>30</v>
      </c>
      <c r="C54" s="330" t="s">
        <v>1010</v>
      </c>
      <c r="D54" s="338">
        <v>7611</v>
      </c>
      <c r="E54" s="354">
        <v>7646.2980950000001</v>
      </c>
      <c r="F54" s="324">
        <f t="shared" si="0"/>
        <v>100.4637773617133</v>
      </c>
    </row>
    <row r="55" spans="2:6">
      <c r="B55" s="308" t="s">
        <v>30</v>
      </c>
      <c r="C55" s="330" t="s">
        <v>1011</v>
      </c>
      <c r="D55" s="338">
        <v>110900</v>
      </c>
      <c r="E55" s="354">
        <v>26410.048000000003</v>
      </c>
      <c r="F55" s="324">
        <f t="shared" si="0"/>
        <v>23.81429035166817</v>
      </c>
    </row>
    <row r="56" spans="2:6">
      <c r="B56" s="308" t="s">
        <v>30</v>
      </c>
      <c r="C56" s="330" t="s">
        <v>1012</v>
      </c>
      <c r="D56" s="338">
        <v>126532.557</v>
      </c>
      <c r="E56" s="354">
        <v>106283.64799999999</v>
      </c>
      <c r="F56" s="324">
        <f t="shared" si="0"/>
        <v>83.997075946232542</v>
      </c>
    </row>
    <row r="57" spans="2:6">
      <c r="B57" s="308" t="s">
        <v>30</v>
      </c>
      <c r="C57" s="330" t="s">
        <v>1013</v>
      </c>
      <c r="D57" s="338">
        <v>700</v>
      </c>
      <c r="E57" s="354">
        <v>0</v>
      </c>
      <c r="F57" s="324">
        <f t="shared" si="0"/>
        <v>0</v>
      </c>
    </row>
    <row r="58" spans="2:6">
      <c r="B58" s="308" t="s">
        <v>30</v>
      </c>
      <c r="C58" s="330" t="s">
        <v>1014</v>
      </c>
      <c r="D58" s="338">
        <v>27212</v>
      </c>
      <c r="E58" s="354">
        <v>3168.8610000000008</v>
      </c>
      <c r="F58" s="324">
        <f t="shared" si="0"/>
        <v>11.645086726444219</v>
      </c>
    </row>
    <row r="59" spans="2:6">
      <c r="B59" s="308" t="s">
        <v>30</v>
      </c>
      <c r="C59" s="331" t="s">
        <v>874</v>
      </c>
      <c r="D59" s="338"/>
      <c r="E59" s="354">
        <v>83092.604460000002</v>
      </c>
      <c r="F59" s="310">
        <f t="shared" si="0"/>
        <v>0</v>
      </c>
    </row>
    <row r="60" spans="2:6">
      <c r="B60" s="308" t="s">
        <v>30</v>
      </c>
      <c r="C60" s="331" t="s">
        <v>875</v>
      </c>
      <c r="D60" s="338"/>
      <c r="E60" s="354">
        <v>800.58470499999999</v>
      </c>
      <c r="F60" s="310">
        <f t="shared" si="0"/>
        <v>0</v>
      </c>
    </row>
    <row r="61" spans="2:6" ht="25.5">
      <c r="B61" s="308" t="s">
        <v>30</v>
      </c>
      <c r="C61" s="330" t="s">
        <v>876</v>
      </c>
      <c r="D61" s="338"/>
      <c r="E61" s="354">
        <v>21749.041000000001</v>
      </c>
      <c r="F61" s="310">
        <f t="shared" si="0"/>
        <v>0</v>
      </c>
    </row>
    <row r="62" spans="2:6" ht="25.5">
      <c r="B62" s="308" t="s">
        <v>30</v>
      </c>
      <c r="C62" s="330" t="s">
        <v>1015</v>
      </c>
      <c r="D62" s="338"/>
      <c r="E62" s="354">
        <v>146211.486107</v>
      </c>
      <c r="F62" s="310">
        <f t="shared" si="0"/>
        <v>0</v>
      </c>
    </row>
    <row r="63" spans="2:6">
      <c r="B63" s="308" t="s">
        <v>30</v>
      </c>
      <c r="C63" s="331" t="s">
        <v>1016</v>
      </c>
      <c r="D63" s="338"/>
      <c r="E63" s="354">
        <v>99999.273000000001</v>
      </c>
      <c r="F63" s="310">
        <f t="shared" si="0"/>
        <v>0</v>
      </c>
    </row>
    <row r="64" spans="2:6">
      <c r="B64" s="308" t="s">
        <v>30</v>
      </c>
      <c r="C64" s="331" t="s">
        <v>877</v>
      </c>
      <c r="D64" s="338"/>
      <c r="E64" s="354">
        <v>10550.954785000002</v>
      </c>
      <c r="F64" s="310">
        <f t="shared" si="0"/>
        <v>0</v>
      </c>
    </row>
    <row r="65" spans="2:12" s="160" customFormat="1" ht="14.25">
      <c r="B65" s="339" t="s">
        <v>201</v>
      </c>
      <c r="C65" s="340" t="s">
        <v>878</v>
      </c>
      <c r="D65" s="341">
        <f>SUM(D66:D67)</f>
        <v>0</v>
      </c>
      <c r="E65" s="352">
        <f>SUM(E66:E67)</f>
        <v>78928.766705000002</v>
      </c>
      <c r="F65" s="326">
        <f t="shared" si="0"/>
        <v>0</v>
      </c>
      <c r="G65" s="531"/>
      <c r="H65" s="531"/>
      <c r="I65" s="531"/>
      <c r="J65" s="531"/>
      <c r="K65" s="531"/>
      <c r="L65" s="531"/>
    </row>
    <row r="66" spans="2:12">
      <c r="B66" s="308" t="s">
        <v>30</v>
      </c>
      <c r="C66" s="323" t="s">
        <v>879</v>
      </c>
      <c r="D66" s="322"/>
      <c r="E66" s="353">
        <v>78928.766705000002</v>
      </c>
      <c r="F66" s="310">
        <f t="shared" si="0"/>
        <v>0</v>
      </c>
    </row>
    <row r="67" spans="2:12">
      <c r="B67" s="318"/>
      <c r="C67" s="312" t="s">
        <v>880</v>
      </c>
      <c r="D67" s="322"/>
      <c r="E67" s="353"/>
      <c r="F67" s="310">
        <f t="shared" si="0"/>
        <v>0</v>
      </c>
    </row>
    <row r="68" spans="2:12">
      <c r="B68" s="308" t="s">
        <v>213</v>
      </c>
      <c r="C68" s="311" t="s">
        <v>214</v>
      </c>
      <c r="D68" s="315">
        <f>D69+D74</f>
        <v>206352</v>
      </c>
      <c r="E68" s="315">
        <f>E69+E74</f>
        <v>193016.24775199997</v>
      </c>
      <c r="F68" s="310">
        <f t="shared" si="0"/>
        <v>93.537376789175767</v>
      </c>
    </row>
    <row r="69" spans="2:12">
      <c r="B69" s="308" t="s">
        <v>28</v>
      </c>
      <c r="C69" s="311" t="s">
        <v>173</v>
      </c>
      <c r="D69" s="315">
        <f>D70+D71+D72+D73</f>
        <v>18680</v>
      </c>
      <c r="E69" s="315">
        <f>E70+E71+E72+E73</f>
        <v>7819.8088029999999</v>
      </c>
      <c r="F69" s="310">
        <f t="shared" si="0"/>
        <v>41.861931493576016</v>
      </c>
    </row>
    <row r="70" spans="2:12" ht="25.5">
      <c r="B70" s="318" t="s">
        <v>851</v>
      </c>
      <c r="C70" s="312" t="s">
        <v>967</v>
      </c>
      <c r="D70" s="319">
        <v>11500</v>
      </c>
      <c r="E70" s="319">
        <v>5376.8008030000001</v>
      </c>
      <c r="F70" s="324">
        <f t="shared" si="0"/>
        <v>46.754789591304345</v>
      </c>
    </row>
    <row r="71" spans="2:12" ht="38.25">
      <c r="B71" s="318" t="s">
        <v>851</v>
      </c>
      <c r="C71" s="312" t="s">
        <v>852</v>
      </c>
      <c r="D71" s="319">
        <v>4683</v>
      </c>
      <c r="E71" s="319">
        <v>2443.0079999999998</v>
      </c>
      <c r="F71" s="324">
        <f t="shared" si="0"/>
        <v>52.167584881486221</v>
      </c>
    </row>
    <row r="72" spans="2:12" ht="44.25" customHeight="1">
      <c r="B72" s="318" t="s">
        <v>851</v>
      </c>
      <c r="C72" s="312" t="s">
        <v>853</v>
      </c>
      <c r="D72" s="319">
        <v>1829</v>
      </c>
      <c r="E72" s="319">
        <v>0</v>
      </c>
      <c r="F72" s="324">
        <f t="shared" si="0"/>
        <v>0</v>
      </c>
    </row>
    <row r="73" spans="2:12">
      <c r="B73" s="318" t="s">
        <v>851</v>
      </c>
      <c r="C73" s="312" t="s">
        <v>968</v>
      </c>
      <c r="D73" s="319">
        <v>668</v>
      </c>
      <c r="E73" s="319"/>
      <c r="F73" s="324">
        <f t="shared" si="0"/>
        <v>0</v>
      </c>
    </row>
    <row r="74" spans="2:12">
      <c r="B74" s="308" t="s">
        <v>33</v>
      </c>
      <c r="C74" s="311" t="s">
        <v>174</v>
      </c>
      <c r="D74" s="315">
        <f>D75+D76+D77+D80+D84+D87+D88+D89+D94+D99+D100+D101+D104+D102+D103</f>
        <v>187672</v>
      </c>
      <c r="E74" s="315">
        <f>E75+E76+E77+E80+E84+E87+E88+E89+E94+E99+E100+E101+E104+E102+E103</f>
        <v>185196.43894899997</v>
      </c>
      <c r="F74" s="310">
        <f t="shared" si="0"/>
        <v>98.680910817276938</v>
      </c>
    </row>
    <row r="75" spans="2:12">
      <c r="B75" s="318">
        <v>1</v>
      </c>
      <c r="C75" s="312" t="s">
        <v>969</v>
      </c>
      <c r="D75" s="319">
        <v>23602</v>
      </c>
      <c r="E75" s="319">
        <v>23411.965499999998</v>
      </c>
      <c r="F75" s="314">
        <f>IF(D75=0, ,E75/D75*100)</f>
        <v>99.194837301923556</v>
      </c>
    </row>
    <row r="76" spans="2:12" ht="25.5">
      <c r="B76" s="318">
        <v>2</v>
      </c>
      <c r="C76" s="312" t="s">
        <v>970</v>
      </c>
      <c r="D76" s="319">
        <v>17849</v>
      </c>
      <c r="E76" s="319">
        <v>17849</v>
      </c>
      <c r="F76" s="314">
        <f t="shared" si="0"/>
        <v>100</v>
      </c>
    </row>
    <row r="77" spans="2:12" ht="38.25">
      <c r="B77" s="318">
        <v>3</v>
      </c>
      <c r="C77" s="312" t="s">
        <v>971</v>
      </c>
      <c r="D77" s="319">
        <f>D78+D79</f>
        <v>3167</v>
      </c>
      <c r="E77" s="319">
        <v>3154.2610000000004</v>
      </c>
      <c r="F77" s="314">
        <f t="shared" si="0"/>
        <v>99.597758130723093</v>
      </c>
    </row>
    <row r="78" spans="2:12" ht="25.5">
      <c r="B78" s="318" t="s">
        <v>202</v>
      </c>
      <c r="C78" s="312" t="s">
        <v>972</v>
      </c>
      <c r="D78" s="319">
        <v>1355</v>
      </c>
      <c r="E78" s="319">
        <v>1355</v>
      </c>
      <c r="F78" s="314"/>
    </row>
    <row r="79" spans="2:12" ht="25.5">
      <c r="B79" s="318" t="s">
        <v>201</v>
      </c>
      <c r="C79" s="312" t="s">
        <v>973</v>
      </c>
      <c r="D79" s="319">
        <v>1812</v>
      </c>
      <c r="E79" s="319">
        <v>1799.2610000000002</v>
      </c>
      <c r="F79" s="314"/>
    </row>
    <row r="80" spans="2:12" ht="63.75">
      <c r="B80" s="318">
        <v>4</v>
      </c>
      <c r="C80" s="312" t="s">
        <v>216</v>
      </c>
      <c r="D80" s="319">
        <f>D81+D82+D83</f>
        <v>7714</v>
      </c>
      <c r="E80" s="319">
        <v>7714</v>
      </c>
      <c r="F80" s="314">
        <f t="shared" si="0"/>
        <v>100</v>
      </c>
      <c r="G80" s="529"/>
      <c r="I80" s="529"/>
    </row>
    <row r="81" spans="2:9">
      <c r="B81" s="318" t="s">
        <v>203</v>
      </c>
      <c r="C81" s="312" t="s">
        <v>220</v>
      </c>
      <c r="D81" s="319">
        <v>3868</v>
      </c>
      <c r="E81" s="319">
        <v>3868</v>
      </c>
      <c r="F81" s="314">
        <f t="shared" si="0"/>
        <v>100</v>
      </c>
    </row>
    <row r="82" spans="2:9" ht="25.5">
      <c r="B82" s="318" t="s">
        <v>204</v>
      </c>
      <c r="C82" s="312" t="s">
        <v>221</v>
      </c>
      <c r="D82" s="319">
        <v>1077</v>
      </c>
      <c r="E82" s="319">
        <v>1077</v>
      </c>
      <c r="F82" s="314">
        <f t="shared" si="0"/>
        <v>100</v>
      </c>
    </row>
    <row r="83" spans="2:9" ht="25.5">
      <c r="B83" s="318" t="s">
        <v>205</v>
      </c>
      <c r="C83" s="312" t="s">
        <v>222</v>
      </c>
      <c r="D83" s="319">
        <v>2769</v>
      </c>
      <c r="E83" s="319">
        <v>2769</v>
      </c>
      <c r="F83" s="314">
        <f t="shared" si="0"/>
        <v>100</v>
      </c>
    </row>
    <row r="84" spans="2:9" ht="25.5">
      <c r="B84" s="318">
        <v>5</v>
      </c>
      <c r="C84" s="312" t="s">
        <v>974</v>
      </c>
      <c r="D84" s="319">
        <f>D85+D86</f>
        <v>1484</v>
      </c>
      <c r="E84" s="319">
        <v>496</v>
      </c>
      <c r="F84" s="314">
        <f t="shared" si="0"/>
        <v>33.423180592991912</v>
      </c>
    </row>
    <row r="85" spans="2:9">
      <c r="B85" s="318" t="s">
        <v>217</v>
      </c>
      <c r="C85" s="312" t="s">
        <v>226</v>
      </c>
      <c r="D85" s="319">
        <v>1288</v>
      </c>
      <c r="E85" s="319">
        <v>300</v>
      </c>
      <c r="F85" s="314">
        <f t="shared" si="0"/>
        <v>23.29192546583851</v>
      </c>
    </row>
    <row r="86" spans="2:9">
      <c r="B86" s="318" t="s">
        <v>218</v>
      </c>
      <c r="C86" s="312" t="s">
        <v>227</v>
      </c>
      <c r="D86" s="319">
        <v>196</v>
      </c>
      <c r="E86" s="319">
        <v>196</v>
      </c>
      <c r="F86" s="314">
        <f t="shared" si="0"/>
        <v>100</v>
      </c>
    </row>
    <row r="87" spans="2:9" ht="38.25">
      <c r="B87" s="318">
        <v>6</v>
      </c>
      <c r="C87" s="312" t="s">
        <v>228</v>
      </c>
      <c r="D87" s="319">
        <v>29575</v>
      </c>
      <c r="E87" s="319">
        <v>29575</v>
      </c>
      <c r="F87" s="314">
        <f t="shared" si="0"/>
        <v>100</v>
      </c>
    </row>
    <row r="88" spans="2:9">
      <c r="B88" s="318">
        <v>7</v>
      </c>
      <c r="C88" s="312" t="s">
        <v>229</v>
      </c>
      <c r="D88" s="319">
        <v>6381</v>
      </c>
      <c r="E88" s="319">
        <v>6381</v>
      </c>
      <c r="F88" s="314">
        <f t="shared" si="0"/>
        <v>100</v>
      </c>
    </row>
    <row r="89" spans="2:9">
      <c r="B89" s="318">
        <v>8</v>
      </c>
      <c r="C89" s="312" t="s">
        <v>230</v>
      </c>
      <c r="D89" s="319">
        <f>D93+D92+D91+D90</f>
        <v>4155</v>
      </c>
      <c r="E89" s="319">
        <v>4071.29</v>
      </c>
      <c r="F89" s="314">
        <f t="shared" si="0"/>
        <v>97.985318892900125</v>
      </c>
    </row>
    <row r="90" spans="2:9" ht="25.5">
      <c r="B90" s="332" t="s">
        <v>30</v>
      </c>
      <c r="C90" s="312" t="s">
        <v>231</v>
      </c>
      <c r="D90" s="319">
        <v>1020</v>
      </c>
      <c r="E90" s="319">
        <v>1015</v>
      </c>
      <c r="F90" s="314">
        <f t="shared" si="0"/>
        <v>99.509803921568633</v>
      </c>
    </row>
    <row r="91" spans="2:9" ht="18.75" customHeight="1">
      <c r="B91" s="332" t="s">
        <v>30</v>
      </c>
      <c r="C91" s="312" t="s">
        <v>232</v>
      </c>
      <c r="D91" s="319">
        <v>1110</v>
      </c>
      <c r="E91" s="319">
        <v>1031.29</v>
      </c>
      <c r="F91" s="314">
        <f t="shared" si="0"/>
        <v>92.909009009008997</v>
      </c>
    </row>
    <row r="92" spans="2:9" ht="30.75" customHeight="1">
      <c r="B92" s="332" t="s">
        <v>30</v>
      </c>
      <c r="C92" s="312" t="s">
        <v>233</v>
      </c>
      <c r="D92" s="319">
        <v>726</v>
      </c>
      <c r="E92" s="319">
        <v>726</v>
      </c>
      <c r="F92" s="314">
        <f t="shared" si="0"/>
        <v>100</v>
      </c>
    </row>
    <row r="93" spans="2:9" ht="26.25" customHeight="1">
      <c r="B93" s="332" t="s">
        <v>30</v>
      </c>
      <c r="C93" s="312" t="s">
        <v>234</v>
      </c>
      <c r="D93" s="319">
        <v>1299</v>
      </c>
      <c r="E93" s="319">
        <v>1299</v>
      </c>
      <c r="F93" s="314">
        <f t="shared" si="0"/>
        <v>100</v>
      </c>
    </row>
    <row r="94" spans="2:9" ht="79.5" customHeight="1">
      <c r="B94" s="332">
        <v>9</v>
      </c>
      <c r="C94" s="333" t="s">
        <v>235</v>
      </c>
      <c r="D94" s="319">
        <f>SUM(D95:D98)</f>
        <v>28593</v>
      </c>
      <c r="E94" s="319">
        <v>28830.422448999998</v>
      </c>
      <c r="F94" s="314">
        <f t="shared" si="0"/>
        <v>100.83035165599972</v>
      </c>
    </row>
    <row r="95" spans="2:9" ht="24.75" customHeight="1">
      <c r="B95" s="318" t="s">
        <v>384</v>
      </c>
      <c r="C95" s="312" t="s">
        <v>236</v>
      </c>
      <c r="D95" s="319">
        <v>10777</v>
      </c>
      <c r="E95" s="319">
        <v>10737</v>
      </c>
      <c r="F95" s="314">
        <f t="shared" ref="F95:F106" si="1">IF(D95=0, ,E95/D95*100)</f>
        <v>99.628839194581047</v>
      </c>
      <c r="I95" s="529"/>
    </row>
    <row r="96" spans="2:9" ht="15" customHeight="1">
      <c r="B96" s="318" t="s">
        <v>385</v>
      </c>
      <c r="C96" s="312" t="s">
        <v>237</v>
      </c>
      <c r="D96" s="319">
        <v>6815</v>
      </c>
      <c r="E96" s="319">
        <v>6400.39</v>
      </c>
      <c r="F96" s="314">
        <f t="shared" si="1"/>
        <v>93.916214233308878</v>
      </c>
      <c r="I96" s="529"/>
    </row>
    <row r="97" spans="2:9" ht="29.25" customHeight="1">
      <c r="B97" s="318" t="s">
        <v>386</v>
      </c>
      <c r="C97" s="312" t="s">
        <v>238</v>
      </c>
      <c r="D97" s="319">
        <v>1261</v>
      </c>
      <c r="E97" s="319">
        <v>1231.5</v>
      </c>
      <c r="F97" s="314">
        <f t="shared" si="1"/>
        <v>97.660586835844569</v>
      </c>
      <c r="I97" s="529"/>
    </row>
    <row r="98" spans="2:9" ht="24" customHeight="1">
      <c r="B98" s="318" t="s">
        <v>977</v>
      </c>
      <c r="C98" s="312" t="s">
        <v>239</v>
      </c>
      <c r="D98" s="319">
        <v>9740</v>
      </c>
      <c r="E98" s="319">
        <v>10461.532449</v>
      </c>
      <c r="F98" s="314">
        <f t="shared" si="1"/>
        <v>107.40793068788501</v>
      </c>
      <c r="I98" s="529"/>
    </row>
    <row r="99" spans="2:9" ht="15" customHeight="1">
      <c r="B99" s="332">
        <v>10</v>
      </c>
      <c r="C99" s="312" t="s">
        <v>975</v>
      </c>
      <c r="D99" s="319">
        <v>5711</v>
      </c>
      <c r="E99" s="319">
        <v>5747</v>
      </c>
      <c r="F99" s="314">
        <f t="shared" si="1"/>
        <v>100.63036245841359</v>
      </c>
    </row>
    <row r="100" spans="2:9" ht="28.5" customHeight="1">
      <c r="B100" s="332">
        <v>11</v>
      </c>
      <c r="C100" s="312" t="s">
        <v>928</v>
      </c>
      <c r="D100" s="319">
        <v>9580</v>
      </c>
      <c r="E100" s="319">
        <v>9030.2000000000007</v>
      </c>
      <c r="F100" s="314">
        <f t="shared" si="1"/>
        <v>94.260960334029235</v>
      </c>
    </row>
    <row r="101" spans="2:9" ht="25.5">
      <c r="B101" s="332">
        <v>12</v>
      </c>
      <c r="C101" s="312" t="s">
        <v>240</v>
      </c>
      <c r="D101" s="319">
        <v>44194</v>
      </c>
      <c r="E101" s="319">
        <v>43769.3</v>
      </c>
      <c r="F101" s="314">
        <f t="shared" si="1"/>
        <v>99.039009820337611</v>
      </c>
    </row>
    <row r="102" spans="2:9" ht="27" customHeight="1">
      <c r="B102" s="318">
        <v>13</v>
      </c>
      <c r="C102" s="312" t="s">
        <v>687</v>
      </c>
      <c r="D102" s="319">
        <v>167</v>
      </c>
      <c r="E102" s="319">
        <v>167</v>
      </c>
      <c r="F102" s="314">
        <f t="shared" si="1"/>
        <v>100</v>
      </c>
    </row>
    <row r="103" spans="2:9" ht="27" customHeight="1">
      <c r="B103" s="318">
        <v>14</v>
      </c>
      <c r="C103" s="312" t="s">
        <v>976</v>
      </c>
      <c r="D103" s="319">
        <v>500</v>
      </c>
      <c r="E103" s="319">
        <v>0</v>
      </c>
      <c r="F103" s="314">
        <f t="shared" si="1"/>
        <v>0</v>
      </c>
    </row>
    <row r="104" spans="2:9" ht="27" customHeight="1">
      <c r="B104" s="318">
        <v>15</v>
      </c>
      <c r="C104" s="312" t="s">
        <v>686</v>
      </c>
      <c r="D104" s="319">
        <v>5000</v>
      </c>
      <c r="E104" s="319">
        <v>5000</v>
      </c>
      <c r="F104" s="314">
        <f t="shared" si="1"/>
        <v>100</v>
      </c>
    </row>
    <row r="105" spans="2:9">
      <c r="B105" s="308" t="s">
        <v>51</v>
      </c>
      <c r="C105" s="311" t="s">
        <v>129</v>
      </c>
      <c r="D105" s="315"/>
      <c r="E105" s="315">
        <f>2204821.349613+0.3</f>
        <v>2204821.649613</v>
      </c>
      <c r="F105" s="310">
        <f t="shared" si="1"/>
        <v>0</v>
      </c>
    </row>
    <row r="106" spans="2:9">
      <c r="B106" s="334" t="s">
        <v>52</v>
      </c>
      <c r="C106" s="335" t="s">
        <v>696</v>
      </c>
      <c r="D106" s="336"/>
      <c r="E106" s="336">
        <v>429889.49046399997</v>
      </c>
      <c r="F106" s="337">
        <f t="shared" si="1"/>
        <v>0</v>
      </c>
    </row>
    <row r="107" spans="2:9" ht="34.5" customHeight="1">
      <c r="B107" s="644" t="s">
        <v>887</v>
      </c>
      <c r="C107" s="644"/>
      <c r="D107" s="644"/>
      <c r="E107" s="644"/>
      <c r="F107" s="644"/>
    </row>
    <row r="108" spans="2:9" ht="34.5" customHeight="1">
      <c r="B108" s="643" t="s">
        <v>918</v>
      </c>
      <c r="C108" s="644"/>
      <c r="D108" s="644"/>
      <c r="E108" s="644"/>
      <c r="F108" s="644"/>
    </row>
  </sheetData>
  <mergeCells count="6">
    <mergeCell ref="B108:F108"/>
    <mergeCell ref="E1:F1"/>
    <mergeCell ref="B2:F2"/>
    <mergeCell ref="B3:F3"/>
    <mergeCell ref="B107:F107"/>
    <mergeCell ref="E4:F4"/>
  </mergeCell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3"/>
  <sheetViews>
    <sheetView topLeftCell="A16" zoomScaleNormal="100" workbookViewId="0">
      <selection activeCell="N32" sqref="N32"/>
    </sheetView>
  </sheetViews>
  <sheetFormatPr defaultColWidth="9.140625" defaultRowHeight="15"/>
  <cols>
    <col min="1" max="1" width="5.42578125" style="201" customWidth="1"/>
    <col min="2" max="2" width="37" style="174" customWidth="1"/>
    <col min="3" max="3" width="13" style="174" customWidth="1"/>
    <col min="4" max="4" width="12.28515625" style="174" customWidth="1"/>
    <col min="5" max="5" width="11.28515625" style="174" customWidth="1"/>
    <col min="6" max="6" width="12.140625" style="174" customWidth="1"/>
    <col min="7" max="7" width="18.7109375" style="174" customWidth="1"/>
    <col min="8" max="8" width="11.140625" style="174" customWidth="1"/>
    <col min="9" max="16384" width="9.140625" style="174"/>
  </cols>
  <sheetData>
    <row r="1" spans="1:14">
      <c r="A1" s="200"/>
      <c r="E1" s="163" t="s">
        <v>649</v>
      </c>
    </row>
    <row r="2" spans="1:14" ht="24.75" customHeight="1">
      <c r="A2" s="646" t="s">
        <v>964</v>
      </c>
      <c r="B2" s="646"/>
      <c r="C2" s="646"/>
      <c r="D2" s="646"/>
      <c r="E2" s="646"/>
      <c r="F2" s="646"/>
    </row>
    <row r="3" spans="1:14">
      <c r="A3" s="650" t="s">
        <v>953</v>
      </c>
      <c r="B3" s="650"/>
      <c r="C3" s="650"/>
      <c r="D3" s="650"/>
      <c r="E3" s="650"/>
      <c r="F3" s="650"/>
    </row>
    <row r="4" spans="1:14">
      <c r="A4" s="590"/>
      <c r="B4" s="591"/>
      <c r="C4" s="591"/>
      <c r="D4" s="591"/>
    </row>
    <row r="5" spans="1:14">
      <c r="A5" s="590"/>
      <c r="B5" s="591"/>
      <c r="C5" s="591"/>
      <c r="D5" s="591"/>
      <c r="E5" s="651" t="s">
        <v>888</v>
      </c>
      <c r="F5" s="651"/>
    </row>
    <row r="6" spans="1:14">
      <c r="A6" s="653" t="s">
        <v>16</v>
      </c>
      <c r="B6" s="653" t="s">
        <v>63</v>
      </c>
      <c r="C6" s="653" t="s">
        <v>18</v>
      </c>
      <c r="D6" s="653" t="s">
        <v>19</v>
      </c>
      <c r="E6" s="653" t="s">
        <v>20</v>
      </c>
      <c r="F6" s="653"/>
      <c r="G6" s="182"/>
      <c r="H6" s="527"/>
      <c r="I6" s="527"/>
      <c r="J6" s="527"/>
      <c r="K6" s="527"/>
    </row>
    <row r="7" spans="1:14" ht="25.5">
      <c r="A7" s="653"/>
      <c r="B7" s="653"/>
      <c r="C7" s="653"/>
      <c r="D7" s="653"/>
      <c r="E7" s="190" t="s">
        <v>21</v>
      </c>
      <c r="F7" s="190" t="s">
        <v>919</v>
      </c>
      <c r="G7" s="182"/>
      <c r="H7" s="527"/>
      <c r="I7" s="527"/>
      <c r="J7" s="527"/>
      <c r="K7" s="527"/>
    </row>
    <row r="8" spans="1:14">
      <c r="A8" s="199" t="s">
        <v>23</v>
      </c>
      <c r="B8" s="202" t="s">
        <v>24</v>
      </c>
      <c r="C8" s="202" t="s">
        <v>367</v>
      </c>
      <c r="D8" s="202" t="s">
        <v>368</v>
      </c>
      <c r="E8" s="203" t="s">
        <v>25</v>
      </c>
      <c r="F8" s="203" t="s">
        <v>26</v>
      </c>
      <c r="H8" s="529">
        <f>D9+'Bieu 54_'!T116</f>
        <v>8083350.7662559999</v>
      </c>
      <c r="I8" s="527"/>
      <c r="J8" s="527"/>
      <c r="K8" s="527"/>
    </row>
    <row r="9" spans="1:14" ht="18" customHeight="1">
      <c r="A9" s="178"/>
      <c r="B9" s="179" t="s">
        <v>42</v>
      </c>
      <c r="C9" s="195">
        <f>C10+C11+C48+C49</f>
        <v>6517057.4886699999</v>
      </c>
      <c r="D9" s="195">
        <f>D10+D11+D48+D49</f>
        <v>7549860.6582559999</v>
      </c>
      <c r="E9" s="195">
        <f>E10+E11+E48+E49</f>
        <v>1032803.1695860004</v>
      </c>
      <c r="F9" s="181">
        <f t="shared" ref="F9:F13" si="0">IF(C9=0,0,D9/C9*100)</f>
        <v>115.84769155990328</v>
      </c>
      <c r="G9" s="182"/>
      <c r="H9" s="529">
        <f>H10-D9</f>
        <v>532301.65380400047</v>
      </c>
      <c r="I9" s="529"/>
      <c r="J9" s="527"/>
      <c r="K9" s="527"/>
    </row>
    <row r="10" spans="1:14" ht="25.5">
      <c r="A10" s="164" t="s">
        <v>23</v>
      </c>
      <c r="B10" s="165" t="s">
        <v>130</v>
      </c>
      <c r="C10" s="194">
        <v>2007071</v>
      </c>
      <c r="D10" s="194">
        <f>C10</f>
        <v>2007071</v>
      </c>
      <c r="E10" s="194">
        <f t="shared" ref="E10:E13" si="1">D10-C10</f>
        <v>0</v>
      </c>
      <c r="F10" s="183">
        <f t="shared" si="0"/>
        <v>100</v>
      </c>
      <c r="H10" s="527">
        <v>8082162.3120600004</v>
      </c>
      <c r="I10" s="529"/>
      <c r="J10" s="527"/>
      <c r="K10" s="527"/>
    </row>
    <row r="11" spans="1:14" ht="25.5">
      <c r="A11" s="164" t="s">
        <v>24</v>
      </c>
      <c r="B11" s="165" t="s">
        <v>131</v>
      </c>
      <c r="C11" s="194">
        <f>C12+C28+C41+C42+C43+C45+C46+C44</f>
        <v>4509986.4886699999</v>
      </c>
      <c r="D11" s="194">
        <f>D12+D28+D41+D42+D43+D45+D46+D47+D44</f>
        <v>3884347.2252560002</v>
      </c>
      <c r="E11" s="194">
        <f t="shared" si="1"/>
        <v>-625639.2634139997</v>
      </c>
      <c r="F11" s="183">
        <f t="shared" si="0"/>
        <v>86.127690959036514</v>
      </c>
      <c r="G11" s="182"/>
      <c r="H11" s="529">
        <f>H10-D9</f>
        <v>532301.65380400047</v>
      </c>
      <c r="I11" s="529"/>
      <c r="J11" s="527"/>
      <c r="K11" s="527"/>
    </row>
    <row r="12" spans="1:14">
      <c r="A12" s="164" t="s">
        <v>28</v>
      </c>
      <c r="B12" s="165" t="s">
        <v>132</v>
      </c>
      <c r="C12" s="194">
        <f>C13+C26+C27</f>
        <v>1748520.58867</v>
      </c>
      <c r="D12" s="194">
        <f>D13+D26+D27</f>
        <v>1952820.160159</v>
      </c>
      <c r="E12" s="194">
        <f t="shared" si="1"/>
        <v>204299.57148899999</v>
      </c>
      <c r="F12" s="183">
        <f t="shared" si="0"/>
        <v>111.68413874064811</v>
      </c>
      <c r="H12" s="529">
        <f>D9-D10</f>
        <v>5542789.6582559999</v>
      </c>
      <c r="I12" s="529">
        <f>H12+'Bieu 54_'!T116</f>
        <v>6076279.7662559999</v>
      </c>
      <c r="J12" s="527"/>
      <c r="K12" s="527"/>
    </row>
    <row r="13" spans="1:14">
      <c r="A13" s="164">
        <v>1</v>
      </c>
      <c r="B13" s="165" t="s">
        <v>133</v>
      </c>
      <c r="C13" s="194">
        <f>SUM(C14:C25)</f>
        <v>1748520.58867</v>
      </c>
      <c r="D13" s="194">
        <f>SUM(D14:D25)</f>
        <v>1943224.160159</v>
      </c>
      <c r="E13" s="194">
        <f t="shared" si="1"/>
        <v>194703.57148899999</v>
      </c>
      <c r="F13" s="183">
        <f t="shared" si="0"/>
        <v>111.13533193435829</v>
      </c>
      <c r="H13" s="527"/>
      <c r="I13" s="527"/>
      <c r="J13" s="529"/>
      <c r="K13" s="527"/>
    </row>
    <row r="14" spans="1:14">
      <c r="A14" s="184" t="s">
        <v>188</v>
      </c>
      <c r="B14" s="185" t="s">
        <v>117</v>
      </c>
      <c r="C14" s="593">
        <v>41847.006000000001</v>
      </c>
      <c r="D14" s="593">
        <v>46781.483200000002</v>
      </c>
      <c r="E14" s="196">
        <f>D14-C14</f>
        <v>4934.4772000000012</v>
      </c>
      <c r="F14" s="186">
        <f>IF(C14=0,0,D14/C14*100)</f>
        <v>111.79170906515989</v>
      </c>
      <c r="G14" s="182"/>
      <c r="H14" s="527"/>
      <c r="I14" s="529"/>
      <c r="J14" s="527"/>
      <c r="K14" s="527"/>
    </row>
    <row r="15" spans="1:14">
      <c r="A15" s="184" t="s">
        <v>189</v>
      </c>
      <c r="B15" s="185" t="s">
        <v>125</v>
      </c>
      <c r="C15" s="593">
        <v>27508.376</v>
      </c>
      <c r="D15" s="593">
        <v>17646.610184000001</v>
      </c>
      <c r="E15" s="196">
        <f>D15-C15</f>
        <v>-9861.7658159999992</v>
      </c>
      <c r="F15" s="186">
        <f t="shared" ref="F15:F27" si="2">IF(C15=0,0,D15/C15*100)</f>
        <v>64.149952668961632</v>
      </c>
      <c r="H15" s="529"/>
      <c r="I15" s="527"/>
      <c r="J15" s="529">
        <f>513733</f>
        <v>513733</v>
      </c>
      <c r="K15" s="527"/>
      <c r="N15" s="182"/>
    </row>
    <row r="16" spans="1:14">
      <c r="A16" s="184" t="s">
        <v>190</v>
      </c>
      <c r="B16" s="185" t="s">
        <v>135</v>
      </c>
      <c r="C16" s="593">
        <v>70854.079670000006</v>
      </c>
      <c r="D16" s="593">
        <v>76839.697169999999</v>
      </c>
      <c r="E16" s="196">
        <f t="shared" ref="E16:E25" si="3">D16-C16</f>
        <v>5985.617499999993</v>
      </c>
      <c r="F16" s="186">
        <f t="shared" si="2"/>
        <v>108.44780925513078</v>
      </c>
      <c r="H16" s="527"/>
      <c r="I16" s="527"/>
      <c r="J16" s="529">
        <f>C12-J15</f>
        <v>1234787.58867</v>
      </c>
      <c r="K16" s="527"/>
    </row>
    <row r="17" spans="1:11">
      <c r="A17" s="184" t="s">
        <v>215</v>
      </c>
      <c r="B17" s="185" t="s">
        <v>136</v>
      </c>
      <c r="C17" s="593">
        <v>3619.26</v>
      </c>
      <c r="D17" s="589">
        <v>7563.8</v>
      </c>
      <c r="E17" s="196">
        <f t="shared" si="3"/>
        <v>3944.54</v>
      </c>
      <c r="F17" s="186">
        <f t="shared" si="2"/>
        <v>208.98747257726717</v>
      </c>
      <c r="H17" s="527"/>
      <c r="I17" s="527"/>
      <c r="J17" s="529"/>
      <c r="K17" s="527"/>
    </row>
    <row r="18" spans="1:11">
      <c r="A18" s="184" t="s">
        <v>892</v>
      </c>
      <c r="B18" s="185" t="s">
        <v>137</v>
      </c>
      <c r="C18" s="593">
        <v>1200</v>
      </c>
      <c r="D18" s="593">
        <v>1933.806</v>
      </c>
      <c r="E18" s="196">
        <f t="shared" si="3"/>
        <v>733.80600000000004</v>
      </c>
      <c r="F18" s="186">
        <f t="shared" si="2"/>
        <v>161.15049999999999</v>
      </c>
      <c r="H18" s="527"/>
      <c r="I18" s="527"/>
      <c r="J18" s="527"/>
      <c r="K18" s="527"/>
    </row>
    <row r="19" spans="1:11">
      <c r="A19" s="184" t="s">
        <v>893</v>
      </c>
      <c r="B19" s="185" t="s">
        <v>138</v>
      </c>
      <c r="C19" s="593">
        <v>16698</v>
      </c>
      <c r="D19" s="593">
        <v>2808.5709999999999</v>
      </c>
      <c r="E19" s="196">
        <f t="shared" si="3"/>
        <v>-13889.429</v>
      </c>
      <c r="F19" s="186">
        <f t="shared" si="2"/>
        <v>16.819804767037969</v>
      </c>
      <c r="H19" s="529"/>
      <c r="I19" s="527"/>
      <c r="J19" s="527"/>
      <c r="K19" s="527"/>
    </row>
    <row r="20" spans="1:11">
      <c r="A20" s="184" t="s">
        <v>894</v>
      </c>
      <c r="B20" s="185" t="s">
        <v>139</v>
      </c>
      <c r="C20" s="593">
        <v>9945.4419999999991</v>
      </c>
      <c r="D20" s="593">
        <v>9827.9020400000009</v>
      </c>
      <c r="E20" s="196">
        <f t="shared" si="3"/>
        <v>-117.53995999999825</v>
      </c>
      <c r="F20" s="186">
        <f t="shared" si="2"/>
        <v>98.818152476280105</v>
      </c>
      <c r="H20" s="527"/>
      <c r="I20" s="527"/>
      <c r="J20" s="527"/>
      <c r="K20" s="527"/>
    </row>
    <row r="21" spans="1:11">
      <c r="A21" s="184" t="s">
        <v>979</v>
      </c>
      <c r="B21" s="185" t="s">
        <v>140</v>
      </c>
      <c r="C21" s="593">
        <v>1399596.838</v>
      </c>
      <c r="D21" s="593">
        <f>1660954.771322-D44-D45</f>
        <v>1590367.258225</v>
      </c>
      <c r="E21" s="196">
        <f t="shared" si="3"/>
        <v>190770.42022500001</v>
      </c>
      <c r="F21" s="186">
        <f t="shared" si="2"/>
        <v>113.63038376805765</v>
      </c>
      <c r="H21" s="532"/>
      <c r="I21" s="527"/>
      <c r="J21" s="527"/>
      <c r="K21" s="527"/>
    </row>
    <row r="22" spans="1:11" ht="25.5">
      <c r="A22" s="184" t="s">
        <v>980</v>
      </c>
      <c r="B22" s="185" t="s">
        <v>141</v>
      </c>
      <c r="C22" s="593">
        <v>49364.587</v>
      </c>
      <c r="D22" s="593">
        <v>56657.996232999998</v>
      </c>
      <c r="E22" s="196">
        <f t="shared" si="3"/>
        <v>7293.4092329999985</v>
      </c>
      <c r="F22" s="186">
        <f t="shared" si="2"/>
        <v>114.77457764003979</v>
      </c>
    </row>
    <row r="23" spans="1:11">
      <c r="A23" s="184" t="s">
        <v>981</v>
      </c>
      <c r="B23" s="185" t="s">
        <v>142</v>
      </c>
      <c r="C23" s="593">
        <v>1354</v>
      </c>
      <c r="D23" s="593">
        <v>1354</v>
      </c>
      <c r="E23" s="196">
        <f t="shared" si="3"/>
        <v>0</v>
      </c>
      <c r="F23" s="186">
        <f t="shared" si="2"/>
        <v>100</v>
      </c>
    </row>
    <row r="24" spans="1:11" ht="25.5">
      <c r="A24" s="184" t="s">
        <v>982</v>
      </c>
      <c r="B24" s="312" t="s">
        <v>985</v>
      </c>
      <c r="C24" s="593">
        <v>126533</v>
      </c>
      <c r="D24" s="593">
        <v>131443.03610699999</v>
      </c>
      <c r="E24" s="313">
        <f t="shared" si="3"/>
        <v>4910.0361069999926</v>
      </c>
      <c r="F24" s="314">
        <f t="shared" si="2"/>
        <v>103.88043917950259</v>
      </c>
    </row>
    <row r="25" spans="1:11">
      <c r="A25" s="184" t="s">
        <v>1005</v>
      </c>
      <c r="B25" s="185" t="s">
        <v>123</v>
      </c>
      <c r="C25" s="196"/>
      <c r="D25" s="196"/>
      <c r="E25" s="196">
        <f t="shared" si="3"/>
        <v>0</v>
      </c>
      <c r="F25" s="186">
        <f t="shared" si="2"/>
        <v>0</v>
      </c>
    </row>
    <row r="26" spans="1:11" ht="71.25" customHeight="1">
      <c r="A26" s="164">
        <v>2</v>
      </c>
      <c r="B26" s="165" t="s">
        <v>122</v>
      </c>
      <c r="C26" s="194"/>
      <c r="D26" s="194">
        <v>9596</v>
      </c>
      <c r="E26" s="194">
        <f t="shared" ref="E26:E27" si="4">D26-C26</f>
        <v>9596</v>
      </c>
      <c r="F26" s="183">
        <f t="shared" si="2"/>
        <v>0</v>
      </c>
    </row>
    <row r="27" spans="1:11">
      <c r="A27" s="164">
        <v>3</v>
      </c>
      <c r="B27" s="165" t="s">
        <v>123</v>
      </c>
      <c r="C27" s="194">
        <v>0</v>
      </c>
      <c r="D27" s="194"/>
      <c r="E27" s="194">
        <f t="shared" si="4"/>
        <v>0</v>
      </c>
      <c r="F27" s="183">
        <f t="shared" si="2"/>
        <v>0</v>
      </c>
    </row>
    <row r="28" spans="1:11">
      <c r="A28" s="164" t="s">
        <v>33</v>
      </c>
      <c r="B28" s="165" t="s">
        <v>44</v>
      </c>
      <c r="C28" s="194">
        <f>SUM(C29:C40)</f>
        <v>1779288.9</v>
      </c>
      <c r="D28" s="194">
        <f>SUM(D29:D40)</f>
        <v>1838539</v>
      </c>
      <c r="E28" s="194">
        <f>SUM(E29:E40)</f>
        <v>59250.099999999977</v>
      </c>
      <c r="F28" s="183">
        <f t="shared" ref="F28:F29" si="5">IF(C28=0,0,D28/C28*100)</f>
        <v>103.32998761471508</v>
      </c>
      <c r="H28" s="182"/>
      <c r="I28" s="182"/>
    </row>
    <row r="29" spans="1:11">
      <c r="A29" s="184">
        <v>1</v>
      </c>
      <c r="B29" s="185" t="s">
        <v>117</v>
      </c>
      <c r="C29" s="196">
        <f>385819+2479+654+6637</f>
        <v>395589</v>
      </c>
      <c r="D29" s="196">
        <v>426326</v>
      </c>
      <c r="E29" s="196">
        <f t="shared" ref="E29" si="6">D29-C29</f>
        <v>30737</v>
      </c>
      <c r="F29" s="186">
        <f t="shared" si="5"/>
        <v>107.76993293544564</v>
      </c>
      <c r="H29" s="182"/>
      <c r="J29" s="182"/>
    </row>
    <row r="30" spans="1:11">
      <c r="A30" s="184">
        <v>2</v>
      </c>
      <c r="B30" s="185" t="s">
        <v>143</v>
      </c>
      <c r="C30" s="196">
        <f>14942+500</f>
        <v>15442</v>
      </c>
      <c r="D30" s="196">
        <v>7465</v>
      </c>
      <c r="E30" s="196">
        <f t="shared" ref="E30:E48" si="7">D30-C30</f>
        <v>-7977</v>
      </c>
      <c r="F30" s="186">
        <f t="shared" ref="F30:F48" si="8">IF(C30=0,0,D30/C30*100)</f>
        <v>48.342183654966973</v>
      </c>
      <c r="H30" s="182"/>
    </row>
    <row r="31" spans="1:11">
      <c r="A31" s="184">
        <v>3</v>
      </c>
      <c r="B31" s="185" t="s">
        <v>135</v>
      </c>
      <c r="C31" s="196">
        <f>484362+4683+29575+6381+2156</f>
        <v>527157</v>
      </c>
      <c r="D31" s="196">
        <v>574150</v>
      </c>
      <c r="E31" s="196">
        <f t="shared" si="7"/>
        <v>46993</v>
      </c>
      <c r="F31" s="186">
        <f t="shared" si="8"/>
        <v>108.91442207919081</v>
      </c>
    </row>
    <row r="32" spans="1:11">
      <c r="A32" s="184">
        <v>4</v>
      </c>
      <c r="B32" s="185" t="s">
        <v>136</v>
      </c>
      <c r="C32" s="196">
        <v>42130</v>
      </c>
      <c r="D32" s="196">
        <v>32063</v>
      </c>
      <c r="E32" s="196">
        <f t="shared" si="7"/>
        <v>-10067</v>
      </c>
      <c r="F32" s="186">
        <f t="shared" si="8"/>
        <v>76.104913363399007</v>
      </c>
      <c r="H32" s="182"/>
    </row>
    <row r="33" spans="1:10">
      <c r="A33" s="184">
        <v>5</v>
      </c>
      <c r="B33" s="185" t="s">
        <v>137</v>
      </c>
      <c r="C33" s="196">
        <v>16918</v>
      </c>
      <c r="D33" s="196">
        <v>17009</v>
      </c>
      <c r="E33" s="196">
        <f t="shared" si="7"/>
        <v>91</v>
      </c>
      <c r="F33" s="186">
        <f t="shared" si="8"/>
        <v>100.53788863931908</v>
      </c>
    </row>
    <row r="34" spans="1:10">
      <c r="A34" s="184">
        <v>6</v>
      </c>
      <c r="B34" s="185" t="s">
        <v>138</v>
      </c>
      <c r="C34" s="196">
        <v>13216</v>
      </c>
      <c r="D34" s="196">
        <v>9172</v>
      </c>
      <c r="E34" s="196">
        <f t="shared" si="7"/>
        <v>-4044</v>
      </c>
      <c r="F34" s="186">
        <f t="shared" si="8"/>
        <v>69.400726392251826</v>
      </c>
    </row>
    <row r="35" spans="1:10">
      <c r="A35" s="184">
        <v>7</v>
      </c>
      <c r="B35" s="185" t="s">
        <v>139</v>
      </c>
      <c r="C35" s="196">
        <v>5658</v>
      </c>
      <c r="D35" s="196">
        <v>4748</v>
      </c>
      <c r="E35" s="196">
        <f t="shared" si="7"/>
        <v>-910</v>
      </c>
      <c r="F35" s="186">
        <f t="shared" si="8"/>
        <v>83.91657829621775</v>
      </c>
    </row>
    <row r="36" spans="1:10">
      <c r="A36" s="184">
        <v>8</v>
      </c>
      <c r="B36" s="185" t="s">
        <v>140</v>
      </c>
      <c r="C36" s="196">
        <f>197165.5+5144+44194+1829</f>
        <v>248332.5</v>
      </c>
      <c r="D36" s="196">
        <v>316499</v>
      </c>
      <c r="E36" s="196">
        <f t="shared" si="7"/>
        <v>68166.5</v>
      </c>
      <c r="F36" s="186">
        <f t="shared" si="8"/>
        <v>127.44968942848803</v>
      </c>
    </row>
    <row r="37" spans="1:10" ht="25.5">
      <c r="A37" s="184">
        <v>9</v>
      </c>
      <c r="B37" s="185" t="s">
        <v>141</v>
      </c>
      <c r="C37" s="196">
        <f>342545.4</f>
        <v>342545.4</v>
      </c>
      <c r="D37" s="196">
        <v>324866</v>
      </c>
      <c r="E37" s="196">
        <f t="shared" si="7"/>
        <v>-17679.400000000023</v>
      </c>
      <c r="F37" s="186">
        <f t="shared" si="8"/>
        <v>94.838815526350658</v>
      </c>
    </row>
    <row r="38" spans="1:10">
      <c r="A38" s="184">
        <v>10</v>
      </c>
      <c r="B38" s="185" t="s">
        <v>142</v>
      </c>
      <c r="C38" s="196">
        <f>38788+11500+196+11109</f>
        <v>61593</v>
      </c>
      <c r="D38" s="196">
        <v>25149</v>
      </c>
      <c r="E38" s="196">
        <f t="shared" si="7"/>
        <v>-36444</v>
      </c>
      <c r="F38" s="186">
        <f t="shared" si="8"/>
        <v>40.830938580682869</v>
      </c>
    </row>
    <row r="39" spans="1:10" ht="25.5">
      <c r="A39" s="243">
        <v>11</v>
      </c>
      <c r="B39" s="244" t="s">
        <v>985</v>
      </c>
      <c r="C39" s="248">
        <f>65501+1288+8622+5000</f>
        <v>80411</v>
      </c>
      <c r="D39" s="248">
        <f>70465+25483</f>
        <v>95948</v>
      </c>
      <c r="E39" s="196">
        <f t="shared" ref="E39" si="9">D39-C39</f>
        <v>15537</v>
      </c>
      <c r="F39" s="186">
        <f t="shared" ref="F39" si="10">IF(C39=0,0,D39/C39*100)</f>
        <v>119.32198331074106</v>
      </c>
      <c r="H39" s="533"/>
      <c r="I39" s="533"/>
      <c r="J39" s="533"/>
    </row>
    <row r="40" spans="1:10">
      <c r="A40" s="184">
        <v>12</v>
      </c>
      <c r="B40" s="185" t="s">
        <v>144</v>
      </c>
      <c r="C40" s="196">
        <f>29462+668+167</f>
        <v>30297</v>
      </c>
      <c r="D40" s="196">
        <v>5144</v>
      </c>
      <c r="E40" s="196">
        <f t="shared" si="7"/>
        <v>-25153</v>
      </c>
      <c r="F40" s="186">
        <f t="shared" si="8"/>
        <v>16.978578737168696</v>
      </c>
      <c r="H40" s="534"/>
      <c r="I40" s="533"/>
      <c r="J40" s="533"/>
    </row>
    <row r="41" spans="1:10" ht="25.5">
      <c r="A41" s="164" t="s">
        <v>37</v>
      </c>
      <c r="B41" s="169" t="s">
        <v>978</v>
      </c>
      <c r="C41" s="194">
        <v>2000</v>
      </c>
      <c r="D41" s="194">
        <f>'Bieu 51_'!E24</f>
        <v>9500.851999999999</v>
      </c>
      <c r="E41" s="194">
        <f t="shared" si="7"/>
        <v>7500.851999999999</v>
      </c>
      <c r="F41" s="183">
        <f t="shared" si="8"/>
        <v>475.04259999999994</v>
      </c>
      <c r="H41" s="533"/>
      <c r="I41" s="535"/>
      <c r="J41" s="533"/>
    </row>
    <row r="42" spans="1:10">
      <c r="A42" s="164" t="s">
        <v>39</v>
      </c>
      <c r="B42" s="165" t="s">
        <v>145</v>
      </c>
      <c r="C42" s="194">
        <v>1000</v>
      </c>
      <c r="D42" s="194">
        <v>1000</v>
      </c>
      <c r="E42" s="194">
        <f t="shared" si="7"/>
        <v>0</v>
      </c>
      <c r="F42" s="183">
        <f t="shared" si="8"/>
        <v>100</v>
      </c>
      <c r="H42" s="533"/>
      <c r="I42" s="533"/>
      <c r="J42" s="533"/>
    </row>
    <row r="43" spans="1:10">
      <c r="A43" s="164" t="s">
        <v>40</v>
      </c>
      <c r="B43" s="165" t="s">
        <v>46</v>
      </c>
      <c r="C43" s="194">
        <v>66785</v>
      </c>
      <c r="D43" s="194"/>
      <c r="E43" s="194">
        <f t="shared" si="7"/>
        <v>-66785</v>
      </c>
      <c r="F43" s="183">
        <f t="shared" si="8"/>
        <v>0</v>
      </c>
      <c r="H43" s="533"/>
      <c r="I43" s="533"/>
      <c r="J43" s="533"/>
    </row>
    <row r="44" spans="1:10">
      <c r="A44" s="245" t="s">
        <v>126</v>
      </c>
      <c r="B44" s="246" t="s">
        <v>859</v>
      </c>
      <c r="C44" s="247">
        <v>83900</v>
      </c>
      <c r="D44" s="247">
        <v>19277.513097000003</v>
      </c>
      <c r="E44" s="194">
        <f t="shared" si="7"/>
        <v>-64622.486902999997</v>
      </c>
      <c r="F44" s="183">
        <f t="shared" si="8"/>
        <v>22.976773655542317</v>
      </c>
    </row>
    <row r="45" spans="1:10" ht="76.5">
      <c r="A45" s="164" t="s">
        <v>159</v>
      </c>
      <c r="B45" s="165" t="s">
        <v>983</v>
      </c>
      <c r="C45" s="194">
        <v>789492</v>
      </c>
      <c r="D45" s="594">
        <f>'Bieu 51_'!E27</f>
        <v>51310</v>
      </c>
      <c r="E45" s="194">
        <f t="shared" si="7"/>
        <v>-738182</v>
      </c>
      <c r="F45" s="183">
        <f t="shared" si="8"/>
        <v>6.4991158871780836</v>
      </c>
    </row>
    <row r="46" spans="1:10">
      <c r="A46" s="164" t="s">
        <v>788</v>
      </c>
      <c r="B46" s="165" t="s">
        <v>984</v>
      </c>
      <c r="C46" s="194">
        <v>39000</v>
      </c>
      <c r="D46" s="194"/>
      <c r="E46" s="194">
        <f>D46-C46</f>
        <v>-39000</v>
      </c>
      <c r="F46" s="183">
        <f t="shared" ref="F46" si="11">IF(C46=0,0,D46/C46*100)</f>
        <v>0</v>
      </c>
    </row>
    <row r="47" spans="1:10">
      <c r="A47" s="308" t="s">
        <v>1006</v>
      </c>
      <c r="B47" s="311" t="s">
        <v>1007</v>
      </c>
      <c r="C47" s="309"/>
      <c r="D47" s="309">
        <v>11899.7</v>
      </c>
      <c r="E47" s="309"/>
      <c r="F47" s="310"/>
    </row>
    <row r="48" spans="1:10">
      <c r="A48" s="164" t="s">
        <v>51</v>
      </c>
      <c r="B48" s="165" t="s">
        <v>129</v>
      </c>
      <c r="C48" s="194"/>
      <c r="D48" s="194">
        <v>1326874.6170000001</v>
      </c>
      <c r="E48" s="194">
        <f t="shared" si="7"/>
        <v>1326874.6170000001</v>
      </c>
      <c r="F48" s="183">
        <f t="shared" si="8"/>
        <v>0</v>
      </c>
      <c r="I48" s="182"/>
    </row>
    <row r="49" spans="1:6">
      <c r="A49" s="187" t="s">
        <v>52</v>
      </c>
      <c r="B49" s="188" t="s">
        <v>911</v>
      </c>
      <c r="C49" s="198"/>
      <c r="D49" s="198">
        <v>331567.81599999999</v>
      </c>
      <c r="E49" s="198">
        <f t="shared" ref="E49" si="12">D49-C49</f>
        <v>331567.81599999999</v>
      </c>
      <c r="F49" s="189">
        <f t="shared" ref="F49" si="13">IF(C49=0,0,D49/C49*100)</f>
        <v>0</v>
      </c>
    </row>
    <row r="50" spans="1:6" ht="30" customHeight="1">
      <c r="A50" s="652" t="s">
        <v>889</v>
      </c>
      <c r="B50" s="652"/>
      <c r="C50" s="652"/>
      <c r="D50" s="652"/>
      <c r="E50" s="652"/>
      <c r="F50" s="652"/>
    </row>
    <row r="51" spans="1:6" ht="34.5" customHeight="1">
      <c r="A51" s="649" t="s">
        <v>146</v>
      </c>
      <c r="B51" s="649"/>
      <c r="C51" s="649"/>
      <c r="D51" s="649"/>
      <c r="E51" s="649"/>
      <c r="F51" s="649"/>
    </row>
    <row r="52" spans="1:6" ht="34.5" customHeight="1">
      <c r="A52" s="649" t="s">
        <v>920</v>
      </c>
      <c r="B52" s="649"/>
      <c r="C52" s="649"/>
      <c r="D52" s="649"/>
      <c r="E52" s="649"/>
      <c r="F52" s="649"/>
    </row>
    <row r="53" spans="1:6">
      <c r="A53" s="649"/>
      <c r="B53" s="649"/>
      <c r="C53" s="649"/>
      <c r="D53" s="649"/>
      <c r="E53" s="649"/>
      <c r="F53" s="649"/>
    </row>
  </sheetData>
  <mergeCells count="12">
    <mergeCell ref="A53:F53"/>
    <mergeCell ref="A2:F2"/>
    <mergeCell ref="A3:F3"/>
    <mergeCell ref="E5:F5"/>
    <mergeCell ref="A50:F50"/>
    <mergeCell ref="A51:F51"/>
    <mergeCell ref="A6:A7"/>
    <mergeCell ref="B6:B7"/>
    <mergeCell ref="C6:C7"/>
    <mergeCell ref="D6:D7"/>
    <mergeCell ref="E6:F6"/>
    <mergeCell ref="A52:F52"/>
  </mergeCells>
  <dataValidations count="1">
    <dataValidation allowBlank="1" showInputMessage="1" showErrorMessage="1" prompt="Chưa bao gồm bổ sung mục tiêu NS cấp dưới" sqref="D9"/>
  </dataValidations>
  <pageMargins left="0.7" right="0.7" top="0.75" bottom="0.75" header="0.3" footer="0.3"/>
  <pageSetup scale="9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9"/>
  <sheetViews>
    <sheetView showZeros="0" zoomScaleNormal="100" workbookViewId="0">
      <pane xSplit="2" ySplit="7" topLeftCell="C8" activePane="bottomRight" state="frozen"/>
      <selection pane="topRight" activeCell="C1" sqref="C1"/>
      <selection pane="bottomLeft" activeCell="A8" sqref="A8"/>
      <selection pane="bottomRight" activeCell="F33" sqref="F33"/>
    </sheetView>
  </sheetViews>
  <sheetFormatPr defaultColWidth="9.140625" defaultRowHeight="15" outlineLevelRow="1"/>
  <cols>
    <col min="1" max="1" width="9.140625" style="161"/>
    <col min="2" max="2" width="38.140625" style="161" customWidth="1"/>
    <col min="3" max="3" width="11.85546875" style="161" customWidth="1"/>
    <col min="4" max="4" width="10.7109375" style="161" customWidth="1"/>
    <col min="5" max="5" width="11" style="161" customWidth="1"/>
    <col min="6" max="6" width="10" style="161" bestFit="1" customWidth="1"/>
    <col min="7" max="8" width="11.28515625" style="161" bestFit="1" customWidth="1"/>
    <col min="9" max="9" width="11.42578125" style="161" bestFit="1" customWidth="1"/>
    <col min="10" max="11" width="9.140625" style="161"/>
    <col min="12" max="12" width="11" style="550" customWidth="1"/>
    <col min="13" max="13" width="10.140625" style="161" bestFit="1" customWidth="1"/>
    <col min="14" max="16384" width="9.140625" style="161"/>
  </cols>
  <sheetData>
    <row r="1" spans="1:13">
      <c r="A1" s="160" t="s">
        <v>885</v>
      </c>
    </row>
    <row r="2" spans="1:13" ht="33" customHeight="1">
      <c r="A2" s="655" t="s">
        <v>963</v>
      </c>
      <c r="B2" s="655"/>
      <c r="C2" s="655"/>
      <c r="D2" s="655"/>
      <c r="E2" s="655"/>
      <c r="F2" s="655"/>
      <c r="G2" s="655"/>
      <c r="H2" s="655"/>
      <c r="I2" s="655"/>
      <c r="J2" s="655"/>
      <c r="K2" s="655"/>
    </row>
    <row r="3" spans="1:13" ht="15.75" customHeight="1">
      <c r="A3" s="650" t="s">
        <v>953</v>
      </c>
      <c r="B3" s="650"/>
      <c r="C3" s="650"/>
      <c r="D3" s="650"/>
      <c r="E3" s="650"/>
      <c r="F3" s="650"/>
      <c r="G3" s="650"/>
      <c r="H3" s="650"/>
      <c r="I3" s="650"/>
      <c r="J3" s="650"/>
      <c r="K3" s="650"/>
    </row>
    <row r="4" spans="1:13">
      <c r="G4" s="162">
        <f>G8+'Bieu 59'!K10</f>
        <v>8083350.3535740012</v>
      </c>
      <c r="J4" s="657" t="s">
        <v>888</v>
      </c>
      <c r="K4" s="657"/>
    </row>
    <row r="5" spans="1:13">
      <c r="A5" s="656" t="s">
        <v>16</v>
      </c>
      <c r="B5" s="656" t="s">
        <v>17</v>
      </c>
      <c r="C5" s="656" t="s">
        <v>986</v>
      </c>
      <c r="D5" s="656" t="s">
        <v>147</v>
      </c>
      <c r="E5" s="656"/>
      <c r="F5" s="656" t="s">
        <v>19</v>
      </c>
      <c r="G5" s="656" t="s">
        <v>147</v>
      </c>
      <c r="H5" s="656"/>
      <c r="I5" s="656" t="s">
        <v>64</v>
      </c>
      <c r="J5" s="656"/>
      <c r="K5" s="656"/>
      <c r="L5" s="551"/>
    </row>
    <row r="6" spans="1:13" ht="45.75" customHeight="1">
      <c r="A6" s="656"/>
      <c r="B6" s="656"/>
      <c r="C6" s="656"/>
      <c r="D6" s="155" t="s">
        <v>847</v>
      </c>
      <c r="E6" s="155" t="s">
        <v>848</v>
      </c>
      <c r="F6" s="656"/>
      <c r="G6" s="155" t="s">
        <v>847</v>
      </c>
      <c r="H6" s="155" t="s">
        <v>848</v>
      </c>
      <c r="I6" s="155" t="s">
        <v>148</v>
      </c>
      <c r="J6" s="155" t="s">
        <v>849</v>
      </c>
      <c r="K6" s="155" t="s">
        <v>850</v>
      </c>
    </row>
    <row r="7" spans="1:13">
      <c r="A7" s="155" t="s">
        <v>23</v>
      </c>
      <c r="B7" s="155" t="s">
        <v>24</v>
      </c>
      <c r="C7" s="155" t="s">
        <v>149</v>
      </c>
      <c r="D7" s="155">
        <v>2</v>
      </c>
      <c r="E7" s="155">
        <v>3</v>
      </c>
      <c r="F7" s="155" t="s">
        <v>150</v>
      </c>
      <c r="G7" s="155">
        <v>5</v>
      </c>
      <c r="H7" s="155">
        <v>6</v>
      </c>
      <c r="I7" s="155" t="s">
        <v>151</v>
      </c>
      <c r="J7" s="155" t="s">
        <v>152</v>
      </c>
      <c r="K7" s="155" t="s">
        <v>153</v>
      </c>
      <c r="L7" s="551"/>
    </row>
    <row r="8" spans="1:13">
      <c r="A8" s="166"/>
      <c r="B8" s="167" t="s">
        <v>42</v>
      </c>
      <c r="C8" s="156">
        <f>'Bieu 51_'!D7</f>
        <v>7842265</v>
      </c>
      <c r="D8" s="156">
        <f>D9+D32+D106</f>
        <v>4509987</v>
      </c>
      <c r="E8" s="156">
        <f>C8-D8</f>
        <v>3332278</v>
      </c>
      <c r="F8" s="156">
        <f>'Bieu 51_'!E7</f>
        <v>10351562.723144002</v>
      </c>
      <c r="G8" s="156">
        <f>G9+G32+G106+G107</f>
        <v>5542789.7384740012</v>
      </c>
      <c r="H8" s="156">
        <f>F8-G8</f>
        <v>4808772.9846700011</v>
      </c>
      <c r="I8" s="168">
        <f t="shared" ref="I8" si="0">IF(C8=0,0,F8/C8*100)</f>
        <v>131.99710444806445</v>
      </c>
      <c r="J8" s="168">
        <f t="shared" ref="J8" si="1">IF(D8=0,0,G8/D8*100)</f>
        <v>122.90034845940801</v>
      </c>
      <c r="K8" s="168">
        <f t="shared" ref="K8" si="2">IF(E8=0,0,H8/E8*100)</f>
        <v>144.30887773078959</v>
      </c>
      <c r="L8" s="551"/>
      <c r="M8" s="162"/>
    </row>
    <row r="9" spans="1:13" ht="25.5">
      <c r="A9" s="205" t="s">
        <v>23</v>
      </c>
      <c r="B9" s="206" t="s">
        <v>856</v>
      </c>
      <c r="C9" s="207">
        <f>'Bieu 51_'!D8</f>
        <v>6401125</v>
      </c>
      <c r="D9" s="192">
        <f>D10+D31</f>
        <v>3132417</v>
      </c>
      <c r="E9" s="192">
        <f>C9-D9</f>
        <v>3268708</v>
      </c>
      <c r="F9" s="192">
        <f>F10+F31</f>
        <v>6127441.0491620013</v>
      </c>
      <c r="G9" s="192">
        <f>G10+G31</f>
        <v>2364471.4028450004</v>
      </c>
      <c r="H9" s="192">
        <f>H10+H31</f>
        <v>3762969.4463170003</v>
      </c>
      <c r="I9" s="208">
        <f t="shared" ref="I9:K11" si="3">IF(C9=0,0,F9/C9*100)</f>
        <v>95.724439831467151</v>
      </c>
      <c r="J9" s="208">
        <f t="shared" si="3"/>
        <v>75.483928316217174</v>
      </c>
      <c r="K9" s="208">
        <f t="shared" si="3"/>
        <v>115.12100335413871</v>
      </c>
      <c r="L9" s="551"/>
      <c r="M9" s="162"/>
    </row>
    <row r="10" spans="1:13">
      <c r="A10" s="205" t="s">
        <v>857</v>
      </c>
      <c r="B10" s="206" t="s">
        <v>154</v>
      </c>
      <c r="C10" s="207">
        <f>'Bieu 51_'!D9</f>
        <v>6317225</v>
      </c>
      <c r="D10" s="192">
        <f>D11+D21+D25+D26+D27+D28+D29</f>
        <v>3048517</v>
      </c>
      <c r="E10" s="192">
        <f>C10-D10</f>
        <v>3268708</v>
      </c>
      <c r="F10" s="192">
        <f>F11+F21+F25+F26+F27+F29+F28+F30+0.2</f>
        <v>6108163.536065001</v>
      </c>
      <c r="G10" s="192">
        <f>G11+G21+G25+G26+G27+G29+G28+G30</f>
        <v>2345193.8897480005</v>
      </c>
      <c r="H10" s="192">
        <f>H11+H21+H25+H26+H27+H29</f>
        <v>3762969.4463170003</v>
      </c>
      <c r="I10" s="208">
        <f t="shared" si="3"/>
        <v>96.690612350596993</v>
      </c>
      <c r="J10" s="208">
        <f t="shared" si="3"/>
        <v>76.929008096330136</v>
      </c>
      <c r="K10" s="208">
        <f t="shared" si="3"/>
        <v>115.12100335413871</v>
      </c>
      <c r="L10" s="551"/>
      <c r="M10" s="162"/>
    </row>
    <row r="11" spans="1:13">
      <c r="A11" s="245" t="s">
        <v>28</v>
      </c>
      <c r="B11" s="246" t="s">
        <v>43</v>
      </c>
      <c r="C11" s="207">
        <f>'Bieu 51_'!D10</f>
        <v>902220</v>
      </c>
      <c r="D11" s="207">
        <v>513733</v>
      </c>
      <c r="E11" s="207">
        <f>C11-D11</f>
        <v>388487</v>
      </c>
      <c r="F11" s="192">
        <f>'Bieu 51_'!E10</f>
        <v>1257560.1399480002</v>
      </c>
      <c r="G11" s="345">
        <f>G12+G19+G20</f>
        <v>563651.5</v>
      </c>
      <c r="H11" s="345">
        <f>H12+H19+H20</f>
        <v>693908.63994800032</v>
      </c>
      <c r="I11" s="208">
        <f t="shared" si="3"/>
        <v>139.38508788854162</v>
      </c>
      <c r="J11" s="208">
        <f t="shared" si="3"/>
        <v>109.71681788010503</v>
      </c>
      <c r="K11" s="208">
        <f t="shared" si="3"/>
        <v>178.61823946438372</v>
      </c>
      <c r="L11" s="551"/>
      <c r="M11" s="162"/>
    </row>
    <row r="12" spans="1:13" outlineLevel="1">
      <c r="A12" s="243">
        <v>1</v>
      </c>
      <c r="B12" s="244" t="s">
        <v>115</v>
      </c>
      <c r="C12" s="204">
        <f>'Bieu 51_'!D11</f>
        <v>902220</v>
      </c>
      <c r="D12" s="193">
        <v>513733</v>
      </c>
      <c r="E12" s="193">
        <f>C12-D12</f>
        <v>388487</v>
      </c>
      <c r="F12" s="250">
        <f>'Bieu 51_'!E11</f>
        <v>1240117.6859480003</v>
      </c>
      <c r="G12" s="254">
        <f>554055+0.5</f>
        <v>554055.5</v>
      </c>
      <c r="H12" s="254">
        <f>F12-G12</f>
        <v>686062.18594800029</v>
      </c>
      <c r="I12" s="242">
        <f t="shared" ref="I12:I104" si="4">IF(C12=0,0,F12/C12*100)</f>
        <v>137.45180620558182</v>
      </c>
      <c r="J12" s="242">
        <f t="shared" ref="J12:J104" si="5">IF(D12=0,0,G12/D12*100)</f>
        <v>107.84892152149072</v>
      </c>
      <c r="K12" s="242">
        <f t="shared" ref="K12:K104" si="6">IF(E12=0,0,H12/E12*100)</f>
        <v>176.59849260026726</v>
      </c>
      <c r="L12" s="551"/>
      <c r="M12" s="162"/>
    </row>
    <row r="13" spans="1:13" s="197" customFormat="1" outlineLevel="1">
      <c r="A13" s="409"/>
      <c r="B13" s="249" t="s">
        <v>116</v>
      </c>
      <c r="C13" s="410">
        <f>'Bieu 51_'!D12</f>
        <v>0</v>
      </c>
      <c r="D13" s="609"/>
      <c r="E13" s="609">
        <f t="shared" ref="E13:E20" si="7">C13-D13</f>
        <v>0</v>
      </c>
      <c r="F13" s="409"/>
      <c r="G13" s="610"/>
      <c r="H13" s="610"/>
      <c r="I13" s="412">
        <f t="shared" si="4"/>
        <v>0</v>
      </c>
      <c r="J13" s="412">
        <f t="shared" si="5"/>
        <v>0</v>
      </c>
      <c r="K13" s="412">
        <f t="shared" si="6"/>
        <v>0</v>
      </c>
      <c r="L13" s="552"/>
      <c r="M13" s="413"/>
    </row>
    <row r="14" spans="1:13" s="197" customFormat="1" outlineLevel="1">
      <c r="A14" s="409" t="s">
        <v>30</v>
      </c>
      <c r="B14" s="249" t="s">
        <v>117</v>
      </c>
      <c r="C14" s="410">
        <f>'Bieu 51_'!D13</f>
        <v>121011</v>
      </c>
      <c r="D14" s="609">
        <f>'bieu 52_'!C14</f>
        <v>41847.006000000001</v>
      </c>
      <c r="E14" s="609">
        <f t="shared" si="7"/>
        <v>79163.994000000006</v>
      </c>
      <c r="F14" s="411">
        <f>'Bieu 51_'!E13</f>
        <v>177791.79907199999</v>
      </c>
      <c r="G14" s="610">
        <f>'bieu 52_'!D14</f>
        <v>46781.483200000002</v>
      </c>
      <c r="H14" s="610">
        <f>F14-G14</f>
        <v>131010.31587199999</v>
      </c>
      <c r="I14" s="412">
        <f t="shared" si="4"/>
        <v>146.92201458710366</v>
      </c>
      <c r="J14" s="412">
        <f t="shared" si="5"/>
        <v>111.79170906515989</v>
      </c>
      <c r="K14" s="412">
        <f t="shared" si="6"/>
        <v>165.49230180579315</v>
      </c>
      <c r="L14" s="552"/>
      <c r="M14" s="413"/>
    </row>
    <row r="15" spans="1:13" s="197" customFormat="1" outlineLevel="1">
      <c r="A15" s="409" t="s">
        <v>30</v>
      </c>
      <c r="B15" s="249" t="s">
        <v>118</v>
      </c>
      <c r="C15" s="410">
        <f>'Bieu 51_'!D14</f>
        <v>27508.376</v>
      </c>
      <c r="D15" s="609">
        <f>'bieu 52_'!C15</f>
        <v>27508.376</v>
      </c>
      <c r="E15" s="609">
        <f t="shared" si="7"/>
        <v>0</v>
      </c>
      <c r="F15" s="411">
        <f>'Bieu 51_'!E14</f>
        <v>17646.610184000001</v>
      </c>
      <c r="G15" s="610">
        <v>17646.610184000001</v>
      </c>
      <c r="H15" s="610">
        <f>'Bieu 51_'!E14-'bieu 53_'!G15</f>
        <v>0</v>
      </c>
      <c r="I15" s="412">
        <f t="shared" si="4"/>
        <v>64.149952668961632</v>
      </c>
      <c r="J15" s="412">
        <f t="shared" si="5"/>
        <v>64.149952668961632</v>
      </c>
      <c r="K15" s="412">
        <f t="shared" si="6"/>
        <v>0</v>
      </c>
      <c r="L15" s="552"/>
      <c r="M15" s="413"/>
    </row>
    <row r="16" spans="1:13" s="197" customFormat="1" outlineLevel="1">
      <c r="A16" s="409"/>
      <c r="B16" s="249" t="s">
        <v>119</v>
      </c>
      <c r="C16" s="410">
        <f>'Bieu 51_'!D15</f>
        <v>0</v>
      </c>
      <c r="D16" s="609"/>
      <c r="E16" s="609">
        <f t="shared" si="7"/>
        <v>0</v>
      </c>
      <c r="F16" s="409"/>
      <c r="G16" s="610"/>
      <c r="H16" s="610"/>
      <c r="I16" s="412">
        <f t="shared" si="4"/>
        <v>0</v>
      </c>
      <c r="J16" s="412">
        <f t="shared" si="5"/>
        <v>0</v>
      </c>
      <c r="K16" s="412">
        <f t="shared" si="6"/>
        <v>0</v>
      </c>
      <c r="L16" s="552"/>
      <c r="M16" s="413"/>
    </row>
    <row r="17" spans="1:13" s="197" customFormat="1" outlineLevel="1">
      <c r="A17" s="409" t="s">
        <v>30</v>
      </c>
      <c r="B17" s="249" t="s">
        <v>120</v>
      </c>
      <c r="C17" s="410">
        <f>'Bieu 51_'!D16-C19</f>
        <v>296116</v>
      </c>
      <c r="D17" s="609">
        <f>119104-D19</f>
        <v>115220</v>
      </c>
      <c r="E17" s="609">
        <f t="shared" si="7"/>
        <v>180896</v>
      </c>
      <c r="F17" s="411">
        <f>'Bieu 51_'!E16</f>
        <v>500636.99800000002</v>
      </c>
      <c r="G17" s="610">
        <v>173359.17800000001</v>
      </c>
      <c r="H17" s="610">
        <f>F17-G17</f>
        <v>327277.82</v>
      </c>
      <c r="I17" s="412">
        <f t="shared" si="4"/>
        <v>169.06786462062166</v>
      </c>
      <c r="J17" s="412">
        <f t="shared" si="5"/>
        <v>150.45927616733209</v>
      </c>
      <c r="K17" s="412">
        <f t="shared" si="6"/>
        <v>180.92042941800815</v>
      </c>
      <c r="L17" s="552"/>
      <c r="M17" s="413"/>
    </row>
    <row r="18" spans="1:13" s="197" customFormat="1" outlineLevel="1">
      <c r="A18" s="409" t="s">
        <v>30</v>
      </c>
      <c r="B18" s="249" t="s">
        <v>121</v>
      </c>
      <c r="C18" s="410">
        <f>'Bieu 51_'!D17</f>
        <v>90000</v>
      </c>
      <c r="D18" s="609">
        <v>80290</v>
      </c>
      <c r="E18" s="609">
        <f t="shared" si="7"/>
        <v>9710</v>
      </c>
      <c r="F18" s="411">
        <f>'Bieu 51_'!E17</f>
        <v>95334.849699999992</v>
      </c>
      <c r="G18" s="610">
        <v>95334.849699999992</v>
      </c>
      <c r="H18" s="610">
        <f>F18-G18</f>
        <v>0</v>
      </c>
      <c r="I18" s="412">
        <f t="shared" si="4"/>
        <v>105.92761077777777</v>
      </c>
      <c r="J18" s="412">
        <f t="shared" si="5"/>
        <v>118.73813638062025</v>
      </c>
      <c r="K18" s="412">
        <f t="shared" si="6"/>
        <v>0</v>
      </c>
      <c r="L18" s="552"/>
      <c r="M18" s="413"/>
    </row>
    <row r="19" spans="1:13" ht="63.75" outlineLevel="1">
      <c r="A19" s="243">
        <v>2</v>
      </c>
      <c r="B19" s="244" t="s">
        <v>122</v>
      </c>
      <c r="C19" s="204">
        <f>D19</f>
        <v>3884</v>
      </c>
      <c r="D19" s="204">
        <v>3884</v>
      </c>
      <c r="E19" s="193">
        <f t="shared" si="7"/>
        <v>0</v>
      </c>
      <c r="F19" s="204">
        <v>9596</v>
      </c>
      <c r="G19" s="204">
        <v>9596</v>
      </c>
      <c r="H19" s="204">
        <f>F19-G19</f>
        <v>0</v>
      </c>
      <c r="I19" s="242">
        <f t="shared" si="4"/>
        <v>247.06488156539649</v>
      </c>
      <c r="J19" s="242">
        <f t="shared" si="5"/>
        <v>247.06488156539649</v>
      </c>
      <c r="K19" s="242">
        <f t="shared" si="6"/>
        <v>0</v>
      </c>
      <c r="L19" s="551"/>
      <c r="M19" s="162"/>
    </row>
    <row r="20" spans="1:13" outlineLevel="1">
      <c r="A20" s="243">
        <v>3</v>
      </c>
      <c r="B20" s="244" t="s">
        <v>123</v>
      </c>
      <c r="C20" s="204">
        <f>'Bieu 51_'!D19</f>
        <v>0</v>
      </c>
      <c r="D20" s="204">
        <v>0</v>
      </c>
      <c r="E20" s="193">
        <f t="shared" si="7"/>
        <v>0</v>
      </c>
      <c r="F20" s="204">
        <v>7846.4539999999997</v>
      </c>
      <c r="G20" s="204"/>
      <c r="H20" s="204">
        <f>F20-G20</f>
        <v>7846.4539999999997</v>
      </c>
      <c r="I20" s="242">
        <f t="shared" si="4"/>
        <v>0</v>
      </c>
      <c r="J20" s="242">
        <f t="shared" si="5"/>
        <v>0</v>
      </c>
      <c r="K20" s="242">
        <f t="shared" si="6"/>
        <v>0</v>
      </c>
      <c r="L20" s="551"/>
      <c r="M20" s="162"/>
    </row>
    <row r="21" spans="1:13" s="160" customFormat="1">
      <c r="A21" s="205" t="s">
        <v>33</v>
      </c>
      <c r="B21" s="206" t="s">
        <v>44</v>
      </c>
      <c r="C21" s="207">
        <f>'Bieu 51_'!D20</f>
        <v>4457168</v>
      </c>
      <c r="D21" s="207">
        <v>1636507</v>
      </c>
      <c r="E21" s="207">
        <f>C21-D21</f>
        <v>2820661</v>
      </c>
      <c r="F21" s="207">
        <f>'Bieu 51_'!E20</f>
        <v>4776892.6441170005</v>
      </c>
      <c r="G21" s="207">
        <f>1838539.279-G69-'Bieu 61_Hien'!V13</f>
        <v>1707831.8377480002</v>
      </c>
      <c r="H21" s="207">
        <f>F21-G21</f>
        <v>3069060.8063690001</v>
      </c>
      <c r="I21" s="208">
        <f t="shared" si="4"/>
        <v>107.17326885854428</v>
      </c>
      <c r="J21" s="208">
        <f t="shared" si="5"/>
        <v>104.35835824399165</v>
      </c>
      <c r="K21" s="208">
        <f t="shared" si="6"/>
        <v>108.80643956749853</v>
      </c>
      <c r="L21" s="551"/>
      <c r="M21" s="162"/>
    </row>
    <row r="22" spans="1:13">
      <c r="A22" s="240"/>
      <c r="B22" s="249" t="s">
        <v>124</v>
      </c>
      <c r="C22" s="207">
        <f>'Bieu 51_'!D21</f>
        <v>0</v>
      </c>
      <c r="D22" s="204"/>
      <c r="E22" s="204"/>
      <c r="F22" s="204"/>
      <c r="G22" s="204"/>
      <c r="H22" s="204"/>
      <c r="I22" s="242">
        <f t="shared" si="4"/>
        <v>0</v>
      </c>
      <c r="J22" s="242">
        <f t="shared" si="5"/>
        <v>0</v>
      </c>
      <c r="K22" s="242">
        <f t="shared" si="6"/>
        <v>0</v>
      </c>
      <c r="L22" s="551"/>
      <c r="M22" s="162"/>
    </row>
    <row r="23" spans="1:13" s="197" customFormat="1">
      <c r="A23" s="409">
        <v>1</v>
      </c>
      <c r="B23" s="249" t="s">
        <v>117</v>
      </c>
      <c r="C23" s="410">
        <f>'Bieu 51_'!D22</f>
        <v>1973977</v>
      </c>
      <c r="D23" s="410">
        <v>385819</v>
      </c>
      <c r="E23" s="410">
        <f>C23-D23</f>
        <v>1588158</v>
      </c>
      <c r="F23" s="410">
        <f>2161276.957-F76-F77-F78-F79-F80-F81-F82-F83-F84-F85-F86</f>
        <v>2097483.4695000001</v>
      </c>
      <c r="G23" s="410">
        <f>426326.441-G76-G77-G78-G79-G80-G81-G82-G83-G84-G85-G86</f>
        <v>408469.44099999999</v>
      </c>
      <c r="H23" s="410">
        <f>1733432.039+1518.477-H76-H77-H78-H79-H80-H81-H82-H83-H84-H85-H86</f>
        <v>1689014.0285000002</v>
      </c>
      <c r="I23" s="412">
        <f t="shared" si="4"/>
        <v>106.25673295585511</v>
      </c>
      <c r="J23" s="412">
        <f t="shared" si="5"/>
        <v>105.87074275761432</v>
      </c>
      <c r="K23" s="412">
        <f t="shared" si="6"/>
        <v>106.35050344487138</v>
      </c>
      <c r="L23" s="552"/>
      <c r="M23" s="413"/>
    </row>
    <row r="24" spans="1:13" s="197" customFormat="1">
      <c r="A24" s="409">
        <v>2</v>
      </c>
      <c r="B24" s="249" t="s">
        <v>125</v>
      </c>
      <c r="C24" s="410">
        <f>'Bieu 51_'!D23</f>
        <v>16442</v>
      </c>
      <c r="D24" s="410">
        <v>14942</v>
      </c>
      <c r="E24" s="410">
        <f>C24-D24</f>
        <v>1500</v>
      </c>
      <c r="F24" s="411">
        <f t="shared" ref="F24" si="8">G24+H24</f>
        <v>8845.6528870000002</v>
      </c>
      <c r="G24" s="410">
        <v>7464.5960569999997</v>
      </c>
      <c r="H24" s="410">
        <f>'Bieu 51_'!E23-'bieu 53_'!G24</f>
        <v>1381.0568300000004</v>
      </c>
      <c r="I24" s="412">
        <f t="shared" si="4"/>
        <v>53.799129588857809</v>
      </c>
      <c r="J24" s="412">
        <f t="shared" si="5"/>
        <v>49.95714132646232</v>
      </c>
      <c r="K24" s="412">
        <f t="shared" si="6"/>
        <v>92.070455333333371</v>
      </c>
      <c r="L24" s="552"/>
      <c r="M24" s="413"/>
    </row>
    <row r="25" spans="1:13" s="160" customFormat="1" ht="25.5">
      <c r="A25" s="205" t="s">
        <v>37</v>
      </c>
      <c r="B25" s="206" t="s">
        <v>923</v>
      </c>
      <c r="C25" s="207">
        <f>'Bieu 51_'!D24</f>
        <v>2000</v>
      </c>
      <c r="D25" s="207">
        <v>2000</v>
      </c>
      <c r="E25" s="207">
        <f t="shared" ref="E25:E26" si="9">C25-D25</f>
        <v>0</v>
      </c>
      <c r="F25" s="207">
        <f>'Bieu 51_'!E24</f>
        <v>9500.851999999999</v>
      </c>
      <c r="G25" s="207">
        <f>'Bieu 51_'!E24</f>
        <v>9500.851999999999</v>
      </c>
      <c r="H25" s="207">
        <f>F25-G25</f>
        <v>0</v>
      </c>
      <c r="I25" s="208">
        <f t="shared" si="4"/>
        <v>475.04259999999994</v>
      </c>
      <c r="J25" s="208">
        <f t="shared" si="5"/>
        <v>475.04259999999994</v>
      </c>
      <c r="K25" s="208">
        <f t="shared" si="6"/>
        <v>0</v>
      </c>
      <c r="L25" s="551"/>
      <c r="M25" s="162"/>
    </row>
    <row r="26" spans="1:13" s="160" customFormat="1">
      <c r="A26" s="205" t="s">
        <v>39</v>
      </c>
      <c r="B26" s="206" t="s">
        <v>45</v>
      </c>
      <c r="C26" s="207">
        <f>'Bieu 51_'!D25</f>
        <v>1000</v>
      </c>
      <c r="D26" s="207">
        <v>1000</v>
      </c>
      <c r="E26" s="207">
        <f t="shared" si="9"/>
        <v>0</v>
      </c>
      <c r="F26" s="207">
        <f>'Bieu 51_'!E25</f>
        <v>1000</v>
      </c>
      <c r="G26" s="207">
        <v>1000</v>
      </c>
      <c r="H26" s="207">
        <f>F26-G26</f>
        <v>0</v>
      </c>
      <c r="I26" s="208">
        <f t="shared" si="4"/>
        <v>100</v>
      </c>
      <c r="J26" s="208">
        <f t="shared" si="5"/>
        <v>100</v>
      </c>
      <c r="K26" s="208">
        <f t="shared" si="6"/>
        <v>0</v>
      </c>
      <c r="L26" s="551"/>
      <c r="M26" s="162"/>
    </row>
    <row r="27" spans="1:13" s="160" customFormat="1">
      <c r="A27" s="205" t="s">
        <v>40</v>
      </c>
      <c r="B27" s="206" t="s">
        <v>46</v>
      </c>
      <c r="C27" s="207">
        <f>'Bieu 51_'!D26</f>
        <v>126345</v>
      </c>
      <c r="D27" s="207">
        <v>66785</v>
      </c>
      <c r="E27" s="207">
        <f>C27-D27</f>
        <v>59560</v>
      </c>
      <c r="F27" s="207"/>
      <c r="G27" s="207"/>
      <c r="H27" s="207"/>
      <c r="I27" s="208">
        <f t="shared" si="4"/>
        <v>0</v>
      </c>
      <c r="J27" s="208">
        <f t="shared" si="5"/>
        <v>0</v>
      </c>
      <c r="K27" s="208">
        <f t="shared" si="6"/>
        <v>0</v>
      </c>
      <c r="L27" s="551"/>
      <c r="M27" s="162"/>
    </row>
    <row r="28" spans="1:13" s="160" customFormat="1" ht="76.5">
      <c r="A28" s="245" t="s">
        <v>126</v>
      </c>
      <c r="B28" s="246" t="s">
        <v>983</v>
      </c>
      <c r="C28" s="207">
        <f>'Bieu 51_'!D27</f>
        <v>789492</v>
      </c>
      <c r="D28" s="207">
        <v>789492</v>
      </c>
      <c r="E28" s="207">
        <f t="shared" ref="E28:E33" si="10">C28-D28</f>
        <v>0</v>
      </c>
      <c r="F28" s="207">
        <f>'Bieu 51_'!E27</f>
        <v>51310</v>
      </c>
      <c r="G28" s="207">
        <f>'Bieu 51_'!E27</f>
        <v>51310</v>
      </c>
      <c r="H28" s="207">
        <f>F28-G28</f>
        <v>0</v>
      </c>
      <c r="I28" s="208"/>
      <c r="J28" s="208">
        <f t="shared" si="5"/>
        <v>6.4991158871780836</v>
      </c>
      <c r="K28" s="208"/>
      <c r="L28" s="551"/>
      <c r="M28" s="162"/>
    </row>
    <row r="29" spans="1:13" s="160" customFormat="1">
      <c r="A29" s="245" t="s">
        <v>159</v>
      </c>
      <c r="B29" s="246" t="s">
        <v>984</v>
      </c>
      <c r="C29" s="207">
        <f>'Bieu 51_'!D28</f>
        <v>39000</v>
      </c>
      <c r="D29" s="207">
        <v>39000</v>
      </c>
      <c r="E29" s="207">
        <f t="shared" si="10"/>
        <v>0</v>
      </c>
      <c r="F29" s="251">
        <f>'Bieu 51_'!E28</f>
        <v>0</v>
      </c>
      <c r="G29" s="346">
        <f>'Bieu 51_'!E28</f>
        <v>0</v>
      </c>
      <c r="H29" s="346">
        <f>F29-G29</f>
        <v>0</v>
      </c>
      <c r="I29" s="208">
        <f t="shared" si="4"/>
        <v>0</v>
      </c>
      <c r="J29" s="208">
        <f t="shared" si="5"/>
        <v>0</v>
      </c>
      <c r="K29" s="208">
        <f t="shared" si="6"/>
        <v>0</v>
      </c>
      <c r="L29" s="551"/>
      <c r="M29" s="162"/>
    </row>
    <row r="30" spans="1:13" s="160" customFormat="1">
      <c r="A30" s="245" t="s">
        <v>788</v>
      </c>
      <c r="B30" s="311" t="s">
        <v>1007</v>
      </c>
      <c r="C30" s="207">
        <f>'Bieu 51_'!D29</f>
        <v>0</v>
      </c>
      <c r="D30" s="207"/>
      <c r="E30" s="207">
        <f t="shared" ref="E30" si="11">C30-D30</f>
        <v>0</v>
      </c>
      <c r="F30" s="251">
        <f>'Bieu 51_'!E29</f>
        <v>11899.7</v>
      </c>
      <c r="G30" s="346">
        <v>11899.7</v>
      </c>
      <c r="H30" s="346">
        <f>F30-G30</f>
        <v>0</v>
      </c>
      <c r="I30" s="208">
        <f t="shared" ref="I30" si="12">IF(C30=0,0,F30/C30*100)</f>
        <v>0</v>
      </c>
      <c r="J30" s="208">
        <f t="shared" ref="J30" si="13">IF(D30=0,0,G30/D30*100)</f>
        <v>0</v>
      </c>
      <c r="K30" s="208">
        <f t="shared" ref="K30" si="14">IF(E30=0,0,H30/E30*100)</f>
        <v>0</v>
      </c>
      <c r="L30" s="551"/>
      <c r="M30" s="162"/>
    </row>
    <row r="31" spans="1:13" s="160" customFormat="1">
      <c r="A31" s="205" t="s">
        <v>858</v>
      </c>
      <c r="B31" s="206" t="s">
        <v>859</v>
      </c>
      <c r="C31" s="207">
        <f>'Bieu 51_'!D30</f>
        <v>83900</v>
      </c>
      <c r="D31" s="192">
        <v>83900</v>
      </c>
      <c r="E31" s="207">
        <f t="shared" si="10"/>
        <v>0</v>
      </c>
      <c r="F31" s="251">
        <f>'Bieu 51_'!E30</f>
        <v>19277.513097000003</v>
      </c>
      <c r="G31" s="346">
        <v>19277.513097000003</v>
      </c>
      <c r="H31" s="346">
        <f>F31-G31</f>
        <v>0</v>
      </c>
      <c r="I31" s="208">
        <f t="shared" si="4"/>
        <v>22.976773655542317</v>
      </c>
      <c r="J31" s="208">
        <f t="shared" si="5"/>
        <v>22.976773655542317</v>
      </c>
      <c r="K31" s="208">
        <f t="shared" si="6"/>
        <v>0</v>
      </c>
      <c r="L31" s="551"/>
      <c r="M31" s="162"/>
    </row>
    <row r="32" spans="1:13">
      <c r="A32" s="205" t="s">
        <v>24</v>
      </c>
      <c r="B32" s="206" t="s">
        <v>127</v>
      </c>
      <c r="C32" s="207">
        <f>'Bieu 51_'!D31</f>
        <v>1441140</v>
      </c>
      <c r="D32" s="207">
        <f>D33+D36</f>
        <v>1377570</v>
      </c>
      <c r="E32" s="207">
        <f t="shared" si="10"/>
        <v>63570</v>
      </c>
      <c r="F32" s="207">
        <f>F33+F36</f>
        <v>1589410.533905</v>
      </c>
      <c r="G32" s="207">
        <f>G33+G36</f>
        <v>1519875.9024049998</v>
      </c>
      <c r="H32" s="207">
        <f>H33+H36</f>
        <v>69534.631499999989</v>
      </c>
      <c r="I32" s="208">
        <f t="shared" si="4"/>
        <v>110.28841985546165</v>
      </c>
      <c r="J32" s="208">
        <f t="shared" si="5"/>
        <v>110.33021206944112</v>
      </c>
      <c r="K32" s="208">
        <f t="shared" si="6"/>
        <v>109.38277725342141</v>
      </c>
      <c r="L32" s="551"/>
      <c r="M32" s="162"/>
    </row>
    <row r="33" spans="1:13">
      <c r="A33" s="205" t="s">
        <v>28</v>
      </c>
      <c r="B33" s="206" t="s">
        <v>48</v>
      </c>
      <c r="C33" s="207">
        <f>'Bieu 51_'!D32</f>
        <v>0</v>
      </c>
      <c r="D33" s="207"/>
      <c r="E33" s="207">
        <f t="shared" si="10"/>
        <v>0</v>
      </c>
      <c r="F33" s="207">
        <f>F34+F35</f>
        <v>43796.432468999992</v>
      </c>
      <c r="G33" s="207">
        <f>G34+G35</f>
        <v>37058.607468999995</v>
      </c>
      <c r="H33" s="207">
        <f>H34+H35</f>
        <v>6737.8249999999998</v>
      </c>
      <c r="I33" s="208">
        <f t="shared" si="4"/>
        <v>0</v>
      </c>
      <c r="J33" s="208">
        <f t="shared" si="5"/>
        <v>0</v>
      </c>
      <c r="K33" s="208">
        <f t="shared" si="6"/>
        <v>0</v>
      </c>
      <c r="L33" s="551"/>
      <c r="M33" s="162"/>
    </row>
    <row r="34" spans="1:13">
      <c r="A34" s="240">
        <v>1</v>
      </c>
      <c r="B34" s="241" t="s">
        <v>208</v>
      </c>
      <c r="C34" s="207">
        <f>'Bieu 51_'!D33</f>
        <v>0</v>
      </c>
      <c r="D34" s="204"/>
      <c r="E34" s="207"/>
      <c r="F34" s="204">
        <f>G34+H34</f>
        <v>7095.7290000000003</v>
      </c>
      <c r="G34" s="204">
        <v>488</v>
      </c>
      <c r="H34" s="204">
        <v>6607.7290000000003</v>
      </c>
      <c r="I34" s="242">
        <f t="shared" si="4"/>
        <v>0</v>
      </c>
      <c r="J34" s="242">
        <f t="shared" si="5"/>
        <v>0</v>
      </c>
      <c r="K34" s="242">
        <f t="shared" si="6"/>
        <v>0</v>
      </c>
      <c r="L34" s="551"/>
      <c r="M34" s="162"/>
    </row>
    <row r="35" spans="1:13">
      <c r="A35" s="240">
        <v>2</v>
      </c>
      <c r="B35" s="241" t="s">
        <v>209</v>
      </c>
      <c r="C35" s="207">
        <f>'Bieu 51_'!D34</f>
        <v>0</v>
      </c>
      <c r="D35" s="204"/>
      <c r="E35" s="207"/>
      <c r="F35" s="204">
        <f>G35+H35</f>
        <v>36700.703468999993</v>
      </c>
      <c r="G35" s="204">
        <v>36570.607468999995</v>
      </c>
      <c r="H35" s="204">
        <v>130.09599999999949</v>
      </c>
      <c r="I35" s="242">
        <f t="shared" si="4"/>
        <v>0</v>
      </c>
      <c r="J35" s="242">
        <f t="shared" si="5"/>
        <v>0</v>
      </c>
      <c r="K35" s="242">
        <f t="shared" si="6"/>
        <v>0</v>
      </c>
      <c r="L35" s="551"/>
      <c r="M35" s="162"/>
    </row>
    <row r="36" spans="1:13">
      <c r="A36" s="205" t="s">
        <v>33</v>
      </c>
      <c r="B36" s="206" t="s">
        <v>128</v>
      </c>
      <c r="C36" s="207">
        <f>'Bieu 51_'!D35</f>
        <v>1441140</v>
      </c>
      <c r="D36" s="207">
        <f>D37+D69</f>
        <v>1377570</v>
      </c>
      <c r="E36" s="207">
        <f>C36-D36</f>
        <v>63570</v>
      </c>
      <c r="F36" s="207">
        <f>'Bieu 51_'!E35</f>
        <v>1545614.1014359999</v>
      </c>
      <c r="G36" s="207">
        <f>G37+G69</f>
        <v>1482817.2949359999</v>
      </c>
      <c r="H36" s="207">
        <f>H37+H69</f>
        <v>62796.806499999992</v>
      </c>
      <c r="I36" s="208">
        <f t="shared" si="4"/>
        <v>107.24940681932358</v>
      </c>
      <c r="J36" s="208">
        <f t="shared" si="5"/>
        <v>107.64006873959218</v>
      </c>
      <c r="K36" s="208">
        <f t="shared" si="6"/>
        <v>98.783713229510766</v>
      </c>
      <c r="L36" s="551"/>
      <c r="M36" s="162"/>
    </row>
    <row r="37" spans="1:13">
      <c r="A37" s="245" t="s">
        <v>210</v>
      </c>
      <c r="B37" s="246" t="s">
        <v>211</v>
      </c>
      <c r="C37" s="207">
        <f>'Bieu 51_'!D36</f>
        <v>1234788</v>
      </c>
      <c r="D37" s="207">
        <v>1234788</v>
      </c>
      <c r="E37" s="207">
        <f t="shared" ref="E37:E70" si="15">C37-D37</f>
        <v>0</v>
      </c>
      <c r="F37" s="207">
        <f>'Bieu 51_'!E36</f>
        <v>1352597.853684</v>
      </c>
      <c r="G37" s="207">
        <f>G38+G47+G51</f>
        <v>1352597.853684</v>
      </c>
      <c r="H37" s="207">
        <f>H38+H47+H51</f>
        <v>0</v>
      </c>
      <c r="I37" s="208">
        <f t="shared" si="4"/>
        <v>109.54089719725167</v>
      </c>
      <c r="J37" s="208">
        <f t="shared" si="5"/>
        <v>109.54089719725167</v>
      </c>
      <c r="K37" s="208">
        <f t="shared" si="6"/>
        <v>0</v>
      </c>
      <c r="L37" s="551"/>
      <c r="M37" s="162"/>
    </row>
    <row r="38" spans="1:13" outlineLevel="1">
      <c r="A38" s="245">
        <v>1</v>
      </c>
      <c r="B38" s="246" t="s">
        <v>212</v>
      </c>
      <c r="C38" s="207">
        <f>'Bieu 51_'!D37</f>
        <v>386030</v>
      </c>
      <c r="D38" s="207">
        <f>D39+D42</f>
        <v>386030</v>
      </c>
      <c r="E38" s="207">
        <f t="shared" si="15"/>
        <v>0</v>
      </c>
      <c r="F38" s="207">
        <f>'Bieu 51_'!E37</f>
        <v>370724.38072699995</v>
      </c>
      <c r="G38" s="207">
        <f>G39+G42</f>
        <v>370724.38072699995</v>
      </c>
      <c r="H38" s="207"/>
      <c r="I38" s="208"/>
      <c r="J38" s="208"/>
      <c r="K38" s="208"/>
      <c r="L38" s="551"/>
      <c r="M38" s="162"/>
    </row>
    <row r="39" spans="1:13" outlineLevel="1">
      <c r="A39" s="245" t="s">
        <v>188</v>
      </c>
      <c r="B39" s="246" t="s">
        <v>863</v>
      </c>
      <c r="C39" s="207">
        <f>'Bieu 51_'!D38</f>
        <v>0</v>
      </c>
      <c r="D39" s="207"/>
      <c r="E39" s="207">
        <f t="shared" si="15"/>
        <v>0</v>
      </c>
      <c r="F39" s="207">
        <f>'Bieu 51_'!E38</f>
        <v>199806.565</v>
      </c>
      <c r="G39" s="207">
        <f>G40+G41</f>
        <v>199806.565</v>
      </c>
      <c r="H39" s="207"/>
      <c r="I39" s="208"/>
      <c r="J39" s="208"/>
      <c r="K39" s="208"/>
      <c r="L39" s="551"/>
      <c r="M39" s="162"/>
    </row>
    <row r="40" spans="1:13" ht="25.5" outlineLevel="1">
      <c r="A40" s="240" t="s">
        <v>30</v>
      </c>
      <c r="B40" s="347" t="s">
        <v>244</v>
      </c>
      <c r="C40" s="204">
        <f>'Bieu 51_'!D39</f>
        <v>0</v>
      </c>
      <c r="D40" s="204"/>
      <c r="E40" s="204">
        <f t="shared" si="15"/>
        <v>0</v>
      </c>
      <c r="F40" s="204">
        <f>'Bieu 51_'!E39</f>
        <v>195985.905</v>
      </c>
      <c r="G40" s="204">
        <v>195985.905</v>
      </c>
      <c r="H40" s="204"/>
      <c r="I40" s="242"/>
      <c r="J40" s="242"/>
      <c r="K40" s="242"/>
      <c r="L40" s="551"/>
      <c r="M40" s="162"/>
    </row>
    <row r="41" spans="1:13" ht="25.5" outlineLevel="1">
      <c r="A41" s="240" t="s">
        <v>30</v>
      </c>
      <c r="B41" s="350" t="s">
        <v>864</v>
      </c>
      <c r="C41" s="204">
        <f>'Bieu 51_'!D40</f>
        <v>0</v>
      </c>
      <c r="D41" s="204"/>
      <c r="E41" s="204">
        <f t="shared" si="15"/>
        <v>0</v>
      </c>
      <c r="F41" s="204">
        <f>'Bieu 51_'!E40</f>
        <v>3820.66</v>
      </c>
      <c r="G41" s="204">
        <v>3820.66</v>
      </c>
      <c r="H41" s="204"/>
      <c r="I41" s="242"/>
      <c r="J41" s="242"/>
      <c r="K41" s="242"/>
      <c r="L41" s="551"/>
      <c r="M41" s="162"/>
    </row>
    <row r="42" spans="1:13" outlineLevel="1">
      <c r="A42" s="245" t="s">
        <v>189</v>
      </c>
      <c r="B42" s="246" t="s">
        <v>865</v>
      </c>
      <c r="C42" s="207">
        <f>'Bieu 51_'!D41</f>
        <v>386030</v>
      </c>
      <c r="D42" s="207">
        <f>D43+D44+D45+D46</f>
        <v>386030</v>
      </c>
      <c r="E42" s="207">
        <f t="shared" si="15"/>
        <v>0</v>
      </c>
      <c r="F42" s="207">
        <f>'Bieu 51_'!E41</f>
        <v>170917.81572699998</v>
      </c>
      <c r="G42" s="207">
        <f>SUM(G43:G46)</f>
        <v>170917.81572699998</v>
      </c>
      <c r="H42" s="207"/>
      <c r="I42" s="208"/>
      <c r="J42" s="208"/>
      <c r="K42" s="208"/>
      <c r="L42" s="551"/>
      <c r="M42" s="162"/>
    </row>
    <row r="43" spans="1:13" ht="25.5" outlineLevel="1">
      <c r="A43" s="240" t="s">
        <v>30</v>
      </c>
      <c r="B43" s="347" t="s">
        <v>866</v>
      </c>
      <c r="C43" s="204">
        <f>'Bieu 51_'!D42</f>
        <v>35904</v>
      </c>
      <c r="D43" s="204">
        <v>35904</v>
      </c>
      <c r="E43" s="204">
        <f t="shared" si="15"/>
        <v>0</v>
      </c>
      <c r="F43" s="204">
        <f>'Bieu 51_'!E42</f>
        <v>22279.692595</v>
      </c>
      <c r="G43" s="204">
        <v>22279.692595</v>
      </c>
      <c r="H43" s="204"/>
      <c r="I43" s="242"/>
      <c r="J43" s="242"/>
      <c r="K43" s="242"/>
      <c r="L43" s="551"/>
      <c r="M43" s="162"/>
    </row>
    <row r="44" spans="1:13" outlineLevel="1">
      <c r="A44" s="240" t="s">
        <v>30</v>
      </c>
      <c r="B44" s="348" t="s">
        <v>867</v>
      </c>
      <c r="C44" s="204">
        <f>'Bieu 51_'!D43</f>
        <v>46980</v>
      </c>
      <c r="D44" s="204">
        <v>46980</v>
      </c>
      <c r="E44" s="204">
        <f t="shared" si="15"/>
        <v>0</v>
      </c>
      <c r="F44" s="204">
        <f>'Bieu 51_'!E43</f>
        <v>38692.844313000001</v>
      </c>
      <c r="G44" s="204">
        <v>38692.844313000001</v>
      </c>
      <c r="H44" s="204"/>
      <c r="I44" s="242"/>
      <c r="J44" s="242"/>
      <c r="K44" s="242"/>
      <c r="L44" s="551"/>
      <c r="M44" s="162"/>
    </row>
    <row r="45" spans="1:13" ht="25.5" outlineLevel="1">
      <c r="A45" s="240" t="s">
        <v>30</v>
      </c>
      <c r="B45" s="349" t="s">
        <v>424</v>
      </c>
      <c r="C45" s="204">
        <f>'Bieu 51_'!D44</f>
        <v>224000</v>
      </c>
      <c r="D45" s="204">
        <v>224000</v>
      </c>
      <c r="E45" s="204">
        <f t="shared" si="15"/>
        <v>0</v>
      </c>
      <c r="F45" s="204">
        <f>'Bieu 51_'!E44</f>
        <v>83489.148786999998</v>
      </c>
      <c r="G45" s="204">
        <v>83489.148786999998</v>
      </c>
      <c r="H45" s="204"/>
      <c r="I45" s="242"/>
      <c r="J45" s="242"/>
      <c r="K45" s="242"/>
      <c r="L45" s="551"/>
      <c r="M45" s="162"/>
    </row>
    <row r="46" spans="1:13" ht="38.25" outlineLevel="1">
      <c r="A46" s="240" t="s">
        <v>30</v>
      </c>
      <c r="B46" s="350" t="s">
        <v>868</v>
      </c>
      <c r="C46" s="204">
        <f>'Bieu 51_'!D45</f>
        <v>79146</v>
      </c>
      <c r="D46" s="204">
        <v>79146</v>
      </c>
      <c r="E46" s="204">
        <f t="shared" si="15"/>
        <v>0</v>
      </c>
      <c r="F46" s="204">
        <f>'Bieu 51_'!E45</f>
        <v>26456.130031999997</v>
      </c>
      <c r="G46" s="204">
        <v>26456.130031999997</v>
      </c>
      <c r="H46" s="204"/>
      <c r="I46" s="242"/>
      <c r="J46" s="242"/>
      <c r="K46" s="242"/>
      <c r="L46" s="551"/>
      <c r="M46" s="162"/>
    </row>
    <row r="47" spans="1:13" ht="25.5" outlineLevel="1">
      <c r="A47" s="245" t="s">
        <v>869</v>
      </c>
      <c r="B47" s="342" t="s">
        <v>870</v>
      </c>
      <c r="C47" s="207">
        <f>'Bieu 51_'!D46</f>
        <v>0</v>
      </c>
      <c r="D47" s="207"/>
      <c r="E47" s="207">
        <f t="shared" si="15"/>
        <v>0</v>
      </c>
      <c r="F47" s="207">
        <f>'Bieu 51_'!E46</f>
        <v>10254.152539000001</v>
      </c>
      <c r="G47" s="207">
        <f>G48+G49+G50</f>
        <v>10254.152539000001</v>
      </c>
      <c r="H47" s="207"/>
      <c r="I47" s="208"/>
      <c r="J47" s="208"/>
      <c r="K47" s="208"/>
      <c r="L47" s="551"/>
      <c r="M47" s="162"/>
    </row>
    <row r="48" spans="1:13" outlineLevel="1">
      <c r="A48" s="240" t="s">
        <v>30</v>
      </c>
      <c r="B48" s="348" t="s">
        <v>867</v>
      </c>
      <c r="C48" s="204">
        <f>'Bieu 51_'!D47</f>
        <v>0</v>
      </c>
      <c r="D48" s="204"/>
      <c r="E48" s="204">
        <f t="shared" si="15"/>
        <v>0</v>
      </c>
      <c r="F48" s="204">
        <f>'Bieu 51_'!E47</f>
        <v>1227.0024410000005</v>
      </c>
      <c r="G48" s="204">
        <v>1227.0024410000005</v>
      </c>
      <c r="H48" s="204"/>
      <c r="I48" s="242"/>
      <c r="J48" s="242"/>
      <c r="K48" s="242"/>
      <c r="L48" s="551"/>
      <c r="M48" s="162"/>
    </row>
    <row r="49" spans="1:13" ht="25.5" outlineLevel="1">
      <c r="A49" s="240" t="s">
        <v>30</v>
      </c>
      <c r="B49" s="349" t="s">
        <v>424</v>
      </c>
      <c r="C49" s="204">
        <f>'Bieu 51_'!D48</f>
        <v>0</v>
      </c>
      <c r="D49" s="204"/>
      <c r="E49" s="204">
        <f t="shared" si="15"/>
        <v>0</v>
      </c>
      <c r="F49" s="204">
        <f>'Bieu 51_'!E48</f>
        <v>8571.2636870000006</v>
      </c>
      <c r="G49" s="204">
        <v>8571.2636870000006</v>
      </c>
      <c r="H49" s="204"/>
      <c r="I49" s="242"/>
      <c r="J49" s="242"/>
      <c r="K49" s="242"/>
      <c r="L49" s="551"/>
      <c r="M49" s="162"/>
    </row>
    <row r="50" spans="1:13" ht="25.5" outlineLevel="1">
      <c r="A50" s="240" t="s">
        <v>30</v>
      </c>
      <c r="B50" s="347" t="s">
        <v>866</v>
      </c>
      <c r="C50" s="204">
        <f>'Bieu 51_'!D49</f>
        <v>0</v>
      </c>
      <c r="D50" s="204"/>
      <c r="E50" s="204">
        <f t="shared" si="15"/>
        <v>0</v>
      </c>
      <c r="F50" s="204">
        <f>'Bieu 51_'!E49</f>
        <v>455.88641100000001</v>
      </c>
      <c r="G50" s="204">
        <v>455.88641100000001</v>
      </c>
      <c r="H50" s="204"/>
      <c r="I50" s="242"/>
      <c r="J50" s="242"/>
      <c r="K50" s="242"/>
      <c r="L50" s="551"/>
      <c r="M50" s="162"/>
    </row>
    <row r="51" spans="1:13" outlineLevel="1">
      <c r="A51" s="245" t="s">
        <v>871</v>
      </c>
      <c r="B51" s="246" t="s">
        <v>174</v>
      </c>
      <c r="C51" s="207">
        <f>'Bieu 51_'!D50</f>
        <v>848758</v>
      </c>
      <c r="D51" s="207">
        <f>D52+D66</f>
        <v>848758</v>
      </c>
      <c r="E51" s="207">
        <f t="shared" si="15"/>
        <v>0</v>
      </c>
      <c r="F51" s="207">
        <f>'Bieu 51_'!E50</f>
        <v>971619.3204180001</v>
      </c>
      <c r="G51" s="207">
        <f>G52+G66</f>
        <v>971619.3204180001</v>
      </c>
      <c r="H51" s="207"/>
      <c r="I51" s="208"/>
      <c r="J51" s="208"/>
      <c r="K51" s="208"/>
      <c r="L51" s="551"/>
      <c r="M51" s="162"/>
    </row>
    <row r="52" spans="1:13" outlineLevel="1">
      <c r="A52" s="245" t="s">
        <v>872</v>
      </c>
      <c r="B52" s="246" t="s">
        <v>873</v>
      </c>
      <c r="C52" s="207">
        <f>'Bieu 51_'!D51</f>
        <v>848758</v>
      </c>
      <c r="D52" s="207">
        <f>SUM(D53:D65)</f>
        <v>848758</v>
      </c>
      <c r="E52" s="207">
        <f t="shared" si="15"/>
        <v>0</v>
      </c>
      <c r="F52" s="207">
        <f>'Bieu 51_'!E51</f>
        <v>892690.55371300015</v>
      </c>
      <c r="G52" s="207">
        <f>SUM(G53:G65)</f>
        <v>892690.55371300015</v>
      </c>
      <c r="H52" s="207"/>
      <c r="I52" s="208"/>
      <c r="J52" s="208"/>
      <c r="K52" s="208"/>
      <c r="L52" s="551"/>
      <c r="M52" s="162"/>
    </row>
    <row r="53" spans="1:13" outlineLevel="1">
      <c r="A53" s="240" t="s">
        <v>30</v>
      </c>
      <c r="B53" s="347" t="s">
        <v>1008</v>
      </c>
      <c r="C53" s="204">
        <f>'Bieu 51_'!D52</f>
        <v>476376</v>
      </c>
      <c r="D53" s="204">
        <v>476376</v>
      </c>
      <c r="E53" s="204">
        <f t="shared" si="15"/>
        <v>0</v>
      </c>
      <c r="F53" s="204">
        <f>'Bieu 51_'!E52</f>
        <v>294180.01506100001</v>
      </c>
      <c r="G53" s="204">
        <v>294180.01506100001</v>
      </c>
      <c r="H53" s="204"/>
      <c r="I53" s="242"/>
      <c r="J53" s="242"/>
      <c r="K53" s="242"/>
      <c r="L53" s="551"/>
      <c r="M53" s="162"/>
    </row>
    <row r="54" spans="1:13" outlineLevel="1">
      <c r="A54" s="240" t="s">
        <v>30</v>
      </c>
      <c r="B54" s="241" t="s">
        <v>1009</v>
      </c>
      <c r="C54" s="204">
        <f>'Bieu 51_'!D53</f>
        <v>99426.442999999999</v>
      </c>
      <c r="D54" s="204">
        <v>99426.442999999999</v>
      </c>
      <c r="E54" s="204">
        <f t="shared" si="15"/>
        <v>0</v>
      </c>
      <c r="F54" s="204">
        <f>'Bieu 51_'!E53</f>
        <v>92597.739499999996</v>
      </c>
      <c r="G54" s="204">
        <v>92597.739499999996</v>
      </c>
      <c r="H54" s="204"/>
      <c r="I54" s="242"/>
      <c r="J54" s="242"/>
      <c r="K54" s="242"/>
      <c r="L54" s="551"/>
      <c r="M54" s="162"/>
    </row>
    <row r="55" spans="1:13" outlineLevel="1">
      <c r="A55" s="240" t="s">
        <v>30</v>
      </c>
      <c r="B55" s="241" t="s">
        <v>1010</v>
      </c>
      <c r="C55" s="204">
        <f>'Bieu 51_'!D54</f>
        <v>7611</v>
      </c>
      <c r="D55" s="204">
        <v>7611</v>
      </c>
      <c r="E55" s="204">
        <f t="shared" si="15"/>
        <v>0</v>
      </c>
      <c r="F55" s="204">
        <f>'Bieu 51_'!E54</f>
        <v>7646.2980950000001</v>
      </c>
      <c r="G55" s="204">
        <v>7646.2980950000001</v>
      </c>
      <c r="H55" s="204"/>
      <c r="I55" s="242"/>
      <c r="J55" s="242"/>
      <c r="K55" s="242"/>
      <c r="L55" s="551"/>
      <c r="M55" s="162"/>
    </row>
    <row r="56" spans="1:13" ht="25.5" outlineLevel="1">
      <c r="A56" s="240" t="s">
        <v>30</v>
      </c>
      <c r="B56" s="241" t="s">
        <v>1011</v>
      </c>
      <c r="C56" s="204">
        <f>'Bieu 51_'!D55</f>
        <v>110900</v>
      </c>
      <c r="D56" s="204">
        <v>110900</v>
      </c>
      <c r="E56" s="204">
        <f t="shared" si="15"/>
        <v>0</v>
      </c>
      <c r="F56" s="204">
        <f>'Bieu 51_'!E55</f>
        <v>26410.048000000003</v>
      </c>
      <c r="G56" s="204">
        <v>26410.048000000003</v>
      </c>
      <c r="H56" s="204"/>
      <c r="I56" s="242"/>
      <c r="J56" s="242"/>
      <c r="K56" s="242"/>
      <c r="L56" s="551"/>
      <c r="M56" s="162"/>
    </row>
    <row r="57" spans="1:13" outlineLevel="1">
      <c r="A57" s="240" t="s">
        <v>30</v>
      </c>
      <c r="B57" s="241" t="s">
        <v>1012</v>
      </c>
      <c r="C57" s="204">
        <f>'Bieu 51_'!D56</f>
        <v>126532.557</v>
      </c>
      <c r="D57" s="204">
        <v>126532.557</v>
      </c>
      <c r="E57" s="204">
        <f t="shared" si="15"/>
        <v>0</v>
      </c>
      <c r="F57" s="204">
        <f>'Bieu 51_'!E56</f>
        <v>106283.64799999999</v>
      </c>
      <c r="G57" s="204">
        <v>106283.64799999999</v>
      </c>
      <c r="H57" s="204"/>
      <c r="I57" s="242"/>
      <c r="J57" s="242"/>
      <c r="K57" s="242"/>
      <c r="L57" s="551"/>
      <c r="M57" s="162"/>
    </row>
    <row r="58" spans="1:13" outlineLevel="1">
      <c r="A58" s="240" t="s">
        <v>30</v>
      </c>
      <c r="B58" s="347" t="s">
        <v>1013</v>
      </c>
      <c r="C58" s="204">
        <f>'Bieu 51_'!D57</f>
        <v>700</v>
      </c>
      <c r="D58" s="204">
        <v>700</v>
      </c>
      <c r="E58" s="204">
        <f t="shared" si="15"/>
        <v>0</v>
      </c>
      <c r="F58" s="204">
        <f>'Bieu 51_'!E57</f>
        <v>0</v>
      </c>
      <c r="G58" s="204">
        <v>0</v>
      </c>
      <c r="H58" s="204"/>
      <c r="I58" s="242"/>
      <c r="J58" s="242"/>
      <c r="K58" s="242"/>
      <c r="L58" s="551"/>
      <c r="M58" s="162"/>
    </row>
    <row r="59" spans="1:13" outlineLevel="1">
      <c r="A59" s="240" t="s">
        <v>30</v>
      </c>
      <c r="B59" s="347" t="s">
        <v>1014</v>
      </c>
      <c r="C59" s="204">
        <f>'Bieu 51_'!D58</f>
        <v>27212</v>
      </c>
      <c r="D59" s="204">
        <v>27212</v>
      </c>
      <c r="E59" s="204">
        <f t="shared" si="15"/>
        <v>0</v>
      </c>
      <c r="F59" s="204">
        <f>'Bieu 51_'!E58</f>
        <v>3168.8610000000008</v>
      </c>
      <c r="G59" s="204">
        <v>3168.8610000000008</v>
      </c>
      <c r="H59" s="204"/>
      <c r="I59" s="242"/>
      <c r="J59" s="242"/>
      <c r="K59" s="242"/>
      <c r="L59" s="551"/>
      <c r="M59" s="162"/>
    </row>
    <row r="60" spans="1:13" ht="25.5" outlineLevel="1">
      <c r="A60" s="240" t="s">
        <v>30</v>
      </c>
      <c r="B60" s="347" t="s">
        <v>874</v>
      </c>
      <c r="C60" s="204">
        <f>'Bieu 51_'!D59</f>
        <v>0</v>
      </c>
      <c r="D60" s="204"/>
      <c r="E60" s="204">
        <f t="shared" si="15"/>
        <v>0</v>
      </c>
      <c r="F60" s="204">
        <f>'Bieu 51_'!E59</f>
        <v>83092.604460000002</v>
      </c>
      <c r="G60" s="204">
        <v>83092.604460000002</v>
      </c>
      <c r="H60" s="204"/>
      <c r="I60" s="242"/>
      <c r="J60" s="242"/>
      <c r="K60" s="242"/>
      <c r="L60" s="551"/>
      <c r="M60" s="162"/>
    </row>
    <row r="61" spans="1:13" ht="25.5" outlineLevel="1">
      <c r="A61" s="240" t="s">
        <v>30</v>
      </c>
      <c r="B61" s="241" t="s">
        <v>875</v>
      </c>
      <c r="C61" s="204">
        <f>'Bieu 51_'!D60</f>
        <v>0</v>
      </c>
      <c r="D61" s="204"/>
      <c r="E61" s="204">
        <f t="shared" si="15"/>
        <v>0</v>
      </c>
      <c r="F61" s="204">
        <f>'Bieu 51_'!E60</f>
        <v>800.58470499999999</v>
      </c>
      <c r="G61" s="204">
        <v>800.58470499999999</v>
      </c>
      <c r="H61" s="204"/>
      <c r="I61" s="242"/>
      <c r="J61" s="242"/>
      <c r="K61" s="242"/>
      <c r="L61" s="551"/>
      <c r="M61" s="162"/>
    </row>
    <row r="62" spans="1:13" ht="25.5" outlineLevel="1">
      <c r="A62" s="240" t="s">
        <v>30</v>
      </c>
      <c r="B62" s="241" t="s">
        <v>876</v>
      </c>
      <c r="C62" s="204">
        <f>'Bieu 51_'!D61</f>
        <v>0</v>
      </c>
      <c r="D62" s="204"/>
      <c r="E62" s="204">
        <f t="shared" si="15"/>
        <v>0</v>
      </c>
      <c r="F62" s="204">
        <f>'Bieu 51_'!E61</f>
        <v>21749.041000000001</v>
      </c>
      <c r="G62" s="204">
        <v>21749.041000000001</v>
      </c>
      <c r="H62" s="204"/>
      <c r="I62" s="242"/>
      <c r="J62" s="242"/>
      <c r="K62" s="242"/>
      <c r="L62" s="551"/>
      <c r="M62" s="162"/>
    </row>
    <row r="63" spans="1:13" ht="25.5" outlineLevel="1">
      <c r="A63" s="240" t="s">
        <v>30</v>
      </c>
      <c r="B63" s="241" t="s">
        <v>1015</v>
      </c>
      <c r="C63" s="204">
        <f>'Bieu 51_'!D62</f>
        <v>0</v>
      </c>
      <c r="D63" s="204"/>
      <c r="E63" s="204">
        <f t="shared" si="15"/>
        <v>0</v>
      </c>
      <c r="F63" s="204">
        <f>'Bieu 51_'!E62</f>
        <v>146211.486107</v>
      </c>
      <c r="G63" s="204">
        <v>146211.486107</v>
      </c>
      <c r="H63" s="204"/>
      <c r="I63" s="242"/>
      <c r="J63" s="242"/>
      <c r="K63" s="242"/>
      <c r="L63" s="551"/>
      <c r="M63" s="162"/>
    </row>
    <row r="64" spans="1:13" outlineLevel="1">
      <c r="A64" s="240" t="s">
        <v>30</v>
      </c>
      <c r="B64" s="347" t="s">
        <v>1016</v>
      </c>
      <c r="C64" s="204">
        <f>'Bieu 51_'!D63</f>
        <v>0</v>
      </c>
      <c r="D64" s="204"/>
      <c r="E64" s="204">
        <f t="shared" si="15"/>
        <v>0</v>
      </c>
      <c r="F64" s="204">
        <f>'Bieu 51_'!E63</f>
        <v>99999.273000000001</v>
      </c>
      <c r="G64" s="204">
        <v>99999.273000000001</v>
      </c>
      <c r="H64" s="204"/>
      <c r="I64" s="242"/>
      <c r="J64" s="242"/>
      <c r="K64" s="242"/>
      <c r="L64" s="551"/>
      <c r="M64" s="162"/>
    </row>
    <row r="65" spans="1:13" outlineLevel="1">
      <c r="A65" s="240" t="s">
        <v>30</v>
      </c>
      <c r="B65" s="347" t="s">
        <v>877</v>
      </c>
      <c r="C65" s="204">
        <f>'Bieu 51_'!D64</f>
        <v>0</v>
      </c>
      <c r="D65" s="204"/>
      <c r="E65" s="204">
        <f t="shared" si="15"/>
        <v>0</v>
      </c>
      <c r="F65" s="204">
        <f>'Bieu 51_'!E64</f>
        <v>10550.954785000002</v>
      </c>
      <c r="G65" s="204">
        <v>10550.954785000002</v>
      </c>
      <c r="H65" s="204"/>
      <c r="I65" s="242"/>
      <c r="J65" s="242"/>
      <c r="K65" s="242"/>
      <c r="L65" s="551"/>
      <c r="M65" s="162"/>
    </row>
    <row r="66" spans="1:13" outlineLevel="1">
      <c r="A66" s="245" t="s">
        <v>201</v>
      </c>
      <c r="B66" s="246" t="s">
        <v>878</v>
      </c>
      <c r="C66" s="207">
        <f>C67+C68</f>
        <v>0</v>
      </c>
      <c r="D66" s="207"/>
      <c r="E66" s="207">
        <f t="shared" si="15"/>
        <v>0</v>
      </c>
      <c r="F66" s="207">
        <f>'Bieu 51_'!E65</f>
        <v>78928.766705000002</v>
      </c>
      <c r="G66" s="207">
        <f>G67+G68</f>
        <v>78928.766705000002</v>
      </c>
      <c r="H66" s="207"/>
      <c r="I66" s="208"/>
      <c r="J66" s="208"/>
      <c r="K66" s="208"/>
      <c r="L66" s="551"/>
      <c r="M66" s="162"/>
    </row>
    <row r="67" spans="1:13" outlineLevel="1">
      <c r="A67" s="240" t="s">
        <v>30</v>
      </c>
      <c r="B67" s="347" t="s">
        <v>879</v>
      </c>
      <c r="C67" s="204">
        <f>'Bieu 51_'!D66</f>
        <v>0</v>
      </c>
      <c r="D67" s="204"/>
      <c r="E67" s="204">
        <f t="shared" si="15"/>
        <v>0</v>
      </c>
      <c r="F67" s="204">
        <f>'Bieu 51_'!E66</f>
        <v>78928.766705000002</v>
      </c>
      <c r="G67" s="204">
        <v>78928.766705000002</v>
      </c>
      <c r="H67" s="204"/>
      <c r="I67" s="242"/>
      <c r="J67" s="242"/>
      <c r="K67" s="242"/>
      <c r="L67" s="551"/>
      <c r="M67" s="162"/>
    </row>
    <row r="68" spans="1:13" outlineLevel="1">
      <c r="A68" s="240"/>
      <c r="B68" s="241" t="s">
        <v>880</v>
      </c>
      <c r="C68" s="204">
        <f>'Bieu 51_'!D67</f>
        <v>0</v>
      </c>
      <c r="D68" s="204"/>
      <c r="E68" s="204">
        <f t="shared" si="15"/>
        <v>0</v>
      </c>
      <c r="F68" s="204">
        <f>'Bieu 51_'!E67</f>
        <v>0</v>
      </c>
      <c r="G68" s="204"/>
      <c r="H68" s="204"/>
      <c r="I68" s="242"/>
      <c r="J68" s="242"/>
      <c r="K68" s="242"/>
      <c r="L68" s="551"/>
      <c r="M68" s="162"/>
    </row>
    <row r="69" spans="1:13">
      <c r="A69" s="205" t="s">
        <v>213</v>
      </c>
      <c r="B69" s="206" t="s">
        <v>214</v>
      </c>
      <c r="C69" s="207">
        <f>'Bieu 51_'!D68</f>
        <v>206352</v>
      </c>
      <c r="D69" s="207">
        <f>D70+D75</f>
        <v>142782</v>
      </c>
      <c r="E69" s="207">
        <f>E70+E75</f>
        <v>63570</v>
      </c>
      <c r="F69" s="207">
        <f>F75+F70</f>
        <v>193016.24775199997</v>
      </c>
      <c r="G69" s="207">
        <f t="shared" ref="G69:H69" si="16">G75+G70</f>
        <v>130219.44125200002</v>
      </c>
      <c r="H69" s="207">
        <f t="shared" si="16"/>
        <v>62796.806499999992</v>
      </c>
      <c r="I69" s="208">
        <f t="shared" si="4"/>
        <v>93.537376789175767</v>
      </c>
      <c r="J69" s="208">
        <f t="shared" si="5"/>
        <v>91.201580907957606</v>
      </c>
      <c r="K69" s="208">
        <f t="shared" si="6"/>
        <v>98.783713229510766</v>
      </c>
      <c r="L69" s="551"/>
      <c r="M69" s="162"/>
    </row>
    <row r="70" spans="1:13" s="160" customFormat="1" outlineLevel="1">
      <c r="A70" s="205" t="s">
        <v>28</v>
      </c>
      <c r="B70" s="206" t="s">
        <v>173</v>
      </c>
      <c r="C70" s="207">
        <f>'Bieu 51_'!D69</f>
        <v>18680</v>
      </c>
      <c r="D70" s="207">
        <f>D71+D72+D73+D74</f>
        <v>18680</v>
      </c>
      <c r="E70" s="207">
        <f t="shared" si="15"/>
        <v>0</v>
      </c>
      <c r="F70" s="207">
        <f>F71+F72+F73+F74</f>
        <v>7819.8088029999999</v>
      </c>
      <c r="G70" s="207">
        <f t="shared" ref="G70:H70" si="17">G71+G72+G73+G74</f>
        <v>7819.8088029999999</v>
      </c>
      <c r="H70" s="207">
        <f t="shared" si="17"/>
        <v>0</v>
      </c>
      <c r="I70" s="208">
        <f t="shared" si="4"/>
        <v>41.861931493576016</v>
      </c>
      <c r="J70" s="208">
        <f t="shared" si="5"/>
        <v>41.861931493576016</v>
      </c>
      <c r="K70" s="208">
        <f t="shared" si="6"/>
        <v>0</v>
      </c>
      <c r="L70" s="551"/>
      <c r="M70" s="162"/>
    </row>
    <row r="71" spans="1:13" ht="38.25" outlineLevel="1">
      <c r="A71" s="243" t="s">
        <v>851</v>
      </c>
      <c r="B71" s="244" t="s">
        <v>967</v>
      </c>
      <c r="C71" s="204">
        <f>'Bieu 51_'!D70</f>
        <v>11500</v>
      </c>
      <c r="D71" s="204">
        <v>11500</v>
      </c>
      <c r="E71" s="204">
        <f>C71-D71</f>
        <v>0</v>
      </c>
      <c r="F71" s="343">
        <f>G71+H71</f>
        <v>5376.8008030000001</v>
      </c>
      <c r="G71" s="343">
        <v>5376.8008030000001</v>
      </c>
      <c r="H71" s="343"/>
      <c r="I71" s="242">
        <f t="shared" si="4"/>
        <v>46.754789591304345</v>
      </c>
      <c r="J71" s="242">
        <f t="shared" si="5"/>
        <v>46.754789591304345</v>
      </c>
      <c r="K71" s="242">
        <f t="shared" si="6"/>
        <v>0</v>
      </c>
      <c r="L71" s="551"/>
      <c r="M71" s="162"/>
    </row>
    <row r="72" spans="1:13" ht="51" outlineLevel="1">
      <c r="A72" s="243" t="s">
        <v>851</v>
      </c>
      <c r="B72" s="244" t="s">
        <v>852</v>
      </c>
      <c r="C72" s="204">
        <f>'Bieu 51_'!D71</f>
        <v>4683</v>
      </c>
      <c r="D72" s="204">
        <v>4683</v>
      </c>
      <c r="E72" s="204">
        <f t="shared" ref="E72:E74" si="18">C72-D72</f>
        <v>0</v>
      </c>
      <c r="F72" s="343">
        <f t="shared" ref="F72" si="19">G72+H72</f>
        <v>2443.0079999999998</v>
      </c>
      <c r="G72" s="343">
        <v>2443.0079999999998</v>
      </c>
      <c r="H72" s="343"/>
      <c r="I72" s="242">
        <f t="shared" si="4"/>
        <v>52.167584881486221</v>
      </c>
      <c r="J72" s="242">
        <f t="shared" si="5"/>
        <v>52.167584881486221</v>
      </c>
      <c r="K72" s="242">
        <f t="shared" si="6"/>
        <v>0</v>
      </c>
      <c r="L72" s="551"/>
      <c r="M72" s="162"/>
    </row>
    <row r="73" spans="1:13" ht="51" outlineLevel="1">
      <c r="A73" s="243" t="s">
        <v>851</v>
      </c>
      <c r="B73" s="244" t="s">
        <v>853</v>
      </c>
      <c r="C73" s="204">
        <f>'Bieu 51_'!D72</f>
        <v>1829</v>
      </c>
      <c r="D73" s="204">
        <v>1829</v>
      </c>
      <c r="E73" s="204">
        <f t="shared" si="18"/>
        <v>0</v>
      </c>
      <c r="F73" s="204">
        <f t="shared" ref="F73:F77" si="20">G73+H73</f>
        <v>0</v>
      </c>
      <c r="G73" s="204"/>
      <c r="H73" s="204"/>
      <c r="I73" s="242">
        <f t="shared" si="4"/>
        <v>0</v>
      </c>
      <c r="J73" s="242">
        <f t="shared" si="5"/>
        <v>0</v>
      </c>
      <c r="K73" s="242">
        <f t="shared" si="6"/>
        <v>0</v>
      </c>
      <c r="L73" s="551"/>
      <c r="M73" s="162"/>
    </row>
    <row r="74" spans="1:13" outlineLevel="1">
      <c r="A74" s="243" t="s">
        <v>851</v>
      </c>
      <c r="B74" s="244" t="s">
        <v>968</v>
      </c>
      <c r="C74" s="204">
        <f>'Bieu 51_'!D73</f>
        <v>668</v>
      </c>
      <c r="D74" s="204">
        <v>668</v>
      </c>
      <c r="E74" s="204">
        <f t="shared" si="18"/>
        <v>0</v>
      </c>
      <c r="F74" s="204">
        <f t="shared" si="20"/>
        <v>0</v>
      </c>
      <c r="G74" s="204"/>
      <c r="H74" s="204"/>
      <c r="I74" s="242">
        <f t="shared" si="4"/>
        <v>0</v>
      </c>
      <c r="J74" s="242">
        <f t="shared" si="5"/>
        <v>0</v>
      </c>
      <c r="K74" s="242">
        <f t="shared" si="6"/>
        <v>0</v>
      </c>
      <c r="L74" s="551"/>
      <c r="M74" s="162"/>
    </row>
    <row r="75" spans="1:13" s="160" customFormat="1" outlineLevel="1">
      <c r="A75" s="205" t="s">
        <v>33</v>
      </c>
      <c r="B75" s="206" t="s">
        <v>174</v>
      </c>
      <c r="C75" s="207">
        <f>'Bieu 51_'!D74</f>
        <v>187672</v>
      </c>
      <c r="D75" s="207">
        <f>D76+D77+D78+D81+D85+D88+D89+D90+D95+D100+D101+D102+D103+D104+D105</f>
        <v>124102</v>
      </c>
      <c r="E75" s="207">
        <f>E76+E77+E78+E81+E85+E88+E89+E90+E95+E100+E101+E102+E103+E104+E105</f>
        <v>63570</v>
      </c>
      <c r="F75" s="344">
        <f t="shared" ref="F75:H75" si="21">F76+F77+F78+F81+F85+F88+F89+F90+F95+F100+F101+F102+F103+F104+F105</f>
        <v>185196.43894899997</v>
      </c>
      <c r="G75" s="344">
        <f t="shared" si="21"/>
        <v>122399.63244900001</v>
      </c>
      <c r="H75" s="344">
        <f t="shared" si="21"/>
        <v>62796.806499999992</v>
      </c>
      <c r="I75" s="208">
        <f t="shared" si="4"/>
        <v>98.680910817276938</v>
      </c>
      <c r="J75" s="208">
        <f t="shared" si="5"/>
        <v>98.62825131665889</v>
      </c>
      <c r="K75" s="208">
        <f t="shared" si="6"/>
        <v>98.783713229510766</v>
      </c>
      <c r="L75" s="551"/>
      <c r="M75" s="162"/>
    </row>
    <row r="76" spans="1:13" outlineLevel="1">
      <c r="A76" s="243">
        <v>1</v>
      </c>
      <c r="B76" s="244" t="s">
        <v>969</v>
      </c>
      <c r="C76" s="204">
        <f>'Bieu 51_'!D75</f>
        <v>23602</v>
      </c>
      <c r="D76" s="204">
        <v>2479</v>
      </c>
      <c r="E76" s="204">
        <f t="shared" ref="E76:E77" si="22">C76-D76</f>
        <v>21123</v>
      </c>
      <c r="F76" s="343">
        <f t="shared" si="20"/>
        <v>23411.965499999998</v>
      </c>
      <c r="G76" s="343">
        <v>2479</v>
      </c>
      <c r="H76" s="343">
        <v>20932.965499999998</v>
      </c>
      <c r="I76" s="242">
        <f t="shared" si="4"/>
        <v>99.194837301923556</v>
      </c>
      <c r="J76" s="242">
        <f t="shared" si="5"/>
        <v>100</v>
      </c>
      <c r="K76" s="242">
        <f t="shared" si="6"/>
        <v>99.100343227761201</v>
      </c>
      <c r="L76" s="551"/>
      <c r="M76" s="162"/>
    </row>
    <row r="77" spans="1:13" ht="25.5" outlineLevel="1">
      <c r="A77" s="243">
        <v>2</v>
      </c>
      <c r="B77" s="244" t="s">
        <v>970</v>
      </c>
      <c r="C77" s="204">
        <f>'Bieu 51_'!D76</f>
        <v>17849</v>
      </c>
      <c r="D77" s="204">
        <v>0</v>
      </c>
      <c r="E77" s="204">
        <f t="shared" si="22"/>
        <v>17849</v>
      </c>
      <c r="F77" s="343">
        <f t="shared" si="20"/>
        <v>17849</v>
      </c>
      <c r="G77" s="343"/>
      <c r="H77" s="343">
        <v>17849</v>
      </c>
      <c r="I77" s="242">
        <f t="shared" ref="I77" si="23">IF(C77=0,0,F77/C77*100)</f>
        <v>100</v>
      </c>
      <c r="J77" s="242">
        <f t="shared" ref="J77" si="24">IF(D77=0,0,G77/D77*100)</f>
        <v>0</v>
      </c>
      <c r="K77" s="242">
        <f t="shared" ref="K77" si="25">IF(E77=0,0,H77/E77*100)</f>
        <v>100</v>
      </c>
      <c r="L77" s="551"/>
      <c r="M77" s="162"/>
    </row>
    <row r="78" spans="1:13" ht="51" outlineLevel="1">
      <c r="A78" s="243">
        <v>3</v>
      </c>
      <c r="B78" s="244" t="s">
        <v>971</v>
      </c>
      <c r="C78" s="204">
        <f>'Bieu 51_'!D77</f>
        <v>3167</v>
      </c>
      <c r="D78" s="204">
        <v>654</v>
      </c>
      <c r="E78" s="204">
        <f>C78-D78</f>
        <v>2513</v>
      </c>
      <c r="F78" s="343">
        <f>F79+F80</f>
        <v>3154.261</v>
      </c>
      <c r="G78" s="343">
        <f t="shared" ref="G78:H78" si="26">G79+G80</f>
        <v>654</v>
      </c>
      <c r="H78" s="343">
        <f t="shared" si="26"/>
        <v>2500.261</v>
      </c>
      <c r="I78" s="242">
        <f t="shared" si="4"/>
        <v>99.597758130723079</v>
      </c>
      <c r="J78" s="242">
        <f t="shared" si="5"/>
        <v>100</v>
      </c>
      <c r="K78" s="242">
        <f t="shared" si="6"/>
        <v>99.493076004775176</v>
      </c>
      <c r="L78" s="551"/>
      <c r="M78" s="162"/>
    </row>
    <row r="79" spans="1:13" ht="38.25" outlineLevel="1">
      <c r="A79" s="243" t="s">
        <v>202</v>
      </c>
      <c r="B79" s="244" t="s">
        <v>972</v>
      </c>
      <c r="C79" s="204">
        <f>'Bieu 51_'!D78</f>
        <v>1355</v>
      </c>
      <c r="D79" s="204"/>
      <c r="E79" s="204">
        <f t="shared" ref="E79:E105" si="27">C79-D79</f>
        <v>1355</v>
      </c>
      <c r="F79" s="343">
        <f t="shared" ref="F79:F80" si="28">G79+H79</f>
        <v>1355</v>
      </c>
      <c r="G79" s="343"/>
      <c r="H79" s="343">
        <v>1355</v>
      </c>
      <c r="I79" s="242">
        <f t="shared" si="4"/>
        <v>100</v>
      </c>
      <c r="J79" s="242">
        <f t="shared" si="5"/>
        <v>0</v>
      </c>
      <c r="K79" s="242">
        <f t="shared" si="6"/>
        <v>100</v>
      </c>
      <c r="L79" s="551"/>
      <c r="M79" s="162"/>
    </row>
    <row r="80" spans="1:13" ht="38.25" outlineLevel="1">
      <c r="A80" s="243" t="s">
        <v>201</v>
      </c>
      <c r="B80" s="244" t="s">
        <v>973</v>
      </c>
      <c r="C80" s="204">
        <f>'Bieu 51_'!D79</f>
        <v>1812</v>
      </c>
      <c r="D80" s="204">
        <v>654</v>
      </c>
      <c r="E80" s="204">
        <f t="shared" si="27"/>
        <v>1158</v>
      </c>
      <c r="F80" s="343">
        <f t="shared" si="28"/>
        <v>1799.261</v>
      </c>
      <c r="G80" s="343">
        <v>654</v>
      </c>
      <c r="H80" s="343">
        <v>1145.261</v>
      </c>
      <c r="I80" s="242">
        <f t="shared" si="4"/>
        <v>99.29696467991171</v>
      </c>
      <c r="J80" s="242">
        <f t="shared" si="5"/>
        <v>100</v>
      </c>
      <c r="K80" s="242">
        <f t="shared" si="6"/>
        <v>98.899913644214152</v>
      </c>
      <c r="L80" s="551"/>
      <c r="M80" s="162"/>
    </row>
    <row r="81" spans="1:13" ht="76.5" outlineLevel="1">
      <c r="A81" s="243">
        <v>4</v>
      </c>
      <c r="B81" s="244" t="s">
        <v>216</v>
      </c>
      <c r="C81" s="204">
        <f>'Bieu 51_'!D80</f>
        <v>7714</v>
      </c>
      <c r="D81" s="204">
        <f>D82+D83+D84</f>
        <v>6637</v>
      </c>
      <c r="E81" s="204">
        <f t="shared" si="27"/>
        <v>1077</v>
      </c>
      <c r="F81" s="343">
        <f>SUM(F82:F84)</f>
        <v>7714</v>
      </c>
      <c r="G81" s="343">
        <f t="shared" ref="G81:H81" si="29">SUM(G82:G84)</f>
        <v>6637</v>
      </c>
      <c r="H81" s="343">
        <f t="shared" si="29"/>
        <v>1077</v>
      </c>
      <c r="I81" s="242">
        <f t="shared" si="4"/>
        <v>100</v>
      </c>
      <c r="J81" s="242">
        <f t="shared" si="5"/>
        <v>100</v>
      </c>
      <c r="K81" s="242">
        <f t="shared" si="6"/>
        <v>100</v>
      </c>
      <c r="L81" s="551"/>
      <c r="M81" s="162"/>
    </row>
    <row r="82" spans="1:13" outlineLevel="1">
      <c r="A82" s="243" t="s">
        <v>203</v>
      </c>
      <c r="B82" s="244" t="s">
        <v>220</v>
      </c>
      <c r="C82" s="204">
        <f>'Bieu 51_'!D81</f>
        <v>3868</v>
      </c>
      <c r="D82" s="204">
        <v>3868</v>
      </c>
      <c r="E82" s="204">
        <f t="shared" si="27"/>
        <v>0</v>
      </c>
      <c r="F82" s="343">
        <f t="shared" ref="F82:F84" si="30">G82+H82</f>
        <v>3868</v>
      </c>
      <c r="G82" s="343">
        <v>3868</v>
      </c>
      <c r="H82" s="343"/>
      <c r="I82" s="208">
        <f t="shared" si="4"/>
        <v>100</v>
      </c>
      <c r="J82" s="208">
        <f t="shared" si="5"/>
        <v>100</v>
      </c>
      <c r="K82" s="208">
        <f t="shared" si="6"/>
        <v>0</v>
      </c>
      <c r="L82" s="551"/>
      <c r="M82" s="162"/>
    </row>
    <row r="83" spans="1:13" ht="25.5" outlineLevel="1">
      <c r="A83" s="243" t="s">
        <v>204</v>
      </c>
      <c r="B83" s="244" t="s">
        <v>221</v>
      </c>
      <c r="C83" s="204">
        <f>'Bieu 51_'!D82</f>
        <v>1077</v>
      </c>
      <c r="D83" s="204"/>
      <c r="E83" s="204">
        <f t="shared" si="27"/>
        <v>1077</v>
      </c>
      <c r="F83" s="343">
        <f t="shared" si="30"/>
        <v>1077</v>
      </c>
      <c r="G83" s="343"/>
      <c r="H83" s="343">
        <v>1077</v>
      </c>
      <c r="I83" s="242">
        <f t="shared" si="4"/>
        <v>100</v>
      </c>
      <c r="J83" s="242">
        <f t="shared" si="5"/>
        <v>0</v>
      </c>
      <c r="K83" s="242">
        <f t="shared" si="6"/>
        <v>100</v>
      </c>
      <c r="L83" s="551"/>
      <c r="M83" s="162"/>
    </row>
    <row r="84" spans="1:13" ht="25.5" outlineLevel="1">
      <c r="A84" s="243" t="s">
        <v>205</v>
      </c>
      <c r="B84" s="244" t="s">
        <v>222</v>
      </c>
      <c r="C84" s="204">
        <f>'Bieu 51_'!D83</f>
        <v>2769</v>
      </c>
      <c r="D84" s="204">
        <v>2769</v>
      </c>
      <c r="E84" s="204">
        <f t="shared" si="27"/>
        <v>0</v>
      </c>
      <c r="F84" s="343">
        <f t="shared" si="30"/>
        <v>2769</v>
      </c>
      <c r="G84" s="343">
        <v>2769</v>
      </c>
      <c r="H84" s="343">
        <f t="shared" ref="H84" si="31">H85+H86+H87</f>
        <v>0</v>
      </c>
      <c r="I84" s="242">
        <f t="shared" si="4"/>
        <v>100</v>
      </c>
      <c r="J84" s="242">
        <f t="shared" si="5"/>
        <v>100</v>
      </c>
      <c r="K84" s="242">
        <f t="shared" si="6"/>
        <v>0</v>
      </c>
      <c r="L84" s="551"/>
      <c r="M84" s="162"/>
    </row>
    <row r="85" spans="1:13" ht="38.25" outlineLevel="1">
      <c r="A85" s="243">
        <v>5</v>
      </c>
      <c r="B85" s="244" t="s">
        <v>974</v>
      </c>
      <c r="C85" s="204">
        <f>'Bieu 51_'!D84</f>
        <v>1484</v>
      </c>
      <c r="D85" s="204">
        <f>D86+D87</f>
        <v>1484</v>
      </c>
      <c r="E85" s="204">
        <f t="shared" si="27"/>
        <v>0</v>
      </c>
      <c r="F85" s="343">
        <f>F86+F87</f>
        <v>496</v>
      </c>
      <c r="G85" s="343">
        <f t="shared" ref="G85:H85" si="32">G86+G87</f>
        <v>496</v>
      </c>
      <c r="H85" s="343">
        <f t="shared" si="32"/>
        <v>0</v>
      </c>
      <c r="I85" s="242">
        <f t="shared" si="4"/>
        <v>33.423180592991912</v>
      </c>
      <c r="J85" s="242">
        <f t="shared" si="5"/>
        <v>33.423180592991912</v>
      </c>
      <c r="K85" s="242">
        <f t="shared" si="6"/>
        <v>0</v>
      </c>
      <c r="L85" s="551"/>
      <c r="M85" s="162"/>
    </row>
    <row r="86" spans="1:13" outlineLevel="1">
      <c r="A86" s="243" t="s">
        <v>217</v>
      </c>
      <c r="B86" s="244" t="s">
        <v>226</v>
      </c>
      <c r="C86" s="204">
        <f>'Bieu 51_'!D85</f>
        <v>1288</v>
      </c>
      <c r="D86" s="204">
        <v>1288</v>
      </c>
      <c r="E86" s="204">
        <f t="shared" si="27"/>
        <v>0</v>
      </c>
      <c r="F86" s="343">
        <f t="shared" ref="F86:F89" si="33">G86+H86</f>
        <v>300</v>
      </c>
      <c r="G86" s="343">
        <v>300</v>
      </c>
      <c r="H86" s="343"/>
      <c r="I86" s="242">
        <f t="shared" si="4"/>
        <v>23.29192546583851</v>
      </c>
      <c r="J86" s="242">
        <f t="shared" si="5"/>
        <v>23.29192546583851</v>
      </c>
      <c r="K86" s="242">
        <f t="shared" si="6"/>
        <v>0</v>
      </c>
      <c r="L86" s="551"/>
      <c r="M86" s="162"/>
    </row>
    <row r="87" spans="1:13" ht="25.5" outlineLevel="1">
      <c r="A87" s="243" t="s">
        <v>218</v>
      </c>
      <c r="B87" s="244" t="s">
        <v>227</v>
      </c>
      <c r="C87" s="204">
        <f>'Bieu 51_'!D86</f>
        <v>196</v>
      </c>
      <c r="D87" s="204">
        <v>196</v>
      </c>
      <c r="E87" s="204">
        <f t="shared" si="27"/>
        <v>0</v>
      </c>
      <c r="F87" s="343">
        <f t="shared" si="33"/>
        <v>196</v>
      </c>
      <c r="G87" s="343">
        <v>196</v>
      </c>
      <c r="H87" s="343"/>
      <c r="I87" s="242">
        <f t="shared" si="4"/>
        <v>100</v>
      </c>
      <c r="J87" s="242">
        <f t="shared" si="5"/>
        <v>100</v>
      </c>
      <c r="K87" s="242">
        <f t="shared" si="6"/>
        <v>0</v>
      </c>
      <c r="L87" s="551"/>
      <c r="M87" s="162"/>
    </row>
    <row r="88" spans="1:13" ht="38.25" outlineLevel="1">
      <c r="A88" s="243">
        <v>6</v>
      </c>
      <c r="B88" s="244" t="s">
        <v>228</v>
      </c>
      <c r="C88" s="204">
        <f>'Bieu 51_'!D87</f>
        <v>29575</v>
      </c>
      <c r="D88" s="204">
        <v>29575</v>
      </c>
      <c r="E88" s="204">
        <f t="shared" si="27"/>
        <v>0</v>
      </c>
      <c r="F88" s="343">
        <f t="shared" si="33"/>
        <v>29575</v>
      </c>
      <c r="G88" s="343">
        <v>29575</v>
      </c>
      <c r="H88" s="343"/>
      <c r="I88" s="242">
        <f t="shared" si="4"/>
        <v>100</v>
      </c>
      <c r="J88" s="242">
        <f t="shared" si="5"/>
        <v>100</v>
      </c>
      <c r="K88" s="242">
        <f t="shared" si="6"/>
        <v>0</v>
      </c>
      <c r="L88" s="551"/>
      <c r="M88" s="162"/>
    </row>
    <row r="89" spans="1:13" ht="25.5" outlineLevel="1">
      <c r="A89" s="243">
        <v>7</v>
      </c>
      <c r="B89" s="244" t="s">
        <v>229</v>
      </c>
      <c r="C89" s="204">
        <f>'Bieu 51_'!D88</f>
        <v>6381</v>
      </c>
      <c r="D89" s="204">
        <v>6381</v>
      </c>
      <c r="E89" s="204">
        <f t="shared" si="27"/>
        <v>0</v>
      </c>
      <c r="F89" s="343">
        <f t="shared" si="33"/>
        <v>6381</v>
      </c>
      <c r="G89" s="343">
        <v>6381</v>
      </c>
      <c r="H89" s="343"/>
      <c r="I89" s="242">
        <f t="shared" si="4"/>
        <v>100</v>
      </c>
      <c r="J89" s="242">
        <f t="shared" si="5"/>
        <v>100</v>
      </c>
      <c r="K89" s="242">
        <f t="shared" si="6"/>
        <v>0</v>
      </c>
      <c r="L89" s="551"/>
      <c r="M89" s="162"/>
    </row>
    <row r="90" spans="1:13" ht="25.5" outlineLevel="1">
      <c r="A90" s="243">
        <v>8</v>
      </c>
      <c r="B90" s="244" t="s">
        <v>230</v>
      </c>
      <c r="C90" s="204">
        <f>'Bieu 51_'!D89</f>
        <v>4155</v>
      </c>
      <c r="D90" s="204">
        <f>D91+D92+D93+D94</f>
        <v>2156</v>
      </c>
      <c r="E90" s="204">
        <f t="shared" si="27"/>
        <v>1999</v>
      </c>
      <c r="F90" s="343">
        <f>SUM(F91:F94)</f>
        <v>4071.29</v>
      </c>
      <c r="G90" s="343">
        <f t="shared" ref="G90:H90" si="34">SUM(G91:G94)</f>
        <v>2151.8000000000002</v>
      </c>
      <c r="H90" s="343">
        <f t="shared" si="34"/>
        <v>1919.49</v>
      </c>
      <c r="I90" s="242">
        <f t="shared" si="4"/>
        <v>97.985318892900125</v>
      </c>
      <c r="J90" s="242">
        <f t="shared" si="5"/>
        <v>99.805194805194816</v>
      </c>
      <c r="K90" s="242">
        <f t="shared" si="6"/>
        <v>96.022511255627819</v>
      </c>
      <c r="L90" s="551"/>
      <c r="M90" s="162"/>
    </row>
    <row r="91" spans="1:13" ht="25.5" outlineLevel="1">
      <c r="A91" s="252" t="s">
        <v>30</v>
      </c>
      <c r="B91" s="244" t="s">
        <v>231</v>
      </c>
      <c r="C91" s="204">
        <f>'Bieu 51_'!D90</f>
        <v>1020</v>
      </c>
      <c r="D91" s="204">
        <v>0</v>
      </c>
      <c r="E91" s="204">
        <f t="shared" si="27"/>
        <v>1020</v>
      </c>
      <c r="F91" s="343">
        <f t="shared" ref="F91:F94" si="35">G91+H91</f>
        <v>1015</v>
      </c>
      <c r="G91" s="343"/>
      <c r="H91" s="343">
        <v>1015</v>
      </c>
      <c r="I91" s="242">
        <f t="shared" si="4"/>
        <v>99.509803921568633</v>
      </c>
      <c r="J91" s="242">
        <f t="shared" si="5"/>
        <v>0</v>
      </c>
      <c r="K91" s="242">
        <f t="shared" si="6"/>
        <v>99.509803921568633</v>
      </c>
      <c r="L91" s="551"/>
      <c r="M91" s="162"/>
    </row>
    <row r="92" spans="1:13" ht="25.5" outlineLevel="1">
      <c r="A92" s="252" t="s">
        <v>30</v>
      </c>
      <c r="B92" s="244" t="s">
        <v>232</v>
      </c>
      <c r="C92" s="204">
        <f>'Bieu 51_'!D91</f>
        <v>1110</v>
      </c>
      <c r="D92" s="204">
        <v>131</v>
      </c>
      <c r="E92" s="204">
        <f t="shared" si="27"/>
        <v>979</v>
      </c>
      <c r="F92" s="343">
        <f t="shared" si="35"/>
        <v>1031.29</v>
      </c>
      <c r="G92" s="343">
        <v>126.8</v>
      </c>
      <c r="H92" s="343">
        <v>904.49</v>
      </c>
      <c r="I92" s="242">
        <f t="shared" si="4"/>
        <v>92.909009009008997</v>
      </c>
      <c r="J92" s="242">
        <f t="shared" si="5"/>
        <v>96.793893129770993</v>
      </c>
      <c r="K92" s="242">
        <f t="shared" si="6"/>
        <v>92.389172625127685</v>
      </c>
      <c r="L92" s="551"/>
      <c r="M92" s="162"/>
    </row>
    <row r="93" spans="1:13" ht="38.25" outlineLevel="1">
      <c r="A93" s="252" t="s">
        <v>30</v>
      </c>
      <c r="B93" s="244" t="s">
        <v>233</v>
      </c>
      <c r="C93" s="204">
        <f>'Bieu 51_'!D92</f>
        <v>726</v>
      </c>
      <c r="D93" s="204">
        <v>726</v>
      </c>
      <c r="E93" s="204">
        <f t="shared" si="27"/>
        <v>0</v>
      </c>
      <c r="F93" s="343">
        <f t="shared" si="35"/>
        <v>726</v>
      </c>
      <c r="G93" s="343">
        <v>726</v>
      </c>
      <c r="H93" s="343"/>
      <c r="I93" s="242">
        <f t="shared" si="4"/>
        <v>100</v>
      </c>
      <c r="J93" s="242">
        <f t="shared" si="5"/>
        <v>100</v>
      </c>
      <c r="K93" s="242">
        <f t="shared" si="6"/>
        <v>0</v>
      </c>
      <c r="L93" s="551"/>
      <c r="M93" s="162"/>
    </row>
    <row r="94" spans="1:13" ht="38.25" outlineLevel="1">
      <c r="A94" s="252" t="s">
        <v>30</v>
      </c>
      <c r="B94" s="244" t="s">
        <v>234</v>
      </c>
      <c r="C94" s="204">
        <f>'Bieu 51_'!D93</f>
        <v>1299</v>
      </c>
      <c r="D94" s="204">
        <v>1299</v>
      </c>
      <c r="E94" s="204">
        <f t="shared" si="27"/>
        <v>0</v>
      </c>
      <c r="F94" s="343">
        <f t="shared" si="35"/>
        <v>1299</v>
      </c>
      <c r="G94" s="343">
        <v>1299</v>
      </c>
      <c r="H94" s="343"/>
      <c r="I94" s="242">
        <f t="shared" si="4"/>
        <v>100</v>
      </c>
      <c r="J94" s="242">
        <f t="shared" si="5"/>
        <v>100</v>
      </c>
      <c r="K94" s="242">
        <f t="shared" si="6"/>
        <v>0</v>
      </c>
      <c r="L94" s="551"/>
      <c r="M94" s="162"/>
    </row>
    <row r="95" spans="1:13" ht="89.25" outlineLevel="1">
      <c r="A95" s="252">
        <v>9</v>
      </c>
      <c r="B95" s="253" t="s">
        <v>235</v>
      </c>
      <c r="C95" s="204">
        <f>'Bieu 51_'!D94</f>
        <v>28593</v>
      </c>
      <c r="D95" s="204">
        <f>D96+D97+D98+D99</f>
        <v>11109</v>
      </c>
      <c r="E95" s="204">
        <f t="shared" si="27"/>
        <v>17484</v>
      </c>
      <c r="F95" s="343">
        <f>SUM(F96:F99)</f>
        <v>28830.422448999998</v>
      </c>
      <c r="G95" s="343">
        <f t="shared" ref="G95:H95" si="36">SUM(G96:G99)</f>
        <v>11820.532449</v>
      </c>
      <c r="H95" s="343">
        <f t="shared" si="36"/>
        <v>17009.89</v>
      </c>
      <c r="I95" s="242">
        <f t="shared" si="4"/>
        <v>100.83035165599972</v>
      </c>
      <c r="J95" s="242">
        <f t="shared" si="5"/>
        <v>106.40500899270862</v>
      </c>
      <c r="K95" s="242">
        <f t="shared" si="6"/>
        <v>97.288320750400359</v>
      </c>
      <c r="L95" s="551"/>
      <c r="M95" s="162"/>
    </row>
    <row r="96" spans="1:13" ht="25.5" outlineLevel="1">
      <c r="A96" s="243" t="s">
        <v>384</v>
      </c>
      <c r="B96" s="244" t="s">
        <v>236</v>
      </c>
      <c r="C96" s="204">
        <f>'Bieu 51_'!D95</f>
        <v>10777</v>
      </c>
      <c r="D96" s="204">
        <v>940</v>
      </c>
      <c r="E96" s="204">
        <f t="shared" si="27"/>
        <v>9837</v>
      </c>
      <c r="F96" s="343">
        <f t="shared" ref="F96:F105" si="37">G96+H96</f>
        <v>10737</v>
      </c>
      <c r="G96" s="343">
        <v>900</v>
      </c>
      <c r="H96" s="343">
        <v>9837</v>
      </c>
      <c r="I96" s="242">
        <f t="shared" si="4"/>
        <v>99.628839194581047</v>
      </c>
      <c r="J96" s="242">
        <f t="shared" si="5"/>
        <v>95.744680851063833</v>
      </c>
      <c r="K96" s="242">
        <f t="shared" si="6"/>
        <v>100</v>
      </c>
      <c r="L96" s="551"/>
      <c r="M96" s="162"/>
    </row>
    <row r="97" spans="1:13" ht="25.5" outlineLevel="1">
      <c r="A97" s="243" t="s">
        <v>385</v>
      </c>
      <c r="B97" s="244" t="s">
        <v>237</v>
      </c>
      <c r="C97" s="204">
        <f>'Bieu 51_'!D96</f>
        <v>6815</v>
      </c>
      <c r="D97" s="204">
        <v>0</v>
      </c>
      <c r="E97" s="204">
        <f t="shared" si="27"/>
        <v>6815</v>
      </c>
      <c r="F97" s="343">
        <f t="shared" si="37"/>
        <v>6400.39</v>
      </c>
      <c r="G97" s="343"/>
      <c r="H97" s="343">
        <v>6400.39</v>
      </c>
      <c r="I97" s="242">
        <f t="shared" si="4"/>
        <v>93.916214233308878</v>
      </c>
      <c r="J97" s="242">
        <f t="shared" si="5"/>
        <v>0</v>
      </c>
      <c r="K97" s="242">
        <f t="shared" si="6"/>
        <v>93.916214233308878</v>
      </c>
      <c r="L97" s="551"/>
      <c r="M97" s="162"/>
    </row>
    <row r="98" spans="1:13" ht="25.5" outlineLevel="1">
      <c r="A98" s="243" t="s">
        <v>386</v>
      </c>
      <c r="B98" s="244" t="s">
        <v>238</v>
      </c>
      <c r="C98" s="204">
        <f>'Bieu 51_'!D97</f>
        <v>1261</v>
      </c>
      <c r="D98" s="204">
        <v>429</v>
      </c>
      <c r="E98" s="204">
        <f t="shared" si="27"/>
        <v>832</v>
      </c>
      <c r="F98" s="343">
        <f t="shared" si="37"/>
        <v>1231.5</v>
      </c>
      <c r="G98" s="343">
        <v>459</v>
      </c>
      <c r="H98" s="343">
        <v>772.5</v>
      </c>
      <c r="I98" s="242">
        <f t="shared" si="4"/>
        <v>97.660586835844569</v>
      </c>
      <c r="J98" s="242">
        <f t="shared" si="5"/>
        <v>106.993006993007</v>
      </c>
      <c r="K98" s="242">
        <f t="shared" si="6"/>
        <v>92.848557692307693</v>
      </c>
      <c r="L98" s="551"/>
      <c r="M98" s="162"/>
    </row>
    <row r="99" spans="1:13" ht="25.5" outlineLevel="1">
      <c r="A99" s="243" t="s">
        <v>977</v>
      </c>
      <c r="B99" s="244" t="s">
        <v>239</v>
      </c>
      <c r="C99" s="204">
        <f>'Bieu 51_'!D98</f>
        <v>9740</v>
      </c>
      <c r="D99" s="204">
        <v>9740</v>
      </c>
      <c r="E99" s="204">
        <f t="shared" si="27"/>
        <v>0</v>
      </c>
      <c r="F99" s="343">
        <f t="shared" si="37"/>
        <v>10461.532449</v>
      </c>
      <c r="G99" s="343">
        <v>10461.532449</v>
      </c>
      <c r="H99" s="343"/>
      <c r="I99" s="242">
        <f t="shared" si="4"/>
        <v>107.40793068788501</v>
      </c>
      <c r="J99" s="242">
        <f t="shared" si="5"/>
        <v>107.40793068788501</v>
      </c>
      <c r="K99" s="242">
        <f t="shared" si="6"/>
        <v>0</v>
      </c>
      <c r="L99" s="551"/>
      <c r="M99" s="162"/>
    </row>
    <row r="100" spans="1:13" ht="25.5" outlineLevel="1">
      <c r="A100" s="252">
        <v>10</v>
      </c>
      <c r="B100" s="244" t="s">
        <v>975</v>
      </c>
      <c r="C100" s="204">
        <f>'Bieu 51_'!D99</f>
        <v>5711</v>
      </c>
      <c r="D100" s="204">
        <v>5144</v>
      </c>
      <c r="E100" s="204">
        <f t="shared" si="27"/>
        <v>567</v>
      </c>
      <c r="F100" s="343">
        <f t="shared" si="37"/>
        <v>5747</v>
      </c>
      <c r="G100" s="343">
        <v>5144</v>
      </c>
      <c r="H100" s="343">
        <v>603</v>
      </c>
      <c r="I100" s="242">
        <f t="shared" si="4"/>
        <v>100.63036245841359</v>
      </c>
      <c r="J100" s="242">
        <f t="shared" si="5"/>
        <v>100</v>
      </c>
      <c r="K100" s="242">
        <f t="shared" si="6"/>
        <v>106.34920634920636</v>
      </c>
      <c r="L100" s="551"/>
      <c r="M100" s="162"/>
    </row>
    <row r="101" spans="1:13" ht="25.5" outlineLevel="1">
      <c r="A101" s="252">
        <v>11</v>
      </c>
      <c r="B101" s="244" t="s">
        <v>928</v>
      </c>
      <c r="C101" s="204">
        <f>'Bieu 51_'!D100</f>
        <v>9580</v>
      </c>
      <c r="D101" s="204">
        <v>8622</v>
      </c>
      <c r="E101" s="204">
        <f t="shared" si="27"/>
        <v>958</v>
      </c>
      <c r="F101" s="343">
        <f t="shared" si="37"/>
        <v>9030.2000000000007</v>
      </c>
      <c r="G101" s="343">
        <v>8125</v>
      </c>
      <c r="H101" s="343">
        <v>905.2</v>
      </c>
      <c r="I101" s="242">
        <f t="shared" si="4"/>
        <v>94.260960334029235</v>
      </c>
      <c r="J101" s="242">
        <f t="shared" si="5"/>
        <v>94.235676177221066</v>
      </c>
      <c r="K101" s="242">
        <f t="shared" si="6"/>
        <v>94.488517745302715</v>
      </c>
      <c r="L101" s="551"/>
      <c r="M101" s="162"/>
    </row>
    <row r="102" spans="1:13" ht="25.5" outlineLevel="1">
      <c r="A102" s="252">
        <v>12</v>
      </c>
      <c r="B102" s="244" t="s">
        <v>240</v>
      </c>
      <c r="C102" s="204">
        <f>'Bieu 51_'!D101</f>
        <v>44194</v>
      </c>
      <c r="D102" s="204">
        <v>44194</v>
      </c>
      <c r="E102" s="204">
        <f t="shared" si="27"/>
        <v>0</v>
      </c>
      <c r="F102" s="343">
        <f t="shared" si="37"/>
        <v>43769.3</v>
      </c>
      <c r="G102" s="343">
        <v>43769.3</v>
      </c>
      <c r="H102" s="343"/>
      <c r="I102" s="242">
        <f t="shared" si="4"/>
        <v>99.039009820337611</v>
      </c>
      <c r="J102" s="242">
        <f t="shared" si="5"/>
        <v>99.039009820337611</v>
      </c>
      <c r="K102" s="242">
        <f t="shared" si="6"/>
        <v>0</v>
      </c>
      <c r="L102" s="551"/>
      <c r="M102" s="162"/>
    </row>
    <row r="103" spans="1:13" outlineLevel="1">
      <c r="A103" s="243">
        <v>13</v>
      </c>
      <c r="B103" s="244" t="s">
        <v>687</v>
      </c>
      <c r="C103" s="204">
        <f>'Bieu 51_'!D102</f>
        <v>167</v>
      </c>
      <c r="D103" s="204">
        <v>167</v>
      </c>
      <c r="E103" s="204">
        <f t="shared" si="27"/>
        <v>0</v>
      </c>
      <c r="F103" s="343">
        <f t="shared" si="37"/>
        <v>167</v>
      </c>
      <c r="G103" s="343">
        <v>167</v>
      </c>
      <c r="H103" s="343"/>
      <c r="I103" s="242">
        <f t="shared" si="4"/>
        <v>100</v>
      </c>
      <c r="J103" s="242">
        <f t="shared" si="5"/>
        <v>100</v>
      </c>
      <c r="K103" s="242">
        <f t="shared" si="6"/>
        <v>0</v>
      </c>
      <c r="L103" s="551"/>
      <c r="M103" s="162"/>
    </row>
    <row r="104" spans="1:13" ht="25.5" outlineLevel="1">
      <c r="A104" s="243">
        <v>14</v>
      </c>
      <c r="B104" s="244" t="s">
        <v>976</v>
      </c>
      <c r="C104" s="204">
        <f>'Bieu 51_'!D103</f>
        <v>500</v>
      </c>
      <c r="D104" s="204">
        <v>500</v>
      </c>
      <c r="E104" s="204">
        <f t="shared" si="27"/>
        <v>0</v>
      </c>
      <c r="F104" s="343">
        <f t="shared" si="37"/>
        <v>0</v>
      </c>
      <c r="G104" s="343">
        <v>0</v>
      </c>
      <c r="H104" s="343"/>
      <c r="I104" s="242">
        <f t="shared" si="4"/>
        <v>0</v>
      </c>
      <c r="J104" s="242">
        <f t="shared" si="5"/>
        <v>0</v>
      </c>
      <c r="K104" s="242">
        <f t="shared" si="6"/>
        <v>0</v>
      </c>
      <c r="L104" s="551"/>
      <c r="M104" s="162"/>
    </row>
    <row r="105" spans="1:13" outlineLevel="1">
      <c r="A105" s="243">
        <v>15</v>
      </c>
      <c r="B105" s="244" t="s">
        <v>686</v>
      </c>
      <c r="C105" s="204">
        <f>'Bieu 51_'!D104</f>
        <v>5000</v>
      </c>
      <c r="D105" s="204">
        <v>5000</v>
      </c>
      <c r="E105" s="204">
        <f t="shared" si="27"/>
        <v>0</v>
      </c>
      <c r="F105" s="343">
        <f t="shared" si="37"/>
        <v>5000</v>
      </c>
      <c r="G105" s="343">
        <v>5000</v>
      </c>
      <c r="H105" s="343"/>
      <c r="I105" s="242">
        <f t="shared" ref="I105:I106" si="38">IF(C105=0,0,F105/C105*100)</f>
        <v>100</v>
      </c>
      <c r="J105" s="242">
        <f t="shared" ref="J105:J106" si="39">IF(D105=0,0,G105/D105*100)</f>
        <v>100</v>
      </c>
      <c r="K105" s="242">
        <f t="shared" ref="K105:K106" si="40">IF(E105=0,0,H105/E105*100)</f>
        <v>0</v>
      </c>
      <c r="L105" s="551"/>
      <c r="M105" s="162"/>
    </row>
    <row r="106" spans="1:13">
      <c r="A106" s="205" t="s">
        <v>51</v>
      </c>
      <c r="B106" s="206" t="s">
        <v>129</v>
      </c>
      <c r="C106" s="207">
        <f>'Bieu 51_'!D105</f>
        <v>0</v>
      </c>
      <c r="D106" s="207"/>
      <c r="E106" s="207"/>
      <c r="F106" s="207">
        <f>'Bieu 51_'!E105</f>
        <v>2204821.649613</v>
      </c>
      <c r="G106" s="207">
        <v>1326874.6171550001</v>
      </c>
      <c r="H106" s="207">
        <f>819002.346371+58944.386087</f>
        <v>877946.73245800007</v>
      </c>
      <c r="I106" s="208">
        <f t="shared" si="38"/>
        <v>0</v>
      </c>
      <c r="J106" s="208">
        <f t="shared" si="39"/>
        <v>0</v>
      </c>
      <c r="K106" s="208">
        <f t="shared" si="40"/>
        <v>0</v>
      </c>
      <c r="L106" s="551"/>
      <c r="M106" s="162"/>
    </row>
    <row r="107" spans="1:13">
      <c r="A107" s="170" t="s">
        <v>52</v>
      </c>
      <c r="B107" s="171" t="s">
        <v>930</v>
      </c>
      <c r="C107" s="172">
        <f>'Bieu 51_'!D106</f>
        <v>0</v>
      </c>
      <c r="D107" s="172"/>
      <c r="E107" s="172"/>
      <c r="F107" s="172">
        <f>'Bieu 51_'!E106</f>
        <v>429889.49046399997</v>
      </c>
      <c r="G107" s="172">
        <v>331567.81606899999</v>
      </c>
      <c r="H107" s="172">
        <f>94383.255079+3938.419316</f>
        <v>98321.674394999995</v>
      </c>
      <c r="I107" s="173">
        <f t="shared" ref="I107" si="41">IF(C107=0,0,F107/C107*100)</f>
        <v>0</v>
      </c>
      <c r="J107" s="173">
        <f t="shared" ref="J107" si="42">IF(D107=0,0,G107/D107*100)</f>
        <v>0</v>
      </c>
      <c r="K107" s="173">
        <f t="shared" ref="K107" si="43">IF(E107=0,0,H107/E107*100)</f>
        <v>0</v>
      </c>
      <c r="L107" s="551"/>
      <c r="M107" s="162"/>
    </row>
    <row r="109" spans="1:13" ht="27" customHeight="1">
      <c r="A109" s="654" t="s">
        <v>887</v>
      </c>
      <c r="B109" s="654"/>
      <c r="C109" s="654"/>
      <c r="D109" s="654"/>
      <c r="E109" s="654"/>
      <c r="F109" s="654"/>
      <c r="G109" s="654"/>
      <c r="H109" s="654"/>
      <c r="I109" s="654"/>
      <c r="J109" s="654"/>
      <c r="K109" s="654"/>
    </row>
  </sheetData>
  <mergeCells count="11">
    <mergeCell ref="A109:K109"/>
    <mergeCell ref="A2:K2"/>
    <mergeCell ref="A3:K3"/>
    <mergeCell ref="A5:A6"/>
    <mergeCell ref="B5:B6"/>
    <mergeCell ref="C5:C6"/>
    <mergeCell ref="D5:E5"/>
    <mergeCell ref="F5:F6"/>
    <mergeCell ref="G5:H5"/>
    <mergeCell ref="I5:K5"/>
    <mergeCell ref="J4:K4"/>
  </mergeCells>
  <dataValidations count="2">
    <dataValidation allowBlank="1" showInputMessage="1" showErrorMessage="1" prompt="Chưa bao gồm chi chuyển giao ngân sách " sqref="F8 H8"/>
    <dataValidation allowBlank="1" showInputMessage="1" showErrorMessage="1" prompt="Chưa bao gồm chi chuyển giao ngân sách _x000a_" sqref="G8"/>
  </dataValidation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123"/>
  <sheetViews>
    <sheetView showZeros="0" tabSelected="1" zoomScale="70" zoomScaleNormal="70" zoomScaleSheetLayoutView="50" workbookViewId="0">
      <pane ySplit="10" topLeftCell="A11" activePane="bottomLeft" state="frozen"/>
      <selection activeCell="B14" sqref="B14"/>
      <selection pane="bottomLeft" activeCell="D14" sqref="D14"/>
    </sheetView>
  </sheetViews>
  <sheetFormatPr defaultRowHeight="15.75" outlineLevelCol="2"/>
  <cols>
    <col min="1" max="1" width="5.42578125" style="416" customWidth="1"/>
    <col min="2" max="2" width="45.140625" style="416" customWidth="1"/>
    <col min="3" max="3" width="15.140625" style="416" customWidth="1"/>
    <col min="4" max="4" width="16.42578125" style="416" customWidth="1" outlineLevel="1"/>
    <col min="5" max="5" width="17.140625" style="416" customWidth="1" outlineLevel="1"/>
    <col min="6" max="8" width="17.140625" style="416" hidden="1" customWidth="1" outlineLevel="2"/>
    <col min="9" max="9" width="15.85546875" style="416" customWidth="1" outlineLevel="1" collapsed="1"/>
    <col min="10" max="10" width="18.140625" style="416" customWidth="1" outlineLevel="1"/>
    <col min="11" max="11" width="11.140625" style="416" customWidth="1" outlineLevel="1"/>
    <col min="12" max="12" width="11.85546875" style="416" customWidth="1" outlineLevel="1"/>
    <col min="13" max="13" width="10.42578125" style="416" customWidth="1" outlineLevel="1"/>
    <col min="14" max="14" width="16.42578125" style="416" customWidth="1"/>
    <col min="15" max="15" width="14.140625" style="416" customWidth="1" outlineLevel="1"/>
    <col min="16" max="16" width="15.85546875" style="416" customWidth="1" outlineLevel="1"/>
    <col min="17" max="17" width="18.85546875" style="416" hidden="1" customWidth="1" outlineLevel="2"/>
    <col min="18" max="18" width="18.42578125" style="416" hidden="1" customWidth="1" outlineLevel="2"/>
    <col min="19" max="19" width="11.85546875" style="416" customWidth="1" outlineLevel="1" collapsed="1"/>
    <col min="20" max="20" width="20.7109375" style="416" customWidth="1" outlineLevel="1"/>
    <col min="21" max="21" width="15.5703125" style="416" customWidth="1" outlineLevel="1"/>
    <col min="22" max="22" width="12.5703125" style="416" customWidth="1" outlineLevel="1"/>
    <col min="23" max="23" width="11.140625" style="416" customWidth="1" outlineLevel="1"/>
    <col min="24" max="24" width="15.5703125" style="416" customWidth="1" outlineLevel="1"/>
    <col min="25" max="25" width="13.7109375" style="416" hidden="1" customWidth="1" outlineLevel="2"/>
    <col min="26" max="26" width="11.7109375" style="416" hidden="1" customWidth="1" outlineLevel="2"/>
    <col min="27" max="27" width="15" style="416" customWidth="1" outlineLevel="1" collapsed="1"/>
    <col min="28" max="28" width="11.140625" style="416" customWidth="1"/>
    <col min="29" max="29" width="10.7109375" style="416" customWidth="1"/>
    <col min="30" max="30" width="9.7109375" style="416" customWidth="1"/>
    <col min="31" max="31" width="11.5703125" style="416" customWidth="1"/>
    <col min="32" max="32" width="9.140625" style="384"/>
    <col min="33" max="33" width="17.5703125" style="416" customWidth="1"/>
    <col min="34" max="34" width="31.140625" style="416" customWidth="1"/>
    <col min="35" max="35" width="16.7109375" style="416" customWidth="1"/>
    <col min="36" max="36" width="9.140625" style="416"/>
    <col min="37" max="37" width="22.28515625" style="416" customWidth="1"/>
    <col min="38" max="38" width="24.42578125" style="416" customWidth="1"/>
    <col min="39" max="262" width="9.140625" style="416"/>
    <col min="263" max="263" width="5.42578125" style="416" customWidth="1"/>
    <col min="264" max="264" width="45.140625" style="416" customWidth="1"/>
    <col min="265" max="266" width="12" style="416" customWidth="1"/>
    <col min="267" max="267" width="16.140625" style="416" customWidth="1"/>
    <col min="268" max="268" width="7.7109375" style="416" customWidth="1"/>
    <col min="269" max="269" width="12" style="416" customWidth="1"/>
    <col min="270" max="271" width="9" style="416" customWidth="1"/>
    <col min="272" max="272" width="11.28515625" style="416" customWidth="1"/>
    <col min="273" max="274" width="12" style="416" customWidth="1"/>
    <col min="275" max="275" width="17.140625" style="416" customWidth="1"/>
    <col min="276" max="276" width="9" style="416" customWidth="1"/>
    <col min="277" max="277" width="12" style="416" customWidth="1"/>
    <col min="278" max="279" width="9" style="416" customWidth="1"/>
    <col min="280" max="280" width="9.85546875" style="416" customWidth="1"/>
    <col min="281" max="281" width="10.140625" style="416" customWidth="1"/>
    <col min="282" max="282" width="7.85546875" style="416" customWidth="1"/>
    <col min="283" max="283" width="8.5703125" style="416" customWidth="1"/>
    <col min="284" max="284" width="7.85546875" style="416" customWidth="1"/>
    <col min="285" max="285" width="8.7109375" style="416" customWidth="1"/>
    <col min="286" max="518" width="9.140625" style="416"/>
    <col min="519" max="519" width="5.42578125" style="416" customWidth="1"/>
    <col min="520" max="520" width="45.140625" style="416" customWidth="1"/>
    <col min="521" max="522" width="12" style="416" customWidth="1"/>
    <col min="523" max="523" width="16.140625" style="416" customWidth="1"/>
    <col min="524" max="524" width="7.7109375" style="416" customWidth="1"/>
    <col min="525" max="525" width="12" style="416" customWidth="1"/>
    <col min="526" max="527" width="9" style="416" customWidth="1"/>
    <col min="528" max="528" width="11.28515625" style="416" customWidth="1"/>
    <col min="529" max="530" width="12" style="416" customWidth="1"/>
    <col min="531" max="531" width="17.140625" style="416" customWidth="1"/>
    <col min="532" max="532" width="9" style="416" customWidth="1"/>
    <col min="533" max="533" width="12" style="416" customWidth="1"/>
    <col min="534" max="535" width="9" style="416" customWidth="1"/>
    <col min="536" max="536" width="9.85546875" style="416" customWidth="1"/>
    <col min="537" max="537" width="10.140625" style="416" customWidth="1"/>
    <col min="538" max="538" width="7.85546875" style="416" customWidth="1"/>
    <col min="539" max="539" width="8.5703125" style="416" customWidth="1"/>
    <col min="540" max="540" width="7.85546875" style="416" customWidth="1"/>
    <col min="541" max="541" width="8.7109375" style="416" customWidth="1"/>
    <col min="542" max="774" width="9.140625" style="416"/>
    <col min="775" max="775" width="5.42578125" style="416" customWidth="1"/>
    <col min="776" max="776" width="45.140625" style="416" customWidth="1"/>
    <col min="777" max="778" width="12" style="416" customWidth="1"/>
    <col min="779" max="779" width="16.140625" style="416" customWidth="1"/>
    <col min="780" max="780" width="7.7109375" style="416" customWidth="1"/>
    <col min="781" max="781" width="12" style="416" customWidth="1"/>
    <col min="782" max="783" width="9" style="416" customWidth="1"/>
    <col min="784" max="784" width="11.28515625" style="416" customWidth="1"/>
    <col min="785" max="786" width="12" style="416" customWidth="1"/>
    <col min="787" max="787" width="17.140625" style="416" customWidth="1"/>
    <col min="788" max="788" width="9" style="416" customWidth="1"/>
    <col min="789" max="789" width="12" style="416" customWidth="1"/>
    <col min="790" max="791" width="9" style="416" customWidth="1"/>
    <col min="792" max="792" width="9.85546875" style="416" customWidth="1"/>
    <col min="793" max="793" width="10.140625" style="416" customWidth="1"/>
    <col min="794" max="794" width="7.85546875" style="416" customWidth="1"/>
    <col min="795" max="795" width="8.5703125" style="416" customWidth="1"/>
    <col min="796" max="796" width="7.85546875" style="416" customWidth="1"/>
    <col min="797" max="797" width="8.7109375" style="416" customWidth="1"/>
    <col min="798" max="1030" width="9.140625" style="416"/>
    <col min="1031" max="1031" width="5.42578125" style="416" customWidth="1"/>
    <col min="1032" max="1032" width="45.140625" style="416" customWidth="1"/>
    <col min="1033" max="1034" width="12" style="416" customWidth="1"/>
    <col min="1035" max="1035" width="16.140625" style="416" customWidth="1"/>
    <col min="1036" max="1036" width="7.7109375" style="416" customWidth="1"/>
    <col min="1037" max="1037" width="12" style="416" customWidth="1"/>
    <col min="1038" max="1039" width="9" style="416" customWidth="1"/>
    <col min="1040" max="1040" width="11.28515625" style="416" customWidth="1"/>
    <col min="1041" max="1042" width="12" style="416" customWidth="1"/>
    <col min="1043" max="1043" width="17.140625" style="416" customWidth="1"/>
    <col min="1044" max="1044" width="9" style="416" customWidth="1"/>
    <col min="1045" max="1045" width="12" style="416" customWidth="1"/>
    <col min="1046" max="1047" width="9" style="416" customWidth="1"/>
    <col min="1048" max="1048" width="9.85546875" style="416" customWidth="1"/>
    <col min="1049" max="1049" width="10.140625" style="416" customWidth="1"/>
    <col min="1050" max="1050" width="7.85546875" style="416" customWidth="1"/>
    <col min="1051" max="1051" width="8.5703125" style="416" customWidth="1"/>
    <col min="1052" max="1052" width="7.85546875" style="416" customWidth="1"/>
    <col min="1053" max="1053" width="8.7109375" style="416" customWidth="1"/>
    <col min="1054" max="1286" width="9.140625" style="416"/>
    <col min="1287" max="1287" width="5.42578125" style="416" customWidth="1"/>
    <col min="1288" max="1288" width="45.140625" style="416" customWidth="1"/>
    <col min="1289" max="1290" width="12" style="416" customWidth="1"/>
    <col min="1291" max="1291" width="16.140625" style="416" customWidth="1"/>
    <col min="1292" max="1292" width="7.7109375" style="416" customWidth="1"/>
    <col min="1293" max="1293" width="12" style="416" customWidth="1"/>
    <col min="1294" max="1295" width="9" style="416" customWidth="1"/>
    <col min="1296" max="1296" width="11.28515625" style="416" customWidth="1"/>
    <col min="1297" max="1298" width="12" style="416" customWidth="1"/>
    <col min="1299" max="1299" width="17.140625" style="416" customWidth="1"/>
    <col min="1300" max="1300" width="9" style="416" customWidth="1"/>
    <col min="1301" max="1301" width="12" style="416" customWidth="1"/>
    <col min="1302" max="1303" width="9" style="416" customWidth="1"/>
    <col min="1304" max="1304" width="9.85546875" style="416" customWidth="1"/>
    <col min="1305" max="1305" width="10.140625" style="416" customWidth="1"/>
    <col min="1306" max="1306" width="7.85546875" style="416" customWidth="1"/>
    <col min="1307" max="1307" width="8.5703125" style="416" customWidth="1"/>
    <col min="1308" max="1308" width="7.85546875" style="416" customWidth="1"/>
    <col min="1309" max="1309" width="8.7109375" style="416" customWidth="1"/>
    <col min="1310" max="1542" width="9.140625" style="416"/>
    <col min="1543" max="1543" width="5.42578125" style="416" customWidth="1"/>
    <col min="1544" max="1544" width="45.140625" style="416" customWidth="1"/>
    <col min="1545" max="1546" width="12" style="416" customWidth="1"/>
    <col min="1547" max="1547" width="16.140625" style="416" customWidth="1"/>
    <col min="1548" max="1548" width="7.7109375" style="416" customWidth="1"/>
    <col min="1549" max="1549" width="12" style="416" customWidth="1"/>
    <col min="1550" max="1551" width="9" style="416" customWidth="1"/>
    <col min="1552" max="1552" width="11.28515625" style="416" customWidth="1"/>
    <col min="1553" max="1554" width="12" style="416" customWidth="1"/>
    <col min="1555" max="1555" width="17.140625" style="416" customWidth="1"/>
    <col min="1556" max="1556" width="9" style="416" customWidth="1"/>
    <col min="1557" max="1557" width="12" style="416" customWidth="1"/>
    <col min="1558" max="1559" width="9" style="416" customWidth="1"/>
    <col min="1560" max="1560" width="9.85546875" style="416" customWidth="1"/>
    <col min="1561" max="1561" width="10.140625" style="416" customWidth="1"/>
    <col min="1562" max="1562" width="7.85546875" style="416" customWidth="1"/>
    <col min="1563" max="1563" width="8.5703125" style="416" customWidth="1"/>
    <col min="1564" max="1564" width="7.85546875" style="416" customWidth="1"/>
    <col min="1565" max="1565" width="8.7109375" style="416" customWidth="1"/>
    <col min="1566" max="1798" width="9.140625" style="416"/>
    <col min="1799" max="1799" width="5.42578125" style="416" customWidth="1"/>
    <col min="1800" max="1800" width="45.140625" style="416" customWidth="1"/>
    <col min="1801" max="1802" width="12" style="416" customWidth="1"/>
    <col min="1803" max="1803" width="16.140625" style="416" customWidth="1"/>
    <col min="1804" max="1804" width="7.7109375" style="416" customWidth="1"/>
    <col min="1805" max="1805" width="12" style="416" customWidth="1"/>
    <col min="1806" max="1807" width="9" style="416" customWidth="1"/>
    <col min="1808" max="1808" width="11.28515625" style="416" customWidth="1"/>
    <col min="1809" max="1810" width="12" style="416" customWidth="1"/>
    <col min="1811" max="1811" width="17.140625" style="416" customWidth="1"/>
    <col min="1812" max="1812" width="9" style="416" customWidth="1"/>
    <col min="1813" max="1813" width="12" style="416" customWidth="1"/>
    <col min="1814" max="1815" width="9" style="416" customWidth="1"/>
    <col min="1816" max="1816" width="9.85546875" style="416" customWidth="1"/>
    <col min="1817" max="1817" width="10.140625" style="416" customWidth="1"/>
    <col min="1818" max="1818" width="7.85546875" style="416" customWidth="1"/>
    <col min="1819" max="1819" width="8.5703125" style="416" customWidth="1"/>
    <col min="1820" max="1820" width="7.85546875" style="416" customWidth="1"/>
    <col min="1821" max="1821" width="8.7109375" style="416" customWidth="1"/>
    <col min="1822" max="2054" width="9.140625" style="416"/>
    <col min="2055" max="2055" width="5.42578125" style="416" customWidth="1"/>
    <col min="2056" max="2056" width="45.140625" style="416" customWidth="1"/>
    <col min="2057" max="2058" width="12" style="416" customWidth="1"/>
    <col min="2059" max="2059" width="16.140625" style="416" customWidth="1"/>
    <col min="2060" max="2060" width="7.7109375" style="416" customWidth="1"/>
    <col min="2061" max="2061" width="12" style="416" customWidth="1"/>
    <col min="2062" max="2063" width="9" style="416" customWidth="1"/>
    <col min="2064" max="2064" width="11.28515625" style="416" customWidth="1"/>
    <col min="2065" max="2066" width="12" style="416" customWidth="1"/>
    <col min="2067" max="2067" width="17.140625" style="416" customWidth="1"/>
    <col min="2068" max="2068" width="9" style="416" customWidth="1"/>
    <col min="2069" max="2069" width="12" style="416" customWidth="1"/>
    <col min="2070" max="2071" width="9" style="416" customWidth="1"/>
    <col min="2072" max="2072" width="9.85546875" style="416" customWidth="1"/>
    <col min="2073" max="2073" width="10.140625" style="416" customWidth="1"/>
    <col min="2074" max="2074" width="7.85546875" style="416" customWidth="1"/>
    <col min="2075" max="2075" width="8.5703125" style="416" customWidth="1"/>
    <col min="2076" max="2076" width="7.85546875" style="416" customWidth="1"/>
    <col min="2077" max="2077" width="8.7109375" style="416" customWidth="1"/>
    <col min="2078" max="2310" width="9.140625" style="416"/>
    <col min="2311" max="2311" width="5.42578125" style="416" customWidth="1"/>
    <col min="2312" max="2312" width="45.140625" style="416" customWidth="1"/>
    <col min="2313" max="2314" width="12" style="416" customWidth="1"/>
    <col min="2315" max="2315" width="16.140625" style="416" customWidth="1"/>
    <col min="2316" max="2316" width="7.7109375" style="416" customWidth="1"/>
    <col min="2317" max="2317" width="12" style="416" customWidth="1"/>
    <col min="2318" max="2319" width="9" style="416" customWidth="1"/>
    <col min="2320" max="2320" width="11.28515625" style="416" customWidth="1"/>
    <col min="2321" max="2322" width="12" style="416" customWidth="1"/>
    <col min="2323" max="2323" width="17.140625" style="416" customWidth="1"/>
    <col min="2324" max="2324" width="9" style="416" customWidth="1"/>
    <col min="2325" max="2325" width="12" style="416" customWidth="1"/>
    <col min="2326" max="2327" width="9" style="416" customWidth="1"/>
    <col min="2328" max="2328" width="9.85546875" style="416" customWidth="1"/>
    <col min="2329" max="2329" width="10.140625" style="416" customWidth="1"/>
    <col min="2330" max="2330" width="7.85546875" style="416" customWidth="1"/>
    <col min="2331" max="2331" width="8.5703125" style="416" customWidth="1"/>
    <col min="2332" max="2332" width="7.85546875" style="416" customWidth="1"/>
    <col min="2333" max="2333" width="8.7109375" style="416" customWidth="1"/>
    <col min="2334" max="2566" width="9.140625" style="416"/>
    <col min="2567" max="2567" width="5.42578125" style="416" customWidth="1"/>
    <col min="2568" max="2568" width="45.140625" style="416" customWidth="1"/>
    <col min="2569" max="2570" width="12" style="416" customWidth="1"/>
    <col min="2571" max="2571" width="16.140625" style="416" customWidth="1"/>
    <col min="2572" max="2572" width="7.7109375" style="416" customWidth="1"/>
    <col min="2573" max="2573" width="12" style="416" customWidth="1"/>
    <col min="2574" max="2575" width="9" style="416" customWidth="1"/>
    <col min="2576" max="2576" width="11.28515625" style="416" customWidth="1"/>
    <col min="2577" max="2578" width="12" style="416" customWidth="1"/>
    <col min="2579" max="2579" width="17.140625" style="416" customWidth="1"/>
    <col min="2580" max="2580" width="9" style="416" customWidth="1"/>
    <col min="2581" max="2581" width="12" style="416" customWidth="1"/>
    <col min="2582" max="2583" width="9" style="416" customWidth="1"/>
    <col min="2584" max="2584" width="9.85546875" style="416" customWidth="1"/>
    <col min="2585" max="2585" width="10.140625" style="416" customWidth="1"/>
    <col min="2586" max="2586" width="7.85546875" style="416" customWidth="1"/>
    <col min="2587" max="2587" width="8.5703125" style="416" customWidth="1"/>
    <col min="2588" max="2588" width="7.85546875" style="416" customWidth="1"/>
    <col min="2589" max="2589" width="8.7109375" style="416" customWidth="1"/>
    <col min="2590" max="2822" width="9.140625" style="416"/>
    <col min="2823" max="2823" width="5.42578125" style="416" customWidth="1"/>
    <col min="2824" max="2824" width="45.140625" style="416" customWidth="1"/>
    <col min="2825" max="2826" width="12" style="416" customWidth="1"/>
    <col min="2827" max="2827" width="16.140625" style="416" customWidth="1"/>
    <col min="2828" max="2828" width="7.7109375" style="416" customWidth="1"/>
    <col min="2829" max="2829" width="12" style="416" customWidth="1"/>
    <col min="2830" max="2831" width="9" style="416" customWidth="1"/>
    <col min="2832" max="2832" width="11.28515625" style="416" customWidth="1"/>
    <col min="2833" max="2834" width="12" style="416" customWidth="1"/>
    <col min="2835" max="2835" width="17.140625" style="416" customWidth="1"/>
    <col min="2836" max="2836" width="9" style="416" customWidth="1"/>
    <col min="2837" max="2837" width="12" style="416" customWidth="1"/>
    <col min="2838" max="2839" width="9" style="416" customWidth="1"/>
    <col min="2840" max="2840" width="9.85546875" style="416" customWidth="1"/>
    <col min="2841" max="2841" width="10.140625" style="416" customWidth="1"/>
    <col min="2842" max="2842" width="7.85546875" style="416" customWidth="1"/>
    <col min="2843" max="2843" width="8.5703125" style="416" customWidth="1"/>
    <col min="2844" max="2844" width="7.85546875" style="416" customWidth="1"/>
    <col min="2845" max="2845" width="8.7109375" style="416" customWidth="1"/>
    <col min="2846" max="3078" width="9.140625" style="416"/>
    <col min="3079" max="3079" width="5.42578125" style="416" customWidth="1"/>
    <col min="3080" max="3080" width="45.140625" style="416" customWidth="1"/>
    <col min="3081" max="3082" width="12" style="416" customWidth="1"/>
    <col min="3083" max="3083" width="16.140625" style="416" customWidth="1"/>
    <col min="3084" max="3084" width="7.7109375" style="416" customWidth="1"/>
    <col min="3085" max="3085" width="12" style="416" customWidth="1"/>
    <col min="3086" max="3087" width="9" style="416" customWidth="1"/>
    <col min="3088" max="3088" width="11.28515625" style="416" customWidth="1"/>
    <col min="3089" max="3090" width="12" style="416" customWidth="1"/>
    <col min="3091" max="3091" width="17.140625" style="416" customWidth="1"/>
    <col min="3092" max="3092" width="9" style="416" customWidth="1"/>
    <col min="3093" max="3093" width="12" style="416" customWidth="1"/>
    <col min="3094" max="3095" width="9" style="416" customWidth="1"/>
    <col min="3096" max="3096" width="9.85546875" style="416" customWidth="1"/>
    <col min="3097" max="3097" width="10.140625" style="416" customWidth="1"/>
    <col min="3098" max="3098" width="7.85546875" style="416" customWidth="1"/>
    <col min="3099" max="3099" width="8.5703125" style="416" customWidth="1"/>
    <col min="3100" max="3100" width="7.85546875" style="416" customWidth="1"/>
    <col min="3101" max="3101" width="8.7109375" style="416" customWidth="1"/>
    <col min="3102" max="3334" width="9.140625" style="416"/>
    <col min="3335" max="3335" width="5.42578125" style="416" customWidth="1"/>
    <col min="3336" max="3336" width="45.140625" style="416" customWidth="1"/>
    <col min="3337" max="3338" width="12" style="416" customWidth="1"/>
    <col min="3339" max="3339" width="16.140625" style="416" customWidth="1"/>
    <col min="3340" max="3340" width="7.7109375" style="416" customWidth="1"/>
    <col min="3341" max="3341" width="12" style="416" customWidth="1"/>
    <col min="3342" max="3343" width="9" style="416" customWidth="1"/>
    <col min="3344" max="3344" width="11.28515625" style="416" customWidth="1"/>
    <col min="3345" max="3346" width="12" style="416" customWidth="1"/>
    <col min="3347" max="3347" width="17.140625" style="416" customWidth="1"/>
    <col min="3348" max="3348" width="9" style="416" customWidth="1"/>
    <col min="3349" max="3349" width="12" style="416" customWidth="1"/>
    <col min="3350" max="3351" width="9" style="416" customWidth="1"/>
    <col min="3352" max="3352" width="9.85546875" style="416" customWidth="1"/>
    <col min="3353" max="3353" width="10.140625" style="416" customWidth="1"/>
    <col min="3354" max="3354" width="7.85546875" style="416" customWidth="1"/>
    <col min="3355" max="3355" width="8.5703125" style="416" customWidth="1"/>
    <col min="3356" max="3356" width="7.85546875" style="416" customWidth="1"/>
    <col min="3357" max="3357" width="8.7109375" style="416" customWidth="1"/>
    <col min="3358" max="3590" width="9.140625" style="416"/>
    <col min="3591" max="3591" width="5.42578125" style="416" customWidth="1"/>
    <col min="3592" max="3592" width="45.140625" style="416" customWidth="1"/>
    <col min="3593" max="3594" width="12" style="416" customWidth="1"/>
    <col min="3595" max="3595" width="16.140625" style="416" customWidth="1"/>
    <col min="3596" max="3596" width="7.7109375" style="416" customWidth="1"/>
    <col min="3597" max="3597" width="12" style="416" customWidth="1"/>
    <col min="3598" max="3599" width="9" style="416" customWidth="1"/>
    <col min="3600" max="3600" width="11.28515625" style="416" customWidth="1"/>
    <col min="3601" max="3602" width="12" style="416" customWidth="1"/>
    <col min="3603" max="3603" width="17.140625" style="416" customWidth="1"/>
    <col min="3604" max="3604" width="9" style="416" customWidth="1"/>
    <col min="3605" max="3605" width="12" style="416" customWidth="1"/>
    <col min="3606" max="3607" width="9" style="416" customWidth="1"/>
    <col min="3608" max="3608" width="9.85546875" style="416" customWidth="1"/>
    <col min="3609" max="3609" width="10.140625" style="416" customWidth="1"/>
    <col min="3610" max="3610" width="7.85546875" style="416" customWidth="1"/>
    <col min="3611" max="3611" width="8.5703125" style="416" customWidth="1"/>
    <col min="3612" max="3612" width="7.85546875" style="416" customWidth="1"/>
    <col min="3613" max="3613" width="8.7109375" style="416" customWidth="1"/>
    <col min="3614" max="3846" width="9.140625" style="416"/>
    <col min="3847" max="3847" width="5.42578125" style="416" customWidth="1"/>
    <col min="3848" max="3848" width="45.140625" style="416" customWidth="1"/>
    <col min="3849" max="3850" width="12" style="416" customWidth="1"/>
    <col min="3851" max="3851" width="16.140625" style="416" customWidth="1"/>
    <col min="3852" max="3852" width="7.7109375" style="416" customWidth="1"/>
    <col min="3853" max="3853" width="12" style="416" customWidth="1"/>
    <col min="3854" max="3855" width="9" style="416" customWidth="1"/>
    <col min="3856" max="3856" width="11.28515625" style="416" customWidth="1"/>
    <col min="3857" max="3858" width="12" style="416" customWidth="1"/>
    <col min="3859" max="3859" width="17.140625" style="416" customWidth="1"/>
    <col min="3860" max="3860" width="9" style="416" customWidth="1"/>
    <col min="3861" max="3861" width="12" style="416" customWidth="1"/>
    <col min="3862" max="3863" width="9" style="416" customWidth="1"/>
    <col min="3864" max="3864" width="9.85546875" style="416" customWidth="1"/>
    <col min="3865" max="3865" width="10.140625" style="416" customWidth="1"/>
    <col min="3866" max="3866" width="7.85546875" style="416" customWidth="1"/>
    <col min="3867" max="3867" width="8.5703125" style="416" customWidth="1"/>
    <col min="3868" max="3868" width="7.85546875" style="416" customWidth="1"/>
    <col min="3869" max="3869" width="8.7109375" style="416" customWidth="1"/>
    <col min="3870" max="4102" width="9.140625" style="416"/>
    <col min="4103" max="4103" width="5.42578125" style="416" customWidth="1"/>
    <col min="4104" max="4104" width="45.140625" style="416" customWidth="1"/>
    <col min="4105" max="4106" width="12" style="416" customWidth="1"/>
    <col min="4107" max="4107" width="16.140625" style="416" customWidth="1"/>
    <col min="4108" max="4108" width="7.7109375" style="416" customWidth="1"/>
    <col min="4109" max="4109" width="12" style="416" customWidth="1"/>
    <col min="4110" max="4111" width="9" style="416" customWidth="1"/>
    <col min="4112" max="4112" width="11.28515625" style="416" customWidth="1"/>
    <col min="4113" max="4114" width="12" style="416" customWidth="1"/>
    <col min="4115" max="4115" width="17.140625" style="416" customWidth="1"/>
    <col min="4116" max="4116" width="9" style="416" customWidth="1"/>
    <col min="4117" max="4117" width="12" style="416" customWidth="1"/>
    <col min="4118" max="4119" width="9" style="416" customWidth="1"/>
    <col min="4120" max="4120" width="9.85546875" style="416" customWidth="1"/>
    <col min="4121" max="4121" width="10.140625" style="416" customWidth="1"/>
    <col min="4122" max="4122" width="7.85546875" style="416" customWidth="1"/>
    <col min="4123" max="4123" width="8.5703125" style="416" customWidth="1"/>
    <col min="4124" max="4124" width="7.85546875" style="416" customWidth="1"/>
    <col min="4125" max="4125" width="8.7109375" style="416" customWidth="1"/>
    <col min="4126" max="4358" width="9.140625" style="416"/>
    <col min="4359" max="4359" width="5.42578125" style="416" customWidth="1"/>
    <col min="4360" max="4360" width="45.140625" style="416" customWidth="1"/>
    <col min="4361" max="4362" width="12" style="416" customWidth="1"/>
    <col min="4363" max="4363" width="16.140625" style="416" customWidth="1"/>
    <col min="4364" max="4364" width="7.7109375" style="416" customWidth="1"/>
    <col min="4365" max="4365" width="12" style="416" customWidth="1"/>
    <col min="4366" max="4367" width="9" style="416" customWidth="1"/>
    <col min="4368" max="4368" width="11.28515625" style="416" customWidth="1"/>
    <col min="4369" max="4370" width="12" style="416" customWidth="1"/>
    <col min="4371" max="4371" width="17.140625" style="416" customWidth="1"/>
    <col min="4372" max="4372" width="9" style="416" customWidth="1"/>
    <col min="4373" max="4373" width="12" style="416" customWidth="1"/>
    <col min="4374" max="4375" width="9" style="416" customWidth="1"/>
    <col min="4376" max="4376" width="9.85546875" style="416" customWidth="1"/>
    <col min="4377" max="4377" width="10.140625" style="416" customWidth="1"/>
    <col min="4378" max="4378" width="7.85546875" style="416" customWidth="1"/>
    <col min="4379" max="4379" width="8.5703125" style="416" customWidth="1"/>
    <col min="4380" max="4380" width="7.85546875" style="416" customWidth="1"/>
    <col min="4381" max="4381" width="8.7109375" style="416" customWidth="1"/>
    <col min="4382" max="4614" width="9.140625" style="416"/>
    <col min="4615" max="4615" width="5.42578125" style="416" customWidth="1"/>
    <col min="4616" max="4616" width="45.140625" style="416" customWidth="1"/>
    <col min="4617" max="4618" width="12" style="416" customWidth="1"/>
    <col min="4619" max="4619" width="16.140625" style="416" customWidth="1"/>
    <col min="4620" max="4620" width="7.7109375" style="416" customWidth="1"/>
    <col min="4621" max="4621" width="12" style="416" customWidth="1"/>
    <col min="4622" max="4623" width="9" style="416" customWidth="1"/>
    <col min="4624" max="4624" width="11.28515625" style="416" customWidth="1"/>
    <col min="4625" max="4626" width="12" style="416" customWidth="1"/>
    <col min="4627" max="4627" width="17.140625" style="416" customWidth="1"/>
    <col min="4628" max="4628" width="9" style="416" customWidth="1"/>
    <col min="4629" max="4629" width="12" style="416" customWidth="1"/>
    <col min="4630" max="4631" width="9" style="416" customWidth="1"/>
    <col min="4632" max="4632" width="9.85546875" style="416" customWidth="1"/>
    <col min="4633" max="4633" width="10.140625" style="416" customWidth="1"/>
    <col min="4634" max="4634" width="7.85546875" style="416" customWidth="1"/>
    <col min="4635" max="4635" width="8.5703125" style="416" customWidth="1"/>
    <col min="4636" max="4636" width="7.85546875" style="416" customWidth="1"/>
    <col min="4637" max="4637" width="8.7109375" style="416" customWidth="1"/>
    <col min="4638" max="4870" width="9.140625" style="416"/>
    <col min="4871" max="4871" width="5.42578125" style="416" customWidth="1"/>
    <col min="4872" max="4872" width="45.140625" style="416" customWidth="1"/>
    <col min="4873" max="4874" width="12" style="416" customWidth="1"/>
    <col min="4875" max="4875" width="16.140625" style="416" customWidth="1"/>
    <col min="4876" max="4876" width="7.7109375" style="416" customWidth="1"/>
    <col min="4877" max="4877" width="12" style="416" customWidth="1"/>
    <col min="4878" max="4879" width="9" style="416" customWidth="1"/>
    <col min="4880" max="4880" width="11.28515625" style="416" customWidth="1"/>
    <col min="4881" max="4882" width="12" style="416" customWidth="1"/>
    <col min="4883" max="4883" width="17.140625" style="416" customWidth="1"/>
    <col min="4884" max="4884" width="9" style="416" customWidth="1"/>
    <col min="4885" max="4885" width="12" style="416" customWidth="1"/>
    <col min="4886" max="4887" width="9" style="416" customWidth="1"/>
    <col min="4888" max="4888" width="9.85546875" style="416" customWidth="1"/>
    <col min="4889" max="4889" width="10.140625" style="416" customWidth="1"/>
    <col min="4890" max="4890" width="7.85546875" style="416" customWidth="1"/>
    <col min="4891" max="4891" width="8.5703125" style="416" customWidth="1"/>
    <col min="4892" max="4892" width="7.85546875" style="416" customWidth="1"/>
    <col min="4893" max="4893" width="8.7109375" style="416" customWidth="1"/>
    <col min="4894" max="5126" width="9.140625" style="416"/>
    <col min="5127" max="5127" width="5.42578125" style="416" customWidth="1"/>
    <col min="5128" max="5128" width="45.140625" style="416" customWidth="1"/>
    <col min="5129" max="5130" width="12" style="416" customWidth="1"/>
    <col min="5131" max="5131" width="16.140625" style="416" customWidth="1"/>
    <col min="5132" max="5132" width="7.7109375" style="416" customWidth="1"/>
    <col min="5133" max="5133" width="12" style="416" customWidth="1"/>
    <col min="5134" max="5135" width="9" style="416" customWidth="1"/>
    <col min="5136" max="5136" width="11.28515625" style="416" customWidth="1"/>
    <col min="5137" max="5138" width="12" style="416" customWidth="1"/>
    <col min="5139" max="5139" width="17.140625" style="416" customWidth="1"/>
    <col min="5140" max="5140" width="9" style="416" customWidth="1"/>
    <col min="5141" max="5141" width="12" style="416" customWidth="1"/>
    <col min="5142" max="5143" width="9" style="416" customWidth="1"/>
    <col min="5144" max="5144" width="9.85546875" style="416" customWidth="1"/>
    <col min="5145" max="5145" width="10.140625" style="416" customWidth="1"/>
    <col min="5146" max="5146" width="7.85546875" style="416" customWidth="1"/>
    <col min="5147" max="5147" width="8.5703125" style="416" customWidth="1"/>
    <col min="5148" max="5148" width="7.85546875" style="416" customWidth="1"/>
    <col min="5149" max="5149" width="8.7109375" style="416" customWidth="1"/>
    <col min="5150" max="5382" width="9.140625" style="416"/>
    <col min="5383" max="5383" width="5.42578125" style="416" customWidth="1"/>
    <col min="5384" max="5384" width="45.140625" style="416" customWidth="1"/>
    <col min="5385" max="5386" width="12" style="416" customWidth="1"/>
    <col min="5387" max="5387" width="16.140625" style="416" customWidth="1"/>
    <col min="5388" max="5388" width="7.7109375" style="416" customWidth="1"/>
    <col min="5389" max="5389" width="12" style="416" customWidth="1"/>
    <col min="5390" max="5391" width="9" style="416" customWidth="1"/>
    <col min="5392" max="5392" width="11.28515625" style="416" customWidth="1"/>
    <col min="5393" max="5394" width="12" style="416" customWidth="1"/>
    <col min="5395" max="5395" width="17.140625" style="416" customWidth="1"/>
    <col min="5396" max="5396" width="9" style="416" customWidth="1"/>
    <col min="5397" max="5397" width="12" style="416" customWidth="1"/>
    <col min="5398" max="5399" width="9" style="416" customWidth="1"/>
    <col min="5400" max="5400" width="9.85546875" style="416" customWidth="1"/>
    <col min="5401" max="5401" width="10.140625" style="416" customWidth="1"/>
    <col min="5402" max="5402" width="7.85546875" style="416" customWidth="1"/>
    <col min="5403" max="5403" width="8.5703125" style="416" customWidth="1"/>
    <col min="5404" max="5404" width="7.85546875" style="416" customWidth="1"/>
    <col min="5405" max="5405" width="8.7109375" style="416" customWidth="1"/>
    <col min="5406" max="5638" width="9.140625" style="416"/>
    <col min="5639" max="5639" width="5.42578125" style="416" customWidth="1"/>
    <col min="5640" max="5640" width="45.140625" style="416" customWidth="1"/>
    <col min="5641" max="5642" width="12" style="416" customWidth="1"/>
    <col min="5643" max="5643" width="16.140625" style="416" customWidth="1"/>
    <col min="5644" max="5644" width="7.7109375" style="416" customWidth="1"/>
    <col min="5645" max="5645" width="12" style="416" customWidth="1"/>
    <col min="5646" max="5647" width="9" style="416" customWidth="1"/>
    <col min="5648" max="5648" width="11.28515625" style="416" customWidth="1"/>
    <col min="5649" max="5650" width="12" style="416" customWidth="1"/>
    <col min="5651" max="5651" width="17.140625" style="416" customWidth="1"/>
    <col min="5652" max="5652" width="9" style="416" customWidth="1"/>
    <col min="5653" max="5653" width="12" style="416" customWidth="1"/>
    <col min="5654" max="5655" width="9" style="416" customWidth="1"/>
    <col min="5656" max="5656" width="9.85546875" style="416" customWidth="1"/>
    <col min="5657" max="5657" width="10.140625" style="416" customWidth="1"/>
    <col min="5658" max="5658" width="7.85546875" style="416" customWidth="1"/>
    <col min="5659" max="5659" width="8.5703125" style="416" customWidth="1"/>
    <col min="5660" max="5660" width="7.85546875" style="416" customWidth="1"/>
    <col min="5661" max="5661" width="8.7109375" style="416" customWidth="1"/>
    <col min="5662" max="5894" width="9.140625" style="416"/>
    <col min="5895" max="5895" width="5.42578125" style="416" customWidth="1"/>
    <col min="5896" max="5896" width="45.140625" style="416" customWidth="1"/>
    <col min="5897" max="5898" width="12" style="416" customWidth="1"/>
    <col min="5899" max="5899" width="16.140625" style="416" customWidth="1"/>
    <col min="5900" max="5900" width="7.7109375" style="416" customWidth="1"/>
    <col min="5901" max="5901" width="12" style="416" customWidth="1"/>
    <col min="5902" max="5903" width="9" style="416" customWidth="1"/>
    <col min="5904" max="5904" width="11.28515625" style="416" customWidth="1"/>
    <col min="5905" max="5906" width="12" style="416" customWidth="1"/>
    <col min="5907" max="5907" width="17.140625" style="416" customWidth="1"/>
    <col min="5908" max="5908" width="9" style="416" customWidth="1"/>
    <col min="5909" max="5909" width="12" style="416" customWidth="1"/>
    <col min="5910" max="5911" width="9" style="416" customWidth="1"/>
    <col min="5912" max="5912" width="9.85546875" style="416" customWidth="1"/>
    <col min="5913" max="5913" width="10.140625" style="416" customWidth="1"/>
    <col min="5914" max="5914" width="7.85546875" style="416" customWidth="1"/>
    <col min="5915" max="5915" width="8.5703125" style="416" customWidth="1"/>
    <col min="5916" max="5916" width="7.85546875" style="416" customWidth="1"/>
    <col min="5917" max="5917" width="8.7109375" style="416" customWidth="1"/>
    <col min="5918" max="6150" width="9.140625" style="416"/>
    <col min="6151" max="6151" width="5.42578125" style="416" customWidth="1"/>
    <col min="6152" max="6152" width="45.140625" style="416" customWidth="1"/>
    <col min="6153" max="6154" width="12" style="416" customWidth="1"/>
    <col min="6155" max="6155" width="16.140625" style="416" customWidth="1"/>
    <col min="6156" max="6156" width="7.7109375" style="416" customWidth="1"/>
    <col min="6157" max="6157" width="12" style="416" customWidth="1"/>
    <col min="6158" max="6159" width="9" style="416" customWidth="1"/>
    <col min="6160" max="6160" width="11.28515625" style="416" customWidth="1"/>
    <col min="6161" max="6162" width="12" style="416" customWidth="1"/>
    <col min="6163" max="6163" width="17.140625" style="416" customWidth="1"/>
    <col min="6164" max="6164" width="9" style="416" customWidth="1"/>
    <col min="6165" max="6165" width="12" style="416" customWidth="1"/>
    <col min="6166" max="6167" width="9" style="416" customWidth="1"/>
    <col min="6168" max="6168" width="9.85546875" style="416" customWidth="1"/>
    <col min="6169" max="6169" width="10.140625" style="416" customWidth="1"/>
    <col min="6170" max="6170" width="7.85546875" style="416" customWidth="1"/>
    <col min="6171" max="6171" width="8.5703125" style="416" customWidth="1"/>
    <col min="6172" max="6172" width="7.85546875" style="416" customWidth="1"/>
    <col min="6173" max="6173" width="8.7109375" style="416" customWidth="1"/>
    <col min="6174" max="6406" width="9.140625" style="416"/>
    <col min="6407" max="6407" width="5.42578125" style="416" customWidth="1"/>
    <col min="6408" max="6408" width="45.140625" style="416" customWidth="1"/>
    <col min="6409" max="6410" width="12" style="416" customWidth="1"/>
    <col min="6411" max="6411" width="16.140625" style="416" customWidth="1"/>
    <col min="6412" max="6412" width="7.7109375" style="416" customWidth="1"/>
    <col min="6413" max="6413" width="12" style="416" customWidth="1"/>
    <col min="6414" max="6415" width="9" style="416" customWidth="1"/>
    <col min="6416" max="6416" width="11.28515625" style="416" customWidth="1"/>
    <col min="6417" max="6418" width="12" style="416" customWidth="1"/>
    <col min="6419" max="6419" width="17.140625" style="416" customWidth="1"/>
    <col min="6420" max="6420" width="9" style="416" customWidth="1"/>
    <col min="6421" max="6421" width="12" style="416" customWidth="1"/>
    <col min="6422" max="6423" width="9" style="416" customWidth="1"/>
    <col min="6424" max="6424" width="9.85546875" style="416" customWidth="1"/>
    <col min="6425" max="6425" width="10.140625" style="416" customWidth="1"/>
    <col min="6426" max="6426" width="7.85546875" style="416" customWidth="1"/>
    <col min="6427" max="6427" width="8.5703125" style="416" customWidth="1"/>
    <col min="6428" max="6428" width="7.85546875" style="416" customWidth="1"/>
    <col min="6429" max="6429" width="8.7109375" style="416" customWidth="1"/>
    <col min="6430" max="6662" width="9.140625" style="416"/>
    <col min="6663" max="6663" width="5.42578125" style="416" customWidth="1"/>
    <col min="6664" max="6664" width="45.140625" style="416" customWidth="1"/>
    <col min="6665" max="6666" width="12" style="416" customWidth="1"/>
    <col min="6667" max="6667" width="16.140625" style="416" customWidth="1"/>
    <col min="6668" max="6668" width="7.7109375" style="416" customWidth="1"/>
    <col min="6669" max="6669" width="12" style="416" customWidth="1"/>
    <col min="6670" max="6671" width="9" style="416" customWidth="1"/>
    <col min="6672" max="6672" width="11.28515625" style="416" customWidth="1"/>
    <col min="6673" max="6674" width="12" style="416" customWidth="1"/>
    <col min="6675" max="6675" width="17.140625" style="416" customWidth="1"/>
    <col min="6676" max="6676" width="9" style="416" customWidth="1"/>
    <col min="6677" max="6677" width="12" style="416" customWidth="1"/>
    <col min="6678" max="6679" width="9" style="416" customWidth="1"/>
    <col min="6680" max="6680" width="9.85546875" style="416" customWidth="1"/>
    <col min="6681" max="6681" width="10.140625" style="416" customWidth="1"/>
    <col min="6682" max="6682" width="7.85546875" style="416" customWidth="1"/>
    <col min="6683" max="6683" width="8.5703125" style="416" customWidth="1"/>
    <col min="6684" max="6684" width="7.85546875" style="416" customWidth="1"/>
    <col min="6685" max="6685" width="8.7109375" style="416" customWidth="1"/>
    <col min="6686" max="6918" width="9.140625" style="416"/>
    <col min="6919" max="6919" width="5.42578125" style="416" customWidth="1"/>
    <col min="6920" max="6920" width="45.140625" style="416" customWidth="1"/>
    <col min="6921" max="6922" width="12" style="416" customWidth="1"/>
    <col min="6923" max="6923" width="16.140625" style="416" customWidth="1"/>
    <col min="6924" max="6924" width="7.7109375" style="416" customWidth="1"/>
    <col min="6925" max="6925" width="12" style="416" customWidth="1"/>
    <col min="6926" max="6927" width="9" style="416" customWidth="1"/>
    <col min="6928" max="6928" width="11.28515625" style="416" customWidth="1"/>
    <col min="6929" max="6930" width="12" style="416" customWidth="1"/>
    <col min="6931" max="6931" width="17.140625" style="416" customWidth="1"/>
    <col min="6932" max="6932" width="9" style="416" customWidth="1"/>
    <col min="6933" max="6933" width="12" style="416" customWidth="1"/>
    <col min="6934" max="6935" width="9" style="416" customWidth="1"/>
    <col min="6936" max="6936" width="9.85546875" style="416" customWidth="1"/>
    <col min="6937" max="6937" width="10.140625" style="416" customWidth="1"/>
    <col min="6938" max="6938" width="7.85546875" style="416" customWidth="1"/>
    <col min="6939" max="6939" width="8.5703125" style="416" customWidth="1"/>
    <col min="6940" max="6940" width="7.85546875" style="416" customWidth="1"/>
    <col min="6941" max="6941" width="8.7109375" style="416" customWidth="1"/>
    <col min="6942" max="7174" width="9.140625" style="416"/>
    <col min="7175" max="7175" width="5.42578125" style="416" customWidth="1"/>
    <col min="7176" max="7176" width="45.140625" style="416" customWidth="1"/>
    <col min="7177" max="7178" width="12" style="416" customWidth="1"/>
    <col min="7179" max="7179" width="16.140625" style="416" customWidth="1"/>
    <col min="7180" max="7180" width="7.7109375" style="416" customWidth="1"/>
    <col min="7181" max="7181" width="12" style="416" customWidth="1"/>
    <col min="7182" max="7183" width="9" style="416" customWidth="1"/>
    <col min="7184" max="7184" width="11.28515625" style="416" customWidth="1"/>
    <col min="7185" max="7186" width="12" style="416" customWidth="1"/>
    <col min="7187" max="7187" width="17.140625" style="416" customWidth="1"/>
    <col min="7188" max="7188" width="9" style="416" customWidth="1"/>
    <col min="7189" max="7189" width="12" style="416" customWidth="1"/>
    <col min="7190" max="7191" width="9" style="416" customWidth="1"/>
    <col min="7192" max="7192" width="9.85546875" style="416" customWidth="1"/>
    <col min="7193" max="7193" width="10.140625" style="416" customWidth="1"/>
    <col min="7194" max="7194" width="7.85546875" style="416" customWidth="1"/>
    <col min="7195" max="7195" width="8.5703125" style="416" customWidth="1"/>
    <col min="7196" max="7196" width="7.85546875" style="416" customWidth="1"/>
    <col min="7197" max="7197" width="8.7109375" style="416" customWidth="1"/>
    <col min="7198" max="7430" width="9.140625" style="416"/>
    <col min="7431" max="7431" width="5.42578125" style="416" customWidth="1"/>
    <col min="7432" max="7432" width="45.140625" style="416" customWidth="1"/>
    <col min="7433" max="7434" width="12" style="416" customWidth="1"/>
    <col min="7435" max="7435" width="16.140625" style="416" customWidth="1"/>
    <col min="7436" max="7436" width="7.7109375" style="416" customWidth="1"/>
    <col min="7437" max="7437" width="12" style="416" customWidth="1"/>
    <col min="7438" max="7439" width="9" style="416" customWidth="1"/>
    <col min="7440" max="7440" width="11.28515625" style="416" customWidth="1"/>
    <col min="7441" max="7442" width="12" style="416" customWidth="1"/>
    <col min="7443" max="7443" width="17.140625" style="416" customWidth="1"/>
    <col min="7444" max="7444" width="9" style="416" customWidth="1"/>
    <col min="7445" max="7445" width="12" style="416" customWidth="1"/>
    <col min="7446" max="7447" width="9" style="416" customWidth="1"/>
    <col min="7448" max="7448" width="9.85546875" style="416" customWidth="1"/>
    <col min="7449" max="7449" width="10.140625" style="416" customWidth="1"/>
    <col min="7450" max="7450" width="7.85546875" style="416" customWidth="1"/>
    <col min="7451" max="7451" width="8.5703125" style="416" customWidth="1"/>
    <col min="7452" max="7452" width="7.85546875" style="416" customWidth="1"/>
    <col min="7453" max="7453" width="8.7109375" style="416" customWidth="1"/>
    <col min="7454" max="7686" width="9.140625" style="416"/>
    <col min="7687" max="7687" width="5.42578125" style="416" customWidth="1"/>
    <col min="7688" max="7688" width="45.140625" style="416" customWidth="1"/>
    <col min="7689" max="7690" width="12" style="416" customWidth="1"/>
    <col min="7691" max="7691" width="16.140625" style="416" customWidth="1"/>
    <col min="7692" max="7692" width="7.7109375" style="416" customWidth="1"/>
    <col min="7693" max="7693" width="12" style="416" customWidth="1"/>
    <col min="7694" max="7695" width="9" style="416" customWidth="1"/>
    <col min="7696" max="7696" width="11.28515625" style="416" customWidth="1"/>
    <col min="7697" max="7698" width="12" style="416" customWidth="1"/>
    <col min="7699" max="7699" width="17.140625" style="416" customWidth="1"/>
    <col min="7700" max="7700" width="9" style="416" customWidth="1"/>
    <col min="7701" max="7701" width="12" style="416" customWidth="1"/>
    <col min="7702" max="7703" width="9" style="416" customWidth="1"/>
    <col min="7704" max="7704" width="9.85546875" style="416" customWidth="1"/>
    <col min="7705" max="7705" width="10.140625" style="416" customWidth="1"/>
    <col min="7706" max="7706" width="7.85546875" style="416" customWidth="1"/>
    <col min="7707" max="7707" width="8.5703125" style="416" customWidth="1"/>
    <col min="7708" max="7708" width="7.85546875" style="416" customWidth="1"/>
    <col min="7709" max="7709" width="8.7109375" style="416" customWidth="1"/>
    <col min="7710" max="7942" width="9.140625" style="416"/>
    <col min="7943" max="7943" width="5.42578125" style="416" customWidth="1"/>
    <col min="7944" max="7944" width="45.140625" style="416" customWidth="1"/>
    <col min="7945" max="7946" width="12" style="416" customWidth="1"/>
    <col min="7947" max="7947" width="16.140625" style="416" customWidth="1"/>
    <col min="7948" max="7948" width="7.7109375" style="416" customWidth="1"/>
    <col min="7949" max="7949" width="12" style="416" customWidth="1"/>
    <col min="7950" max="7951" width="9" style="416" customWidth="1"/>
    <col min="7952" max="7952" width="11.28515625" style="416" customWidth="1"/>
    <col min="7953" max="7954" width="12" style="416" customWidth="1"/>
    <col min="7955" max="7955" width="17.140625" style="416" customWidth="1"/>
    <col min="7956" max="7956" width="9" style="416" customWidth="1"/>
    <col min="7957" max="7957" width="12" style="416" customWidth="1"/>
    <col min="7958" max="7959" width="9" style="416" customWidth="1"/>
    <col min="7960" max="7960" width="9.85546875" style="416" customWidth="1"/>
    <col min="7961" max="7961" width="10.140625" style="416" customWidth="1"/>
    <col min="7962" max="7962" width="7.85546875" style="416" customWidth="1"/>
    <col min="7963" max="7963" width="8.5703125" style="416" customWidth="1"/>
    <col min="7964" max="7964" width="7.85546875" style="416" customWidth="1"/>
    <col min="7965" max="7965" width="8.7109375" style="416" customWidth="1"/>
    <col min="7966" max="8198" width="9.140625" style="416"/>
    <col min="8199" max="8199" width="5.42578125" style="416" customWidth="1"/>
    <col min="8200" max="8200" width="45.140625" style="416" customWidth="1"/>
    <col min="8201" max="8202" width="12" style="416" customWidth="1"/>
    <col min="8203" max="8203" width="16.140625" style="416" customWidth="1"/>
    <col min="8204" max="8204" width="7.7109375" style="416" customWidth="1"/>
    <col min="8205" max="8205" width="12" style="416" customWidth="1"/>
    <col min="8206" max="8207" width="9" style="416" customWidth="1"/>
    <col min="8208" max="8208" width="11.28515625" style="416" customWidth="1"/>
    <col min="8209" max="8210" width="12" style="416" customWidth="1"/>
    <col min="8211" max="8211" width="17.140625" style="416" customWidth="1"/>
    <col min="8212" max="8212" width="9" style="416" customWidth="1"/>
    <col min="8213" max="8213" width="12" style="416" customWidth="1"/>
    <col min="8214" max="8215" width="9" style="416" customWidth="1"/>
    <col min="8216" max="8216" width="9.85546875" style="416" customWidth="1"/>
    <col min="8217" max="8217" width="10.140625" style="416" customWidth="1"/>
    <col min="8218" max="8218" width="7.85546875" style="416" customWidth="1"/>
    <col min="8219" max="8219" width="8.5703125" style="416" customWidth="1"/>
    <col min="8220" max="8220" width="7.85546875" style="416" customWidth="1"/>
    <col min="8221" max="8221" width="8.7109375" style="416" customWidth="1"/>
    <col min="8222" max="8454" width="9.140625" style="416"/>
    <col min="8455" max="8455" width="5.42578125" style="416" customWidth="1"/>
    <col min="8456" max="8456" width="45.140625" style="416" customWidth="1"/>
    <col min="8457" max="8458" width="12" style="416" customWidth="1"/>
    <col min="8459" max="8459" width="16.140625" style="416" customWidth="1"/>
    <col min="8460" max="8460" width="7.7109375" style="416" customWidth="1"/>
    <col min="8461" max="8461" width="12" style="416" customWidth="1"/>
    <col min="8462" max="8463" width="9" style="416" customWidth="1"/>
    <col min="8464" max="8464" width="11.28515625" style="416" customWidth="1"/>
    <col min="8465" max="8466" width="12" style="416" customWidth="1"/>
    <col min="8467" max="8467" width="17.140625" style="416" customWidth="1"/>
    <col min="8468" max="8468" width="9" style="416" customWidth="1"/>
    <col min="8469" max="8469" width="12" style="416" customWidth="1"/>
    <col min="8470" max="8471" width="9" style="416" customWidth="1"/>
    <col min="8472" max="8472" width="9.85546875" style="416" customWidth="1"/>
    <col min="8473" max="8473" width="10.140625" style="416" customWidth="1"/>
    <col min="8474" max="8474" width="7.85546875" style="416" customWidth="1"/>
    <col min="8475" max="8475" width="8.5703125" style="416" customWidth="1"/>
    <col min="8476" max="8476" width="7.85546875" style="416" customWidth="1"/>
    <col min="8477" max="8477" width="8.7109375" style="416" customWidth="1"/>
    <col min="8478" max="8710" width="9.140625" style="416"/>
    <col min="8711" max="8711" width="5.42578125" style="416" customWidth="1"/>
    <col min="8712" max="8712" width="45.140625" style="416" customWidth="1"/>
    <col min="8713" max="8714" width="12" style="416" customWidth="1"/>
    <col min="8715" max="8715" width="16.140625" style="416" customWidth="1"/>
    <col min="8716" max="8716" width="7.7109375" style="416" customWidth="1"/>
    <col min="8717" max="8717" width="12" style="416" customWidth="1"/>
    <col min="8718" max="8719" width="9" style="416" customWidth="1"/>
    <col min="8720" max="8720" width="11.28515625" style="416" customWidth="1"/>
    <col min="8721" max="8722" width="12" style="416" customWidth="1"/>
    <col min="8723" max="8723" width="17.140625" style="416" customWidth="1"/>
    <col min="8724" max="8724" width="9" style="416" customWidth="1"/>
    <col min="8725" max="8725" width="12" style="416" customWidth="1"/>
    <col min="8726" max="8727" width="9" style="416" customWidth="1"/>
    <col min="8728" max="8728" width="9.85546875" style="416" customWidth="1"/>
    <col min="8729" max="8729" width="10.140625" style="416" customWidth="1"/>
    <col min="8730" max="8730" width="7.85546875" style="416" customWidth="1"/>
    <col min="8731" max="8731" width="8.5703125" style="416" customWidth="1"/>
    <col min="8732" max="8732" width="7.85546875" style="416" customWidth="1"/>
    <col min="8733" max="8733" width="8.7109375" style="416" customWidth="1"/>
    <col min="8734" max="8966" width="9.140625" style="416"/>
    <col min="8967" max="8967" width="5.42578125" style="416" customWidth="1"/>
    <col min="8968" max="8968" width="45.140625" style="416" customWidth="1"/>
    <col min="8969" max="8970" width="12" style="416" customWidth="1"/>
    <col min="8971" max="8971" width="16.140625" style="416" customWidth="1"/>
    <col min="8972" max="8972" width="7.7109375" style="416" customWidth="1"/>
    <col min="8973" max="8973" width="12" style="416" customWidth="1"/>
    <col min="8974" max="8975" width="9" style="416" customWidth="1"/>
    <col min="8976" max="8976" width="11.28515625" style="416" customWidth="1"/>
    <col min="8977" max="8978" width="12" style="416" customWidth="1"/>
    <col min="8979" max="8979" width="17.140625" style="416" customWidth="1"/>
    <col min="8980" max="8980" width="9" style="416" customWidth="1"/>
    <col min="8981" max="8981" width="12" style="416" customWidth="1"/>
    <col min="8982" max="8983" width="9" style="416" customWidth="1"/>
    <col min="8984" max="8984" width="9.85546875" style="416" customWidth="1"/>
    <col min="8985" max="8985" width="10.140625" style="416" customWidth="1"/>
    <col min="8986" max="8986" width="7.85546875" style="416" customWidth="1"/>
    <col min="8987" max="8987" width="8.5703125" style="416" customWidth="1"/>
    <col min="8988" max="8988" width="7.85546875" style="416" customWidth="1"/>
    <col min="8989" max="8989" width="8.7109375" style="416" customWidth="1"/>
    <col min="8990" max="9222" width="9.140625" style="416"/>
    <col min="9223" max="9223" width="5.42578125" style="416" customWidth="1"/>
    <col min="9224" max="9224" width="45.140625" style="416" customWidth="1"/>
    <col min="9225" max="9226" width="12" style="416" customWidth="1"/>
    <col min="9227" max="9227" width="16.140625" style="416" customWidth="1"/>
    <col min="9228" max="9228" width="7.7109375" style="416" customWidth="1"/>
    <col min="9229" max="9229" width="12" style="416" customWidth="1"/>
    <col min="9230" max="9231" width="9" style="416" customWidth="1"/>
    <col min="9232" max="9232" width="11.28515625" style="416" customWidth="1"/>
    <col min="9233" max="9234" width="12" style="416" customWidth="1"/>
    <col min="9235" max="9235" width="17.140625" style="416" customWidth="1"/>
    <col min="9236" max="9236" width="9" style="416" customWidth="1"/>
    <col min="9237" max="9237" width="12" style="416" customWidth="1"/>
    <col min="9238" max="9239" width="9" style="416" customWidth="1"/>
    <col min="9240" max="9240" width="9.85546875" style="416" customWidth="1"/>
    <col min="9241" max="9241" width="10.140625" style="416" customWidth="1"/>
    <col min="9242" max="9242" width="7.85546875" style="416" customWidth="1"/>
    <col min="9243" max="9243" width="8.5703125" style="416" customWidth="1"/>
    <col min="9244" max="9244" width="7.85546875" style="416" customWidth="1"/>
    <col min="9245" max="9245" width="8.7109375" style="416" customWidth="1"/>
    <col min="9246" max="9478" width="9.140625" style="416"/>
    <col min="9479" max="9479" width="5.42578125" style="416" customWidth="1"/>
    <col min="9480" max="9480" width="45.140625" style="416" customWidth="1"/>
    <col min="9481" max="9482" width="12" style="416" customWidth="1"/>
    <col min="9483" max="9483" width="16.140625" style="416" customWidth="1"/>
    <col min="9484" max="9484" width="7.7109375" style="416" customWidth="1"/>
    <col min="9485" max="9485" width="12" style="416" customWidth="1"/>
    <col min="9486" max="9487" width="9" style="416" customWidth="1"/>
    <col min="9488" max="9488" width="11.28515625" style="416" customWidth="1"/>
    <col min="9489" max="9490" width="12" style="416" customWidth="1"/>
    <col min="9491" max="9491" width="17.140625" style="416" customWidth="1"/>
    <col min="9492" max="9492" width="9" style="416" customWidth="1"/>
    <col min="9493" max="9493" width="12" style="416" customWidth="1"/>
    <col min="9494" max="9495" width="9" style="416" customWidth="1"/>
    <col min="9496" max="9496" width="9.85546875" style="416" customWidth="1"/>
    <col min="9497" max="9497" width="10.140625" style="416" customWidth="1"/>
    <col min="9498" max="9498" width="7.85546875" style="416" customWidth="1"/>
    <col min="9499" max="9499" width="8.5703125" style="416" customWidth="1"/>
    <col min="9500" max="9500" width="7.85546875" style="416" customWidth="1"/>
    <col min="9501" max="9501" width="8.7109375" style="416" customWidth="1"/>
    <col min="9502" max="9734" width="9.140625" style="416"/>
    <col min="9735" max="9735" width="5.42578125" style="416" customWidth="1"/>
    <col min="9736" max="9736" width="45.140625" style="416" customWidth="1"/>
    <col min="9737" max="9738" width="12" style="416" customWidth="1"/>
    <col min="9739" max="9739" width="16.140625" style="416" customWidth="1"/>
    <col min="9740" max="9740" width="7.7109375" style="416" customWidth="1"/>
    <col min="9741" max="9741" width="12" style="416" customWidth="1"/>
    <col min="9742" max="9743" width="9" style="416" customWidth="1"/>
    <col min="9744" max="9744" width="11.28515625" style="416" customWidth="1"/>
    <col min="9745" max="9746" width="12" style="416" customWidth="1"/>
    <col min="9747" max="9747" width="17.140625" style="416" customWidth="1"/>
    <col min="9748" max="9748" width="9" style="416" customWidth="1"/>
    <col min="9749" max="9749" width="12" style="416" customWidth="1"/>
    <col min="9750" max="9751" width="9" style="416" customWidth="1"/>
    <col min="9752" max="9752" width="9.85546875" style="416" customWidth="1"/>
    <col min="9753" max="9753" width="10.140625" style="416" customWidth="1"/>
    <col min="9754" max="9754" width="7.85546875" style="416" customWidth="1"/>
    <col min="9755" max="9755" width="8.5703125" style="416" customWidth="1"/>
    <col min="9756" max="9756" width="7.85546875" style="416" customWidth="1"/>
    <col min="9757" max="9757" width="8.7109375" style="416" customWidth="1"/>
    <col min="9758" max="9990" width="9.140625" style="416"/>
    <col min="9991" max="9991" width="5.42578125" style="416" customWidth="1"/>
    <col min="9992" max="9992" width="45.140625" style="416" customWidth="1"/>
    <col min="9993" max="9994" width="12" style="416" customWidth="1"/>
    <col min="9995" max="9995" width="16.140625" style="416" customWidth="1"/>
    <col min="9996" max="9996" width="7.7109375" style="416" customWidth="1"/>
    <col min="9997" max="9997" width="12" style="416" customWidth="1"/>
    <col min="9998" max="9999" width="9" style="416" customWidth="1"/>
    <col min="10000" max="10000" width="11.28515625" style="416" customWidth="1"/>
    <col min="10001" max="10002" width="12" style="416" customWidth="1"/>
    <col min="10003" max="10003" width="17.140625" style="416" customWidth="1"/>
    <col min="10004" max="10004" width="9" style="416" customWidth="1"/>
    <col min="10005" max="10005" width="12" style="416" customWidth="1"/>
    <col min="10006" max="10007" width="9" style="416" customWidth="1"/>
    <col min="10008" max="10008" width="9.85546875" style="416" customWidth="1"/>
    <col min="10009" max="10009" width="10.140625" style="416" customWidth="1"/>
    <col min="10010" max="10010" width="7.85546875" style="416" customWidth="1"/>
    <col min="10011" max="10011" width="8.5703125" style="416" customWidth="1"/>
    <col min="10012" max="10012" width="7.85546875" style="416" customWidth="1"/>
    <col min="10013" max="10013" width="8.7109375" style="416" customWidth="1"/>
    <col min="10014" max="10246" width="9.140625" style="416"/>
    <col min="10247" max="10247" width="5.42578125" style="416" customWidth="1"/>
    <col min="10248" max="10248" width="45.140625" style="416" customWidth="1"/>
    <col min="10249" max="10250" width="12" style="416" customWidth="1"/>
    <col min="10251" max="10251" width="16.140625" style="416" customWidth="1"/>
    <col min="10252" max="10252" width="7.7109375" style="416" customWidth="1"/>
    <col min="10253" max="10253" width="12" style="416" customWidth="1"/>
    <col min="10254" max="10255" width="9" style="416" customWidth="1"/>
    <col min="10256" max="10256" width="11.28515625" style="416" customWidth="1"/>
    <col min="10257" max="10258" width="12" style="416" customWidth="1"/>
    <col min="10259" max="10259" width="17.140625" style="416" customWidth="1"/>
    <col min="10260" max="10260" width="9" style="416" customWidth="1"/>
    <col min="10261" max="10261" width="12" style="416" customWidth="1"/>
    <col min="10262" max="10263" width="9" style="416" customWidth="1"/>
    <col min="10264" max="10264" width="9.85546875" style="416" customWidth="1"/>
    <col min="10265" max="10265" width="10.140625" style="416" customWidth="1"/>
    <col min="10266" max="10266" width="7.85546875" style="416" customWidth="1"/>
    <col min="10267" max="10267" width="8.5703125" style="416" customWidth="1"/>
    <col min="10268" max="10268" width="7.85546875" style="416" customWidth="1"/>
    <col min="10269" max="10269" width="8.7109375" style="416" customWidth="1"/>
    <col min="10270" max="10502" width="9.140625" style="416"/>
    <col min="10503" max="10503" width="5.42578125" style="416" customWidth="1"/>
    <col min="10504" max="10504" width="45.140625" style="416" customWidth="1"/>
    <col min="10505" max="10506" width="12" style="416" customWidth="1"/>
    <col min="10507" max="10507" width="16.140625" style="416" customWidth="1"/>
    <col min="10508" max="10508" width="7.7109375" style="416" customWidth="1"/>
    <col min="10509" max="10509" width="12" style="416" customWidth="1"/>
    <col min="10510" max="10511" width="9" style="416" customWidth="1"/>
    <col min="10512" max="10512" width="11.28515625" style="416" customWidth="1"/>
    <col min="10513" max="10514" width="12" style="416" customWidth="1"/>
    <col min="10515" max="10515" width="17.140625" style="416" customWidth="1"/>
    <col min="10516" max="10516" width="9" style="416" customWidth="1"/>
    <col min="10517" max="10517" width="12" style="416" customWidth="1"/>
    <col min="10518" max="10519" width="9" style="416" customWidth="1"/>
    <col min="10520" max="10520" width="9.85546875" style="416" customWidth="1"/>
    <col min="10521" max="10521" width="10.140625" style="416" customWidth="1"/>
    <col min="10522" max="10522" width="7.85546875" style="416" customWidth="1"/>
    <col min="10523" max="10523" width="8.5703125" style="416" customWidth="1"/>
    <col min="10524" max="10524" width="7.85546875" style="416" customWidth="1"/>
    <col min="10525" max="10525" width="8.7109375" style="416" customWidth="1"/>
    <col min="10526" max="10758" width="9.140625" style="416"/>
    <col min="10759" max="10759" width="5.42578125" style="416" customWidth="1"/>
    <col min="10760" max="10760" width="45.140625" style="416" customWidth="1"/>
    <col min="10761" max="10762" width="12" style="416" customWidth="1"/>
    <col min="10763" max="10763" width="16.140625" style="416" customWidth="1"/>
    <col min="10764" max="10764" width="7.7109375" style="416" customWidth="1"/>
    <col min="10765" max="10765" width="12" style="416" customWidth="1"/>
    <col min="10766" max="10767" width="9" style="416" customWidth="1"/>
    <col min="10768" max="10768" width="11.28515625" style="416" customWidth="1"/>
    <col min="10769" max="10770" width="12" style="416" customWidth="1"/>
    <col min="10771" max="10771" width="17.140625" style="416" customWidth="1"/>
    <col min="10772" max="10772" width="9" style="416" customWidth="1"/>
    <col min="10773" max="10773" width="12" style="416" customWidth="1"/>
    <col min="10774" max="10775" width="9" style="416" customWidth="1"/>
    <col min="10776" max="10776" width="9.85546875" style="416" customWidth="1"/>
    <col min="10777" max="10777" width="10.140625" style="416" customWidth="1"/>
    <col min="10778" max="10778" width="7.85546875" style="416" customWidth="1"/>
    <col min="10779" max="10779" width="8.5703125" style="416" customWidth="1"/>
    <col min="10780" max="10780" width="7.85546875" style="416" customWidth="1"/>
    <col min="10781" max="10781" width="8.7109375" style="416" customWidth="1"/>
    <col min="10782" max="11014" width="9.140625" style="416"/>
    <col min="11015" max="11015" width="5.42578125" style="416" customWidth="1"/>
    <col min="11016" max="11016" width="45.140625" style="416" customWidth="1"/>
    <col min="11017" max="11018" width="12" style="416" customWidth="1"/>
    <col min="11019" max="11019" width="16.140625" style="416" customWidth="1"/>
    <col min="11020" max="11020" width="7.7109375" style="416" customWidth="1"/>
    <col min="11021" max="11021" width="12" style="416" customWidth="1"/>
    <col min="11022" max="11023" width="9" style="416" customWidth="1"/>
    <col min="11024" max="11024" width="11.28515625" style="416" customWidth="1"/>
    <col min="11025" max="11026" width="12" style="416" customWidth="1"/>
    <col min="11027" max="11027" width="17.140625" style="416" customWidth="1"/>
    <col min="11028" max="11028" width="9" style="416" customWidth="1"/>
    <col min="11029" max="11029" width="12" style="416" customWidth="1"/>
    <col min="11030" max="11031" width="9" style="416" customWidth="1"/>
    <col min="11032" max="11032" width="9.85546875" style="416" customWidth="1"/>
    <col min="11033" max="11033" width="10.140625" style="416" customWidth="1"/>
    <col min="11034" max="11034" width="7.85546875" style="416" customWidth="1"/>
    <col min="11035" max="11035" width="8.5703125" style="416" customWidth="1"/>
    <col min="11036" max="11036" width="7.85546875" style="416" customWidth="1"/>
    <col min="11037" max="11037" width="8.7109375" style="416" customWidth="1"/>
    <col min="11038" max="11270" width="9.140625" style="416"/>
    <col min="11271" max="11271" width="5.42578125" style="416" customWidth="1"/>
    <col min="11272" max="11272" width="45.140625" style="416" customWidth="1"/>
    <col min="11273" max="11274" width="12" style="416" customWidth="1"/>
    <col min="11275" max="11275" width="16.140625" style="416" customWidth="1"/>
    <col min="11276" max="11276" width="7.7109375" style="416" customWidth="1"/>
    <col min="11277" max="11277" width="12" style="416" customWidth="1"/>
    <col min="11278" max="11279" width="9" style="416" customWidth="1"/>
    <col min="11280" max="11280" width="11.28515625" style="416" customWidth="1"/>
    <col min="11281" max="11282" width="12" style="416" customWidth="1"/>
    <col min="11283" max="11283" width="17.140625" style="416" customWidth="1"/>
    <col min="11284" max="11284" width="9" style="416" customWidth="1"/>
    <col min="11285" max="11285" width="12" style="416" customWidth="1"/>
    <col min="11286" max="11287" width="9" style="416" customWidth="1"/>
    <col min="11288" max="11288" width="9.85546875" style="416" customWidth="1"/>
    <col min="11289" max="11289" width="10.140625" style="416" customWidth="1"/>
    <col min="11290" max="11290" width="7.85546875" style="416" customWidth="1"/>
    <col min="11291" max="11291" width="8.5703125" style="416" customWidth="1"/>
    <col min="11292" max="11292" width="7.85546875" style="416" customWidth="1"/>
    <col min="11293" max="11293" width="8.7109375" style="416" customWidth="1"/>
    <col min="11294" max="11526" width="9.140625" style="416"/>
    <col min="11527" max="11527" width="5.42578125" style="416" customWidth="1"/>
    <col min="11528" max="11528" width="45.140625" style="416" customWidth="1"/>
    <col min="11529" max="11530" width="12" style="416" customWidth="1"/>
    <col min="11531" max="11531" width="16.140625" style="416" customWidth="1"/>
    <col min="11532" max="11532" width="7.7109375" style="416" customWidth="1"/>
    <col min="11533" max="11533" width="12" style="416" customWidth="1"/>
    <col min="11534" max="11535" width="9" style="416" customWidth="1"/>
    <col min="11536" max="11536" width="11.28515625" style="416" customWidth="1"/>
    <col min="11537" max="11538" width="12" style="416" customWidth="1"/>
    <col min="11539" max="11539" width="17.140625" style="416" customWidth="1"/>
    <col min="11540" max="11540" width="9" style="416" customWidth="1"/>
    <col min="11541" max="11541" width="12" style="416" customWidth="1"/>
    <col min="11542" max="11543" width="9" style="416" customWidth="1"/>
    <col min="11544" max="11544" width="9.85546875" style="416" customWidth="1"/>
    <col min="11545" max="11545" width="10.140625" style="416" customWidth="1"/>
    <col min="11546" max="11546" width="7.85546875" style="416" customWidth="1"/>
    <col min="11547" max="11547" width="8.5703125" style="416" customWidth="1"/>
    <col min="11548" max="11548" width="7.85546875" style="416" customWidth="1"/>
    <col min="11549" max="11549" width="8.7109375" style="416" customWidth="1"/>
    <col min="11550" max="11782" width="9.140625" style="416"/>
    <col min="11783" max="11783" width="5.42578125" style="416" customWidth="1"/>
    <col min="11784" max="11784" width="45.140625" style="416" customWidth="1"/>
    <col min="11785" max="11786" width="12" style="416" customWidth="1"/>
    <col min="11787" max="11787" width="16.140625" style="416" customWidth="1"/>
    <col min="11788" max="11788" width="7.7109375" style="416" customWidth="1"/>
    <col min="11789" max="11789" width="12" style="416" customWidth="1"/>
    <col min="11790" max="11791" width="9" style="416" customWidth="1"/>
    <col min="11792" max="11792" width="11.28515625" style="416" customWidth="1"/>
    <col min="11793" max="11794" width="12" style="416" customWidth="1"/>
    <col min="11795" max="11795" width="17.140625" style="416" customWidth="1"/>
    <col min="11796" max="11796" width="9" style="416" customWidth="1"/>
    <col min="11797" max="11797" width="12" style="416" customWidth="1"/>
    <col min="11798" max="11799" width="9" style="416" customWidth="1"/>
    <col min="11800" max="11800" width="9.85546875" style="416" customWidth="1"/>
    <col min="11801" max="11801" width="10.140625" style="416" customWidth="1"/>
    <col min="11802" max="11802" width="7.85546875" style="416" customWidth="1"/>
    <col min="11803" max="11803" width="8.5703125" style="416" customWidth="1"/>
    <col min="11804" max="11804" width="7.85546875" style="416" customWidth="1"/>
    <col min="11805" max="11805" width="8.7109375" style="416" customWidth="1"/>
    <col min="11806" max="12038" width="9.140625" style="416"/>
    <col min="12039" max="12039" width="5.42578125" style="416" customWidth="1"/>
    <col min="12040" max="12040" width="45.140625" style="416" customWidth="1"/>
    <col min="12041" max="12042" width="12" style="416" customWidth="1"/>
    <col min="12043" max="12043" width="16.140625" style="416" customWidth="1"/>
    <col min="12044" max="12044" width="7.7109375" style="416" customWidth="1"/>
    <col min="12045" max="12045" width="12" style="416" customWidth="1"/>
    <col min="12046" max="12047" width="9" style="416" customWidth="1"/>
    <col min="12048" max="12048" width="11.28515625" style="416" customWidth="1"/>
    <col min="12049" max="12050" width="12" style="416" customWidth="1"/>
    <col min="12051" max="12051" width="17.140625" style="416" customWidth="1"/>
    <col min="12052" max="12052" width="9" style="416" customWidth="1"/>
    <col min="12053" max="12053" width="12" style="416" customWidth="1"/>
    <col min="12054" max="12055" width="9" style="416" customWidth="1"/>
    <col min="12056" max="12056" width="9.85546875" style="416" customWidth="1"/>
    <col min="12057" max="12057" width="10.140625" style="416" customWidth="1"/>
    <col min="12058" max="12058" width="7.85546875" style="416" customWidth="1"/>
    <col min="12059" max="12059" width="8.5703125" style="416" customWidth="1"/>
    <col min="12060" max="12060" width="7.85546875" style="416" customWidth="1"/>
    <col min="12061" max="12061" width="8.7109375" style="416" customWidth="1"/>
    <col min="12062" max="12294" width="9.140625" style="416"/>
    <col min="12295" max="12295" width="5.42578125" style="416" customWidth="1"/>
    <col min="12296" max="12296" width="45.140625" style="416" customWidth="1"/>
    <col min="12297" max="12298" width="12" style="416" customWidth="1"/>
    <col min="12299" max="12299" width="16.140625" style="416" customWidth="1"/>
    <col min="12300" max="12300" width="7.7109375" style="416" customWidth="1"/>
    <col min="12301" max="12301" width="12" style="416" customWidth="1"/>
    <col min="12302" max="12303" width="9" style="416" customWidth="1"/>
    <col min="12304" max="12304" width="11.28515625" style="416" customWidth="1"/>
    <col min="12305" max="12306" width="12" style="416" customWidth="1"/>
    <col min="12307" max="12307" width="17.140625" style="416" customWidth="1"/>
    <col min="12308" max="12308" width="9" style="416" customWidth="1"/>
    <col min="12309" max="12309" width="12" style="416" customWidth="1"/>
    <col min="12310" max="12311" width="9" style="416" customWidth="1"/>
    <col min="12312" max="12312" width="9.85546875" style="416" customWidth="1"/>
    <col min="12313" max="12313" width="10.140625" style="416" customWidth="1"/>
    <col min="12314" max="12314" width="7.85546875" style="416" customWidth="1"/>
    <col min="12315" max="12315" width="8.5703125" style="416" customWidth="1"/>
    <col min="12316" max="12316" width="7.85546875" style="416" customWidth="1"/>
    <col min="12317" max="12317" width="8.7109375" style="416" customWidth="1"/>
    <col min="12318" max="12550" width="9.140625" style="416"/>
    <col min="12551" max="12551" width="5.42578125" style="416" customWidth="1"/>
    <col min="12552" max="12552" width="45.140625" style="416" customWidth="1"/>
    <col min="12553" max="12554" width="12" style="416" customWidth="1"/>
    <col min="12555" max="12555" width="16.140625" style="416" customWidth="1"/>
    <col min="12556" max="12556" width="7.7109375" style="416" customWidth="1"/>
    <col min="12557" max="12557" width="12" style="416" customWidth="1"/>
    <col min="12558" max="12559" width="9" style="416" customWidth="1"/>
    <col min="12560" max="12560" width="11.28515625" style="416" customWidth="1"/>
    <col min="12561" max="12562" width="12" style="416" customWidth="1"/>
    <col min="12563" max="12563" width="17.140625" style="416" customWidth="1"/>
    <col min="12564" max="12564" width="9" style="416" customWidth="1"/>
    <col min="12565" max="12565" width="12" style="416" customWidth="1"/>
    <col min="12566" max="12567" width="9" style="416" customWidth="1"/>
    <col min="12568" max="12568" width="9.85546875" style="416" customWidth="1"/>
    <col min="12569" max="12569" width="10.140625" style="416" customWidth="1"/>
    <col min="12570" max="12570" width="7.85546875" style="416" customWidth="1"/>
    <col min="12571" max="12571" width="8.5703125" style="416" customWidth="1"/>
    <col min="12572" max="12572" width="7.85546875" style="416" customWidth="1"/>
    <col min="12573" max="12573" width="8.7109375" style="416" customWidth="1"/>
    <col min="12574" max="12806" width="9.140625" style="416"/>
    <col min="12807" max="12807" width="5.42578125" style="416" customWidth="1"/>
    <col min="12808" max="12808" width="45.140625" style="416" customWidth="1"/>
    <col min="12809" max="12810" width="12" style="416" customWidth="1"/>
    <col min="12811" max="12811" width="16.140625" style="416" customWidth="1"/>
    <col min="12812" max="12812" width="7.7109375" style="416" customWidth="1"/>
    <col min="12813" max="12813" width="12" style="416" customWidth="1"/>
    <col min="12814" max="12815" width="9" style="416" customWidth="1"/>
    <col min="12816" max="12816" width="11.28515625" style="416" customWidth="1"/>
    <col min="12817" max="12818" width="12" style="416" customWidth="1"/>
    <col min="12819" max="12819" width="17.140625" style="416" customWidth="1"/>
    <col min="12820" max="12820" width="9" style="416" customWidth="1"/>
    <col min="12821" max="12821" width="12" style="416" customWidth="1"/>
    <col min="12822" max="12823" width="9" style="416" customWidth="1"/>
    <col min="12824" max="12824" width="9.85546875" style="416" customWidth="1"/>
    <col min="12825" max="12825" width="10.140625" style="416" customWidth="1"/>
    <col min="12826" max="12826" width="7.85546875" style="416" customWidth="1"/>
    <col min="12827" max="12827" width="8.5703125" style="416" customWidth="1"/>
    <col min="12828" max="12828" width="7.85546875" style="416" customWidth="1"/>
    <col min="12829" max="12829" width="8.7109375" style="416" customWidth="1"/>
    <col min="12830" max="13062" width="9.140625" style="416"/>
    <col min="13063" max="13063" width="5.42578125" style="416" customWidth="1"/>
    <col min="13064" max="13064" width="45.140625" style="416" customWidth="1"/>
    <col min="13065" max="13066" width="12" style="416" customWidth="1"/>
    <col min="13067" max="13067" width="16.140625" style="416" customWidth="1"/>
    <col min="13068" max="13068" width="7.7109375" style="416" customWidth="1"/>
    <col min="13069" max="13069" width="12" style="416" customWidth="1"/>
    <col min="13070" max="13071" width="9" style="416" customWidth="1"/>
    <col min="13072" max="13072" width="11.28515625" style="416" customWidth="1"/>
    <col min="13073" max="13074" width="12" style="416" customWidth="1"/>
    <col min="13075" max="13075" width="17.140625" style="416" customWidth="1"/>
    <col min="13076" max="13076" width="9" style="416" customWidth="1"/>
    <col min="13077" max="13077" width="12" style="416" customWidth="1"/>
    <col min="13078" max="13079" width="9" style="416" customWidth="1"/>
    <col min="13080" max="13080" width="9.85546875" style="416" customWidth="1"/>
    <col min="13081" max="13081" width="10.140625" style="416" customWidth="1"/>
    <col min="13082" max="13082" width="7.85546875" style="416" customWidth="1"/>
    <col min="13083" max="13083" width="8.5703125" style="416" customWidth="1"/>
    <col min="13084" max="13084" width="7.85546875" style="416" customWidth="1"/>
    <col min="13085" max="13085" width="8.7109375" style="416" customWidth="1"/>
    <col min="13086" max="13318" width="9.140625" style="416"/>
    <col min="13319" max="13319" width="5.42578125" style="416" customWidth="1"/>
    <col min="13320" max="13320" width="45.140625" style="416" customWidth="1"/>
    <col min="13321" max="13322" width="12" style="416" customWidth="1"/>
    <col min="13323" max="13323" width="16.140625" style="416" customWidth="1"/>
    <col min="13324" max="13324" width="7.7109375" style="416" customWidth="1"/>
    <col min="13325" max="13325" width="12" style="416" customWidth="1"/>
    <col min="13326" max="13327" width="9" style="416" customWidth="1"/>
    <col min="13328" max="13328" width="11.28515625" style="416" customWidth="1"/>
    <col min="13329" max="13330" width="12" style="416" customWidth="1"/>
    <col min="13331" max="13331" width="17.140625" style="416" customWidth="1"/>
    <col min="13332" max="13332" width="9" style="416" customWidth="1"/>
    <col min="13333" max="13333" width="12" style="416" customWidth="1"/>
    <col min="13334" max="13335" width="9" style="416" customWidth="1"/>
    <col min="13336" max="13336" width="9.85546875" style="416" customWidth="1"/>
    <col min="13337" max="13337" width="10.140625" style="416" customWidth="1"/>
    <col min="13338" max="13338" width="7.85546875" style="416" customWidth="1"/>
    <col min="13339" max="13339" width="8.5703125" style="416" customWidth="1"/>
    <col min="13340" max="13340" width="7.85546875" style="416" customWidth="1"/>
    <col min="13341" max="13341" width="8.7109375" style="416" customWidth="1"/>
    <col min="13342" max="13574" width="9.140625" style="416"/>
    <col min="13575" max="13575" width="5.42578125" style="416" customWidth="1"/>
    <col min="13576" max="13576" width="45.140625" style="416" customWidth="1"/>
    <col min="13577" max="13578" width="12" style="416" customWidth="1"/>
    <col min="13579" max="13579" width="16.140625" style="416" customWidth="1"/>
    <col min="13580" max="13580" width="7.7109375" style="416" customWidth="1"/>
    <col min="13581" max="13581" width="12" style="416" customWidth="1"/>
    <col min="13582" max="13583" width="9" style="416" customWidth="1"/>
    <col min="13584" max="13584" width="11.28515625" style="416" customWidth="1"/>
    <col min="13585" max="13586" width="12" style="416" customWidth="1"/>
    <col min="13587" max="13587" width="17.140625" style="416" customWidth="1"/>
    <col min="13588" max="13588" width="9" style="416" customWidth="1"/>
    <col min="13589" max="13589" width="12" style="416" customWidth="1"/>
    <col min="13590" max="13591" width="9" style="416" customWidth="1"/>
    <col min="13592" max="13592" width="9.85546875" style="416" customWidth="1"/>
    <col min="13593" max="13593" width="10.140625" style="416" customWidth="1"/>
    <col min="13594" max="13594" width="7.85546875" style="416" customWidth="1"/>
    <col min="13595" max="13595" width="8.5703125" style="416" customWidth="1"/>
    <col min="13596" max="13596" width="7.85546875" style="416" customWidth="1"/>
    <col min="13597" max="13597" width="8.7109375" style="416" customWidth="1"/>
    <col min="13598" max="13830" width="9.140625" style="416"/>
    <col min="13831" max="13831" width="5.42578125" style="416" customWidth="1"/>
    <col min="13832" max="13832" width="45.140625" style="416" customWidth="1"/>
    <col min="13833" max="13834" width="12" style="416" customWidth="1"/>
    <col min="13835" max="13835" width="16.140625" style="416" customWidth="1"/>
    <col min="13836" max="13836" width="7.7109375" style="416" customWidth="1"/>
    <col min="13837" max="13837" width="12" style="416" customWidth="1"/>
    <col min="13838" max="13839" width="9" style="416" customWidth="1"/>
    <col min="13840" max="13840" width="11.28515625" style="416" customWidth="1"/>
    <col min="13841" max="13842" width="12" style="416" customWidth="1"/>
    <col min="13843" max="13843" width="17.140625" style="416" customWidth="1"/>
    <col min="13844" max="13844" width="9" style="416" customWidth="1"/>
    <col min="13845" max="13845" width="12" style="416" customWidth="1"/>
    <col min="13846" max="13847" width="9" style="416" customWidth="1"/>
    <col min="13848" max="13848" width="9.85546875" style="416" customWidth="1"/>
    <col min="13849" max="13849" width="10.140625" style="416" customWidth="1"/>
    <col min="13850" max="13850" width="7.85546875" style="416" customWidth="1"/>
    <col min="13851" max="13851" width="8.5703125" style="416" customWidth="1"/>
    <col min="13852" max="13852" width="7.85546875" style="416" customWidth="1"/>
    <col min="13853" max="13853" width="8.7109375" style="416" customWidth="1"/>
    <col min="13854" max="14086" width="9.140625" style="416"/>
    <col min="14087" max="14087" width="5.42578125" style="416" customWidth="1"/>
    <col min="14088" max="14088" width="45.140625" style="416" customWidth="1"/>
    <col min="14089" max="14090" width="12" style="416" customWidth="1"/>
    <col min="14091" max="14091" width="16.140625" style="416" customWidth="1"/>
    <col min="14092" max="14092" width="7.7109375" style="416" customWidth="1"/>
    <col min="14093" max="14093" width="12" style="416" customWidth="1"/>
    <col min="14094" max="14095" width="9" style="416" customWidth="1"/>
    <col min="14096" max="14096" width="11.28515625" style="416" customWidth="1"/>
    <col min="14097" max="14098" width="12" style="416" customWidth="1"/>
    <col min="14099" max="14099" width="17.140625" style="416" customWidth="1"/>
    <col min="14100" max="14100" width="9" style="416" customWidth="1"/>
    <col min="14101" max="14101" width="12" style="416" customWidth="1"/>
    <col min="14102" max="14103" width="9" style="416" customWidth="1"/>
    <col min="14104" max="14104" width="9.85546875" style="416" customWidth="1"/>
    <col min="14105" max="14105" width="10.140625" style="416" customWidth="1"/>
    <col min="14106" max="14106" width="7.85546875" style="416" customWidth="1"/>
    <col min="14107" max="14107" width="8.5703125" style="416" customWidth="1"/>
    <col min="14108" max="14108" width="7.85546875" style="416" customWidth="1"/>
    <col min="14109" max="14109" width="8.7109375" style="416" customWidth="1"/>
    <col min="14110" max="14342" width="9.140625" style="416"/>
    <col min="14343" max="14343" width="5.42578125" style="416" customWidth="1"/>
    <col min="14344" max="14344" width="45.140625" style="416" customWidth="1"/>
    <col min="14345" max="14346" width="12" style="416" customWidth="1"/>
    <col min="14347" max="14347" width="16.140625" style="416" customWidth="1"/>
    <col min="14348" max="14348" width="7.7109375" style="416" customWidth="1"/>
    <col min="14349" max="14349" width="12" style="416" customWidth="1"/>
    <col min="14350" max="14351" width="9" style="416" customWidth="1"/>
    <col min="14352" max="14352" width="11.28515625" style="416" customWidth="1"/>
    <col min="14353" max="14354" width="12" style="416" customWidth="1"/>
    <col min="14355" max="14355" width="17.140625" style="416" customWidth="1"/>
    <col min="14356" max="14356" width="9" style="416" customWidth="1"/>
    <col min="14357" max="14357" width="12" style="416" customWidth="1"/>
    <col min="14358" max="14359" width="9" style="416" customWidth="1"/>
    <col min="14360" max="14360" width="9.85546875" style="416" customWidth="1"/>
    <col min="14361" max="14361" width="10.140625" style="416" customWidth="1"/>
    <col min="14362" max="14362" width="7.85546875" style="416" customWidth="1"/>
    <col min="14363" max="14363" width="8.5703125" style="416" customWidth="1"/>
    <col min="14364" max="14364" width="7.85546875" style="416" customWidth="1"/>
    <col min="14365" max="14365" width="8.7109375" style="416" customWidth="1"/>
    <col min="14366" max="14598" width="9.140625" style="416"/>
    <col min="14599" max="14599" width="5.42578125" style="416" customWidth="1"/>
    <col min="14600" max="14600" width="45.140625" style="416" customWidth="1"/>
    <col min="14601" max="14602" width="12" style="416" customWidth="1"/>
    <col min="14603" max="14603" width="16.140625" style="416" customWidth="1"/>
    <col min="14604" max="14604" width="7.7109375" style="416" customWidth="1"/>
    <col min="14605" max="14605" width="12" style="416" customWidth="1"/>
    <col min="14606" max="14607" width="9" style="416" customWidth="1"/>
    <col min="14608" max="14608" width="11.28515625" style="416" customWidth="1"/>
    <col min="14609" max="14610" width="12" style="416" customWidth="1"/>
    <col min="14611" max="14611" width="17.140625" style="416" customWidth="1"/>
    <col min="14612" max="14612" width="9" style="416" customWidth="1"/>
    <col min="14613" max="14613" width="12" style="416" customWidth="1"/>
    <col min="14614" max="14615" width="9" style="416" customWidth="1"/>
    <col min="14616" max="14616" width="9.85546875" style="416" customWidth="1"/>
    <col min="14617" max="14617" width="10.140625" style="416" customWidth="1"/>
    <col min="14618" max="14618" width="7.85546875" style="416" customWidth="1"/>
    <col min="14619" max="14619" width="8.5703125" style="416" customWidth="1"/>
    <col min="14620" max="14620" width="7.85546875" style="416" customWidth="1"/>
    <col min="14621" max="14621" width="8.7109375" style="416" customWidth="1"/>
    <col min="14622" max="14854" width="9.140625" style="416"/>
    <col min="14855" max="14855" width="5.42578125" style="416" customWidth="1"/>
    <col min="14856" max="14856" width="45.140625" style="416" customWidth="1"/>
    <col min="14857" max="14858" width="12" style="416" customWidth="1"/>
    <col min="14859" max="14859" width="16.140625" style="416" customWidth="1"/>
    <col min="14860" max="14860" width="7.7109375" style="416" customWidth="1"/>
    <col min="14861" max="14861" width="12" style="416" customWidth="1"/>
    <col min="14862" max="14863" width="9" style="416" customWidth="1"/>
    <col min="14864" max="14864" width="11.28515625" style="416" customWidth="1"/>
    <col min="14865" max="14866" width="12" style="416" customWidth="1"/>
    <col min="14867" max="14867" width="17.140625" style="416" customWidth="1"/>
    <col min="14868" max="14868" width="9" style="416" customWidth="1"/>
    <col min="14869" max="14869" width="12" style="416" customWidth="1"/>
    <col min="14870" max="14871" width="9" style="416" customWidth="1"/>
    <col min="14872" max="14872" width="9.85546875" style="416" customWidth="1"/>
    <col min="14873" max="14873" width="10.140625" style="416" customWidth="1"/>
    <col min="14874" max="14874" width="7.85546875" style="416" customWidth="1"/>
    <col min="14875" max="14875" width="8.5703125" style="416" customWidth="1"/>
    <col min="14876" max="14876" width="7.85546875" style="416" customWidth="1"/>
    <col min="14877" max="14877" width="8.7109375" style="416" customWidth="1"/>
    <col min="14878" max="15110" width="9.140625" style="416"/>
    <col min="15111" max="15111" width="5.42578125" style="416" customWidth="1"/>
    <col min="15112" max="15112" width="45.140625" style="416" customWidth="1"/>
    <col min="15113" max="15114" width="12" style="416" customWidth="1"/>
    <col min="15115" max="15115" width="16.140625" style="416" customWidth="1"/>
    <col min="15116" max="15116" width="7.7109375" style="416" customWidth="1"/>
    <col min="15117" max="15117" width="12" style="416" customWidth="1"/>
    <col min="15118" max="15119" width="9" style="416" customWidth="1"/>
    <col min="15120" max="15120" width="11.28515625" style="416" customWidth="1"/>
    <col min="15121" max="15122" width="12" style="416" customWidth="1"/>
    <col min="15123" max="15123" width="17.140625" style="416" customWidth="1"/>
    <col min="15124" max="15124" width="9" style="416" customWidth="1"/>
    <col min="15125" max="15125" width="12" style="416" customWidth="1"/>
    <col min="15126" max="15127" width="9" style="416" customWidth="1"/>
    <col min="15128" max="15128" width="9.85546875" style="416" customWidth="1"/>
    <col min="15129" max="15129" width="10.140625" style="416" customWidth="1"/>
    <col min="15130" max="15130" width="7.85546875" style="416" customWidth="1"/>
    <col min="15131" max="15131" width="8.5703125" style="416" customWidth="1"/>
    <col min="15132" max="15132" width="7.85546875" style="416" customWidth="1"/>
    <col min="15133" max="15133" width="8.7109375" style="416" customWidth="1"/>
    <col min="15134" max="15366" width="9.140625" style="416"/>
    <col min="15367" max="15367" width="5.42578125" style="416" customWidth="1"/>
    <col min="15368" max="15368" width="45.140625" style="416" customWidth="1"/>
    <col min="15369" max="15370" width="12" style="416" customWidth="1"/>
    <col min="15371" max="15371" width="16.140625" style="416" customWidth="1"/>
    <col min="15372" max="15372" width="7.7109375" style="416" customWidth="1"/>
    <col min="15373" max="15373" width="12" style="416" customWidth="1"/>
    <col min="15374" max="15375" width="9" style="416" customWidth="1"/>
    <col min="15376" max="15376" width="11.28515625" style="416" customWidth="1"/>
    <col min="15377" max="15378" width="12" style="416" customWidth="1"/>
    <col min="15379" max="15379" width="17.140625" style="416" customWidth="1"/>
    <col min="15380" max="15380" width="9" style="416" customWidth="1"/>
    <col min="15381" max="15381" width="12" style="416" customWidth="1"/>
    <col min="15382" max="15383" width="9" style="416" customWidth="1"/>
    <col min="15384" max="15384" width="9.85546875" style="416" customWidth="1"/>
    <col min="15385" max="15385" width="10.140625" style="416" customWidth="1"/>
    <col min="15386" max="15386" width="7.85546875" style="416" customWidth="1"/>
    <col min="15387" max="15387" width="8.5703125" style="416" customWidth="1"/>
    <col min="15388" max="15388" width="7.85546875" style="416" customWidth="1"/>
    <col min="15389" max="15389" width="8.7109375" style="416" customWidth="1"/>
    <col min="15390" max="15622" width="9.140625" style="416"/>
    <col min="15623" max="15623" width="5.42578125" style="416" customWidth="1"/>
    <col min="15624" max="15624" width="45.140625" style="416" customWidth="1"/>
    <col min="15625" max="15626" width="12" style="416" customWidth="1"/>
    <col min="15627" max="15627" width="16.140625" style="416" customWidth="1"/>
    <col min="15628" max="15628" width="7.7109375" style="416" customWidth="1"/>
    <col min="15629" max="15629" width="12" style="416" customWidth="1"/>
    <col min="15630" max="15631" width="9" style="416" customWidth="1"/>
    <col min="15632" max="15632" width="11.28515625" style="416" customWidth="1"/>
    <col min="15633" max="15634" width="12" style="416" customWidth="1"/>
    <col min="15635" max="15635" width="17.140625" style="416" customWidth="1"/>
    <col min="15636" max="15636" width="9" style="416" customWidth="1"/>
    <col min="15637" max="15637" width="12" style="416" customWidth="1"/>
    <col min="15638" max="15639" width="9" style="416" customWidth="1"/>
    <col min="15640" max="15640" width="9.85546875" style="416" customWidth="1"/>
    <col min="15641" max="15641" width="10.140625" style="416" customWidth="1"/>
    <col min="15642" max="15642" width="7.85546875" style="416" customWidth="1"/>
    <col min="15643" max="15643" width="8.5703125" style="416" customWidth="1"/>
    <col min="15644" max="15644" width="7.85546875" style="416" customWidth="1"/>
    <col min="15645" max="15645" width="8.7109375" style="416" customWidth="1"/>
    <col min="15646" max="15878" width="9.140625" style="416"/>
    <col min="15879" max="15879" width="5.42578125" style="416" customWidth="1"/>
    <col min="15880" max="15880" width="45.140625" style="416" customWidth="1"/>
    <col min="15881" max="15882" width="12" style="416" customWidth="1"/>
    <col min="15883" max="15883" width="16.140625" style="416" customWidth="1"/>
    <col min="15884" max="15884" width="7.7109375" style="416" customWidth="1"/>
    <col min="15885" max="15885" width="12" style="416" customWidth="1"/>
    <col min="15886" max="15887" width="9" style="416" customWidth="1"/>
    <col min="15888" max="15888" width="11.28515625" style="416" customWidth="1"/>
    <col min="15889" max="15890" width="12" style="416" customWidth="1"/>
    <col min="15891" max="15891" width="17.140625" style="416" customWidth="1"/>
    <col min="15892" max="15892" width="9" style="416" customWidth="1"/>
    <col min="15893" max="15893" width="12" style="416" customWidth="1"/>
    <col min="15894" max="15895" width="9" style="416" customWidth="1"/>
    <col min="15896" max="15896" width="9.85546875" style="416" customWidth="1"/>
    <col min="15897" max="15897" width="10.140625" style="416" customWidth="1"/>
    <col min="15898" max="15898" width="7.85546875" style="416" customWidth="1"/>
    <col min="15899" max="15899" width="8.5703125" style="416" customWidth="1"/>
    <col min="15900" max="15900" width="7.85546875" style="416" customWidth="1"/>
    <col min="15901" max="15901" width="8.7109375" style="416" customWidth="1"/>
    <col min="15902" max="16134" width="9.140625" style="416"/>
    <col min="16135" max="16135" width="5.42578125" style="416" customWidth="1"/>
    <col min="16136" max="16136" width="45.140625" style="416" customWidth="1"/>
    <col min="16137" max="16138" width="12" style="416" customWidth="1"/>
    <col min="16139" max="16139" width="16.140625" style="416" customWidth="1"/>
    <col min="16140" max="16140" width="7.7109375" style="416" customWidth="1"/>
    <col min="16141" max="16141" width="12" style="416" customWidth="1"/>
    <col min="16142" max="16143" width="9" style="416" customWidth="1"/>
    <col min="16144" max="16144" width="11.28515625" style="416" customWidth="1"/>
    <col min="16145" max="16146" width="12" style="416" customWidth="1"/>
    <col min="16147" max="16147" width="17.140625" style="416" customWidth="1"/>
    <col min="16148" max="16148" width="9" style="416" customWidth="1"/>
    <col min="16149" max="16149" width="12" style="416" customWidth="1"/>
    <col min="16150" max="16151" width="9" style="416" customWidth="1"/>
    <col min="16152" max="16152" width="9.85546875" style="416" customWidth="1"/>
    <col min="16153" max="16153" width="10.140625" style="416" customWidth="1"/>
    <col min="16154" max="16154" width="7.85546875" style="416" customWidth="1"/>
    <col min="16155" max="16155" width="8.5703125" style="416" customWidth="1"/>
    <col min="16156" max="16156" width="7.85546875" style="416" customWidth="1"/>
    <col min="16157" max="16157" width="8.7109375" style="416" customWidth="1"/>
    <col min="16158" max="16384" width="9.140625" style="416"/>
  </cols>
  <sheetData>
    <row r="1" spans="1:35" ht="16.5">
      <c r="A1" s="414"/>
      <c r="B1" s="663" t="s">
        <v>886</v>
      </c>
      <c r="C1" s="663"/>
      <c r="D1" s="151"/>
      <c r="E1" s="415"/>
      <c r="F1" s="415"/>
      <c r="G1" s="415"/>
      <c r="H1" s="415"/>
      <c r="O1" s="151"/>
      <c r="P1" s="415"/>
      <c r="Q1" s="415"/>
      <c r="R1" s="415"/>
      <c r="AB1" s="417"/>
      <c r="AF1" s="416"/>
    </row>
    <row r="2" spans="1:35">
      <c r="A2" s="418"/>
      <c r="B2" s="415"/>
      <c r="C2" s="415"/>
      <c r="D2" s="151"/>
      <c r="G2" s="415"/>
      <c r="O2" s="151"/>
      <c r="AB2" s="415"/>
      <c r="AF2" s="416"/>
    </row>
    <row r="3" spans="1:35" ht="21.75" customHeight="1">
      <c r="A3" s="664" t="s">
        <v>962</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266"/>
    </row>
    <row r="4" spans="1:35" ht="21.75" customHeight="1">
      <c r="A4" s="665" t="s">
        <v>953</v>
      </c>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266"/>
    </row>
    <row r="5" spans="1:35" ht="21.75" customHeight="1">
      <c r="A5" s="419"/>
      <c r="B5" s="420"/>
      <c r="C5" s="421"/>
      <c r="D5" s="420"/>
      <c r="E5" s="420"/>
      <c r="F5" s="420"/>
      <c r="G5" s="420"/>
      <c r="H5" s="421"/>
      <c r="I5" s="421"/>
      <c r="J5" s="420"/>
      <c r="K5" s="420"/>
      <c r="L5" s="420"/>
      <c r="M5" s="420"/>
      <c r="N5" s="420"/>
      <c r="O5" s="420"/>
      <c r="P5" s="420"/>
      <c r="Q5" s="420"/>
      <c r="R5" s="420"/>
      <c r="S5" s="420"/>
      <c r="T5" s="420"/>
      <c r="U5" s="420"/>
      <c r="V5" s="420"/>
      <c r="W5" s="420"/>
      <c r="X5" s="420"/>
      <c r="Y5" s="420"/>
      <c r="Z5" s="420"/>
      <c r="AA5" s="420"/>
      <c r="AB5" s="420"/>
      <c r="AC5" s="420"/>
      <c r="AD5" s="420"/>
      <c r="AE5" s="420"/>
      <c r="AF5" s="266"/>
    </row>
    <row r="6" spans="1:35">
      <c r="B6" s="422"/>
      <c r="C6" s="592"/>
      <c r="D6" s="415"/>
      <c r="E6" s="415"/>
      <c r="F6" s="415"/>
      <c r="G6" s="415"/>
      <c r="H6" s="415"/>
      <c r="I6" s="415"/>
      <c r="J6" s="415"/>
      <c r="K6" s="415"/>
      <c r="L6" s="415"/>
      <c r="M6" s="415"/>
      <c r="N6" s="469">
        <f>N11+'bieu 52_'!D10</f>
        <v>8083350.9689600011</v>
      </c>
      <c r="O6" s="415"/>
      <c r="P6" s="415"/>
      <c r="Q6" s="415"/>
      <c r="R6" s="415"/>
      <c r="S6" s="415"/>
      <c r="T6" s="415"/>
      <c r="U6" s="415"/>
      <c r="W6" s="151"/>
      <c r="X6" s="415"/>
      <c r="Y6" s="415"/>
      <c r="Z6" s="415"/>
      <c r="AA6" s="415"/>
      <c r="AB6" s="636"/>
      <c r="AC6" s="636"/>
      <c r="AD6" s="666" t="s">
        <v>888</v>
      </c>
      <c r="AE6" s="666"/>
      <c r="AF6" s="416"/>
    </row>
    <row r="7" spans="1:35" s="405" customFormat="1" ht="15.75" customHeight="1">
      <c r="A7" s="659" t="s">
        <v>16</v>
      </c>
      <c r="B7" s="659" t="s">
        <v>689</v>
      </c>
      <c r="C7" s="661" t="s">
        <v>610</v>
      </c>
      <c r="D7" s="667"/>
      <c r="E7" s="667"/>
      <c r="F7" s="667"/>
      <c r="G7" s="667"/>
      <c r="H7" s="667"/>
      <c r="I7" s="667"/>
      <c r="J7" s="667"/>
      <c r="K7" s="667"/>
      <c r="L7" s="667"/>
      <c r="M7" s="662"/>
      <c r="N7" s="661" t="s">
        <v>631</v>
      </c>
      <c r="O7" s="667"/>
      <c r="P7" s="667"/>
      <c r="Q7" s="667"/>
      <c r="R7" s="667"/>
      <c r="S7" s="667"/>
      <c r="T7" s="667"/>
      <c r="U7" s="667"/>
      <c r="V7" s="667"/>
      <c r="W7" s="667"/>
      <c r="X7" s="667"/>
      <c r="Y7" s="423"/>
      <c r="Z7" s="423"/>
      <c r="AA7" s="423"/>
      <c r="AB7" s="659" t="s">
        <v>632</v>
      </c>
      <c r="AC7" s="659"/>
      <c r="AD7" s="659"/>
      <c r="AE7" s="659"/>
    </row>
    <row r="8" spans="1:35" s="405" customFormat="1" ht="25.5" customHeight="1">
      <c r="A8" s="659"/>
      <c r="B8" s="659"/>
      <c r="C8" s="659" t="s">
        <v>946</v>
      </c>
      <c r="D8" s="659" t="s">
        <v>690</v>
      </c>
      <c r="E8" s="659" t="s">
        <v>691</v>
      </c>
      <c r="F8" s="659" t="s">
        <v>692</v>
      </c>
      <c r="G8" s="661" t="s">
        <v>693</v>
      </c>
      <c r="H8" s="662"/>
      <c r="I8" s="659" t="s">
        <v>945</v>
      </c>
      <c r="J8" s="637" t="s">
        <v>1028</v>
      </c>
      <c r="K8" s="659" t="s">
        <v>694</v>
      </c>
      <c r="L8" s="659"/>
      <c r="M8" s="659"/>
      <c r="N8" s="659" t="s">
        <v>157</v>
      </c>
      <c r="O8" s="659" t="s">
        <v>690</v>
      </c>
      <c r="P8" s="659" t="s">
        <v>691</v>
      </c>
      <c r="Q8" s="668" t="s">
        <v>161</v>
      </c>
      <c r="R8" s="669"/>
      <c r="S8" s="659" t="s">
        <v>945</v>
      </c>
      <c r="T8" s="659" t="s">
        <v>1028</v>
      </c>
      <c r="U8" s="659" t="s">
        <v>694</v>
      </c>
      <c r="V8" s="659"/>
      <c r="W8" s="659"/>
      <c r="X8" s="659" t="s">
        <v>695</v>
      </c>
      <c r="Y8" s="661" t="s">
        <v>161</v>
      </c>
      <c r="Z8" s="662"/>
      <c r="AA8" s="659" t="s">
        <v>795</v>
      </c>
      <c r="AB8" s="659" t="s">
        <v>157</v>
      </c>
      <c r="AC8" s="660" t="s">
        <v>690</v>
      </c>
      <c r="AD8" s="660" t="s">
        <v>691</v>
      </c>
      <c r="AE8" s="660" t="s">
        <v>694</v>
      </c>
    </row>
    <row r="9" spans="1:35" s="426" customFormat="1" ht="108" customHeight="1">
      <c r="A9" s="659"/>
      <c r="B9" s="659"/>
      <c r="C9" s="659"/>
      <c r="D9" s="659"/>
      <c r="E9" s="659"/>
      <c r="F9" s="659"/>
      <c r="G9" s="424" t="s">
        <v>173</v>
      </c>
      <c r="H9" s="424" t="s">
        <v>174</v>
      </c>
      <c r="I9" s="659"/>
      <c r="J9" s="637"/>
      <c r="K9" s="400" t="s">
        <v>157</v>
      </c>
      <c r="L9" s="400" t="s">
        <v>697</v>
      </c>
      <c r="M9" s="400" t="s">
        <v>698</v>
      </c>
      <c r="N9" s="659"/>
      <c r="O9" s="659"/>
      <c r="P9" s="659"/>
      <c r="Q9" s="425" t="s">
        <v>699</v>
      </c>
      <c r="R9" s="425" t="s">
        <v>700</v>
      </c>
      <c r="S9" s="659"/>
      <c r="T9" s="659"/>
      <c r="U9" s="400" t="s">
        <v>157</v>
      </c>
      <c r="V9" s="400" t="s">
        <v>697</v>
      </c>
      <c r="W9" s="400" t="s">
        <v>698</v>
      </c>
      <c r="X9" s="659"/>
      <c r="Y9" s="424" t="s">
        <v>701</v>
      </c>
      <c r="Z9" s="424" t="s">
        <v>702</v>
      </c>
      <c r="AA9" s="659"/>
      <c r="AB9" s="659"/>
      <c r="AC9" s="660"/>
      <c r="AD9" s="660"/>
      <c r="AE9" s="660"/>
    </row>
    <row r="10" spans="1:35" s="429" customFormat="1" ht="18.75" customHeight="1">
      <c r="A10" s="427" t="s">
        <v>23</v>
      </c>
      <c r="B10" s="427" t="s">
        <v>24</v>
      </c>
      <c r="C10" s="427" t="s">
        <v>703</v>
      </c>
      <c r="D10" s="427">
        <v>2</v>
      </c>
      <c r="E10" s="427">
        <v>3</v>
      </c>
      <c r="F10" s="427"/>
      <c r="G10" s="427"/>
      <c r="H10" s="427"/>
      <c r="I10" s="427">
        <v>4</v>
      </c>
      <c r="J10" s="427">
        <v>5</v>
      </c>
      <c r="K10" s="427" t="s">
        <v>704</v>
      </c>
      <c r="L10" s="427">
        <v>7</v>
      </c>
      <c r="M10" s="427">
        <v>8</v>
      </c>
      <c r="N10" s="428" t="s">
        <v>705</v>
      </c>
      <c r="O10" s="427">
        <v>10</v>
      </c>
      <c r="P10" s="427">
        <v>11</v>
      </c>
      <c r="Q10" s="427"/>
      <c r="R10" s="427"/>
      <c r="S10" s="427">
        <v>12</v>
      </c>
      <c r="T10" s="427">
        <v>13</v>
      </c>
      <c r="U10" s="427" t="s">
        <v>706</v>
      </c>
      <c r="V10" s="427">
        <v>15</v>
      </c>
      <c r="W10" s="427">
        <v>16</v>
      </c>
      <c r="X10" s="427" t="s">
        <v>707</v>
      </c>
      <c r="Y10" s="427">
        <v>18</v>
      </c>
      <c r="Z10" s="427">
        <v>19</v>
      </c>
      <c r="AA10" s="427">
        <v>20</v>
      </c>
      <c r="AB10" s="427" t="s">
        <v>708</v>
      </c>
      <c r="AC10" s="427" t="s">
        <v>709</v>
      </c>
      <c r="AD10" s="427" t="s">
        <v>710</v>
      </c>
      <c r="AE10" s="427" t="s">
        <v>711</v>
      </c>
      <c r="AG10" s="468">
        <f>O11-'bieu 53_'!M8</f>
        <v>1986836.6887870003</v>
      </c>
    </row>
    <row r="11" spans="1:35" s="432" customFormat="1" ht="18.75" customHeight="1">
      <c r="A11" s="152"/>
      <c r="B11" s="152" t="s">
        <v>157</v>
      </c>
      <c r="C11" s="430">
        <f>D11+E11+I11+J11+K11</f>
        <v>4869530.6639999999</v>
      </c>
      <c r="D11" s="152">
        <f>D12+D111+D112+D113+D116+D117+D103+D114</f>
        <v>2621912.6639999999</v>
      </c>
      <c r="E11" s="152">
        <f t="shared" ref="E11:M11" si="0">E12+E111+E112+E113+E116+E117+E103+E114</f>
        <v>1779289</v>
      </c>
      <c r="F11" s="152">
        <f t="shared" si="0"/>
        <v>1636507</v>
      </c>
      <c r="G11" s="152">
        <f t="shared" si="0"/>
        <v>18680</v>
      </c>
      <c r="H11" s="152">
        <f t="shared" si="0"/>
        <v>124102</v>
      </c>
      <c r="I11" s="152">
        <f t="shared" si="0"/>
        <v>2000</v>
      </c>
      <c r="J11" s="152">
        <f t="shared" si="0"/>
        <v>466329</v>
      </c>
      <c r="K11" s="152">
        <f t="shared" si="0"/>
        <v>0</v>
      </c>
      <c r="L11" s="152">
        <f t="shared" si="0"/>
        <v>0</v>
      </c>
      <c r="M11" s="152">
        <f t="shared" si="0"/>
        <v>0</v>
      </c>
      <c r="N11" s="152">
        <f t="shared" ref="N11:S11" si="1">N12+N111+N112+N113+N116+N117+N118+N115</f>
        <v>6076279.9689600011</v>
      </c>
      <c r="O11" s="152">
        <f t="shared" si="1"/>
        <v>1986836.6887870003</v>
      </c>
      <c r="P11" s="152">
        <f t="shared" si="1"/>
        <v>1838051.2794800003</v>
      </c>
      <c r="Q11" s="152">
        <f t="shared" si="1"/>
        <v>1496560.9167680005</v>
      </c>
      <c r="R11" s="152">
        <f t="shared" si="1"/>
        <v>341490.36271199997</v>
      </c>
      <c r="S11" s="152">
        <f t="shared" si="1"/>
        <v>9500.851999999999</v>
      </c>
      <c r="T11" s="152">
        <f>T12+T111+T112+T113+T116+T117+T118+T115</f>
        <v>546390.10800000001</v>
      </c>
      <c r="U11" s="152">
        <f t="shared" ref="U11:AA11" si="2">U12+U111+U112+U113+U116+U117+U118+U115</f>
        <v>37058.607468999995</v>
      </c>
      <c r="V11" s="152">
        <f t="shared" si="2"/>
        <v>36570.607468999995</v>
      </c>
      <c r="W11" s="152">
        <f t="shared" si="2"/>
        <v>488</v>
      </c>
      <c r="X11" s="152">
        <f t="shared" si="2"/>
        <v>1326874.6171550001</v>
      </c>
      <c r="Y11" s="152">
        <f t="shared" si="2"/>
        <v>0</v>
      </c>
      <c r="Z11" s="152">
        <f t="shared" si="2"/>
        <v>0</v>
      </c>
      <c r="AA11" s="152">
        <f t="shared" si="2"/>
        <v>331567.81606899999</v>
      </c>
      <c r="AB11" s="431">
        <f t="shared" ref="AB11:AC14" si="3">N11/C11%</f>
        <v>124.78163478631299</v>
      </c>
      <c r="AC11" s="431">
        <f>O11/D11%</f>
        <v>75.778141509712782</v>
      </c>
      <c r="AD11" s="431">
        <f t="shared" ref="AD11:AD14" si="4">P11/E11%</f>
        <v>103.30257082913458</v>
      </c>
      <c r="AE11" s="431"/>
    </row>
    <row r="12" spans="1:35" s="432" customFormat="1" ht="24.75" customHeight="1">
      <c r="A12" s="430" t="s">
        <v>28</v>
      </c>
      <c r="B12" s="433" t="s">
        <v>158</v>
      </c>
      <c r="C12" s="430">
        <f>D12+E12+I12+J12+K12</f>
        <v>4327873.6639999999</v>
      </c>
      <c r="D12" s="430">
        <f t="shared" ref="D12:Z12" si="5">D13+D91</f>
        <v>2621912.6639999999</v>
      </c>
      <c r="E12" s="430">
        <f t="shared" si="5"/>
        <v>1705961</v>
      </c>
      <c r="F12" s="430">
        <f t="shared" si="5"/>
        <v>1563179</v>
      </c>
      <c r="G12" s="430">
        <f t="shared" si="5"/>
        <v>18680</v>
      </c>
      <c r="H12" s="430">
        <f t="shared" si="5"/>
        <v>124102</v>
      </c>
      <c r="I12" s="430">
        <f t="shared" si="5"/>
        <v>0</v>
      </c>
      <c r="J12" s="430">
        <f t="shared" si="5"/>
        <v>0</v>
      </c>
      <c r="K12" s="430">
        <f t="shared" si="5"/>
        <v>0</v>
      </c>
      <c r="L12" s="430">
        <f t="shared" si="5"/>
        <v>0</v>
      </c>
      <c r="M12" s="430">
        <f t="shared" si="5"/>
        <v>0</v>
      </c>
      <c r="N12" s="430">
        <f t="shared" si="5"/>
        <v>3861946.5757360002</v>
      </c>
      <c r="O12" s="430">
        <f t="shared" si="5"/>
        <v>1986836.6887870003</v>
      </c>
      <c r="P12" s="430">
        <f t="shared" si="5"/>
        <v>1838051.2794800003</v>
      </c>
      <c r="Q12" s="430">
        <f t="shared" si="5"/>
        <v>1496560.9167680005</v>
      </c>
      <c r="R12" s="430">
        <f t="shared" si="5"/>
        <v>341490.36271199997</v>
      </c>
      <c r="S12" s="430">
        <f t="shared" si="5"/>
        <v>0</v>
      </c>
      <c r="T12" s="430">
        <f t="shared" si="5"/>
        <v>0</v>
      </c>
      <c r="U12" s="430">
        <f t="shared" si="5"/>
        <v>37058.607468999995</v>
      </c>
      <c r="V12" s="430">
        <f t="shared" si="5"/>
        <v>36570.607468999995</v>
      </c>
      <c r="W12" s="430">
        <f t="shared" si="5"/>
        <v>488</v>
      </c>
      <c r="X12" s="430">
        <f t="shared" si="5"/>
        <v>0</v>
      </c>
      <c r="Y12" s="430">
        <f t="shared" si="5"/>
        <v>0</v>
      </c>
      <c r="Z12" s="430">
        <f t="shared" si="5"/>
        <v>0</v>
      </c>
      <c r="AA12" s="430"/>
      <c r="AB12" s="431">
        <f t="shared" si="3"/>
        <v>89.234272429445866</v>
      </c>
      <c r="AC12" s="431">
        <f t="shared" si="3"/>
        <v>75.778141509712782</v>
      </c>
      <c r="AD12" s="431">
        <f t="shared" si="4"/>
        <v>107.74286630702579</v>
      </c>
      <c r="AE12" s="431"/>
      <c r="AG12" s="434"/>
    </row>
    <row r="13" spans="1:35" s="432" customFormat="1" ht="33.75" customHeight="1">
      <c r="A13" s="430" t="s">
        <v>712</v>
      </c>
      <c r="B13" s="433" t="s">
        <v>713</v>
      </c>
      <c r="C13" s="430">
        <f>D13+E13+I13+J13+K13</f>
        <v>3942688.429</v>
      </c>
      <c r="D13" s="430">
        <f t="shared" ref="D13:Z13" si="6">SUM(D14:D90)</f>
        <v>2236727.429</v>
      </c>
      <c r="E13" s="430">
        <f t="shared" si="6"/>
        <v>1705961</v>
      </c>
      <c r="F13" s="430">
        <f t="shared" si="6"/>
        <v>1563179</v>
      </c>
      <c r="G13" s="430">
        <f t="shared" si="6"/>
        <v>18680</v>
      </c>
      <c r="H13" s="430">
        <f t="shared" si="6"/>
        <v>124102</v>
      </c>
      <c r="I13" s="430">
        <f t="shared" si="6"/>
        <v>0</v>
      </c>
      <c r="J13" s="430">
        <f t="shared" si="6"/>
        <v>0</v>
      </c>
      <c r="K13" s="430">
        <f t="shared" si="6"/>
        <v>0</v>
      </c>
      <c r="L13" s="430">
        <f t="shared" si="6"/>
        <v>0</v>
      </c>
      <c r="M13" s="430">
        <f t="shared" si="6"/>
        <v>0</v>
      </c>
      <c r="N13" s="430">
        <f t="shared" si="6"/>
        <v>3481286.4938780004</v>
      </c>
      <c r="O13" s="430">
        <f t="shared" si="6"/>
        <v>1642747.2143980002</v>
      </c>
      <c r="P13" s="430">
        <f t="shared" si="6"/>
        <v>1838051.2794800003</v>
      </c>
      <c r="Q13" s="430">
        <f>SUM(Q14:Q90)</f>
        <v>1496560.9167680005</v>
      </c>
      <c r="R13" s="430">
        <f>SUM(R14:R90)</f>
        <v>341490.36271199997</v>
      </c>
      <c r="S13" s="430">
        <f t="shared" si="6"/>
        <v>0</v>
      </c>
      <c r="T13" s="430">
        <f t="shared" si="6"/>
        <v>0</v>
      </c>
      <c r="U13" s="430">
        <f t="shared" si="6"/>
        <v>488</v>
      </c>
      <c r="V13" s="430">
        <f t="shared" si="6"/>
        <v>0</v>
      </c>
      <c r="W13" s="430">
        <f t="shared" si="6"/>
        <v>488</v>
      </c>
      <c r="X13" s="430">
        <f t="shared" si="6"/>
        <v>0</v>
      </c>
      <c r="Y13" s="430">
        <f t="shared" si="6"/>
        <v>0</v>
      </c>
      <c r="Z13" s="430">
        <f t="shared" si="6"/>
        <v>0</v>
      </c>
      <c r="AA13" s="430"/>
      <c r="AB13" s="431">
        <f t="shared" si="3"/>
        <v>88.297276251194234</v>
      </c>
      <c r="AC13" s="431">
        <f t="shared" si="3"/>
        <v>73.444228970377594</v>
      </c>
      <c r="AD13" s="431">
        <f t="shared" si="4"/>
        <v>107.74286630702579</v>
      </c>
      <c r="AE13" s="431"/>
      <c r="AG13" s="435"/>
      <c r="AH13" s="436"/>
      <c r="AI13" s="416"/>
    </row>
    <row r="14" spans="1:35" s="442" customFormat="1" ht="39.75" customHeight="1">
      <c r="A14" s="437" t="s">
        <v>367</v>
      </c>
      <c r="B14" s="438" t="s">
        <v>931</v>
      </c>
      <c r="C14" s="439">
        <f>D14+E14+I14+J14+K14</f>
        <v>166290</v>
      </c>
      <c r="D14" s="439">
        <v>250</v>
      </c>
      <c r="E14" s="439">
        <f>F14+G14+H14</f>
        <v>166040</v>
      </c>
      <c r="F14" s="439">
        <v>165840</v>
      </c>
      <c r="G14" s="439">
        <v>200</v>
      </c>
      <c r="H14" s="439"/>
      <c r="I14" s="439"/>
      <c r="J14" s="439"/>
      <c r="K14" s="439">
        <f t="shared" ref="K14:K77" si="7">L14+M14</f>
        <v>0</v>
      </c>
      <c r="L14" s="439"/>
      <c r="M14" s="439"/>
      <c r="N14" s="439">
        <f>O14+P14+S14+T14+U14</f>
        <v>146126.40807100001</v>
      </c>
      <c r="O14" s="439">
        <v>1193.7137930000001</v>
      </c>
      <c r="P14" s="440">
        <f>Q14+R14</f>
        <v>144444.69427800001</v>
      </c>
      <c r="Q14" s="439">
        <f>4887.369031+843.243745+5691.7265+6778.87+3363.60898+703.733361+3235.103974+786.635+21176.980855+3285.118+2083.747343+12795.319481+1051.02495+629+17698.562889+10964.759+3912.787817+10759.320824+1729.705+1557.2+3134.343208+3726.59409+10561.64199+13589.29124-12.993-488</f>
        <v>144444.69427800001</v>
      </c>
      <c r="R14" s="440"/>
      <c r="S14" s="439"/>
      <c r="T14" s="439"/>
      <c r="U14" s="439">
        <f t="shared" ref="U14:U35" si="8">V14+W14</f>
        <v>488</v>
      </c>
      <c r="V14" s="439"/>
      <c r="W14" s="439">
        <v>488</v>
      </c>
      <c r="X14" s="439"/>
      <c r="Y14" s="439"/>
      <c r="Z14" s="439"/>
      <c r="AA14" s="439"/>
      <c r="AB14" s="441">
        <f t="shared" si="3"/>
        <v>87.874441079439535</v>
      </c>
      <c r="AC14" s="441">
        <f>O14/D14%</f>
        <v>477.48551720000006</v>
      </c>
      <c r="AD14" s="441">
        <f t="shared" si="4"/>
        <v>86.99391368224525</v>
      </c>
      <c r="AE14" s="441"/>
      <c r="AG14" s="416"/>
      <c r="AH14" s="420"/>
      <c r="AI14" s="416"/>
    </row>
    <row r="15" spans="1:35" s="442" customFormat="1" ht="24.75" customHeight="1">
      <c r="A15" s="443" t="s">
        <v>368</v>
      </c>
      <c r="B15" s="444" t="s">
        <v>255</v>
      </c>
      <c r="C15" s="439">
        <f t="shared" ref="C15:C78" si="9">D15+E15+I15+J15+K15</f>
        <v>77715.236999999994</v>
      </c>
      <c r="D15" s="439">
        <v>816.23699999999997</v>
      </c>
      <c r="E15" s="439">
        <f t="shared" ref="E15:E78" si="10">F15+G15+H15</f>
        <v>76899</v>
      </c>
      <c r="F15" s="439">
        <v>32226</v>
      </c>
      <c r="G15" s="439"/>
      <c r="H15" s="439">
        <f>479+44194</f>
        <v>44673</v>
      </c>
      <c r="I15" s="439"/>
      <c r="J15" s="439"/>
      <c r="K15" s="439">
        <f t="shared" si="7"/>
        <v>0</v>
      </c>
      <c r="L15" s="439"/>
      <c r="M15" s="439"/>
      <c r="N15" s="439">
        <f>O15+P15+S15+T15+U15</f>
        <v>90576.17381600001</v>
      </c>
      <c r="O15" s="439">
        <v>751.81200000000001</v>
      </c>
      <c r="P15" s="440">
        <f t="shared" ref="P15:P78" si="11">Q15+R15</f>
        <v>89824.361816000004</v>
      </c>
      <c r="Q15" s="439">
        <f>259+4843.880669+81611.327559+3110.153588</f>
        <v>89824.361816000004</v>
      </c>
      <c r="R15" s="439"/>
      <c r="S15" s="439"/>
      <c r="T15" s="439"/>
      <c r="U15" s="439">
        <f t="shared" si="8"/>
        <v>0</v>
      </c>
      <c r="V15" s="439"/>
      <c r="W15" s="439"/>
      <c r="X15" s="439"/>
      <c r="Y15" s="439"/>
      <c r="Z15" s="439"/>
      <c r="AA15" s="439"/>
      <c r="AB15" s="441">
        <f t="shared" ref="AB15:AB78" si="12">N15/C15%</f>
        <v>116.54879700875135</v>
      </c>
      <c r="AC15" s="441">
        <f t="shared" ref="AC15:AC78" si="13">O15/D15%</f>
        <v>92.107071843104407</v>
      </c>
      <c r="AD15" s="441">
        <f t="shared" ref="AD15:AD72" si="14">P15/E15%</f>
        <v>116.80823133720855</v>
      </c>
      <c r="AE15" s="441"/>
      <c r="AG15" s="416"/>
      <c r="AH15" s="415"/>
      <c r="AI15" s="416"/>
    </row>
    <row r="16" spans="1:35" s="442" customFormat="1" ht="24.75" customHeight="1">
      <c r="A16" s="437" t="s">
        <v>369</v>
      </c>
      <c r="B16" s="445" t="s">
        <v>256</v>
      </c>
      <c r="C16" s="439">
        <f t="shared" si="9"/>
        <v>5803</v>
      </c>
      <c r="D16" s="439"/>
      <c r="E16" s="439">
        <f t="shared" si="10"/>
        <v>5803</v>
      </c>
      <c r="F16" s="439">
        <v>5803</v>
      </c>
      <c r="G16" s="439"/>
      <c r="H16" s="439"/>
      <c r="I16" s="439"/>
      <c r="J16" s="439"/>
      <c r="K16" s="439">
        <f t="shared" si="7"/>
        <v>0</v>
      </c>
      <c r="L16" s="439"/>
      <c r="M16" s="439"/>
      <c r="N16" s="439">
        <f t="shared" ref="N16:N79" si="15">O16+P16+S16+T16+U16</f>
        <v>5417.5056859999995</v>
      </c>
      <c r="O16" s="439"/>
      <c r="P16" s="440">
        <f t="shared" si="11"/>
        <v>5417.5056859999995</v>
      </c>
      <c r="Q16" s="439">
        <f>5170.267414+247.238272</f>
        <v>5417.5056859999995</v>
      </c>
      <c r="R16" s="440"/>
      <c r="S16" s="439"/>
      <c r="T16" s="439"/>
      <c r="U16" s="439">
        <f t="shared" si="8"/>
        <v>0</v>
      </c>
      <c r="V16" s="439"/>
      <c r="W16" s="439"/>
      <c r="X16" s="439"/>
      <c r="Y16" s="439"/>
      <c r="Z16" s="439"/>
      <c r="AA16" s="439"/>
      <c r="AB16" s="441">
        <f t="shared" si="12"/>
        <v>93.356982353954834</v>
      </c>
      <c r="AC16" s="441"/>
      <c r="AD16" s="441">
        <f t="shared" si="14"/>
        <v>93.356982353954834</v>
      </c>
      <c r="AE16" s="441"/>
      <c r="AG16" s="416"/>
      <c r="AH16" s="415"/>
      <c r="AI16" s="416"/>
    </row>
    <row r="17" spans="1:38" s="442" customFormat="1" ht="24.75" customHeight="1">
      <c r="A17" s="443" t="s">
        <v>370</v>
      </c>
      <c r="B17" s="445" t="s">
        <v>265</v>
      </c>
      <c r="C17" s="439">
        <f t="shared" si="9"/>
        <v>30712.26</v>
      </c>
      <c r="D17" s="446">
        <v>19.260000000000002</v>
      </c>
      <c r="E17" s="439">
        <f t="shared" si="10"/>
        <v>30693</v>
      </c>
      <c r="F17" s="439">
        <v>30693</v>
      </c>
      <c r="G17" s="439"/>
      <c r="H17" s="439"/>
      <c r="I17" s="439"/>
      <c r="J17" s="439"/>
      <c r="K17" s="439">
        <f t="shared" si="7"/>
        <v>0</v>
      </c>
      <c r="L17" s="439"/>
      <c r="M17" s="439"/>
      <c r="N17" s="439">
        <f t="shared" si="15"/>
        <v>83430.323854000002</v>
      </c>
      <c r="O17" s="439">
        <v>1701.2249999999999</v>
      </c>
      <c r="P17" s="440">
        <f t="shared" si="11"/>
        <v>81729.098853999996</v>
      </c>
      <c r="Q17" s="439">
        <f>1435.098+73080.019893+4721.003961+740.2+1752.777</f>
        <v>81729.098853999996</v>
      </c>
      <c r="R17" s="439"/>
      <c r="S17" s="439"/>
      <c r="T17" s="439"/>
      <c r="U17" s="439">
        <f t="shared" si="8"/>
        <v>0</v>
      </c>
      <c r="V17" s="439"/>
      <c r="W17" s="439"/>
      <c r="X17" s="439"/>
      <c r="Y17" s="439"/>
      <c r="Z17" s="439"/>
      <c r="AA17" s="439"/>
      <c r="AB17" s="441">
        <f t="shared" si="12"/>
        <v>271.65152891386049</v>
      </c>
      <c r="AC17" s="441">
        <f t="shared" si="13"/>
        <v>8832.9439252336433</v>
      </c>
      <c r="AD17" s="441">
        <f t="shared" si="14"/>
        <v>266.27927818720877</v>
      </c>
      <c r="AE17" s="441"/>
      <c r="AH17" s="447"/>
    </row>
    <row r="18" spans="1:38" s="442" customFormat="1" ht="24.75" customHeight="1">
      <c r="A18" s="437" t="s">
        <v>371</v>
      </c>
      <c r="B18" s="438" t="s">
        <v>268</v>
      </c>
      <c r="C18" s="439">
        <f t="shared" si="9"/>
        <v>16833</v>
      </c>
      <c r="D18" s="439">
        <v>7611</v>
      </c>
      <c r="E18" s="439">
        <f t="shared" si="10"/>
        <v>9222</v>
      </c>
      <c r="F18" s="439">
        <v>9222</v>
      </c>
      <c r="G18" s="439"/>
      <c r="H18" s="439"/>
      <c r="I18" s="439"/>
      <c r="J18" s="439"/>
      <c r="K18" s="439">
        <f t="shared" si="7"/>
        <v>0</v>
      </c>
      <c r="L18" s="439"/>
      <c r="M18" s="439"/>
      <c r="N18" s="439">
        <f t="shared" si="15"/>
        <v>20992.247212999999</v>
      </c>
      <c r="O18" s="439">
        <v>12054.132412999999</v>
      </c>
      <c r="P18" s="440">
        <f t="shared" si="11"/>
        <v>8938.1147999999994</v>
      </c>
      <c r="Q18" s="440">
        <f>6421.6658+2516.449</f>
        <v>8938.1147999999994</v>
      </c>
      <c r="R18" s="439"/>
      <c r="S18" s="439"/>
      <c r="T18" s="439"/>
      <c r="U18" s="439">
        <f t="shared" si="8"/>
        <v>0</v>
      </c>
      <c r="V18" s="439"/>
      <c r="W18" s="439"/>
      <c r="X18" s="439"/>
      <c r="Y18" s="439"/>
      <c r="Z18" s="439"/>
      <c r="AA18" s="439"/>
      <c r="AB18" s="441">
        <f t="shared" si="12"/>
        <v>124.70888857007068</v>
      </c>
      <c r="AC18" s="441">
        <f t="shared" si="13"/>
        <v>158.37777444488239</v>
      </c>
      <c r="AD18" s="441">
        <f t="shared" si="14"/>
        <v>96.921652569941443</v>
      </c>
      <c r="AE18" s="441"/>
    </row>
    <row r="19" spans="1:38" s="442" customFormat="1" ht="24.75" customHeight="1">
      <c r="A19" s="443" t="s">
        <v>372</v>
      </c>
      <c r="B19" s="445" t="s">
        <v>800</v>
      </c>
      <c r="C19" s="439">
        <f t="shared" si="9"/>
        <v>397187.68200000003</v>
      </c>
      <c r="D19" s="439">
        <v>41445.682000000001</v>
      </c>
      <c r="E19" s="439">
        <f t="shared" si="10"/>
        <v>355742</v>
      </c>
      <c r="F19" s="439">
        <v>349969</v>
      </c>
      <c r="G19" s="439">
        <v>100</v>
      </c>
      <c r="H19" s="439">
        <f>1205+562+3868+38</f>
        <v>5673</v>
      </c>
      <c r="I19" s="439"/>
      <c r="J19" s="439"/>
      <c r="K19" s="439">
        <f t="shared" si="7"/>
        <v>0</v>
      </c>
      <c r="L19" s="439"/>
      <c r="M19" s="439"/>
      <c r="N19" s="439">
        <f t="shared" si="15"/>
        <v>430500.7961080001</v>
      </c>
      <c r="O19" s="439">
        <v>44775.869199999994</v>
      </c>
      <c r="P19" s="440">
        <f t="shared" si="11"/>
        <v>385724.92690800008</v>
      </c>
      <c r="Q19" s="448">
        <f>10942.04+10572.282+5780.957+12177.33275+5776.734+9737.712+10242.058967+96.819+3180.6319+3841.173104+9741.8205+12153.35+4622.072+11707.306199+8139.9885+10799.257049+27200.227856+107857.252164+17121.466397+47093.542+12031.697236+8706.257302+9054.385+7198.397+4433.7795+7591.198484+7925.189</f>
        <v>385724.92690800008</v>
      </c>
      <c r="R19" s="439"/>
      <c r="S19" s="439"/>
      <c r="T19" s="439"/>
      <c r="U19" s="439">
        <f t="shared" si="8"/>
        <v>0</v>
      </c>
      <c r="V19" s="439"/>
      <c r="W19" s="439"/>
      <c r="X19" s="439"/>
      <c r="Y19" s="439"/>
      <c r="Z19" s="439"/>
      <c r="AA19" s="439"/>
      <c r="AB19" s="441">
        <f t="shared" si="12"/>
        <v>108.38724754510389</v>
      </c>
      <c r="AC19" s="441">
        <f t="shared" si="13"/>
        <v>108.03506430416562</v>
      </c>
      <c r="AD19" s="441">
        <f t="shared" si="14"/>
        <v>108.42827861427666</v>
      </c>
      <c r="AE19" s="441"/>
      <c r="AL19" s="447"/>
    </row>
    <row r="20" spans="1:38" s="442" customFormat="1" ht="24.75" customHeight="1">
      <c r="A20" s="437" t="s">
        <v>373</v>
      </c>
      <c r="B20" s="445" t="s">
        <v>801</v>
      </c>
      <c r="C20" s="439">
        <f t="shared" si="9"/>
        <v>343481</v>
      </c>
      <c r="D20" s="439">
        <f>30728+236-1</f>
        <v>30963</v>
      </c>
      <c r="E20" s="439">
        <f t="shared" si="10"/>
        <v>312518</v>
      </c>
      <c r="F20" s="439">
        <v>306306</v>
      </c>
      <c r="G20" s="439">
        <f>1529+4683</f>
        <v>6212</v>
      </c>
      <c r="H20" s="439"/>
      <c r="I20" s="439"/>
      <c r="J20" s="439"/>
      <c r="K20" s="439">
        <f t="shared" si="7"/>
        <v>0</v>
      </c>
      <c r="L20" s="439"/>
      <c r="M20" s="439"/>
      <c r="N20" s="439">
        <f t="shared" si="15"/>
        <v>355196.64174699999</v>
      </c>
      <c r="O20" s="439">
        <v>21207.079999999998</v>
      </c>
      <c r="P20" s="440">
        <f t="shared" si="11"/>
        <v>333989.56174699997</v>
      </c>
      <c r="Q20" s="439">
        <f>105+235544.825497+14902.534291+20432.742614+2622.671+13530.085411+2389.187+13171.844592+8880.91539+2923.854+364.70208+5510.860921+1120+2941.829</f>
        <v>324441.05179599999</v>
      </c>
      <c r="R20" s="439">
        <f>9548.509951</f>
        <v>9548.509951</v>
      </c>
      <c r="S20" s="439"/>
      <c r="T20" s="439"/>
      <c r="U20" s="439">
        <f t="shared" si="8"/>
        <v>0</v>
      </c>
      <c r="V20" s="439"/>
      <c r="W20" s="439"/>
      <c r="X20" s="439"/>
      <c r="Y20" s="439"/>
      <c r="Z20" s="439"/>
      <c r="AA20" s="439"/>
      <c r="AB20" s="441">
        <f t="shared" si="12"/>
        <v>103.41085583976988</v>
      </c>
      <c r="AC20" s="441">
        <f t="shared" si="13"/>
        <v>68.49168362238801</v>
      </c>
      <c r="AD20" s="441">
        <f t="shared" si="14"/>
        <v>106.87050401800856</v>
      </c>
      <c r="AE20" s="441"/>
    </row>
    <row r="21" spans="1:38" s="442" customFormat="1" ht="24.75" customHeight="1">
      <c r="A21" s="443" t="s">
        <v>379</v>
      </c>
      <c r="B21" s="445" t="s">
        <v>987</v>
      </c>
      <c r="C21" s="439">
        <f t="shared" si="9"/>
        <v>66367</v>
      </c>
      <c r="D21" s="439">
        <v>20298</v>
      </c>
      <c r="E21" s="439">
        <f t="shared" si="10"/>
        <v>46069</v>
      </c>
      <c r="F21" s="439">
        <v>46031</v>
      </c>
      <c r="G21" s="439"/>
      <c r="H21" s="439">
        <v>38</v>
      </c>
      <c r="I21" s="439"/>
      <c r="J21" s="439"/>
      <c r="K21" s="439">
        <f t="shared" si="7"/>
        <v>0</v>
      </c>
      <c r="L21" s="439"/>
      <c r="M21" s="439"/>
      <c r="N21" s="439">
        <f t="shared" si="15"/>
        <v>40984.648715000003</v>
      </c>
      <c r="O21" s="439">
        <v>3522.6559999999999</v>
      </c>
      <c r="P21" s="440">
        <f t="shared" si="11"/>
        <v>37461.992715</v>
      </c>
      <c r="Q21" s="439">
        <f>25327.994226+9172.340489+2961.658</f>
        <v>37461.992715</v>
      </c>
      <c r="R21" s="439"/>
      <c r="S21" s="439"/>
      <c r="T21" s="439"/>
      <c r="U21" s="439">
        <f t="shared" si="8"/>
        <v>0</v>
      </c>
      <c r="V21" s="439"/>
      <c r="W21" s="439"/>
      <c r="X21" s="439"/>
      <c r="Y21" s="439"/>
      <c r="Z21" s="439"/>
      <c r="AA21" s="439"/>
      <c r="AB21" s="441">
        <f t="shared" si="12"/>
        <v>61.754559818885902</v>
      </c>
      <c r="AC21" s="441">
        <f t="shared" si="13"/>
        <v>17.354695043846686</v>
      </c>
      <c r="AD21" s="441">
        <f t="shared" si="14"/>
        <v>81.317138889491844</v>
      </c>
      <c r="AE21" s="441"/>
    </row>
    <row r="22" spans="1:38" s="442" customFormat="1" ht="24.75" customHeight="1">
      <c r="A22" s="437" t="s">
        <v>383</v>
      </c>
      <c r="B22" s="445" t="s">
        <v>284</v>
      </c>
      <c r="C22" s="439">
        <f t="shared" si="9"/>
        <v>213246</v>
      </c>
      <c r="D22" s="439">
        <v>1354</v>
      </c>
      <c r="E22" s="439">
        <f t="shared" si="10"/>
        <v>211892</v>
      </c>
      <c r="F22" s="439">
        <v>210821</v>
      </c>
      <c r="G22" s="439"/>
      <c r="H22" s="439">
        <f>131+940</f>
        <v>1071</v>
      </c>
      <c r="I22" s="439"/>
      <c r="J22" s="439"/>
      <c r="K22" s="439">
        <f t="shared" si="7"/>
        <v>0</v>
      </c>
      <c r="L22" s="439"/>
      <c r="M22" s="439"/>
      <c r="N22" s="439">
        <f t="shared" si="15"/>
        <v>22972.895318999999</v>
      </c>
      <c r="O22" s="439">
        <v>1354</v>
      </c>
      <c r="P22" s="440">
        <f t="shared" si="11"/>
        <v>21618.895318999999</v>
      </c>
      <c r="Q22" s="439">
        <f>2154.679513+10017.026284+9447.189522</f>
        <v>21618.895318999999</v>
      </c>
      <c r="R22" s="439"/>
      <c r="S22" s="439"/>
      <c r="T22" s="439"/>
      <c r="U22" s="439">
        <f t="shared" si="8"/>
        <v>0</v>
      </c>
      <c r="V22" s="439"/>
      <c r="W22" s="439"/>
      <c r="X22" s="439"/>
      <c r="Y22" s="439"/>
      <c r="Z22" s="439"/>
      <c r="AA22" s="439"/>
      <c r="AB22" s="441">
        <f t="shared" si="12"/>
        <v>10.772954859176725</v>
      </c>
      <c r="AC22" s="441">
        <f t="shared" si="13"/>
        <v>100</v>
      </c>
      <c r="AD22" s="441">
        <f t="shared" si="14"/>
        <v>10.202789779227153</v>
      </c>
      <c r="AE22" s="441"/>
    </row>
    <row r="23" spans="1:38" s="442" customFormat="1" ht="24.75" customHeight="1">
      <c r="A23" s="443" t="s">
        <v>387</v>
      </c>
      <c r="B23" s="445" t="s">
        <v>287</v>
      </c>
      <c r="C23" s="439">
        <f t="shared" si="9"/>
        <v>9285</v>
      </c>
      <c r="D23" s="439"/>
      <c r="E23" s="439">
        <f t="shared" si="10"/>
        <v>9285</v>
      </c>
      <c r="F23" s="439">
        <v>9247</v>
      </c>
      <c r="G23" s="439"/>
      <c r="H23" s="439">
        <v>38</v>
      </c>
      <c r="I23" s="439"/>
      <c r="J23" s="439"/>
      <c r="K23" s="439">
        <f t="shared" si="7"/>
        <v>0</v>
      </c>
      <c r="L23" s="439"/>
      <c r="M23" s="439"/>
      <c r="N23" s="439">
        <f t="shared" si="15"/>
        <v>7878.4512000000004</v>
      </c>
      <c r="O23" s="439"/>
      <c r="P23" s="440">
        <f t="shared" si="11"/>
        <v>7878.4512000000004</v>
      </c>
      <c r="Q23" s="439">
        <f>1599+5860.4512+419</f>
        <v>7878.4512000000004</v>
      </c>
      <c r="R23" s="439"/>
      <c r="S23" s="439"/>
      <c r="T23" s="439"/>
      <c r="U23" s="439">
        <f t="shared" si="8"/>
        <v>0</v>
      </c>
      <c r="V23" s="439"/>
      <c r="W23" s="439"/>
      <c r="X23" s="439"/>
      <c r="Y23" s="439"/>
      <c r="Z23" s="439"/>
      <c r="AA23" s="439"/>
      <c r="AB23" s="441">
        <f t="shared" si="12"/>
        <v>84.851386106623593</v>
      </c>
      <c r="AC23" s="441"/>
      <c r="AD23" s="441">
        <f t="shared" si="14"/>
        <v>84.851386106623593</v>
      </c>
      <c r="AE23" s="441"/>
    </row>
    <row r="24" spans="1:38" s="442" customFormat="1" ht="34.5" customHeight="1">
      <c r="A24" s="437" t="s">
        <v>388</v>
      </c>
      <c r="B24" s="445" t="s">
        <v>290</v>
      </c>
      <c r="C24" s="439">
        <f t="shared" si="9"/>
        <v>106853</v>
      </c>
      <c r="D24" s="439">
        <v>40650</v>
      </c>
      <c r="E24" s="439">
        <f t="shared" si="10"/>
        <v>66203</v>
      </c>
      <c r="F24" s="439">
        <v>66158</v>
      </c>
      <c r="G24" s="439"/>
      <c r="H24" s="439">
        <v>45</v>
      </c>
      <c r="I24" s="439"/>
      <c r="J24" s="439"/>
      <c r="K24" s="439">
        <f t="shared" si="7"/>
        <v>0</v>
      </c>
      <c r="L24" s="439"/>
      <c r="M24" s="439"/>
      <c r="N24" s="439">
        <f t="shared" si="15"/>
        <v>67884.233311999997</v>
      </c>
      <c r="O24" s="439">
        <f>2968.613+500</f>
        <v>3468.6129999999998</v>
      </c>
      <c r="P24" s="440">
        <f t="shared" si="11"/>
        <v>64415.620311999999</v>
      </c>
      <c r="Q24" s="439"/>
      <c r="R24" s="439">
        <v>64415.620311999999</v>
      </c>
      <c r="S24" s="439"/>
      <c r="T24" s="439"/>
      <c r="U24" s="439">
        <f t="shared" si="8"/>
        <v>0</v>
      </c>
      <c r="V24" s="439"/>
      <c r="W24" s="439"/>
      <c r="X24" s="439"/>
      <c r="Y24" s="439"/>
      <c r="Z24" s="439"/>
      <c r="AA24" s="439"/>
      <c r="AB24" s="441">
        <f t="shared" si="12"/>
        <v>63.530488907190254</v>
      </c>
      <c r="AC24" s="441">
        <f t="shared" si="13"/>
        <v>8.5328733087330875</v>
      </c>
      <c r="AD24" s="441">
        <f t="shared" si="14"/>
        <v>97.300153032339921</v>
      </c>
      <c r="AE24" s="441"/>
    </row>
    <row r="25" spans="1:38" s="442" customFormat="1" ht="24.75" customHeight="1">
      <c r="A25" s="443" t="s">
        <v>389</v>
      </c>
      <c r="B25" s="445" t="s">
        <v>291</v>
      </c>
      <c r="C25" s="439">
        <f t="shared" si="9"/>
        <v>32352</v>
      </c>
      <c r="D25" s="439">
        <v>12500</v>
      </c>
      <c r="E25" s="439">
        <f t="shared" si="10"/>
        <v>19852</v>
      </c>
      <c r="F25" s="439">
        <v>19352</v>
      </c>
      <c r="G25" s="439"/>
      <c r="H25" s="439">
        <v>500</v>
      </c>
      <c r="I25" s="439"/>
      <c r="J25" s="439"/>
      <c r="K25" s="439">
        <f t="shared" si="7"/>
        <v>0</v>
      </c>
      <c r="L25" s="439"/>
      <c r="M25" s="439"/>
      <c r="N25" s="439">
        <f t="shared" si="15"/>
        <v>29425.206241</v>
      </c>
      <c r="O25" s="439">
        <v>17646.610184000001</v>
      </c>
      <c r="P25" s="440">
        <f t="shared" si="11"/>
        <v>11778.596057000001</v>
      </c>
      <c r="Q25" s="439">
        <f>9519.878105+285.200455+1973.517497</f>
        <v>11778.596057000001</v>
      </c>
      <c r="R25" s="439"/>
      <c r="S25" s="439"/>
      <c r="T25" s="439"/>
      <c r="U25" s="439">
        <f t="shared" si="8"/>
        <v>0</v>
      </c>
      <c r="V25" s="439"/>
      <c r="W25" s="439"/>
      <c r="X25" s="439"/>
      <c r="Y25" s="439"/>
      <c r="Z25" s="439"/>
      <c r="AA25" s="439"/>
      <c r="AB25" s="441">
        <f t="shared" si="12"/>
        <v>90.953283385880326</v>
      </c>
      <c r="AC25" s="441">
        <f t="shared" si="13"/>
        <v>141.172881472</v>
      </c>
      <c r="AD25" s="441">
        <f t="shared" si="14"/>
        <v>59.332037361474917</v>
      </c>
      <c r="AE25" s="441"/>
    </row>
    <row r="26" spans="1:38" s="442" customFormat="1" ht="24.75" customHeight="1">
      <c r="A26" s="437" t="s">
        <v>390</v>
      </c>
      <c r="B26" s="445" t="s">
        <v>293</v>
      </c>
      <c r="C26" s="439">
        <f t="shared" si="9"/>
        <v>14280</v>
      </c>
      <c r="D26" s="439">
        <v>2950</v>
      </c>
      <c r="E26" s="439">
        <f t="shared" si="10"/>
        <v>11330</v>
      </c>
      <c r="F26" s="439">
        <v>11204</v>
      </c>
      <c r="G26" s="439"/>
      <c r="H26" s="439">
        <v>126</v>
      </c>
      <c r="I26" s="439"/>
      <c r="J26" s="439"/>
      <c r="K26" s="439">
        <f t="shared" si="7"/>
        <v>0</v>
      </c>
      <c r="L26" s="439"/>
      <c r="M26" s="439"/>
      <c r="N26" s="439">
        <f t="shared" si="15"/>
        <v>13643.786592</v>
      </c>
      <c r="O26" s="439">
        <v>2824.129148</v>
      </c>
      <c r="P26" s="440">
        <f t="shared" si="11"/>
        <v>10819.657444</v>
      </c>
      <c r="Q26" s="439">
        <f>2786.214444+7089.443+216+296+432</f>
        <v>10819.657444</v>
      </c>
      <c r="R26" s="439"/>
      <c r="S26" s="439"/>
      <c r="T26" s="439"/>
      <c r="U26" s="439">
        <f t="shared" si="8"/>
        <v>0</v>
      </c>
      <c r="V26" s="439"/>
      <c r="W26" s="439"/>
      <c r="X26" s="439"/>
      <c r="Y26" s="439"/>
      <c r="Z26" s="439"/>
      <c r="AA26" s="439"/>
      <c r="AB26" s="441">
        <f t="shared" si="12"/>
        <v>95.544724033613434</v>
      </c>
      <c r="AC26" s="441">
        <f t="shared" si="13"/>
        <v>95.733191457627115</v>
      </c>
      <c r="AD26" s="441">
        <f t="shared" si="14"/>
        <v>95.495652639011482</v>
      </c>
      <c r="AE26" s="441"/>
    </row>
    <row r="27" spans="1:38" s="442" customFormat="1" ht="24.75" customHeight="1">
      <c r="A27" s="443" t="s">
        <v>391</v>
      </c>
      <c r="B27" s="445" t="s">
        <v>294</v>
      </c>
      <c r="C27" s="439">
        <f t="shared" si="9"/>
        <v>12784</v>
      </c>
      <c r="D27" s="439"/>
      <c r="E27" s="439">
        <f t="shared" si="10"/>
        <v>12784</v>
      </c>
      <c r="F27" s="439">
        <v>12746</v>
      </c>
      <c r="G27" s="439"/>
      <c r="H27" s="439">
        <v>38</v>
      </c>
      <c r="I27" s="439"/>
      <c r="J27" s="439"/>
      <c r="K27" s="439">
        <f t="shared" si="7"/>
        <v>0</v>
      </c>
      <c r="L27" s="439"/>
      <c r="M27" s="439"/>
      <c r="N27" s="439">
        <f t="shared" si="15"/>
        <v>12017.171110000001</v>
      </c>
      <c r="O27" s="439"/>
      <c r="P27" s="440">
        <f t="shared" si="11"/>
        <v>12017.171110000001</v>
      </c>
      <c r="Q27" s="439">
        <f>11351.365013+665.806097</f>
        <v>12017.171110000001</v>
      </c>
      <c r="R27" s="439"/>
      <c r="S27" s="439"/>
      <c r="T27" s="439"/>
      <c r="U27" s="439">
        <f t="shared" si="8"/>
        <v>0</v>
      </c>
      <c r="V27" s="439"/>
      <c r="W27" s="439"/>
      <c r="X27" s="439"/>
      <c r="Y27" s="439"/>
      <c r="Z27" s="439"/>
      <c r="AA27" s="439"/>
      <c r="AB27" s="441">
        <f t="shared" si="12"/>
        <v>94.001651361076355</v>
      </c>
      <c r="AC27" s="441"/>
      <c r="AD27" s="441">
        <f t="shared" si="14"/>
        <v>94.001651361076355</v>
      </c>
      <c r="AE27" s="441"/>
    </row>
    <row r="28" spans="1:38" s="442" customFormat="1" ht="24.75" customHeight="1">
      <c r="A28" s="437" t="s">
        <v>392</v>
      </c>
      <c r="B28" s="445" t="s">
        <v>296</v>
      </c>
      <c r="C28" s="439">
        <f t="shared" si="9"/>
        <v>169536.39600000001</v>
      </c>
      <c r="D28" s="439">
        <f>154584.396+57</f>
        <v>154641.39600000001</v>
      </c>
      <c r="E28" s="439">
        <f t="shared" si="10"/>
        <v>14895</v>
      </c>
      <c r="F28" s="439">
        <v>14895</v>
      </c>
      <c r="G28" s="439"/>
      <c r="H28" s="439"/>
      <c r="I28" s="439"/>
      <c r="J28" s="439"/>
      <c r="K28" s="439">
        <f t="shared" si="7"/>
        <v>0</v>
      </c>
      <c r="L28" s="439"/>
      <c r="M28" s="439"/>
      <c r="N28" s="439">
        <f t="shared" si="15"/>
        <v>257672.10697399999</v>
      </c>
      <c r="O28" s="439">
        <f>243499.554982+1166</f>
        <v>244665.554982</v>
      </c>
      <c r="P28" s="440">
        <f t="shared" si="11"/>
        <v>13006.551992000001</v>
      </c>
      <c r="Q28" s="439">
        <f>10389.908727+1281.794+1334.849265</f>
        <v>13006.551992000001</v>
      </c>
      <c r="R28" s="439"/>
      <c r="S28" s="439"/>
      <c r="T28" s="439"/>
      <c r="U28" s="439">
        <f t="shared" si="8"/>
        <v>0</v>
      </c>
      <c r="V28" s="439"/>
      <c r="W28" s="439"/>
      <c r="X28" s="439"/>
      <c r="Y28" s="439"/>
      <c r="Z28" s="439"/>
      <c r="AA28" s="439"/>
      <c r="AB28" s="441">
        <f t="shared" si="12"/>
        <v>151.98630680694663</v>
      </c>
      <c r="AC28" s="441">
        <f t="shared" si="13"/>
        <v>158.21478679744976</v>
      </c>
      <c r="AD28" s="441">
        <f t="shared" si="14"/>
        <v>87.32159779791877</v>
      </c>
      <c r="AE28" s="441"/>
    </row>
    <row r="29" spans="1:38" s="442" customFormat="1" ht="24.75" customHeight="1">
      <c r="A29" s="443" t="s">
        <v>510</v>
      </c>
      <c r="B29" s="445" t="s">
        <v>299</v>
      </c>
      <c r="C29" s="439">
        <f t="shared" si="9"/>
        <v>15365</v>
      </c>
      <c r="D29" s="439">
        <v>50</v>
      </c>
      <c r="E29" s="439">
        <f t="shared" si="10"/>
        <v>15315</v>
      </c>
      <c r="F29" s="439">
        <v>15315</v>
      </c>
      <c r="G29" s="439"/>
      <c r="H29" s="439"/>
      <c r="I29" s="439"/>
      <c r="J29" s="439"/>
      <c r="K29" s="439">
        <f t="shared" si="7"/>
        <v>0</v>
      </c>
      <c r="L29" s="439"/>
      <c r="M29" s="439"/>
      <c r="N29" s="439">
        <f t="shared" si="15"/>
        <v>22000.403539999999</v>
      </c>
      <c r="O29" s="439"/>
      <c r="P29" s="440">
        <f t="shared" si="11"/>
        <v>22000.403539999999</v>
      </c>
      <c r="Q29" s="440">
        <f>17483.887133+330.728539+1573.499158+2612.28871</f>
        <v>22000.403539999999</v>
      </c>
      <c r="R29" s="439"/>
      <c r="S29" s="439"/>
      <c r="T29" s="439"/>
      <c r="U29" s="439">
        <f t="shared" si="8"/>
        <v>0</v>
      </c>
      <c r="V29" s="439"/>
      <c r="W29" s="439"/>
      <c r="X29" s="439"/>
      <c r="Y29" s="439"/>
      <c r="Z29" s="439"/>
      <c r="AA29" s="439"/>
      <c r="AB29" s="441">
        <f t="shared" si="12"/>
        <v>143.18518411975268</v>
      </c>
      <c r="AC29" s="441">
        <f t="shared" si="13"/>
        <v>0</v>
      </c>
      <c r="AD29" s="441">
        <f t="shared" si="14"/>
        <v>143.65265125693765</v>
      </c>
      <c r="AE29" s="441"/>
    </row>
    <row r="30" spans="1:38" s="442" customFormat="1" ht="24.75" customHeight="1">
      <c r="A30" s="437" t="s">
        <v>511</v>
      </c>
      <c r="B30" s="445" t="s">
        <v>304</v>
      </c>
      <c r="C30" s="439">
        <f t="shared" si="9"/>
        <v>18163</v>
      </c>
      <c r="D30" s="439">
        <v>1200</v>
      </c>
      <c r="E30" s="439">
        <f t="shared" si="10"/>
        <v>16963</v>
      </c>
      <c r="F30" s="439">
        <v>16918</v>
      </c>
      <c r="G30" s="439"/>
      <c r="H30" s="439">
        <v>45</v>
      </c>
      <c r="I30" s="439"/>
      <c r="J30" s="439"/>
      <c r="K30" s="439">
        <f t="shared" si="7"/>
        <v>0</v>
      </c>
      <c r="L30" s="439"/>
      <c r="M30" s="439"/>
      <c r="N30" s="439">
        <f t="shared" si="15"/>
        <v>18943.23</v>
      </c>
      <c r="O30" s="439">
        <v>1933.806</v>
      </c>
      <c r="P30" s="440">
        <f t="shared" si="11"/>
        <v>17009.423999999999</v>
      </c>
      <c r="Q30" s="439">
        <f>17009.424</f>
        <v>17009.423999999999</v>
      </c>
      <c r="R30" s="439"/>
      <c r="S30" s="439"/>
      <c r="T30" s="439"/>
      <c r="U30" s="439">
        <f t="shared" si="8"/>
        <v>0</v>
      </c>
      <c r="V30" s="439"/>
      <c r="W30" s="439"/>
      <c r="X30" s="439"/>
      <c r="Y30" s="439"/>
      <c r="Z30" s="439"/>
      <c r="AA30" s="439"/>
      <c r="AB30" s="441">
        <f t="shared" si="12"/>
        <v>104.29571106094808</v>
      </c>
      <c r="AC30" s="441">
        <f t="shared" si="13"/>
        <v>161.15049999999999</v>
      </c>
      <c r="AD30" s="441">
        <f t="shared" si="14"/>
        <v>100.27367800506985</v>
      </c>
      <c r="AE30" s="441"/>
    </row>
    <row r="31" spans="1:38" s="442" customFormat="1" ht="24.75" customHeight="1">
      <c r="A31" s="443" t="s">
        <v>714</v>
      </c>
      <c r="B31" s="445" t="s">
        <v>306</v>
      </c>
      <c r="C31" s="439">
        <f t="shared" si="9"/>
        <v>6540</v>
      </c>
      <c r="D31" s="439"/>
      <c r="E31" s="439">
        <f t="shared" si="10"/>
        <v>6540</v>
      </c>
      <c r="F31" s="439">
        <v>5915</v>
      </c>
      <c r="G31" s="439"/>
      <c r="H31" s="439">
        <f>196+429</f>
        <v>625</v>
      </c>
      <c r="I31" s="439"/>
      <c r="J31" s="439"/>
      <c r="K31" s="439">
        <f t="shared" si="7"/>
        <v>0</v>
      </c>
      <c r="L31" s="439"/>
      <c r="M31" s="439"/>
      <c r="N31" s="439">
        <f t="shared" si="15"/>
        <v>90204.507664999997</v>
      </c>
      <c r="O31" s="439">
        <v>84143.342665000004</v>
      </c>
      <c r="P31" s="440">
        <f t="shared" si="11"/>
        <v>6061.165</v>
      </c>
      <c r="Q31" s="439">
        <v>6061.165</v>
      </c>
      <c r="R31" s="439"/>
      <c r="S31" s="439"/>
      <c r="T31" s="439"/>
      <c r="U31" s="439">
        <f t="shared" si="8"/>
        <v>0</v>
      </c>
      <c r="V31" s="439"/>
      <c r="W31" s="439"/>
      <c r="X31" s="439"/>
      <c r="Y31" s="439"/>
      <c r="Z31" s="439"/>
      <c r="AA31" s="439"/>
      <c r="AB31" s="441">
        <f t="shared" si="12"/>
        <v>1379.2738175076452</v>
      </c>
      <c r="AC31" s="441"/>
      <c r="AD31" s="441">
        <f t="shared" si="14"/>
        <v>92.67836391437308</v>
      </c>
      <c r="AE31" s="441"/>
    </row>
    <row r="32" spans="1:38" s="442" customFormat="1" ht="24.75" customHeight="1">
      <c r="A32" s="437" t="s">
        <v>715</v>
      </c>
      <c r="B32" s="445" t="s">
        <v>307</v>
      </c>
      <c r="C32" s="439">
        <f t="shared" si="9"/>
        <v>8351</v>
      </c>
      <c r="D32" s="439"/>
      <c r="E32" s="439">
        <f t="shared" si="10"/>
        <v>8351</v>
      </c>
      <c r="F32" s="439">
        <v>8351</v>
      </c>
      <c r="G32" s="439"/>
      <c r="H32" s="439"/>
      <c r="I32" s="439"/>
      <c r="J32" s="439"/>
      <c r="K32" s="439">
        <f t="shared" si="7"/>
        <v>0</v>
      </c>
      <c r="L32" s="439"/>
      <c r="M32" s="439"/>
      <c r="N32" s="439">
        <f t="shared" si="15"/>
        <v>7175.5634520000003</v>
      </c>
      <c r="O32" s="439"/>
      <c r="P32" s="440">
        <f t="shared" si="11"/>
        <v>7175.5634520000003</v>
      </c>
      <c r="Q32" s="439">
        <f>5043.4602+2132.103252</f>
        <v>7175.5634520000003</v>
      </c>
      <c r="R32" s="439"/>
      <c r="S32" s="439"/>
      <c r="T32" s="439"/>
      <c r="U32" s="439">
        <f t="shared" si="8"/>
        <v>0</v>
      </c>
      <c r="V32" s="439"/>
      <c r="W32" s="439"/>
      <c r="X32" s="439"/>
      <c r="Y32" s="439"/>
      <c r="Z32" s="439"/>
      <c r="AA32" s="439"/>
      <c r="AB32" s="441">
        <f t="shared" si="12"/>
        <v>85.924601269309065</v>
      </c>
      <c r="AC32" s="441"/>
      <c r="AD32" s="441">
        <f t="shared" si="14"/>
        <v>85.924601269309065</v>
      </c>
      <c r="AE32" s="441"/>
    </row>
    <row r="33" spans="1:31" s="442" customFormat="1" ht="24.75" customHeight="1">
      <c r="A33" s="443" t="s">
        <v>716</v>
      </c>
      <c r="B33" s="445" t="s">
        <v>1003</v>
      </c>
      <c r="C33" s="439">
        <f t="shared" si="9"/>
        <v>7272</v>
      </c>
      <c r="D33" s="439"/>
      <c r="E33" s="439">
        <f t="shared" si="10"/>
        <v>7272</v>
      </c>
      <c r="F33" s="439">
        <v>7272</v>
      </c>
      <c r="G33" s="439"/>
      <c r="H33" s="439"/>
      <c r="I33" s="439"/>
      <c r="J33" s="439"/>
      <c r="K33" s="439">
        <f t="shared" si="7"/>
        <v>0</v>
      </c>
      <c r="L33" s="439"/>
      <c r="M33" s="439"/>
      <c r="N33" s="439">
        <f t="shared" si="15"/>
        <v>7656.1</v>
      </c>
      <c r="O33" s="439"/>
      <c r="P33" s="440">
        <f t="shared" si="11"/>
        <v>7656.1</v>
      </c>
      <c r="Q33" s="439">
        <v>7656.1</v>
      </c>
      <c r="R33" s="439"/>
      <c r="S33" s="439"/>
      <c r="T33" s="439"/>
      <c r="U33" s="439">
        <f t="shared" si="8"/>
        <v>0</v>
      </c>
      <c r="V33" s="439"/>
      <c r="W33" s="439"/>
      <c r="X33" s="439"/>
      <c r="Y33" s="439"/>
      <c r="Z33" s="439"/>
      <c r="AA33" s="439"/>
      <c r="AB33" s="441">
        <f t="shared" si="12"/>
        <v>105.28190319031904</v>
      </c>
      <c r="AC33" s="441"/>
      <c r="AD33" s="441">
        <f t="shared" si="14"/>
        <v>105.28190319031904</v>
      </c>
      <c r="AE33" s="441"/>
    </row>
    <row r="34" spans="1:31" s="442" customFormat="1" ht="24.75" customHeight="1">
      <c r="A34" s="437" t="s">
        <v>717</v>
      </c>
      <c r="B34" s="445" t="s">
        <v>312</v>
      </c>
      <c r="C34" s="439">
        <f t="shared" si="9"/>
        <v>14115</v>
      </c>
      <c r="D34" s="439"/>
      <c r="E34" s="439">
        <f t="shared" si="10"/>
        <v>14115</v>
      </c>
      <c r="F34" s="439">
        <f>13815+300</f>
        <v>14115</v>
      </c>
      <c r="G34" s="439"/>
      <c r="H34" s="439"/>
      <c r="I34" s="439"/>
      <c r="J34" s="439"/>
      <c r="K34" s="439">
        <f t="shared" si="7"/>
        <v>0</v>
      </c>
      <c r="L34" s="439"/>
      <c r="M34" s="439"/>
      <c r="N34" s="439">
        <f t="shared" si="15"/>
        <v>15333.475177999999</v>
      </c>
      <c r="O34" s="439">
        <v>114.497</v>
      </c>
      <c r="P34" s="440">
        <f t="shared" si="11"/>
        <v>15218.978177999999</v>
      </c>
      <c r="Q34" s="439">
        <v>15218.978177999999</v>
      </c>
      <c r="R34" s="439"/>
      <c r="S34" s="439"/>
      <c r="T34" s="439"/>
      <c r="U34" s="439">
        <f t="shared" si="8"/>
        <v>0</v>
      </c>
      <c r="V34" s="439"/>
      <c r="W34" s="439"/>
      <c r="X34" s="439"/>
      <c r="Y34" s="439"/>
      <c r="Z34" s="439"/>
      <c r="AA34" s="439"/>
      <c r="AB34" s="441">
        <f t="shared" si="12"/>
        <v>108.63248443499822</v>
      </c>
      <c r="AC34" s="441"/>
      <c r="AD34" s="441">
        <f t="shared" si="14"/>
        <v>107.82131192348564</v>
      </c>
      <c r="AE34" s="441"/>
    </row>
    <row r="35" spans="1:31" s="442" customFormat="1" ht="24.75" customHeight="1">
      <c r="A35" s="443" t="s">
        <v>718</v>
      </c>
      <c r="B35" s="445" t="s">
        <v>989</v>
      </c>
      <c r="C35" s="439">
        <f t="shared" si="9"/>
        <v>4814</v>
      </c>
      <c r="D35" s="439"/>
      <c r="E35" s="439">
        <f t="shared" si="10"/>
        <v>4814</v>
      </c>
      <c r="F35" s="439">
        <v>4814</v>
      </c>
      <c r="G35" s="439"/>
      <c r="H35" s="439"/>
      <c r="I35" s="439"/>
      <c r="J35" s="439"/>
      <c r="K35" s="439">
        <f t="shared" si="7"/>
        <v>0</v>
      </c>
      <c r="L35" s="439"/>
      <c r="M35" s="439"/>
      <c r="N35" s="439">
        <f t="shared" si="15"/>
        <v>4474.28</v>
      </c>
      <c r="O35" s="439"/>
      <c r="P35" s="440">
        <f t="shared" si="11"/>
        <v>4474.28</v>
      </c>
      <c r="Q35" s="439">
        <v>4474.28</v>
      </c>
      <c r="R35" s="439"/>
      <c r="S35" s="439"/>
      <c r="T35" s="439"/>
      <c r="U35" s="439">
        <f t="shared" si="8"/>
        <v>0</v>
      </c>
      <c r="V35" s="439"/>
      <c r="W35" s="439"/>
      <c r="X35" s="439"/>
      <c r="Y35" s="439"/>
      <c r="Z35" s="439"/>
      <c r="AA35" s="439"/>
      <c r="AB35" s="441">
        <f t="shared" si="12"/>
        <v>92.943082675529695</v>
      </c>
      <c r="AC35" s="441"/>
      <c r="AD35" s="441">
        <f t="shared" si="14"/>
        <v>92.943082675529695</v>
      </c>
      <c r="AE35" s="441"/>
    </row>
    <row r="36" spans="1:31" s="442" customFormat="1" ht="24.75" customHeight="1">
      <c r="A36" s="437" t="s">
        <v>719</v>
      </c>
      <c r="B36" s="445" t="s">
        <v>315</v>
      </c>
      <c r="C36" s="439">
        <f t="shared" si="9"/>
        <v>317719</v>
      </c>
      <c r="D36" s="439">
        <v>305530</v>
      </c>
      <c r="E36" s="439">
        <f t="shared" si="10"/>
        <v>12189</v>
      </c>
      <c r="F36" s="439">
        <v>12189</v>
      </c>
      <c r="G36" s="439"/>
      <c r="H36" s="439"/>
      <c r="I36" s="439"/>
      <c r="J36" s="439"/>
      <c r="K36" s="439">
        <f t="shared" si="7"/>
        <v>0</v>
      </c>
      <c r="L36" s="439"/>
      <c r="M36" s="439"/>
      <c r="N36" s="439">
        <f t="shared" si="15"/>
        <v>121327.26835</v>
      </c>
      <c r="O36" s="439">
        <v>110820.520492</v>
      </c>
      <c r="P36" s="440">
        <f t="shared" si="11"/>
        <v>10506.747857999999</v>
      </c>
      <c r="Q36" s="439">
        <f>8364.201038+2142.54682</f>
        <v>10506.747857999999</v>
      </c>
      <c r="R36" s="439"/>
      <c r="S36" s="439"/>
      <c r="T36" s="439"/>
      <c r="U36" s="439"/>
      <c r="V36" s="439"/>
      <c r="W36" s="439"/>
      <c r="X36" s="439"/>
      <c r="Y36" s="439"/>
      <c r="Z36" s="439"/>
      <c r="AA36" s="439"/>
      <c r="AB36" s="441">
        <f t="shared" si="12"/>
        <v>38.186972875402475</v>
      </c>
      <c r="AC36" s="441">
        <f t="shared" si="13"/>
        <v>36.271567601217555</v>
      </c>
      <c r="AD36" s="441">
        <f t="shared" si="14"/>
        <v>86.198604134875694</v>
      </c>
      <c r="AE36" s="441"/>
    </row>
    <row r="37" spans="1:31" s="442" customFormat="1" ht="24.75" customHeight="1">
      <c r="A37" s="443" t="s">
        <v>720</v>
      </c>
      <c r="B37" s="445" t="s">
        <v>317</v>
      </c>
      <c r="C37" s="439">
        <f t="shared" si="9"/>
        <v>9876</v>
      </c>
      <c r="D37" s="439"/>
      <c r="E37" s="439">
        <f t="shared" si="10"/>
        <v>9876</v>
      </c>
      <c r="F37" s="439">
        <v>9876</v>
      </c>
      <c r="G37" s="439"/>
      <c r="H37" s="439"/>
      <c r="I37" s="439"/>
      <c r="J37" s="439"/>
      <c r="K37" s="439">
        <f t="shared" si="7"/>
        <v>0</v>
      </c>
      <c r="L37" s="439"/>
      <c r="M37" s="439"/>
      <c r="N37" s="439">
        <f t="shared" si="15"/>
        <v>13320.503273</v>
      </c>
      <c r="O37" s="439">
        <v>2488.8739999999998</v>
      </c>
      <c r="P37" s="440">
        <f t="shared" si="11"/>
        <v>10831.629273</v>
      </c>
      <c r="Q37" s="439">
        <v>10831.629273</v>
      </c>
      <c r="R37" s="439"/>
      <c r="S37" s="439"/>
      <c r="T37" s="439"/>
      <c r="U37" s="439">
        <f>V37+W37</f>
        <v>0</v>
      </c>
      <c r="V37" s="439"/>
      <c r="W37" s="439"/>
      <c r="X37" s="439"/>
      <c r="Y37" s="439"/>
      <c r="Z37" s="439"/>
      <c r="AA37" s="439"/>
      <c r="AB37" s="441">
        <f t="shared" si="12"/>
        <v>134.87751390238964</v>
      </c>
      <c r="AC37" s="441"/>
      <c r="AD37" s="441">
        <f t="shared" si="14"/>
        <v>109.67627858444715</v>
      </c>
      <c r="AE37" s="441"/>
    </row>
    <row r="38" spans="1:31" s="442" customFormat="1" ht="24.75" customHeight="1">
      <c r="A38" s="437" t="s">
        <v>721</v>
      </c>
      <c r="B38" s="445" t="s">
        <v>318</v>
      </c>
      <c r="C38" s="439">
        <f t="shared" si="9"/>
        <v>29340</v>
      </c>
      <c r="D38" s="439">
        <v>250</v>
      </c>
      <c r="E38" s="439">
        <f t="shared" si="10"/>
        <v>29090</v>
      </c>
      <c r="F38" s="439">
        <v>29090</v>
      </c>
      <c r="G38" s="439"/>
      <c r="H38" s="439"/>
      <c r="I38" s="439"/>
      <c r="J38" s="439"/>
      <c r="K38" s="439">
        <f t="shared" si="7"/>
        <v>0</v>
      </c>
      <c r="L38" s="439"/>
      <c r="M38" s="439"/>
      <c r="N38" s="439">
        <f t="shared" si="15"/>
        <v>27409.481526</v>
      </c>
      <c r="O38" s="439">
        <v>981.59288500000014</v>
      </c>
      <c r="P38" s="440">
        <f t="shared" si="11"/>
        <v>26427.888640999998</v>
      </c>
      <c r="Q38" s="439">
        <f>22051.622743+4376.265898</f>
        <v>26427.888640999998</v>
      </c>
      <c r="R38" s="439"/>
      <c r="S38" s="439"/>
      <c r="T38" s="439"/>
      <c r="U38" s="439">
        <f>V38+W38</f>
        <v>0</v>
      </c>
      <c r="V38" s="439"/>
      <c r="W38" s="439"/>
      <c r="X38" s="439"/>
      <c r="Y38" s="439"/>
      <c r="Z38" s="439"/>
      <c r="AA38" s="439"/>
      <c r="AB38" s="441">
        <f t="shared" si="12"/>
        <v>93.420182433537832</v>
      </c>
      <c r="AC38" s="441">
        <f t="shared" si="13"/>
        <v>392.63715400000007</v>
      </c>
      <c r="AD38" s="441">
        <f t="shared" si="14"/>
        <v>90.848706225507044</v>
      </c>
      <c r="AE38" s="441"/>
    </row>
    <row r="39" spans="1:31" s="442" customFormat="1" ht="24.75" customHeight="1">
      <c r="A39" s="443" t="s">
        <v>722</v>
      </c>
      <c r="B39" s="445" t="s">
        <v>319</v>
      </c>
      <c r="C39" s="439">
        <f t="shared" si="9"/>
        <v>2581</v>
      </c>
      <c r="D39" s="439"/>
      <c r="E39" s="439">
        <f t="shared" si="10"/>
        <v>2581</v>
      </c>
      <c r="F39" s="439">
        <v>2581</v>
      </c>
      <c r="G39" s="439"/>
      <c r="H39" s="439"/>
      <c r="I39" s="439"/>
      <c r="J39" s="439"/>
      <c r="K39" s="439">
        <f t="shared" si="7"/>
        <v>0</v>
      </c>
      <c r="L39" s="439"/>
      <c r="M39" s="439"/>
      <c r="N39" s="439">
        <f t="shared" si="15"/>
        <v>2374.2112120000002</v>
      </c>
      <c r="O39" s="439"/>
      <c r="P39" s="440">
        <f t="shared" si="11"/>
        <v>2374.2112120000002</v>
      </c>
      <c r="Q39" s="439">
        <v>2374.2112120000002</v>
      </c>
      <c r="R39" s="439"/>
      <c r="S39" s="439"/>
      <c r="T39" s="439"/>
      <c r="U39" s="439">
        <f>V39+W39</f>
        <v>0</v>
      </c>
      <c r="V39" s="439"/>
      <c r="W39" s="439"/>
      <c r="X39" s="439"/>
      <c r="Y39" s="439"/>
      <c r="Z39" s="439"/>
      <c r="AA39" s="439"/>
      <c r="AB39" s="441">
        <f t="shared" si="12"/>
        <v>91.988036110034884</v>
      </c>
      <c r="AC39" s="441"/>
      <c r="AD39" s="441">
        <f t="shared" si="14"/>
        <v>91.988036110034884</v>
      </c>
      <c r="AE39" s="441"/>
    </row>
    <row r="40" spans="1:31" s="442" customFormat="1" ht="24.75" customHeight="1">
      <c r="A40" s="437" t="s">
        <v>723</v>
      </c>
      <c r="B40" s="445" t="s">
        <v>320</v>
      </c>
      <c r="C40" s="439">
        <f t="shared" si="9"/>
        <v>4505</v>
      </c>
      <c r="D40" s="439"/>
      <c r="E40" s="439">
        <f t="shared" si="10"/>
        <v>4505</v>
      </c>
      <c r="F40" s="439">
        <v>4505</v>
      </c>
      <c r="G40" s="439"/>
      <c r="H40" s="439"/>
      <c r="I40" s="439"/>
      <c r="J40" s="439"/>
      <c r="K40" s="439">
        <f t="shared" si="7"/>
        <v>0</v>
      </c>
      <c r="L40" s="439"/>
      <c r="M40" s="439"/>
      <c r="N40" s="439">
        <f t="shared" si="15"/>
        <v>4865.0263269999996</v>
      </c>
      <c r="O40" s="439"/>
      <c r="P40" s="440">
        <f t="shared" si="11"/>
        <v>4865.0263269999996</v>
      </c>
      <c r="Q40" s="439">
        <f>3693.54427+171.482057</f>
        <v>3865.026327</v>
      </c>
      <c r="R40" s="439">
        <v>1000</v>
      </c>
      <c r="S40" s="439"/>
      <c r="T40" s="439"/>
      <c r="U40" s="439">
        <f t="shared" ref="U40:U90" si="16">V40+W40</f>
        <v>0</v>
      </c>
      <c r="V40" s="439"/>
      <c r="W40" s="439"/>
      <c r="X40" s="439"/>
      <c r="Y40" s="439"/>
      <c r="Z40" s="439"/>
      <c r="AA40" s="439"/>
      <c r="AB40" s="441">
        <f t="shared" si="12"/>
        <v>107.9917053718091</v>
      </c>
      <c r="AC40" s="441"/>
      <c r="AD40" s="441">
        <f t="shared" si="14"/>
        <v>107.9917053718091</v>
      </c>
      <c r="AE40" s="441"/>
    </row>
    <row r="41" spans="1:31" s="442" customFormat="1" ht="24.75" customHeight="1">
      <c r="A41" s="443" t="s">
        <v>724</v>
      </c>
      <c r="B41" s="445" t="s">
        <v>321</v>
      </c>
      <c r="C41" s="439">
        <f t="shared" si="9"/>
        <v>7723</v>
      </c>
      <c r="D41" s="439"/>
      <c r="E41" s="439">
        <f t="shared" si="10"/>
        <v>7723</v>
      </c>
      <c r="F41" s="439">
        <v>7685</v>
      </c>
      <c r="G41" s="439"/>
      <c r="H41" s="439">
        <v>38</v>
      </c>
      <c r="I41" s="439"/>
      <c r="J41" s="439"/>
      <c r="K41" s="439">
        <f t="shared" si="7"/>
        <v>0</v>
      </c>
      <c r="L41" s="439"/>
      <c r="M41" s="439"/>
      <c r="N41" s="439">
        <f t="shared" si="15"/>
        <v>8151.0581949999996</v>
      </c>
      <c r="O41" s="439"/>
      <c r="P41" s="440">
        <f t="shared" si="11"/>
        <v>8151.0581949999996</v>
      </c>
      <c r="Q41" s="439">
        <f>8151.058195</f>
        <v>8151.0581949999996</v>
      </c>
      <c r="R41" s="439"/>
      <c r="S41" s="439"/>
      <c r="T41" s="439"/>
      <c r="U41" s="439">
        <f t="shared" si="16"/>
        <v>0</v>
      </c>
      <c r="V41" s="439"/>
      <c r="W41" s="439"/>
      <c r="X41" s="439"/>
      <c r="Y41" s="439"/>
      <c r="Z41" s="439"/>
      <c r="AA41" s="439"/>
      <c r="AB41" s="441">
        <f t="shared" si="12"/>
        <v>105.54264139583063</v>
      </c>
      <c r="AC41" s="441"/>
      <c r="AD41" s="441">
        <f t="shared" si="14"/>
        <v>105.54264139583063</v>
      </c>
      <c r="AE41" s="441"/>
    </row>
    <row r="42" spans="1:31" s="442" customFormat="1" ht="24.75" customHeight="1">
      <c r="A42" s="437" t="s">
        <v>725</v>
      </c>
      <c r="B42" s="445" t="s">
        <v>322</v>
      </c>
      <c r="C42" s="439">
        <f t="shared" si="9"/>
        <v>6532</v>
      </c>
      <c r="D42" s="439"/>
      <c r="E42" s="439">
        <f t="shared" si="10"/>
        <v>6532</v>
      </c>
      <c r="F42" s="439">
        <v>6365</v>
      </c>
      <c r="G42" s="439"/>
      <c r="H42" s="439">
        <v>167</v>
      </c>
      <c r="I42" s="439"/>
      <c r="J42" s="439"/>
      <c r="K42" s="439">
        <f t="shared" si="7"/>
        <v>0</v>
      </c>
      <c r="L42" s="439"/>
      <c r="M42" s="439"/>
      <c r="N42" s="439">
        <f t="shared" si="15"/>
        <v>6451.7469970000002</v>
      </c>
      <c r="O42" s="439"/>
      <c r="P42" s="440">
        <f t="shared" si="11"/>
        <v>6451.7469970000002</v>
      </c>
      <c r="Q42" s="439">
        <v>6451.7469970000002</v>
      </c>
      <c r="R42" s="439"/>
      <c r="S42" s="439"/>
      <c r="T42" s="439"/>
      <c r="U42" s="439">
        <f t="shared" si="16"/>
        <v>0</v>
      </c>
      <c r="V42" s="439"/>
      <c r="W42" s="439"/>
      <c r="X42" s="439"/>
      <c r="Y42" s="439"/>
      <c r="Z42" s="439"/>
      <c r="AA42" s="439"/>
      <c r="AB42" s="441">
        <f t="shared" si="12"/>
        <v>98.771386971830992</v>
      </c>
      <c r="AC42" s="441"/>
      <c r="AD42" s="441">
        <f t="shared" si="14"/>
        <v>98.771386971830992</v>
      </c>
      <c r="AE42" s="441"/>
    </row>
    <row r="43" spans="1:31" s="442" customFormat="1" ht="24.75" customHeight="1">
      <c r="A43" s="443" t="s">
        <v>726</v>
      </c>
      <c r="B43" s="445" t="s">
        <v>802</v>
      </c>
      <c r="C43" s="439">
        <f t="shared" si="9"/>
        <v>77780</v>
      </c>
      <c r="D43" s="439">
        <v>200</v>
      </c>
      <c r="E43" s="439">
        <f t="shared" si="10"/>
        <v>77580</v>
      </c>
      <c r="F43" s="439">
        <f>12479+32822+20200</f>
        <v>65501</v>
      </c>
      <c r="G43" s="439"/>
      <c r="H43" s="439">
        <f>300+6706+40+33+5000</f>
        <v>12079</v>
      </c>
      <c r="I43" s="439"/>
      <c r="J43" s="439"/>
      <c r="K43" s="439">
        <f t="shared" si="7"/>
        <v>0</v>
      </c>
      <c r="L43" s="439"/>
      <c r="M43" s="439"/>
      <c r="N43" s="439">
        <f t="shared" si="15"/>
        <v>227690.94387999998</v>
      </c>
      <c r="O43" s="439">
        <v>131443.03610699999</v>
      </c>
      <c r="P43" s="440">
        <f t="shared" si="11"/>
        <v>96247.907772999999</v>
      </c>
      <c r="Q43" s="439">
        <f>25483+70764.907773</f>
        <v>96247.907772999999</v>
      </c>
      <c r="R43" s="439"/>
      <c r="S43" s="439"/>
      <c r="T43" s="439"/>
      <c r="U43" s="439">
        <f t="shared" si="16"/>
        <v>0</v>
      </c>
      <c r="V43" s="439"/>
      <c r="W43" s="439"/>
      <c r="X43" s="439"/>
      <c r="Y43" s="439"/>
      <c r="Z43" s="439"/>
      <c r="AA43" s="439"/>
      <c r="AB43" s="441">
        <f t="shared" si="12"/>
        <v>292.73713535613268</v>
      </c>
      <c r="AC43" s="441">
        <f t="shared" si="13"/>
        <v>65721.518053499996</v>
      </c>
      <c r="AD43" s="441">
        <f t="shared" si="14"/>
        <v>124.06278393013663</v>
      </c>
      <c r="AE43" s="441"/>
    </row>
    <row r="44" spans="1:31" s="442" customFormat="1" ht="24.75" customHeight="1">
      <c r="A44" s="437" t="s">
        <v>727</v>
      </c>
      <c r="B44" s="445" t="s">
        <v>988</v>
      </c>
      <c r="C44" s="439">
        <f t="shared" si="9"/>
        <v>37006.324000000001</v>
      </c>
      <c r="D44" s="439">
        <v>301.32400000000001</v>
      </c>
      <c r="E44" s="439">
        <f t="shared" si="10"/>
        <v>36705</v>
      </c>
      <c r="F44" s="439">
        <v>32570</v>
      </c>
      <c r="G44" s="439"/>
      <c r="H44" s="439">
        <f>1274+92+2769</f>
        <v>4135</v>
      </c>
      <c r="I44" s="439"/>
      <c r="J44" s="439"/>
      <c r="K44" s="439">
        <f t="shared" si="7"/>
        <v>0</v>
      </c>
      <c r="L44" s="439"/>
      <c r="M44" s="439"/>
      <c r="N44" s="439">
        <f t="shared" si="15"/>
        <v>38634.062796999999</v>
      </c>
      <c r="O44" s="439">
        <v>95.323999999999998</v>
      </c>
      <c r="P44" s="440">
        <f t="shared" si="11"/>
        <v>38538.738796999998</v>
      </c>
      <c r="Q44" s="439">
        <v>38538.738796999998</v>
      </c>
      <c r="R44" s="439"/>
      <c r="S44" s="439"/>
      <c r="T44" s="439"/>
      <c r="U44" s="439">
        <f t="shared" si="16"/>
        <v>0</v>
      </c>
      <c r="V44" s="439"/>
      <c r="W44" s="439"/>
      <c r="X44" s="439"/>
      <c r="Y44" s="439"/>
      <c r="Z44" s="439"/>
      <c r="AA44" s="439"/>
      <c r="AB44" s="441">
        <f t="shared" si="12"/>
        <v>104.39854225185944</v>
      </c>
      <c r="AC44" s="441">
        <f t="shared" si="13"/>
        <v>31.635050643161513</v>
      </c>
      <c r="AD44" s="441">
        <f t="shared" si="14"/>
        <v>104.99588284157471</v>
      </c>
      <c r="AE44" s="441"/>
    </row>
    <row r="45" spans="1:31" s="442" customFormat="1" ht="24.75" customHeight="1">
      <c r="A45" s="437" t="s">
        <v>728</v>
      </c>
      <c r="B45" s="445" t="s">
        <v>993</v>
      </c>
      <c r="C45" s="439">
        <f t="shared" si="9"/>
        <v>685</v>
      </c>
      <c r="D45" s="439"/>
      <c r="E45" s="439">
        <f t="shared" si="10"/>
        <v>685</v>
      </c>
      <c r="F45" s="439">
        <v>685</v>
      </c>
      <c r="G45" s="439"/>
      <c r="H45" s="439"/>
      <c r="I45" s="439"/>
      <c r="J45" s="439"/>
      <c r="K45" s="439">
        <f t="shared" si="7"/>
        <v>0</v>
      </c>
      <c r="L45" s="439"/>
      <c r="M45" s="439"/>
      <c r="N45" s="439">
        <f t="shared" si="15"/>
        <v>562</v>
      </c>
      <c r="O45" s="439"/>
      <c r="P45" s="440">
        <f t="shared" si="11"/>
        <v>562</v>
      </c>
      <c r="Q45" s="439">
        <v>562</v>
      </c>
      <c r="R45" s="439"/>
      <c r="S45" s="439"/>
      <c r="T45" s="439"/>
      <c r="U45" s="439">
        <f t="shared" si="16"/>
        <v>0</v>
      </c>
      <c r="V45" s="439"/>
      <c r="W45" s="439"/>
      <c r="X45" s="439"/>
      <c r="Y45" s="439"/>
      <c r="Z45" s="439"/>
      <c r="AA45" s="439"/>
      <c r="AB45" s="441">
        <f t="shared" si="12"/>
        <v>82.043795620437962</v>
      </c>
      <c r="AC45" s="441"/>
      <c r="AD45" s="441">
        <f t="shared" si="14"/>
        <v>82.043795620437962</v>
      </c>
      <c r="AE45" s="441"/>
    </row>
    <row r="46" spans="1:31" s="442" customFormat="1" ht="33.75" customHeight="1">
      <c r="A46" s="437" t="s">
        <v>729</v>
      </c>
      <c r="B46" s="445" t="s">
        <v>327</v>
      </c>
      <c r="C46" s="439">
        <f t="shared" si="9"/>
        <v>436</v>
      </c>
      <c r="D46" s="439"/>
      <c r="E46" s="439">
        <f t="shared" si="10"/>
        <v>436</v>
      </c>
      <c r="F46" s="439">
        <v>436</v>
      </c>
      <c r="G46" s="439"/>
      <c r="H46" s="439"/>
      <c r="I46" s="439"/>
      <c r="J46" s="439"/>
      <c r="K46" s="439">
        <f t="shared" si="7"/>
        <v>0</v>
      </c>
      <c r="L46" s="439"/>
      <c r="M46" s="439"/>
      <c r="N46" s="439">
        <f t="shared" si="15"/>
        <v>438.05399999999997</v>
      </c>
      <c r="O46" s="439"/>
      <c r="P46" s="440">
        <f t="shared" si="11"/>
        <v>438.05399999999997</v>
      </c>
      <c r="Q46" s="439">
        <v>438.05399999999997</v>
      </c>
      <c r="R46" s="439"/>
      <c r="S46" s="439"/>
      <c r="T46" s="439"/>
      <c r="U46" s="439">
        <f t="shared" si="16"/>
        <v>0</v>
      </c>
      <c r="V46" s="439"/>
      <c r="W46" s="439"/>
      <c r="X46" s="439"/>
      <c r="Y46" s="439"/>
      <c r="Z46" s="439"/>
      <c r="AA46" s="439"/>
      <c r="AB46" s="441">
        <f t="shared" si="12"/>
        <v>100.47110091743117</v>
      </c>
      <c r="AC46" s="441"/>
      <c r="AD46" s="441">
        <f t="shared" si="14"/>
        <v>100.47110091743117</v>
      </c>
      <c r="AE46" s="441"/>
    </row>
    <row r="47" spans="1:31" s="442" customFormat="1" ht="24.75" customHeight="1">
      <c r="A47" s="437" t="s">
        <v>730</v>
      </c>
      <c r="B47" s="445" t="s">
        <v>328</v>
      </c>
      <c r="C47" s="439">
        <f t="shared" si="9"/>
        <v>526</v>
      </c>
      <c r="D47" s="439"/>
      <c r="E47" s="439">
        <f t="shared" si="10"/>
        <v>526</v>
      </c>
      <c r="F47" s="439">
        <v>526</v>
      </c>
      <c r="G47" s="439"/>
      <c r="H47" s="439"/>
      <c r="I47" s="439"/>
      <c r="J47" s="439"/>
      <c r="K47" s="439">
        <f t="shared" si="7"/>
        <v>0</v>
      </c>
      <c r="L47" s="439"/>
      <c r="M47" s="439"/>
      <c r="N47" s="439">
        <f t="shared" si="15"/>
        <v>466.00128100000001</v>
      </c>
      <c r="O47" s="439"/>
      <c r="P47" s="440">
        <f t="shared" si="11"/>
        <v>466.00128100000001</v>
      </c>
      <c r="Q47" s="439">
        <v>466.00128100000001</v>
      </c>
      <c r="R47" s="439"/>
      <c r="S47" s="439"/>
      <c r="T47" s="439"/>
      <c r="U47" s="439">
        <f t="shared" si="16"/>
        <v>0</v>
      </c>
      <c r="V47" s="439"/>
      <c r="W47" s="439"/>
      <c r="X47" s="439"/>
      <c r="Y47" s="439"/>
      <c r="Z47" s="439"/>
      <c r="AA47" s="439"/>
      <c r="AB47" s="441">
        <f t="shared" si="12"/>
        <v>88.593399429657794</v>
      </c>
      <c r="AC47" s="441"/>
      <c r="AD47" s="441">
        <f t="shared" si="14"/>
        <v>88.593399429657794</v>
      </c>
      <c r="AE47" s="441"/>
    </row>
    <row r="48" spans="1:31" s="442" customFormat="1" ht="24.75" customHeight="1">
      <c r="A48" s="437" t="s">
        <v>731</v>
      </c>
      <c r="B48" s="445" t="s">
        <v>329</v>
      </c>
      <c r="C48" s="439">
        <f t="shared" si="9"/>
        <v>345</v>
      </c>
      <c r="D48" s="439"/>
      <c r="E48" s="439">
        <f t="shared" si="10"/>
        <v>345</v>
      </c>
      <c r="F48" s="439">
        <v>345</v>
      </c>
      <c r="G48" s="439"/>
      <c r="H48" s="439"/>
      <c r="I48" s="439"/>
      <c r="J48" s="439"/>
      <c r="K48" s="439">
        <f t="shared" si="7"/>
        <v>0</v>
      </c>
      <c r="L48" s="439"/>
      <c r="M48" s="439"/>
      <c r="N48" s="439">
        <f t="shared" si="15"/>
        <v>377</v>
      </c>
      <c r="O48" s="439"/>
      <c r="P48" s="440">
        <f t="shared" si="11"/>
        <v>377</v>
      </c>
      <c r="Q48" s="439">
        <v>377</v>
      </c>
      <c r="R48" s="439"/>
      <c r="S48" s="439"/>
      <c r="T48" s="439"/>
      <c r="U48" s="439">
        <f t="shared" si="16"/>
        <v>0</v>
      </c>
      <c r="V48" s="439"/>
      <c r="W48" s="439"/>
      <c r="X48" s="439"/>
      <c r="Y48" s="439"/>
      <c r="Z48" s="439"/>
      <c r="AA48" s="439"/>
      <c r="AB48" s="441">
        <f t="shared" si="12"/>
        <v>109.27536231884058</v>
      </c>
      <c r="AC48" s="441"/>
      <c r="AD48" s="441">
        <f t="shared" si="14"/>
        <v>109.27536231884058</v>
      </c>
      <c r="AE48" s="441"/>
    </row>
    <row r="49" spans="1:31" s="442" customFormat="1" ht="24.75" customHeight="1">
      <c r="A49" s="437" t="s">
        <v>732</v>
      </c>
      <c r="B49" s="445" t="s">
        <v>330</v>
      </c>
      <c r="C49" s="439">
        <f t="shared" si="9"/>
        <v>90</v>
      </c>
      <c r="D49" s="439"/>
      <c r="E49" s="439">
        <f t="shared" si="10"/>
        <v>90</v>
      </c>
      <c r="F49" s="439">
        <v>90</v>
      </c>
      <c r="G49" s="439"/>
      <c r="H49" s="439"/>
      <c r="I49" s="439"/>
      <c r="J49" s="439"/>
      <c r="K49" s="439">
        <f t="shared" si="7"/>
        <v>0</v>
      </c>
      <c r="L49" s="439"/>
      <c r="M49" s="439"/>
      <c r="N49" s="439">
        <f t="shared" si="15"/>
        <v>81</v>
      </c>
      <c r="O49" s="439"/>
      <c r="P49" s="440">
        <f t="shared" si="11"/>
        <v>81</v>
      </c>
      <c r="Q49" s="439">
        <v>81</v>
      </c>
      <c r="R49" s="439"/>
      <c r="S49" s="439"/>
      <c r="T49" s="439"/>
      <c r="U49" s="439">
        <f t="shared" si="16"/>
        <v>0</v>
      </c>
      <c r="V49" s="439"/>
      <c r="W49" s="439"/>
      <c r="X49" s="439"/>
      <c r="Y49" s="439"/>
      <c r="Z49" s="439"/>
      <c r="AA49" s="439"/>
      <c r="AB49" s="441">
        <f t="shared" si="12"/>
        <v>90</v>
      </c>
      <c r="AC49" s="441"/>
      <c r="AD49" s="441">
        <f t="shared" si="14"/>
        <v>90</v>
      </c>
      <c r="AE49" s="441"/>
    </row>
    <row r="50" spans="1:31" s="442" customFormat="1" ht="24.75" customHeight="1">
      <c r="A50" s="437" t="s">
        <v>733</v>
      </c>
      <c r="B50" s="445" t="s">
        <v>331</v>
      </c>
      <c r="C50" s="439">
        <f t="shared" si="9"/>
        <v>898</v>
      </c>
      <c r="D50" s="439"/>
      <c r="E50" s="439">
        <f t="shared" si="10"/>
        <v>898</v>
      </c>
      <c r="F50" s="439">
        <v>898</v>
      </c>
      <c r="G50" s="439"/>
      <c r="H50" s="439"/>
      <c r="I50" s="439"/>
      <c r="J50" s="439"/>
      <c r="K50" s="439">
        <f t="shared" si="7"/>
        <v>0</v>
      </c>
      <c r="L50" s="439"/>
      <c r="M50" s="439"/>
      <c r="N50" s="439">
        <f t="shared" si="15"/>
        <v>639.33696999999995</v>
      </c>
      <c r="O50" s="439"/>
      <c r="P50" s="440">
        <f t="shared" si="11"/>
        <v>639.33696999999995</v>
      </c>
      <c r="Q50" s="439">
        <v>639.33696999999995</v>
      </c>
      <c r="R50" s="439"/>
      <c r="S50" s="439"/>
      <c r="T50" s="439"/>
      <c r="U50" s="439">
        <f t="shared" si="16"/>
        <v>0</v>
      </c>
      <c r="V50" s="439"/>
      <c r="W50" s="439"/>
      <c r="X50" s="439"/>
      <c r="Y50" s="439"/>
      <c r="Z50" s="439"/>
      <c r="AA50" s="439"/>
      <c r="AB50" s="441">
        <f t="shared" si="12"/>
        <v>71.195653674832954</v>
      </c>
      <c r="AC50" s="441"/>
      <c r="AD50" s="441">
        <f t="shared" si="14"/>
        <v>71.195653674832954</v>
      </c>
      <c r="AE50" s="441"/>
    </row>
    <row r="51" spans="1:31" s="442" customFormat="1" ht="34.5" customHeight="1">
      <c r="A51" s="437" t="s">
        <v>734</v>
      </c>
      <c r="B51" s="445" t="s">
        <v>332</v>
      </c>
      <c r="C51" s="439">
        <f t="shared" si="9"/>
        <v>1745</v>
      </c>
      <c r="D51" s="439"/>
      <c r="E51" s="439">
        <f t="shared" si="10"/>
        <v>1745</v>
      </c>
      <c r="F51" s="439">
        <v>1745</v>
      </c>
      <c r="G51" s="439"/>
      <c r="H51" s="439"/>
      <c r="I51" s="439"/>
      <c r="J51" s="439"/>
      <c r="K51" s="439">
        <f t="shared" si="7"/>
        <v>0</v>
      </c>
      <c r="L51" s="439"/>
      <c r="M51" s="439"/>
      <c r="N51" s="439">
        <f t="shared" si="15"/>
        <v>1715.684825</v>
      </c>
      <c r="O51" s="439"/>
      <c r="P51" s="440">
        <f t="shared" si="11"/>
        <v>1715.684825</v>
      </c>
      <c r="Q51" s="439">
        <v>1715.684825</v>
      </c>
      <c r="R51" s="439"/>
      <c r="S51" s="439"/>
      <c r="T51" s="439"/>
      <c r="U51" s="439">
        <f t="shared" si="16"/>
        <v>0</v>
      </c>
      <c r="V51" s="439"/>
      <c r="W51" s="439"/>
      <c r="X51" s="439"/>
      <c r="Y51" s="439"/>
      <c r="Z51" s="439"/>
      <c r="AA51" s="439"/>
      <c r="AB51" s="441">
        <f t="shared" si="12"/>
        <v>98.320047277936965</v>
      </c>
      <c r="AC51" s="441"/>
      <c r="AD51" s="441">
        <f t="shared" si="14"/>
        <v>98.320047277936965</v>
      </c>
      <c r="AE51" s="441"/>
    </row>
    <row r="52" spans="1:31" s="442" customFormat="1" ht="24.75" customHeight="1">
      <c r="A52" s="437" t="s">
        <v>735</v>
      </c>
      <c r="B52" s="445" t="s">
        <v>335</v>
      </c>
      <c r="C52" s="439">
        <f t="shared" si="9"/>
        <v>322</v>
      </c>
      <c r="D52" s="439"/>
      <c r="E52" s="439">
        <f t="shared" si="10"/>
        <v>322</v>
      </c>
      <c r="F52" s="439">
        <v>322</v>
      </c>
      <c r="G52" s="439"/>
      <c r="H52" s="439"/>
      <c r="I52" s="439"/>
      <c r="J52" s="439"/>
      <c r="K52" s="439">
        <f t="shared" si="7"/>
        <v>0</v>
      </c>
      <c r="L52" s="439"/>
      <c r="M52" s="439"/>
      <c r="N52" s="439">
        <f t="shared" si="15"/>
        <v>299</v>
      </c>
      <c r="O52" s="439"/>
      <c r="P52" s="440">
        <f t="shared" si="11"/>
        <v>299</v>
      </c>
      <c r="Q52" s="439">
        <v>299</v>
      </c>
      <c r="R52" s="439"/>
      <c r="S52" s="439"/>
      <c r="T52" s="439"/>
      <c r="U52" s="439">
        <f t="shared" si="16"/>
        <v>0</v>
      </c>
      <c r="V52" s="439"/>
      <c r="W52" s="439"/>
      <c r="X52" s="439"/>
      <c r="Y52" s="439"/>
      <c r="Z52" s="439"/>
      <c r="AA52" s="439"/>
      <c r="AB52" s="441">
        <f t="shared" si="12"/>
        <v>92.857142857142847</v>
      </c>
      <c r="AC52" s="441"/>
      <c r="AD52" s="441">
        <f t="shared" si="14"/>
        <v>92.857142857142847</v>
      </c>
      <c r="AE52" s="441"/>
    </row>
    <row r="53" spans="1:31" s="442" customFormat="1" ht="24.75" customHeight="1">
      <c r="A53" s="437" t="s">
        <v>736</v>
      </c>
      <c r="B53" s="445" t="s">
        <v>336</v>
      </c>
      <c r="C53" s="439">
        <f t="shared" si="9"/>
        <v>1291</v>
      </c>
      <c r="D53" s="439"/>
      <c r="E53" s="439">
        <f t="shared" si="10"/>
        <v>1291</v>
      </c>
      <c r="F53" s="439">
        <v>1291</v>
      </c>
      <c r="G53" s="439"/>
      <c r="H53" s="439"/>
      <c r="I53" s="439"/>
      <c r="J53" s="439"/>
      <c r="K53" s="439">
        <f t="shared" si="7"/>
        <v>0</v>
      </c>
      <c r="L53" s="439"/>
      <c r="M53" s="439"/>
      <c r="N53" s="439">
        <f t="shared" si="15"/>
        <v>1020.065339</v>
      </c>
      <c r="O53" s="439"/>
      <c r="P53" s="440">
        <f t="shared" si="11"/>
        <v>1020.065339</v>
      </c>
      <c r="Q53" s="439">
        <v>1020.065339</v>
      </c>
      <c r="R53" s="439"/>
      <c r="S53" s="439"/>
      <c r="T53" s="439"/>
      <c r="U53" s="439">
        <f t="shared" si="16"/>
        <v>0</v>
      </c>
      <c r="V53" s="439"/>
      <c r="W53" s="439"/>
      <c r="X53" s="439"/>
      <c r="Y53" s="439"/>
      <c r="Z53" s="439"/>
      <c r="AA53" s="439"/>
      <c r="AB53" s="441">
        <f t="shared" si="12"/>
        <v>79.013581642137879</v>
      </c>
      <c r="AC53" s="441"/>
      <c r="AD53" s="441">
        <f t="shared" si="14"/>
        <v>79.013581642137879</v>
      </c>
      <c r="AE53" s="441"/>
    </row>
    <row r="54" spans="1:31" s="442" customFormat="1" ht="24.75" customHeight="1">
      <c r="A54" s="437" t="s">
        <v>737</v>
      </c>
      <c r="B54" s="445" t="s">
        <v>791</v>
      </c>
      <c r="C54" s="439">
        <f t="shared" si="9"/>
        <v>118</v>
      </c>
      <c r="D54" s="439"/>
      <c r="E54" s="439">
        <f t="shared" si="10"/>
        <v>118</v>
      </c>
      <c r="F54" s="439">
        <v>118</v>
      </c>
      <c r="G54" s="439"/>
      <c r="H54" s="439"/>
      <c r="I54" s="439"/>
      <c r="J54" s="439"/>
      <c r="K54" s="439">
        <f t="shared" si="7"/>
        <v>0</v>
      </c>
      <c r="L54" s="439"/>
      <c r="M54" s="439"/>
      <c r="N54" s="439">
        <f t="shared" si="15"/>
        <v>235.8323</v>
      </c>
      <c r="O54" s="439"/>
      <c r="P54" s="440">
        <f t="shared" si="11"/>
        <v>235.8323</v>
      </c>
      <c r="Q54" s="439">
        <v>235.8323</v>
      </c>
      <c r="R54" s="439"/>
      <c r="S54" s="439"/>
      <c r="T54" s="439"/>
      <c r="U54" s="439">
        <f t="shared" si="16"/>
        <v>0</v>
      </c>
      <c r="V54" s="439"/>
      <c r="W54" s="439"/>
      <c r="X54" s="439"/>
      <c r="Y54" s="439"/>
      <c r="Z54" s="439"/>
      <c r="AA54" s="439"/>
      <c r="AB54" s="441">
        <f t="shared" si="12"/>
        <v>199.85788135593222</v>
      </c>
      <c r="AC54" s="441"/>
      <c r="AD54" s="441">
        <f t="shared" si="14"/>
        <v>199.85788135593222</v>
      </c>
      <c r="AE54" s="441"/>
    </row>
    <row r="55" spans="1:31" s="442" customFormat="1" ht="24.75" customHeight="1">
      <c r="A55" s="437" t="s">
        <v>738</v>
      </c>
      <c r="B55" s="445" t="s">
        <v>338</v>
      </c>
      <c r="C55" s="439">
        <f t="shared" si="9"/>
        <v>43</v>
      </c>
      <c r="D55" s="439"/>
      <c r="E55" s="439">
        <f t="shared" si="10"/>
        <v>43</v>
      </c>
      <c r="F55" s="439">
        <v>43</v>
      </c>
      <c r="G55" s="439"/>
      <c r="H55" s="439"/>
      <c r="I55" s="439"/>
      <c r="J55" s="439"/>
      <c r="K55" s="439">
        <f t="shared" si="7"/>
        <v>0</v>
      </c>
      <c r="L55" s="439"/>
      <c r="M55" s="439"/>
      <c r="N55" s="439">
        <f t="shared" si="15"/>
        <v>0.10290000000000001</v>
      </c>
      <c r="O55" s="439"/>
      <c r="P55" s="440">
        <f t="shared" si="11"/>
        <v>0.10290000000000001</v>
      </c>
      <c r="Q55" s="439">
        <f>102900/1000000</f>
        <v>0.10290000000000001</v>
      </c>
      <c r="R55" s="439"/>
      <c r="S55" s="439"/>
      <c r="T55" s="439"/>
      <c r="U55" s="439">
        <f t="shared" si="16"/>
        <v>0</v>
      </c>
      <c r="V55" s="439"/>
      <c r="W55" s="439"/>
      <c r="X55" s="439"/>
      <c r="Y55" s="439"/>
      <c r="Z55" s="439"/>
      <c r="AA55" s="439"/>
      <c r="AB55" s="441">
        <f t="shared" si="12"/>
        <v>0.23930232558139536</v>
      </c>
      <c r="AC55" s="441"/>
      <c r="AD55" s="441">
        <f t="shared" si="14"/>
        <v>0.23930232558139536</v>
      </c>
      <c r="AE55" s="441"/>
    </row>
    <row r="56" spans="1:31" s="442" customFormat="1" ht="24.75" customHeight="1">
      <c r="A56" s="437" t="s">
        <v>739</v>
      </c>
      <c r="B56" s="445" t="s">
        <v>339</v>
      </c>
      <c r="C56" s="439">
        <f t="shared" si="9"/>
        <v>383</v>
      </c>
      <c r="D56" s="439"/>
      <c r="E56" s="439">
        <f t="shared" si="10"/>
        <v>383</v>
      </c>
      <c r="F56" s="439">
        <v>383</v>
      </c>
      <c r="G56" s="439"/>
      <c r="H56" s="439"/>
      <c r="I56" s="439"/>
      <c r="J56" s="439"/>
      <c r="K56" s="439">
        <f t="shared" si="7"/>
        <v>0</v>
      </c>
      <c r="L56" s="439"/>
      <c r="M56" s="439"/>
      <c r="N56" s="439">
        <f t="shared" si="15"/>
        <v>356</v>
      </c>
      <c r="O56" s="439"/>
      <c r="P56" s="440">
        <f t="shared" si="11"/>
        <v>356</v>
      </c>
      <c r="Q56" s="439">
        <v>356</v>
      </c>
      <c r="R56" s="439"/>
      <c r="S56" s="439"/>
      <c r="T56" s="439"/>
      <c r="U56" s="439">
        <f t="shared" si="16"/>
        <v>0</v>
      </c>
      <c r="V56" s="439"/>
      <c r="W56" s="439"/>
      <c r="X56" s="439"/>
      <c r="Y56" s="439"/>
      <c r="Z56" s="439"/>
      <c r="AA56" s="439"/>
      <c r="AB56" s="441">
        <f t="shared" si="12"/>
        <v>92.95039164490862</v>
      </c>
      <c r="AC56" s="441"/>
      <c r="AD56" s="441">
        <f t="shared" si="14"/>
        <v>92.95039164490862</v>
      </c>
      <c r="AE56" s="441"/>
    </row>
    <row r="57" spans="1:31" s="442" customFormat="1" ht="24.75" customHeight="1">
      <c r="A57" s="437" t="s">
        <v>740</v>
      </c>
      <c r="B57" s="438" t="s">
        <v>340</v>
      </c>
      <c r="C57" s="439">
        <f t="shared" si="9"/>
        <v>2003</v>
      </c>
      <c r="D57" s="439"/>
      <c r="E57" s="439">
        <f t="shared" si="10"/>
        <v>2003</v>
      </c>
      <c r="F57" s="439">
        <v>2003</v>
      </c>
      <c r="G57" s="439"/>
      <c r="H57" s="439"/>
      <c r="I57" s="439"/>
      <c r="J57" s="439"/>
      <c r="K57" s="439">
        <f t="shared" si="7"/>
        <v>0</v>
      </c>
      <c r="L57" s="439"/>
      <c r="M57" s="439"/>
      <c r="N57" s="439">
        <f t="shared" si="15"/>
        <v>1818.7662339999999</v>
      </c>
      <c r="O57" s="439"/>
      <c r="P57" s="440">
        <f t="shared" si="11"/>
        <v>1818.7662339999999</v>
      </c>
      <c r="Q57" s="439">
        <v>1818.7662339999999</v>
      </c>
      <c r="R57" s="439"/>
      <c r="S57" s="439"/>
      <c r="T57" s="439"/>
      <c r="U57" s="439">
        <f t="shared" si="16"/>
        <v>0</v>
      </c>
      <c r="V57" s="439"/>
      <c r="W57" s="439"/>
      <c r="X57" s="439"/>
      <c r="Y57" s="439"/>
      <c r="Z57" s="439"/>
      <c r="AA57" s="439"/>
      <c r="AB57" s="441">
        <f t="shared" si="12"/>
        <v>90.802108537194201</v>
      </c>
      <c r="AC57" s="441"/>
      <c r="AD57" s="441">
        <f t="shared" si="14"/>
        <v>90.802108537194201</v>
      </c>
      <c r="AE57" s="441"/>
    </row>
    <row r="58" spans="1:31" s="442" customFormat="1" ht="24.75" customHeight="1">
      <c r="A58" s="437" t="s">
        <v>741</v>
      </c>
      <c r="B58" s="438" t="s">
        <v>341</v>
      </c>
      <c r="C58" s="439">
        <f t="shared" si="9"/>
        <v>1789</v>
      </c>
      <c r="D58" s="439"/>
      <c r="E58" s="439">
        <f t="shared" si="10"/>
        <v>1789</v>
      </c>
      <c r="F58" s="439">
        <v>1789</v>
      </c>
      <c r="G58" s="439"/>
      <c r="H58" s="439"/>
      <c r="I58" s="439"/>
      <c r="J58" s="439"/>
      <c r="K58" s="439">
        <f t="shared" si="7"/>
        <v>0</v>
      </c>
      <c r="L58" s="439"/>
      <c r="M58" s="439"/>
      <c r="N58" s="439">
        <f t="shared" si="15"/>
        <v>1873.4768469999999</v>
      </c>
      <c r="O58" s="439"/>
      <c r="P58" s="440">
        <f t="shared" si="11"/>
        <v>1873.4768469999999</v>
      </c>
      <c r="Q58" s="439">
        <v>1873.4768469999999</v>
      </c>
      <c r="R58" s="439"/>
      <c r="S58" s="439"/>
      <c r="T58" s="439"/>
      <c r="U58" s="439">
        <f t="shared" si="16"/>
        <v>0</v>
      </c>
      <c r="V58" s="439"/>
      <c r="W58" s="439"/>
      <c r="X58" s="439"/>
      <c r="Y58" s="439"/>
      <c r="Z58" s="439"/>
      <c r="AA58" s="439"/>
      <c r="AB58" s="441">
        <f t="shared" si="12"/>
        <v>104.72201492453884</v>
      </c>
      <c r="AC58" s="441"/>
      <c r="AD58" s="441">
        <f t="shared" si="14"/>
        <v>104.72201492453884</v>
      </c>
      <c r="AE58" s="441"/>
    </row>
    <row r="59" spans="1:31" s="442" customFormat="1" ht="24.75" customHeight="1">
      <c r="A59" s="437" t="s">
        <v>742</v>
      </c>
      <c r="B59" s="445" t="s">
        <v>792</v>
      </c>
      <c r="C59" s="439">
        <f t="shared" si="9"/>
        <v>208</v>
      </c>
      <c r="D59" s="439"/>
      <c r="E59" s="439">
        <f t="shared" si="10"/>
        <v>208</v>
      </c>
      <c r="F59" s="439">
        <v>208</v>
      </c>
      <c r="G59" s="439"/>
      <c r="H59" s="439"/>
      <c r="I59" s="439"/>
      <c r="J59" s="439"/>
      <c r="K59" s="439">
        <f t="shared" si="7"/>
        <v>0</v>
      </c>
      <c r="L59" s="439"/>
      <c r="M59" s="439"/>
      <c r="N59" s="439">
        <f t="shared" si="15"/>
        <v>0</v>
      </c>
      <c r="O59" s="439"/>
      <c r="P59" s="440">
        <f t="shared" si="11"/>
        <v>0</v>
      </c>
      <c r="Q59" s="439"/>
      <c r="R59" s="439"/>
      <c r="S59" s="439"/>
      <c r="T59" s="439"/>
      <c r="U59" s="439">
        <f t="shared" si="16"/>
        <v>0</v>
      </c>
      <c r="V59" s="439"/>
      <c r="W59" s="439"/>
      <c r="X59" s="439"/>
      <c r="Y59" s="439"/>
      <c r="Z59" s="439"/>
      <c r="AA59" s="439"/>
      <c r="AB59" s="441">
        <f t="shared" si="12"/>
        <v>0</v>
      </c>
      <c r="AC59" s="441"/>
      <c r="AD59" s="441">
        <f t="shared" si="14"/>
        <v>0</v>
      </c>
      <c r="AE59" s="441"/>
    </row>
    <row r="60" spans="1:31" s="442" customFormat="1" ht="24.75" customHeight="1">
      <c r="A60" s="437" t="s">
        <v>743</v>
      </c>
      <c r="B60" s="445" t="s">
        <v>793</v>
      </c>
      <c r="C60" s="439">
        <f t="shared" si="9"/>
        <v>120</v>
      </c>
      <c r="D60" s="439"/>
      <c r="E60" s="439">
        <f t="shared" si="10"/>
        <v>120</v>
      </c>
      <c r="F60" s="439">
        <v>120</v>
      </c>
      <c r="G60" s="439"/>
      <c r="H60" s="439"/>
      <c r="I60" s="439"/>
      <c r="J60" s="439"/>
      <c r="K60" s="439">
        <f t="shared" si="7"/>
        <v>0</v>
      </c>
      <c r="L60" s="439"/>
      <c r="M60" s="439"/>
      <c r="N60" s="439">
        <f t="shared" si="15"/>
        <v>0</v>
      </c>
      <c r="O60" s="439"/>
      <c r="P60" s="440">
        <f t="shared" si="11"/>
        <v>0</v>
      </c>
      <c r="Q60" s="439"/>
      <c r="R60" s="439"/>
      <c r="S60" s="439"/>
      <c r="T60" s="439"/>
      <c r="U60" s="439">
        <f t="shared" si="16"/>
        <v>0</v>
      </c>
      <c r="V60" s="439"/>
      <c r="W60" s="439"/>
      <c r="X60" s="439"/>
      <c r="Y60" s="439"/>
      <c r="Z60" s="439"/>
      <c r="AA60" s="439"/>
      <c r="AB60" s="441">
        <f t="shared" si="12"/>
        <v>0</v>
      </c>
      <c r="AC60" s="441"/>
      <c r="AD60" s="441">
        <f t="shared" si="14"/>
        <v>0</v>
      </c>
      <c r="AE60" s="441"/>
    </row>
    <row r="61" spans="1:31" s="442" customFormat="1" ht="24.75" customHeight="1">
      <c r="A61" s="437" t="s">
        <v>744</v>
      </c>
      <c r="B61" s="445" t="s">
        <v>994</v>
      </c>
      <c r="C61" s="439">
        <f t="shared" si="9"/>
        <v>20</v>
      </c>
      <c r="D61" s="439"/>
      <c r="E61" s="439">
        <f t="shared" si="10"/>
        <v>20</v>
      </c>
      <c r="F61" s="439">
        <v>20</v>
      </c>
      <c r="G61" s="439"/>
      <c r="H61" s="439"/>
      <c r="I61" s="439"/>
      <c r="J61" s="439"/>
      <c r="K61" s="439">
        <f t="shared" si="7"/>
        <v>0</v>
      </c>
      <c r="L61" s="439"/>
      <c r="M61" s="439"/>
      <c r="N61" s="439">
        <f t="shared" si="15"/>
        <v>0</v>
      </c>
      <c r="O61" s="439"/>
      <c r="P61" s="440">
        <f t="shared" si="11"/>
        <v>0</v>
      </c>
      <c r="Q61" s="439"/>
      <c r="R61" s="439"/>
      <c r="S61" s="439"/>
      <c r="T61" s="439"/>
      <c r="U61" s="439">
        <f t="shared" si="16"/>
        <v>0</v>
      </c>
      <c r="V61" s="439"/>
      <c r="W61" s="439"/>
      <c r="X61" s="439"/>
      <c r="Y61" s="439"/>
      <c r="Z61" s="439"/>
      <c r="AA61" s="439"/>
      <c r="AB61" s="441">
        <f t="shared" si="12"/>
        <v>0</v>
      </c>
      <c r="AC61" s="441"/>
      <c r="AD61" s="441">
        <f t="shared" si="14"/>
        <v>0</v>
      </c>
      <c r="AE61" s="441"/>
    </row>
    <row r="62" spans="1:31" s="442" customFormat="1" ht="24.75" customHeight="1">
      <c r="A62" s="437" t="s">
        <v>745</v>
      </c>
      <c r="B62" s="449" t="s">
        <v>995</v>
      </c>
      <c r="C62" s="439">
        <f t="shared" si="9"/>
        <v>34</v>
      </c>
      <c r="D62" s="439"/>
      <c r="E62" s="439">
        <f t="shared" si="10"/>
        <v>34</v>
      </c>
      <c r="F62" s="439">
        <v>34</v>
      </c>
      <c r="G62" s="439"/>
      <c r="H62" s="439"/>
      <c r="I62" s="439"/>
      <c r="J62" s="439"/>
      <c r="K62" s="439">
        <f t="shared" si="7"/>
        <v>0</v>
      </c>
      <c r="L62" s="439"/>
      <c r="M62" s="439"/>
      <c r="N62" s="439">
        <f t="shared" si="15"/>
        <v>15.5</v>
      </c>
      <c r="O62" s="439"/>
      <c r="P62" s="440">
        <f t="shared" si="11"/>
        <v>15.5</v>
      </c>
      <c r="Q62" s="439">
        <v>15.5</v>
      </c>
      <c r="R62" s="439"/>
      <c r="S62" s="439"/>
      <c r="T62" s="439"/>
      <c r="U62" s="439">
        <f t="shared" si="16"/>
        <v>0</v>
      </c>
      <c r="V62" s="439"/>
      <c r="W62" s="439"/>
      <c r="X62" s="439"/>
      <c r="Y62" s="439"/>
      <c r="Z62" s="439"/>
      <c r="AA62" s="439"/>
      <c r="AB62" s="441">
        <f t="shared" si="12"/>
        <v>45.588235294117645</v>
      </c>
      <c r="AC62" s="441"/>
      <c r="AD62" s="441">
        <f t="shared" si="14"/>
        <v>45.588235294117645</v>
      </c>
      <c r="AE62" s="441"/>
    </row>
    <row r="63" spans="1:31" s="442" customFormat="1" ht="38.25" customHeight="1">
      <c r="A63" s="437" t="s">
        <v>746</v>
      </c>
      <c r="B63" s="449" t="s">
        <v>796</v>
      </c>
      <c r="C63" s="439">
        <f t="shared" si="9"/>
        <v>65</v>
      </c>
      <c r="D63" s="439"/>
      <c r="E63" s="439">
        <f t="shared" si="10"/>
        <v>65</v>
      </c>
      <c r="F63" s="439">
        <v>65</v>
      </c>
      <c r="G63" s="439"/>
      <c r="H63" s="439"/>
      <c r="I63" s="439"/>
      <c r="J63" s="439"/>
      <c r="K63" s="439">
        <f t="shared" si="7"/>
        <v>0</v>
      </c>
      <c r="L63" s="439"/>
      <c r="M63" s="439"/>
      <c r="N63" s="439">
        <f t="shared" si="15"/>
        <v>64</v>
      </c>
      <c r="O63" s="439"/>
      <c r="P63" s="440">
        <f t="shared" si="11"/>
        <v>64</v>
      </c>
      <c r="Q63" s="439">
        <v>64</v>
      </c>
      <c r="R63" s="439"/>
      <c r="S63" s="439"/>
      <c r="T63" s="439"/>
      <c r="U63" s="439">
        <f t="shared" si="16"/>
        <v>0</v>
      </c>
      <c r="V63" s="439"/>
      <c r="W63" s="439"/>
      <c r="X63" s="439"/>
      <c r="Y63" s="439"/>
      <c r="Z63" s="439"/>
      <c r="AA63" s="439"/>
      <c r="AB63" s="441">
        <f t="shared" si="12"/>
        <v>98.461538461538453</v>
      </c>
      <c r="AC63" s="441"/>
      <c r="AD63" s="441">
        <f t="shared" si="14"/>
        <v>98.461538461538453</v>
      </c>
      <c r="AE63" s="441"/>
    </row>
    <row r="64" spans="1:31" s="442" customFormat="1" ht="45.75" customHeight="1">
      <c r="A64" s="437" t="s">
        <v>747</v>
      </c>
      <c r="B64" s="449" t="s">
        <v>996</v>
      </c>
      <c r="C64" s="439">
        <f t="shared" si="9"/>
        <v>13000</v>
      </c>
      <c r="D64" s="439"/>
      <c r="E64" s="439">
        <f t="shared" si="10"/>
        <v>13000</v>
      </c>
      <c r="F64" s="439">
        <v>1500</v>
      </c>
      <c r="G64" s="439">
        <v>11500</v>
      </c>
      <c r="H64" s="439"/>
      <c r="I64" s="439"/>
      <c r="J64" s="439"/>
      <c r="K64" s="439">
        <f t="shared" si="7"/>
        <v>0</v>
      </c>
      <c r="L64" s="439"/>
      <c r="M64" s="439"/>
      <c r="N64" s="439">
        <f t="shared" si="15"/>
        <v>6843.9049770000001</v>
      </c>
      <c r="O64" s="439"/>
      <c r="P64" s="440">
        <f t="shared" si="11"/>
        <v>6843.9049770000001</v>
      </c>
      <c r="Q64" s="439">
        <v>6843.9049770000001</v>
      </c>
      <c r="R64" s="439"/>
      <c r="S64" s="439"/>
      <c r="T64" s="439"/>
      <c r="U64" s="439">
        <f t="shared" si="16"/>
        <v>0</v>
      </c>
      <c r="V64" s="439"/>
      <c r="W64" s="439"/>
      <c r="X64" s="439"/>
      <c r="Y64" s="439"/>
      <c r="Z64" s="439"/>
      <c r="AA64" s="439"/>
      <c r="AB64" s="441">
        <f t="shared" si="12"/>
        <v>52.6454229</v>
      </c>
      <c r="AC64" s="441"/>
      <c r="AD64" s="441">
        <f t="shared" si="14"/>
        <v>52.6454229</v>
      </c>
      <c r="AE64" s="441"/>
    </row>
    <row r="65" spans="1:31" s="442" customFormat="1" ht="24.75" customHeight="1">
      <c r="A65" s="437" t="s">
        <v>748</v>
      </c>
      <c r="B65" s="449" t="s">
        <v>794</v>
      </c>
      <c r="C65" s="439">
        <f t="shared" si="9"/>
        <v>120</v>
      </c>
      <c r="D65" s="439"/>
      <c r="E65" s="439">
        <f t="shared" si="10"/>
        <v>120</v>
      </c>
      <c r="F65" s="439">
        <v>120</v>
      </c>
      <c r="G65" s="439"/>
      <c r="H65" s="439"/>
      <c r="I65" s="439"/>
      <c r="J65" s="439"/>
      <c r="K65" s="439">
        <f t="shared" si="7"/>
        <v>0</v>
      </c>
      <c r="L65" s="439"/>
      <c r="M65" s="439"/>
      <c r="N65" s="439">
        <f t="shared" si="15"/>
        <v>0</v>
      </c>
      <c r="O65" s="439"/>
      <c r="P65" s="440">
        <f t="shared" si="11"/>
        <v>0</v>
      </c>
      <c r="Q65" s="439"/>
      <c r="R65" s="439"/>
      <c r="S65" s="439"/>
      <c r="T65" s="439"/>
      <c r="U65" s="439">
        <f t="shared" si="16"/>
        <v>0</v>
      </c>
      <c r="V65" s="439"/>
      <c r="W65" s="439"/>
      <c r="X65" s="439"/>
      <c r="Y65" s="439"/>
      <c r="Z65" s="439"/>
      <c r="AA65" s="439"/>
      <c r="AB65" s="441">
        <f t="shared" si="12"/>
        <v>0</v>
      </c>
      <c r="AC65" s="441"/>
      <c r="AD65" s="441">
        <f t="shared" si="14"/>
        <v>0</v>
      </c>
      <c r="AE65" s="441"/>
    </row>
    <row r="66" spans="1:31" s="442" customFormat="1" ht="24.75" customHeight="1">
      <c r="A66" s="437" t="s">
        <v>749</v>
      </c>
      <c r="B66" s="450" t="s">
        <v>362</v>
      </c>
      <c r="C66" s="439">
        <f t="shared" si="9"/>
        <v>120</v>
      </c>
      <c r="D66" s="439"/>
      <c r="E66" s="439">
        <f t="shared" si="10"/>
        <v>120</v>
      </c>
      <c r="F66" s="439">
        <v>120</v>
      </c>
      <c r="G66" s="439"/>
      <c r="H66" s="439"/>
      <c r="I66" s="439"/>
      <c r="J66" s="439"/>
      <c r="K66" s="439">
        <f t="shared" si="7"/>
        <v>0</v>
      </c>
      <c r="L66" s="439"/>
      <c r="M66" s="439"/>
      <c r="N66" s="439">
        <f t="shared" si="15"/>
        <v>0</v>
      </c>
      <c r="O66" s="439"/>
      <c r="P66" s="440">
        <f t="shared" si="11"/>
        <v>0</v>
      </c>
      <c r="Q66" s="439"/>
      <c r="R66" s="439"/>
      <c r="S66" s="439"/>
      <c r="T66" s="439"/>
      <c r="U66" s="439">
        <f t="shared" si="16"/>
        <v>0</v>
      </c>
      <c r="V66" s="439"/>
      <c r="W66" s="439"/>
      <c r="X66" s="439"/>
      <c r="Y66" s="439"/>
      <c r="Z66" s="439"/>
      <c r="AA66" s="439"/>
      <c r="AB66" s="441">
        <f t="shared" si="12"/>
        <v>0</v>
      </c>
      <c r="AC66" s="441"/>
      <c r="AD66" s="441">
        <f t="shared" si="14"/>
        <v>0</v>
      </c>
      <c r="AE66" s="441"/>
    </row>
    <row r="67" spans="1:31" s="442" customFormat="1" ht="24.75" customHeight="1">
      <c r="A67" s="437" t="s">
        <v>750</v>
      </c>
      <c r="B67" s="449" t="s">
        <v>439</v>
      </c>
      <c r="C67" s="439">
        <f t="shared" si="9"/>
        <v>26502.079669999999</v>
      </c>
      <c r="D67" s="439">
        <v>26502.079669999999</v>
      </c>
      <c r="E67" s="439">
        <f t="shared" si="10"/>
        <v>0</v>
      </c>
      <c r="F67" s="439"/>
      <c r="G67" s="439"/>
      <c r="H67" s="439"/>
      <c r="I67" s="439"/>
      <c r="J67" s="439"/>
      <c r="K67" s="439">
        <f t="shared" si="7"/>
        <v>0</v>
      </c>
      <c r="L67" s="439"/>
      <c r="M67" s="439"/>
      <c r="N67" s="439">
        <f t="shared" si="15"/>
        <v>30685.516669999997</v>
      </c>
      <c r="O67" s="439">
        <v>30685.516669999997</v>
      </c>
      <c r="P67" s="440">
        <f t="shared" si="11"/>
        <v>0</v>
      </c>
      <c r="Q67" s="439"/>
      <c r="R67" s="439"/>
      <c r="S67" s="439"/>
      <c r="T67" s="439"/>
      <c r="U67" s="439">
        <f t="shared" si="16"/>
        <v>0</v>
      </c>
      <c r="V67" s="439"/>
      <c r="W67" s="439"/>
      <c r="X67" s="439"/>
      <c r="Y67" s="439"/>
      <c r="Z67" s="439"/>
      <c r="AA67" s="439"/>
      <c r="AB67" s="441">
        <f t="shared" si="12"/>
        <v>115.78531591517171</v>
      </c>
      <c r="AC67" s="441">
        <f t="shared" si="13"/>
        <v>115.78531591517171</v>
      </c>
      <c r="AD67" s="441"/>
      <c r="AE67" s="441"/>
    </row>
    <row r="68" spans="1:31" s="442" customFormat="1" ht="38.25" customHeight="1">
      <c r="A68" s="437" t="s">
        <v>751</v>
      </c>
      <c r="B68" s="355" t="s">
        <v>252</v>
      </c>
      <c r="C68" s="439">
        <f t="shared" si="9"/>
        <v>554951.76</v>
      </c>
      <c r="D68" s="439">
        <v>554951.76</v>
      </c>
      <c r="E68" s="439">
        <f t="shared" si="10"/>
        <v>0</v>
      </c>
      <c r="F68" s="439"/>
      <c r="G68" s="439"/>
      <c r="H68" s="439"/>
      <c r="I68" s="439"/>
      <c r="J68" s="439"/>
      <c r="K68" s="439">
        <f t="shared" si="7"/>
        <v>0</v>
      </c>
      <c r="L68" s="439"/>
      <c r="M68" s="439"/>
      <c r="N68" s="439">
        <f t="shared" si="15"/>
        <v>509545.83216300001</v>
      </c>
      <c r="O68" s="439">
        <v>509545.83216300001</v>
      </c>
      <c r="P68" s="440">
        <f t="shared" si="11"/>
        <v>0</v>
      </c>
      <c r="Q68" s="439"/>
      <c r="R68" s="439"/>
      <c r="S68" s="439"/>
      <c r="T68" s="439"/>
      <c r="U68" s="439">
        <f t="shared" si="16"/>
        <v>0</v>
      </c>
      <c r="V68" s="439"/>
      <c r="W68" s="439"/>
      <c r="X68" s="439"/>
      <c r="Y68" s="439"/>
      <c r="Z68" s="439"/>
      <c r="AA68" s="439"/>
      <c r="AB68" s="441">
        <f t="shared" si="12"/>
        <v>91.818040574013139</v>
      </c>
      <c r="AC68" s="441">
        <f t="shared" si="13"/>
        <v>91.818040574013139</v>
      </c>
      <c r="AD68" s="441"/>
      <c r="AE68" s="441"/>
    </row>
    <row r="69" spans="1:31" s="442" customFormat="1" ht="34.5" customHeight="1">
      <c r="A69" s="437" t="s">
        <v>752</v>
      </c>
      <c r="B69" s="451" t="s">
        <v>1001</v>
      </c>
      <c r="C69" s="439">
        <f t="shared" si="9"/>
        <v>60935</v>
      </c>
      <c r="D69" s="439">
        <v>55791</v>
      </c>
      <c r="E69" s="439">
        <f t="shared" si="10"/>
        <v>5144</v>
      </c>
      <c r="F69" s="439"/>
      <c r="G69" s="439"/>
      <c r="H69" s="439">
        <v>5144</v>
      </c>
      <c r="I69" s="439"/>
      <c r="J69" s="439"/>
      <c r="K69" s="439">
        <f t="shared" si="7"/>
        <v>0</v>
      </c>
      <c r="L69" s="439"/>
      <c r="M69" s="439"/>
      <c r="N69" s="439">
        <f t="shared" si="15"/>
        <v>80562.348406000005</v>
      </c>
      <c r="O69" s="439">
        <v>46180.348406000005</v>
      </c>
      <c r="P69" s="440">
        <f t="shared" si="11"/>
        <v>34382</v>
      </c>
      <c r="Q69" s="439">
        <v>34382</v>
      </c>
      <c r="R69" s="439"/>
      <c r="S69" s="439"/>
      <c r="T69" s="439"/>
      <c r="U69" s="439">
        <f t="shared" si="16"/>
        <v>0</v>
      </c>
      <c r="V69" s="439"/>
      <c r="W69" s="439"/>
      <c r="X69" s="439"/>
      <c r="Y69" s="439"/>
      <c r="Z69" s="439"/>
      <c r="AA69" s="439"/>
      <c r="AB69" s="441">
        <f t="shared" si="12"/>
        <v>132.21030344793633</v>
      </c>
      <c r="AC69" s="441">
        <f t="shared" si="13"/>
        <v>82.773831632342151</v>
      </c>
      <c r="AD69" s="441">
        <f t="shared" si="14"/>
        <v>668.39035769828934</v>
      </c>
      <c r="AE69" s="441"/>
    </row>
    <row r="70" spans="1:31" s="442" customFormat="1" ht="39.75" customHeight="1">
      <c r="A70" s="437" t="s">
        <v>753</v>
      </c>
      <c r="B70" s="452" t="s">
        <v>881</v>
      </c>
      <c r="C70" s="439">
        <f t="shared" si="9"/>
        <v>10650</v>
      </c>
      <c r="D70" s="439">
        <v>400</v>
      </c>
      <c r="E70" s="439">
        <f t="shared" si="10"/>
        <v>10250</v>
      </c>
      <c r="F70" s="439">
        <v>10250</v>
      </c>
      <c r="G70" s="439"/>
      <c r="H70" s="439"/>
      <c r="I70" s="439"/>
      <c r="J70" s="439"/>
      <c r="K70" s="439">
        <f t="shared" si="7"/>
        <v>0</v>
      </c>
      <c r="L70" s="439"/>
      <c r="M70" s="439"/>
      <c r="N70" s="439">
        <f t="shared" si="15"/>
        <v>400</v>
      </c>
      <c r="O70" s="439">
        <v>400</v>
      </c>
      <c r="P70" s="440">
        <f t="shared" si="11"/>
        <v>0</v>
      </c>
      <c r="Q70" s="439"/>
      <c r="R70" s="439"/>
      <c r="S70" s="439"/>
      <c r="T70" s="439"/>
      <c r="U70" s="439">
        <f t="shared" si="16"/>
        <v>0</v>
      </c>
      <c r="V70" s="439"/>
      <c r="W70" s="439"/>
      <c r="X70" s="439"/>
      <c r="Y70" s="439"/>
      <c r="Z70" s="439"/>
      <c r="AA70" s="439"/>
      <c r="AB70" s="441">
        <f t="shared" si="12"/>
        <v>3.755868544600939</v>
      </c>
      <c r="AC70" s="441">
        <f t="shared" si="13"/>
        <v>100</v>
      </c>
      <c r="AD70" s="441">
        <f t="shared" si="14"/>
        <v>0</v>
      </c>
      <c r="AE70" s="441"/>
    </row>
    <row r="71" spans="1:31" s="442" customFormat="1" ht="41.25" customHeight="1">
      <c r="A71" s="437" t="s">
        <v>754</v>
      </c>
      <c r="B71" s="357" t="s">
        <v>1017</v>
      </c>
      <c r="C71" s="439">
        <f t="shared" si="9"/>
        <v>2514</v>
      </c>
      <c r="D71" s="356">
        <v>2514</v>
      </c>
      <c r="E71" s="439">
        <f t="shared" si="10"/>
        <v>0</v>
      </c>
      <c r="F71" s="439"/>
      <c r="G71" s="439"/>
      <c r="H71" s="439"/>
      <c r="I71" s="439"/>
      <c r="J71" s="439"/>
      <c r="K71" s="439">
        <f t="shared" si="7"/>
        <v>0</v>
      </c>
      <c r="L71" s="439"/>
      <c r="M71" s="439"/>
      <c r="N71" s="439">
        <f t="shared" si="15"/>
        <v>2683.999984</v>
      </c>
      <c r="O71" s="439">
        <v>2683.999984</v>
      </c>
      <c r="P71" s="440">
        <f t="shared" si="11"/>
        <v>0</v>
      </c>
      <c r="Q71" s="439"/>
      <c r="R71" s="439"/>
      <c r="S71" s="439"/>
      <c r="T71" s="439"/>
      <c r="U71" s="439">
        <f t="shared" si="16"/>
        <v>0</v>
      </c>
      <c r="V71" s="439"/>
      <c r="W71" s="439"/>
      <c r="X71" s="439"/>
      <c r="Y71" s="439"/>
      <c r="Z71" s="439"/>
      <c r="AA71" s="439"/>
      <c r="AB71" s="441">
        <f t="shared" si="12"/>
        <v>106.76213142402545</v>
      </c>
      <c r="AC71" s="441">
        <f t="shared" si="13"/>
        <v>106.76213142402545</v>
      </c>
      <c r="AD71" s="441"/>
      <c r="AE71" s="441"/>
    </row>
    <row r="72" spans="1:31" s="442" customFormat="1" ht="41.25" customHeight="1">
      <c r="A72" s="437" t="s">
        <v>755</v>
      </c>
      <c r="B72" s="449" t="s">
        <v>846</v>
      </c>
      <c r="C72" s="439">
        <f t="shared" si="9"/>
        <v>6593</v>
      </c>
      <c r="D72" s="439">
        <v>100</v>
      </c>
      <c r="E72" s="439">
        <f t="shared" si="10"/>
        <v>6493</v>
      </c>
      <c r="F72" s="439">
        <v>6493</v>
      </c>
      <c r="G72" s="439"/>
      <c r="H72" s="439"/>
      <c r="I72" s="439"/>
      <c r="J72" s="439"/>
      <c r="K72" s="439">
        <f t="shared" si="7"/>
        <v>0</v>
      </c>
      <c r="L72" s="439"/>
      <c r="M72" s="439"/>
      <c r="N72" s="439">
        <f t="shared" si="15"/>
        <v>7313.7618769999999</v>
      </c>
      <c r="O72" s="439">
        <v>32.51</v>
      </c>
      <c r="P72" s="440">
        <f t="shared" si="11"/>
        <v>7281.2518769999997</v>
      </c>
      <c r="Q72" s="439">
        <v>7281.2518769999997</v>
      </c>
      <c r="R72" s="439"/>
      <c r="S72" s="439"/>
      <c r="T72" s="439"/>
      <c r="U72" s="439">
        <f t="shared" si="16"/>
        <v>0</v>
      </c>
      <c r="V72" s="439"/>
      <c r="W72" s="439"/>
      <c r="X72" s="439"/>
      <c r="Y72" s="439"/>
      <c r="Z72" s="439"/>
      <c r="AA72" s="439"/>
      <c r="AB72" s="441">
        <f t="shared" si="12"/>
        <v>110.93222928863945</v>
      </c>
      <c r="AC72" s="441">
        <f t="shared" si="13"/>
        <v>32.51</v>
      </c>
      <c r="AD72" s="441">
        <f t="shared" si="14"/>
        <v>112.14002582781455</v>
      </c>
      <c r="AE72" s="441"/>
    </row>
    <row r="73" spans="1:31" s="442" customFormat="1" ht="39.75" customHeight="1">
      <c r="A73" s="437" t="s">
        <v>756</v>
      </c>
      <c r="B73" s="355" t="s">
        <v>1018</v>
      </c>
      <c r="C73" s="439">
        <f t="shared" si="9"/>
        <v>91182.8</v>
      </c>
      <c r="D73" s="439">
        <v>91182.8</v>
      </c>
      <c r="E73" s="439">
        <f t="shared" si="10"/>
        <v>0</v>
      </c>
      <c r="F73" s="439"/>
      <c r="G73" s="439"/>
      <c r="H73" s="439"/>
      <c r="I73" s="439"/>
      <c r="J73" s="439"/>
      <c r="K73" s="439">
        <f t="shared" si="7"/>
        <v>0</v>
      </c>
      <c r="L73" s="439"/>
      <c r="M73" s="439"/>
      <c r="N73" s="439">
        <f t="shared" si="15"/>
        <v>37682.909242999995</v>
      </c>
      <c r="O73" s="439">
        <v>37682.909242999995</v>
      </c>
      <c r="P73" s="440">
        <f t="shared" si="11"/>
        <v>0</v>
      </c>
      <c r="Q73" s="439"/>
      <c r="R73" s="439"/>
      <c r="S73" s="439"/>
      <c r="T73" s="439"/>
      <c r="U73" s="439">
        <f t="shared" si="16"/>
        <v>0</v>
      </c>
      <c r="V73" s="439"/>
      <c r="W73" s="439"/>
      <c r="X73" s="439"/>
      <c r="Y73" s="439"/>
      <c r="Z73" s="439"/>
      <c r="AA73" s="439"/>
      <c r="AB73" s="441">
        <f t="shared" si="12"/>
        <v>41.326773517593224</v>
      </c>
      <c r="AC73" s="441">
        <f t="shared" si="13"/>
        <v>41.326773517593224</v>
      </c>
      <c r="AD73" s="441"/>
      <c r="AE73" s="441"/>
    </row>
    <row r="74" spans="1:31" s="442" customFormat="1" ht="24.75" customHeight="1">
      <c r="A74" s="437" t="s">
        <v>757</v>
      </c>
      <c r="B74" s="358" t="s">
        <v>1019</v>
      </c>
      <c r="C74" s="439">
        <f t="shared" si="9"/>
        <v>50</v>
      </c>
      <c r="D74" s="439">
        <v>50</v>
      </c>
      <c r="E74" s="439">
        <f t="shared" si="10"/>
        <v>0</v>
      </c>
      <c r="F74" s="439"/>
      <c r="G74" s="439"/>
      <c r="H74" s="439"/>
      <c r="I74" s="439"/>
      <c r="J74" s="439"/>
      <c r="K74" s="439">
        <f t="shared" si="7"/>
        <v>0</v>
      </c>
      <c r="L74" s="439"/>
      <c r="M74" s="439"/>
      <c r="N74" s="439">
        <f t="shared" si="15"/>
        <v>50</v>
      </c>
      <c r="O74" s="439">
        <v>50</v>
      </c>
      <c r="P74" s="440">
        <f t="shared" si="11"/>
        <v>0</v>
      </c>
      <c r="Q74" s="439"/>
      <c r="R74" s="439"/>
      <c r="S74" s="439"/>
      <c r="T74" s="439"/>
      <c r="U74" s="439">
        <f t="shared" si="16"/>
        <v>0</v>
      </c>
      <c r="V74" s="439"/>
      <c r="W74" s="439"/>
      <c r="X74" s="439"/>
      <c r="Y74" s="439"/>
      <c r="Z74" s="439"/>
      <c r="AA74" s="439"/>
      <c r="AB74" s="441">
        <f t="shared" si="12"/>
        <v>100</v>
      </c>
      <c r="AC74" s="441">
        <f t="shared" si="13"/>
        <v>100</v>
      </c>
      <c r="AD74" s="441"/>
      <c r="AE74" s="441"/>
    </row>
    <row r="75" spans="1:31" s="442" customFormat="1" ht="43.5" customHeight="1">
      <c r="A75" s="437" t="s">
        <v>758</v>
      </c>
      <c r="B75" s="449" t="s">
        <v>882</v>
      </c>
      <c r="C75" s="439">
        <f t="shared" si="9"/>
        <v>13624</v>
      </c>
      <c r="D75" s="439">
        <v>13624</v>
      </c>
      <c r="E75" s="439">
        <f t="shared" si="10"/>
        <v>0</v>
      </c>
      <c r="F75" s="439"/>
      <c r="G75" s="439"/>
      <c r="H75" s="439"/>
      <c r="I75" s="439"/>
      <c r="J75" s="439"/>
      <c r="K75" s="439">
        <f t="shared" si="7"/>
        <v>0</v>
      </c>
      <c r="L75" s="439"/>
      <c r="M75" s="439"/>
      <c r="N75" s="439">
        <f t="shared" si="15"/>
        <v>25180.6705</v>
      </c>
      <c r="O75" s="439">
        <v>25180.6705</v>
      </c>
      <c r="P75" s="440">
        <f t="shared" si="11"/>
        <v>0</v>
      </c>
      <c r="Q75" s="439"/>
      <c r="R75" s="439"/>
      <c r="S75" s="439"/>
      <c r="T75" s="439"/>
      <c r="U75" s="439">
        <f t="shared" si="16"/>
        <v>0</v>
      </c>
      <c r="V75" s="439"/>
      <c r="W75" s="439"/>
      <c r="X75" s="439"/>
      <c r="Y75" s="439"/>
      <c r="Z75" s="439"/>
      <c r="AA75" s="439"/>
      <c r="AB75" s="441">
        <f t="shared" si="12"/>
        <v>184.8258257486788</v>
      </c>
      <c r="AC75" s="441">
        <f t="shared" si="13"/>
        <v>184.8258257486788</v>
      </c>
      <c r="AD75" s="441"/>
      <c r="AE75" s="441"/>
    </row>
    <row r="76" spans="1:31" s="442" customFormat="1" ht="32.25" customHeight="1">
      <c r="A76" s="437" t="s">
        <v>759</v>
      </c>
      <c r="B76" s="449" t="s">
        <v>764</v>
      </c>
      <c r="C76" s="439">
        <f t="shared" si="9"/>
        <v>19303.929</v>
      </c>
      <c r="D76" s="439">
        <v>19303.929</v>
      </c>
      <c r="E76" s="439">
        <f t="shared" si="10"/>
        <v>0</v>
      </c>
      <c r="F76" s="439"/>
      <c r="G76" s="439"/>
      <c r="H76" s="439"/>
      <c r="I76" s="439"/>
      <c r="J76" s="439"/>
      <c r="K76" s="439">
        <f t="shared" si="7"/>
        <v>0</v>
      </c>
      <c r="L76" s="439"/>
      <c r="M76" s="439"/>
      <c r="N76" s="439">
        <f t="shared" si="15"/>
        <v>14901.431294000002</v>
      </c>
      <c r="O76" s="439">
        <v>14901.431294000002</v>
      </c>
      <c r="P76" s="440">
        <f t="shared" si="11"/>
        <v>0</v>
      </c>
      <c r="Q76" s="439"/>
      <c r="R76" s="439"/>
      <c r="S76" s="439"/>
      <c r="T76" s="439"/>
      <c r="U76" s="439">
        <f t="shared" si="16"/>
        <v>0</v>
      </c>
      <c r="V76" s="439"/>
      <c r="W76" s="439"/>
      <c r="X76" s="439"/>
      <c r="Y76" s="439"/>
      <c r="Z76" s="439"/>
      <c r="AA76" s="439"/>
      <c r="AB76" s="441">
        <f t="shared" si="12"/>
        <v>77.193773837440048</v>
      </c>
      <c r="AC76" s="441">
        <f t="shared" si="13"/>
        <v>77.193773837440048</v>
      </c>
      <c r="AD76" s="441"/>
      <c r="AE76" s="441"/>
    </row>
    <row r="77" spans="1:31" s="442" customFormat="1" ht="42" customHeight="1">
      <c r="A77" s="437" t="s">
        <v>760</v>
      </c>
      <c r="B77" s="449" t="s">
        <v>766</v>
      </c>
      <c r="C77" s="439">
        <f t="shared" si="9"/>
        <v>30650</v>
      </c>
      <c r="D77" s="439">
        <v>30650</v>
      </c>
      <c r="E77" s="439">
        <f t="shared" si="10"/>
        <v>0</v>
      </c>
      <c r="F77" s="439"/>
      <c r="G77" s="439"/>
      <c r="H77" s="439"/>
      <c r="I77" s="439"/>
      <c r="J77" s="439"/>
      <c r="K77" s="439">
        <f t="shared" si="7"/>
        <v>0</v>
      </c>
      <c r="L77" s="439"/>
      <c r="M77" s="439"/>
      <c r="N77" s="439">
        <f t="shared" si="15"/>
        <v>230229.06599999999</v>
      </c>
      <c r="O77" s="439">
        <v>230229.06599999999</v>
      </c>
      <c r="P77" s="440">
        <f t="shared" si="11"/>
        <v>0</v>
      </c>
      <c r="Q77" s="439"/>
      <c r="R77" s="439"/>
      <c r="S77" s="439"/>
      <c r="T77" s="439"/>
      <c r="U77" s="439">
        <f t="shared" si="16"/>
        <v>0</v>
      </c>
      <c r="V77" s="439"/>
      <c r="W77" s="439"/>
      <c r="X77" s="439"/>
      <c r="Y77" s="439"/>
      <c r="Z77" s="439"/>
      <c r="AA77" s="439"/>
      <c r="AB77" s="441">
        <f t="shared" si="12"/>
        <v>751.15519086460029</v>
      </c>
      <c r="AC77" s="441">
        <f t="shared" si="13"/>
        <v>751.15519086460029</v>
      </c>
      <c r="AD77" s="441"/>
      <c r="AE77" s="441"/>
    </row>
    <row r="78" spans="1:31" s="442" customFormat="1" ht="24.75" customHeight="1">
      <c r="A78" s="437" t="s">
        <v>761</v>
      </c>
      <c r="B78" s="449" t="s">
        <v>884</v>
      </c>
      <c r="C78" s="439">
        <f t="shared" si="9"/>
        <v>49.910000000000004</v>
      </c>
      <c r="D78" s="439">
        <v>49.910000000000004</v>
      </c>
      <c r="E78" s="439">
        <f t="shared" si="10"/>
        <v>0</v>
      </c>
      <c r="F78" s="439"/>
      <c r="G78" s="439"/>
      <c r="H78" s="439"/>
      <c r="I78" s="439"/>
      <c r="J78" s="439"/>
      <c r="K78" s="439">
        <f t="shared" ref="K78:K118" si="17">L78+M78</f>
        <v>0</v>
      </c>
      <c r="L78" s="439"/>
      <c r="M78" s="439"/>
      <c r="N78" s="439">
        <f t="shared" si="15"/>
        <v>6061.5108480000008</v>
      </c>
      <c r="O78" s="439">
        <v>6061.5108480000008</v>
      </c>
      <c r="P78" s="440">
        <f t="shared" si="11"/>
        <v>0</v>
      </c>
      <c r="Q78" s="439"/>
      <c r="R78" s="439"/>
      <c r="S78" s="439"/>
      <c r="T78" s="439"/>
      <c r="U78" s="439">
        <f t="shared" si="16"/>
        <v>0</v>
      </c>
      <c r="V78" s="439"/>
      <c r="W78" s="439"/>
      <c r="X78" s="439"/>
      <c r="Y78" s="439"/>
      <c r="Z78" s="439"/>
      <c r="AA78" s="439"/>
      <c r="AB78" s="441">
        <f t="shared" si="12"/>
        <v>12144.882484472051</v>
      </c>
      <c r="AC78" s="441">
        <f t="shared" si="13"/>
        <v>12144.882484472051</v>
      </c>
      <c r="AD78" s="441"/>
      <c r="AE78" s="441"/>
    </row>
    <row r="79" spans="1:31" s="442" customFormat="1" ht="24.75" customHeight="1">
      <c r="A79" s="437" t="s">
        <v>762</v>
      </c>
      <c r="B79" s="449" t="s">
        <v>883</v>
      </c>
      <c r="C79" s="439">
        <f t="shared" ref="C79:C112" si="18">D79+E79+I79+J79+K79</f>
        <v>326.03999999999996</v>
      </c>
      <c r="D79" s="439">
        <v>326.03999999999996</v>
      </c>
      <c r="E79" s="439">
        <f t="shared" ref="E79:E89" si="19">F79+G79+H79</f>
        <v>0</v>
      </c>
      <c r="F79" s="439"/>
      <c r="G79" s="439"/>
      <c r="H79" s="439"/>
      <c r="I79" s="439"/>
      <c r="J79" s="439"/>
      <c r="K79" s="439">
        <f t="shared" si="17"/>
        <v>0</v>
      </c>
      <c r="L79" s="439"/>
      <c r="M79" s="439"/>
      <c r="N79" s="439">
        <f t="shared" si="15"/>
        <v>326.03999999999996</v>
      </c>
      <c r="O79" s="439">
        <v>326.03999999999996</v>
      </c>
      <c r="P79" s="440">
        <f t="shared" ref="P79:P90" si="20">Q79+R79</f>
        <v>0</v>
      </c>
      <c r="Q79" s="439"/>
      <c r="R79" s="439"/>
      <c r="S79" s="439"/>
      <c r="T79" s="439"/>
      <c r="U79" s="439">
        <f t="shared" si="16"/>
        <v>0</v>
      </c>
      <c r="V79" s="439"/>
      <c r="W79" s="439"/>
      <c r="X79" s="439"/>
      <c r="Y79" s="439"/>
      <c r="Z79" s="439"/>
      <c r="AA79" s="439"/>
      <c r="AB79" s="441">
        <f t="shared" ref="AB79:AB116" si="21">N79/C79%</f>
        <v>100</v>
      </c>
      <c r="AC79" s="441">
        <f t="shared" ref="AC79:AC110" si="22">O79/D79%</f>
        <v>100</v>
      </c>
      <c r="AD79" s="441"/>
      <c r="AE79" s="441"/>
    </row>
    <row r="80" spans="1:31" s="442" customFormat="1" ht="33.75" customHeight="1">
      <c r="A80" s="437" t="s">
        <v>763</v>
      </c>
      <c r="B80" s="449" t="s">
        <v>1000</v>
      </c>
      <c r="C80" s="439">
        <f t="shared" si="18"/>
        <v>9740</v>
      </c>
      <c r="D80" s="439"/>
      <c r="E80" s="439">
        <f t="shared" si="19"/>
        <v>9740</v>
      </c>
      <c r="F80" s="439"/>
      <c r="G80" s="439"/>
      <c r="H80" s="439">
        <v>9740</v>
      </c>
      <c r="I80" s="439"/>
      <c r="J80" s="439"/>
      <c r="K80" s="439">
        <f t="shared" si="17"/>
        <v>0</v>
      </c>
      <c r="L80" s="439"/>
      <c r="M80" s="439"/>
      <c r="N80" s="439">
        <f t="shared" ref="N80:N90" si="23">O80+P80+S80+T80+U80</f>
        <v>19177.982877999999</v>
      </c>
      <c r="O80" s="439"/>
      <c r="P80" s="440">
        <f t="shared" si="20"/>
        <v>19177.982877999999</v>
      </c>
      <c r="Q80" s="439"/>
      <c r="R80" s="439">
        <f>134.081403+91+89.616145+97.75279+258.921804+133.065318+128+7937.334546+6704.381632+3603.82924</f>
        <v>19177.982877999999</v>
      </c>
      <c r="S80" s="439"/>
      <c r="T80" s="439"/>
      <c r="U80" s="439">
        <f t="shared" si="16"/>
        <v>0</v>
      </c>
      <c r="V80" s="439"/>
      <c r="W80" s="439"/>
      <c r="X80" s="439"/>
      <c r="Y80" s="439"/>
      <c r="Z80" s="439"/>
      <c r="AA80" s="439"/>
      <c r="AB80" s="441">
        <f t="shared" si="21"/>
        <v>196.89920819301847</v>
      </c>
      <c r="AC80" s="441"/>
      <c r="AD80" s="441">
        <f t="shared" ref="AD80:AD110" si="24">P80/E80%</f>
        <v>196.89920819301847</v>
      </c>
      <c r="AE80" s="441"/>
    </row>
    <row r="81" spans="1:31" s="442" customFormat="1" ht="24.75" customHeight="1">
      <c r="A81" s="437" t="s">
        <v>765</v>
      </c>
      <c r="B81" s="449" t="s">
        <v>774</v>
      </c>
      <c r="C81" s="439">
        <f t="shared" si="18"/>
        <v>0</v>
      </c>
      <c r="D81" s="439"/>
      <c r="E81" s="439">
        <f t="shared" si="19"/>
        <v>0</v>
      </c>
      <c r="F81" s="439"/>
      <c r="G81" s="439"/>
      <c r="H81" s="439"/>
      <c r="I81" s="439"/>
      <c r="J81" s="439"/>
      <c r="K81" s="439">
        <f t="shared" si="17"/>
        <v>0</v>
      </c>
      <c r="L81" s="439"/>
      <c r="M81" s="439"/>
      <c r="N81" s="439">
        <f t="shared" si="23"/>
        <v>0</v>
      </c>
      <c r="O81" s="439"/>
      <c r="P81" s="440">
        <f t="shared" si="20"/>
        <v>0</v>
      </c>
      <c r="Q81" s="439"/>
      <c r="R81" s="439"/>
      <c r="S81" s="439"/>
      <c r="T81" s="439"/>
      <c r="U81" s="439">
        <f t="shared" si="16"/>
        <v>0</v>
      </c>
      <c r="V81" s="439"/>
      <c r="W81" s="439"/>
      <c r="X81" s="439"/>
      <c r="Y81" s="439"/>
      <c r="Z81" s="439"/>
      <c r="AA81" s="439"/>
      <c r="AB81" s="441"/>
      <c r="AC81" s="441"/>
      <c r="AD81" s="441"/>
      <c r="AE81" s="441"/>
    </row>
    <row r="82" spans="1:31" s="442" customFormat="1" ht="24.75" customHeight="1">
      <c r="A82" s="437" t="s">
        <v>767</v>
      </c>
      <c r="B82" s="449" t="s">
        <v>775</v>
      </c>
      <c r="C82" s="439">
        <f t="shared" si="18"/>
        <v>0</v>
      </c>
      <c r="D82" s="439"/>
      <c r="E82" s="439">
        <f t="shared" si="19"/>
        <v>0</v>
      </c>
      <c r="F82" s="439"/>
      <c r="G82" s="439"/>
      <c r="H82" s="439"/>
      <c r="I82" s="439"/>
      <c r="J82" s="439"/>
      <c r="K82" s="439">
        <f t="shared" si="17"/>
        <v>0</v>
      </c>
      <c r="L82" s="439"/>
      <c r="M82" s="439"/>
      <c r="N82" s="439">
        <f t="shared" si="23"/>
        <v>0</v>
      </c>
      <c r="O82" s="439"/>
      <c r="P82" s="440">
        <f t="shared" si="20"/>
        <v>0</v>
      </c>
      <c r="Q82" s="439"/>
      <c r="R82" s="439"/>
      <c r="S82" s="439"/>
      <c r="T82" s="439"/>
      <c r="U82" s="439">
        <f t="shared" si="16"/>
        <v>0</v>
      </c>
      <c r="V82" s="439"/>
      <c r="W82" s="439"/>
      <c r="X82" s="439"/>
      <c r="Y82" s="439"/>
      <c r="Z82" s="439"/>
      <c r="AA82" s="439"/>
      <c r="AB82" s="441"/>
      <c r="AC82" s="441"/>
      <c r="AD82" s="441"/>
      <c r="AE82" s="441"/>
    </row>
    <row r="83" spans="1:31" s="442" customFormat="1" ht="24.75" customHeight="1">
      <c r="A83" s="437" t="s">
        <v>769</v>
      </c>
      <c r="B83" s="451" t="s">
        <v>361</v>
      </c>
      <c r="C83" s="439">
        <f t="shared" si="18"/>
        <v>37981</v>
      </c>
      <c r="D83" s="439"/>
      <c r="E83" s="439">
        <f t="shared" si="19"/>
        <v>37981</v>
      </c>
      <c r="F83" s="439"/>
      <c r="G83" s="439"/>
      <c r="H83" s="439">
        <f>29575+6381+726+1299</f>
        <v>37981</v>
      </c>
      <c r="I83" s="439"/>
      <c r="J83" s="439"/>
      <c r="K83" s="439">
        <f t="shared" si="17"/>
        <v>0</v>
      </c>
      <c r="L83" s="439"/>
      <c r="M83" s="439"/>
      <c r="N83" s="439">
        <f t="shared" si="23"/>
        <v>246561.49835000001</v>
      </c>
      <c r="O83" s="439"/>
      <c r="P83" s="440">
        <f t="shared" si="20"/>
        <v>246561.49835000001</v>
      </c>
      <c r="Q83" s="439"/>
      <c r="R83" s="439">
        <v>246561.49835000001</v>
      </c>
      <c r="S83" s="439"/>
      <c r="T83" s="439"/>
      <c r="U83" s="439">
        <f t="shared" si="16"/>
        <v>0</v>
      </c>
      <c r="V83" s="439"/>
      <c r="W83" s="439"/>
      <c r="X83" s="439"/>
      <c r="Y83" s="439"/>
      <c r="Z83" s="439"/>
      <c r="AA83" s="439"/>
      <c r="AB83" s="441">
        <f t="shared" si="21"/>
        <v>649.17063360627685</v>
      </c>
      <c r="AC83" s="441"/>
      <c r="AD83" s="441">
        <f t="shared" si="24"/>
        <v>649.17063360627685</v>
      </c>
      <c r="AE83" s="441"/>
    </row>
    <row r="84" spans="1:31" s="442" customFormat="1" ht="24.75" customHeight="1">
      <c r="A84" s="437" t="s">
        <v>770</v>
      </c>
      <c r="B84" s="449" t="s">
        <v>587</v>
      </c>
      <c r="C84" s="439">
        <f t="shared" si="18"/>
        <v>0</v>
      </c>
      <c r="D84" s="439"/>
      <c r="E84" s="439">
        <f t="shared" si="19"/>
        <v>0</v>
      </c>
      <c r="F84" s="439"/>
      <c r="G84" s="439"/>
      <c r="H84" s="439"/>
      <c r="I84" s="439"/>
      <c r="J84" s="439"/>
      <c r="K84" s="439">
        <f t="shared" si="17"/>
        <v>0</v>
      </c>
      <c r="L84" s="439"/>
      <c r="M84" s="439"/>
      <c r="N84" s="439">
        <f t="shared" si="23"/>
        <v>0</v>
      </c>
      <c r="O84" s="439"/>
      <c r="P84" s="440">
        <f t="shared" si="20"/>
        <v>0</v>
      </c>
      <c r="Q84" s="439"/>
      <c r="R84" s="439"/>
      <c r="S84" s="439"/>
      <c r="T84" s="439"/>
      <c r="U84" s="439">
        <f t="shared" si="16"/>
        <v>0</v>
      </c>
      <c r="V84" s="439"/>
      <c r="W84" s="439"/>
      <c r="X84" s="439"/>
      <c r="Y84" s="439"/>
      <c r="Z84" s="439"/>
      <c r="AA84" s="439"/>
      <c r="AB84" s="441"/>
      <c r="AC84" s="441"/>
      <c r="AD84" s="441"/>
      <c r="AE84" s="441"/>
    </row>
    <row r="85" spans="1:31" s="442" customFormat="1" ht="24.75" customHeight="1">
      <c r="A85" s="437" t="s">
        <v>771</v>
      </c>
      <c r="B85" s="449" t="s">
        <v>797</v>
      </c>
      <c r="C85" s="439">
        <f t="shared" si="18"/>
        <v>0</v>
      </c>
      <c r="D85" s="439"/>
      <c r="E85" s="439">
        <f t="shared" si="19"/>
        <v>0</v>
      </c>
      <c r="F85" s="439"/>
      <c r="G85" s="439"/>
      <c r="H85" s="439"/>
      <c r="I85" s="439"/>
      <c r="J85" s="439"/>
      <c r="K85" s="439">
        <f t="shared" si="17"/>
        <v>0</v>
      </c>
      <c r="L85" s="439"/>
      <c r="M85" s="439"/>
      <c r="N85" s="439">
        <f t="shared" si="23"/>
        <v>0</v>
      </c>
      <c r="O85" s="439"/>
      <c r="P85" s="440">
        <f t="shared" si="20"/>
        <v>0</v>
      </c>
      <c r="Q85" s="439"/>
      <c r="R85" s="439"/>
      <c r="S85" s="439"/>
      <c r="T85" s="439"/>
      <c r="U85" s="439">
        <f t="shared" si="16"/>
        <v>0</v>
      </c>
      <c r="V85" s="439"/>
      <c r="W85" s="439"/>
      <c r="X85" s="439"/>
      <c r="Y85" s="439"/>
      <c r="Z85" s="439"/>
      <c r="AA85" s="439"/>
      <c r="AB85" s="441"/>
      <c r="AC85" s="441"/>
      <c r="AD85" s="441"/>
      <c r="AE85" s="441"/>
    </row>
    <row r="86" spans="1:31" s="442" customFormat="1" ht="24.75" customHeight="1">
      <c r="A86" s="437" t="s">
        <v>772</v>
      </c>
      <c r="B86" s="449" t="s">
        <v>798</v>
      </c>
      <c r="C86" s="439">
        <f t="shared" si="18"/>
        <v>0</v>
      </c>
      <c r="D86" s="439"/>
      <c r="E86" s="439">
        <f t="shared" si="19"/>
        <v>0</v>
      </c>
      <c r="F86" s="439"/>
      <c r="G86" s="439"/>
      <c r="H86" s="439"/>
      <c r="I86" s="439"/>
      <c r="J86" s="439"/>
      <c r="K86" s="439">
        <f t="shared" si="17"/>
        <v>0</v>
      </c>
      <c r="L86" s="439"/>
      <c r="M86" s="439"/>
      <c r="N86" s="439">
        <f t="shared" si="23"/>
        <v>0</v>
      </c>
      <c r="O86" s="439"/>
      <c r="P86" s="440">
        <f t="shared" si="20"/>
        <v>0</v>
      </c>
      <c r="Q86" s="439"/>
      <c r="R86" s="439"/>
      <c r="S86" s="439"/>
      <c r="T86" s="439"/>
      <c r="U86" s="439">
        <f t="shared" si="16"/>
        <v>0</v>
      </c>
      <c r="V86" s="439"/>
      <c r="W86" s="439"/>
      <c r="X86" s="439"/>
      <c r="Y86" s="439"/>
      <c r="Z86" s="439"/>
      <c r="AA86" s="439"/>
      <c r="AB86" s="441"/>
      <c r="AC86" s="441"/>
      <c r="AD86" s="441"/>
      <c r="AE86" s="441"/>
    </row>
    <row r="87" spans="1:31" s="442" customFormat="1" ht="24.75" customHeight="1">
      <c r="A87" s="437" t="s">
        <v>773</v>
      </c>
      <c r="B87" s="449" t="s">
        <v>799</v>
      </c>
      <c r="C87" s="439">
        <f t="shared" si="18"/>
        <v>0</v>
      </c>
      <c r="D87" s="439"/>
      <c r="E87" s="439">
        <f t="shared" si="19"/>
        <v>0</v>
      </c>
      <c r="F87" s="439"/>
      <c r="G87" s="439"/>
      <c r="H87" s="439"/>
      <c r="I87" s="439"/>
      <c r="J87" s="439"/>
      <c r="K87" s="439">
        <f t="shared" si="17"/>
        <v>0</v>
      </c>
      <c r="L87" s="439"/>
      <c r="M87" s="439"/>
      <c r="N87" s="439">
        <f t="shared" si="23"/>
        <v>0</v>
      </c>
      <c r="O87" s="439"/>
      <c r="P87" s="440">
        <f t="shared" si="20"/>
        <v>0</v>
      </c>
      <c r="Q87" s="439"/>
      <c r="R87" s="439"/>
      <c r="S87" s="439"/>
      <c r="T87" s="439"/>
      <c r="U87" s="439">
        <f t="shared" si="16"/>
        <v>0</v>
      </c>
      <c r="V87" s="439"/>
      <c r="W87" s="439"/>
      <c r="X87" s="439"/>
      <c r="Y87" s="439"/>
      <c r="Z87" s="439"/>
      <c r="AA87" s="439"/>
      <c r="AB87" s="441"/>
      <c r="AC87" s="441"/>
      <c r="AD87" s="441"/>
      <c r="AE87" s="441"/>
    </row>
    <row r="88" spans="1:31" s="442" customFormat="1" ht="24.75" customHeight="1">
      <c r="A88" s="437" t="s">
        <v>990</v>
      </c>
      <c r="B88" s="449" t="s">
        <v>584</v>
      </c>
      <c r="C88" s="439">
        <f t="shared" si="18"/>
        <v>958</v>
      </c>
      <c r="D88" s="439"/>
      <c r="E88" s="439">
        <f t="shared" si="19"/>
        <v>958</v>
      </c>
      <c r="F88" s="439"/>
      <c r="G88" s="439"/>
      <c r="H88" s="439">
        <v>958</v>
      </c>
      <c r="I88" s="439"/>
      <c r="J88" s="439"/>
      <c r="K88" s="439">
        <f t="shared" si="17"/>
        <v>0</v>
      </c>
      <c r="L88" s="439"/>
      <c r="M88" s="439"/>
      <c r="N88" s="439">
        <f t="shared" si="23"/>
        <v>0</v>
      </c>
      <c r="O88" s="439"/>
      <c r="P88" s="440">
        <f t="shared" si="20"/>
        <v>0</v>
      </c>
      <c r="Q88" s="439"/>
      <c r="R88" s="439"/>
      <c r="S88" s="439"/>
      <c r="T88" s="439"/>
      <c r="U88" s="439">
        <f t="shared" si="16"/>
        <v>0</v>
      </c>
      <c r="V88" s="439"/>
      <c r="W88" s="439"/>
      <c r="X88" s="439"/>
      <c r="Y88" s="439"/>
      <c r="Z88" s="439"/>
      <c r="AA88" s="439"/>
      <c r="AB88" s="441"/>
      <c r="AC88" s="441"/>
      <c r="AD88" s="441">
        <f t="shared" si="24"/>
        <v>0</v>
      </c>
      <c r="AE88" s="441"/>
    </row>
    <row r="89" spans="1:31" s="442" customFormat="1" ht="49.5" customHeight="1">
      <c r="A89" s="437" t="s">
        <v>991</v>
      </c>
      <c r="B89" s="449" t="s">
        <v>932</v>
      </c>
      <c r="C89" s="439">
        <f t="shared" si="18"/>
        <v>1656</v>
      </c>
      <c r="D89" s="439"/>
      <c r="E89" s="439">
        <f t="shared" si="19"/>
        <v>1656</v>
      </c>
      <c r="F89" s="439"/>
      <c r="G89" s="439">
        <v>668</v>
      </c>
      <c r="H89" s="439">
        <v>988</v>
      </c>
      <c r="I89" s="439"/>
      <c r="J89" s="439"/>
      <c r="K89" s="439"/>
      <c r="L89" s="439"/>
      <c r="M89" s="439"/>
      <c r="N89" s="439"/>
      <c r="O89" s="439"/>
      <c r="P89" s="440">
        <f t="shared" si="20"/>
        <v>0</v>
      </c>
      <c r="Q89" s="439"/>
      <c r="R89" s="439"/>
      <c r="S89" s="439"/>
      <c r="T89" s="439"/>
      <c r="U89" s="439"/>
      <c r="V89" s="439"/>
      <c r="W89" s="439"/>
      <c r="X89" s="439"/>
      <c r="Y89" s="439"/>
      <c r="Z89" s="439"/>
      <c r="AA89" s="439"/>
      <c r="AB89" s="441"/>
      <c r="AC89" s="441"/>
      <c r="AD89" s="441">
        <f t="shared" si="24"/>
        <v>0</v>
      </c>
      <c r="AE89" s="441"/>
    </row>
    <row r="90" spans="1:31" s="442" customFormat="1" ht="37.5" customHeight="1">
      <c r="A90" s="437" t="s">
        <v>992</v>
      </c>
      <c r="B90" s="449" t="s">
        <v>512</v>
      </c>
      <c r="C90" s="439">
        <f t="shared" si="18"/>
        <v>820252.01133000001</v>
      </c>
      <c r="D90" s="439">
        <v>820252.01133000001</v>
      </c>
      <c r="E90" s="439">
        <f>F90+G90+H90</f>
        <v>0</v>
      </c>
      <c r="F90" s="439"/>
      <c r="G90" s="439"/>
      <c r="H90" s="439"/>
      <c r="I90" s="439"/>
      <c r="J90" s="439"/>
      <c r="K90" s="439">
        <f t="shared" si="17"/>
        <v>0</v>
      </c>
      <c r="L90" s="439"/>
      <c r="M90" s="439"/>
      <c r="N90" s="439">
        <f t="shared" si="23"/>
        <v>52387.741642000001</v>
      </c>
      <c r="O90" s="439">
        <f>42004.990421+9596</f>
        <v>51600.990421000002</v>
      </c>
      <c r="P90" s="440">
        <f t="shared" si="20"/>
        <v>786.75122099999999</v>
      </c>
      <c r="Q90" s="439"/>
      <c r="R90" s="439">
        <f>15+18+16+14+13+13+19+537.751221+13+108+20</f>
        <v>786.75122099999999</v>
      </c>
      <c r="S90" s="439"/>
      <c r="T90" s="439"/>
      <c r="U90" s="439">
        <f t="shared" si="16"/>
        <v>0</v>
      </c>
      <c r="V90" s="439"/>
      <c r="W90" s="439"/>
      <c r="X90" s="439"/>
      <c r="Y90" s="439"/>
      <c r="Z90" s="439"/>
      <c r="AA90" s="439"/>
      <c r="AB90" s="441">
        <f t="shared" si="21"/>
        <v>6.3867861240663997</v>
      </c>
      <c r="AC90" s="441">
        <f t="shared" si="22"/>
        <v>6.290870331098783</v>
      </c>
      <c r="AD90" s="441"/>
      <c r="AE90" s="441"/>
    </row>
    <row r="91" spans="1:31" s="432" customFormat="1" ht="58.5" customHeight="1">
      <c r="A91" s="453" t="s">
        <v>776</v>
      </c>
      <c r="B91" s="454" t="s">
        <v>777</v>
      </c>
      <c r="C91" s="430">
        <f t="shared" si="18"/>
        <v>385185.23499999999</v>
      </c>
      <c r="D91" s="430">
        <f>SUM(D92:D102)</f>
        <v>385185.23499999999</v>
      </c>
      <c r="E91" s="430">
        <f t="shared" ref="E91" si="25">SUM(E92:E101)</f>
        <v>0</v>
      </c>
      <c r="F91" s="430"/>
      <c r="G91" s="430"/>
      <c r="H91" s="430"/>
      <c r="I91" s="430">
        <f>SUM(I92:I101)</f>
        <v>0</v>
      </c>
      <c r="J91" s="430">
        <f>SUM(J92:J101)</f>
        <v>0</v>
      </c>
      <c r="K91" s="430">
        <f t="shared" si="17"/>
        <v>0</v>
      </c>
      <c r="L91" s="430">
        <f>SUM(L92:L102)</f>
        <v>0</v>
      </c>
      <c r="M91" s="430">
        <f>SUM(M92:M101)</f>
        <v>0</v>
      </c>
      <c r="N91" s="430">
        <f>O91+P91+S91+T91+U91</f>
        <v>380660.08185799996</v>
      </c>
      <c r="O91" s="430">
        <f>SUM(O92:O102)</f>
        <v>344089.47438899998</v>
      </c>
      <c r="P91" s="430"/>
      <c r="Q91" s="430"/>
      <c r="R91" s="430"/>
      <c r="S91" s="430"/>
      <c r="T91" s="430"/>
      <c r="U91" s="430">
        <f t="shared" ref="U91" si="26">SUM(U92:U101)</f>
        <v>36570.607468999995</v>
      </c>
      <c r="V91" s="430">
        <f>SUM(V92:V102)</f>
        <v>36570.607468999995</v>
      </c>
      <c r="W91" s="430"/>
      <c r="X91" s="430">
        <f t="shared" ref="X91:Z91" si="27">SUM(X92:X102)</f>
        <v>0</v>
      </c>
      <c r="Y91" s="430">
        <f t="shared" si="27"/>
        <v>0</v>
      </c>
      <c r="Z91" s="430">
        <f t="shared" si="27"/>
        <v>0</v>
      </c>
      <c r="AA91" s="430"/>
      <c r="AB91" s="441">
        <f t="shared" si="21"/>
        <v>98.825200778529322</v>
      </c>
      <c r="AC91" s="441">
        <f t="shared" si="22"/>
        <v>89.330909682714093</v>
      </c>
      <c r="AD91" s="441"/>
      <c r="AE91" s="441"/>
    </row>
    <row r="92" spans="1:31" s="442" customFormat="1">
      <c r="A92" s="455" t="s">
        <v>367</v>
      </c>
      <c r="B92" s="456" t="s">
        <v>778</v>
      </c>
      <c r="C92" s="439">
        <f t="shared" si="18"/>
        <v>5678.8280000000004</v>
      </c>
      <c r="D92" s="440">
        <v>5678.8280000000004</v>
      </c>
      <c r="E92" s="440"/>
      <c r="F92" s="440"/>
      <c r="G92" s="440"/>
      <c r="H92" s="440"/>
      <c r="I92" s="440"/>
      <c r="J92" s="440"/>
      <c r="K92" s="439">
        <f t="shared" si="17"/>
        <v>0</v>
      </c>
      <c r="L92" s="440"/>
      <c r="M92" s="440"/>
      <c r="N92" s="439">
        <f t="shared" ref="N92:N99" si="28">O92+P92+S92+T92+U92</f>
        <v>6332.4467159999995</v>
      </c>
      <c r="O92" s="440">
        <v>6332.4467159999995</v>
      </c>
      <c r="P92" s="440"/>
      <c r="Q92" s="440"/>
      <c r="R92" s="440"/>
      <c r="S92" s="440"/>
      <c r="T92" s="440"/>
      <c r="U92" s="439">
        <f t="shared" ref="U92:U101" si="29">V92+W92</f>
        <v>0</v>
      </c>
      <c r="V92" s="440"/>
      <c r="W92" s="440"/>
      <c r="X92" s="439">
        <f t="shared" ref="X92:X101" si="30">Y92+Z92</f>
        <v>0</v>
      </c>
      <c r="Y92" s="439"/>
      <c r="Z92" s="439"/>
      <c r="AA92" s="439"/>
      <c r="AB92" s="441">
        <f t="shared" si="21"/>
        <v>111.50974665899369</v>
      </c>
      <c r="AC92" s="441">
        <f t="shared" si="22"/>
        <v>111.50974665899369</v>
      </c>
      <c r="AD92" s="441"/>
      <c r="AE92" s="441"/>
    </row>
    <row r="93" spans="1:31" s="442" customFormat="1">
      <c r="A93" s="455" t="s">
        <v>368</v>
      </c>
      <c r="B93" s="456" t="s">
        <v>779</v>
      </c>
      <c r="C93" s="439">
        <f t="shared" si="18"/>
        <v>5950.3130000000001</v>
      </c>
      <c r="D93" s="440">
        <v>5950.3130000000001</v>
      </c>
      <c r="E93" s="440"/>
      <c r="F93" s="440"/>
      <c r="G93" s="440"/>
      <c r="H93" s="440"/>
      <c r="I93" s="440"/>
      <c r="J93" s="440"/>
      <c r="K93" s="439">
        <f t="shared" si="17"/>
        <v>0</v>
      </c>
      <c r="L93" s="440"/>
      <c r="M93" s="440"/>
      <c r="N93" s="439">
        <f t="shared" si="28"/>
        <v>18744.647000000001</v>
      </c>
      <c r="O93" s="440">
        <v>18744.647000000001</v>
      </c>
      <c r="P93" s="440"/>
      <c r="Q93" s="440"/>
      <c r="R93" s="440"/>
      <c r="S93" s="440"/>
      <c r="T93" s="440"/>
      <c r="U93" s="439">
        <f t="shared" si="29"/>
        <v>0</v>
      </c>
      <c r="V93" s="440"/>
      <c r="W93" s="440"/>
      <c r="X93" s="439">
        <f t="shared" si="30"/>
        <v>0</v>
      </c>
      <c r="Y93" s="439"/>
      <c r="Z93" s="439"/>
      <c r="AA93" s="439"/>
      <c r="AB93" s="441">
        <f t="shared" si="21"/>
        <v>315.01951241892658</v>
      </c>
      <c r="AC93" s="441">
        <f t="shared" si="22"/>
        <v>315.01951241892658</v>
      </c>
      <c r="AD93" s="441"/>
      <c r="AE93" s="441"/>
    </row>
    <row r="94" spans="1:31" s="442" customFormat="1">
      <c r="A94" s="455" t="s">
        <v>369</v>
      </c>
      <c r="B94" s="456" t="s">
        <v>554</v>
      </c>
      <c r="C94" s="439">
        <f t="shared" si="18"/>
        <v>50795</v>
      </c>
      <c r="D94" s="440">
        <v>50795</v>
      </c>
      <c r="E94" s="440"/>
      <c r="F94" s="440"/>
      <c r="G94" s="440"/>
      <c r="H94" s="440"/>
      <c r="I94" s="440"/>
      <c r="J94" s="440"/>
      <c r="K94" s="439">
        <f t="shared" si="17"/>
        <v>0</v>
      </c>
      <c r="L94" s="440"/>
      <c r="M94" s="440"/>
      <c r="N94" s="439">
        <f t="shared" si="28"/>
        <v>73703.502382999999</v>
      </c>
      <c r="O94" s="440">
        <v>61930.565769000001</v>
      </c>
      <c r="P94" s="440"/>
      <c r="Q94" s="440"/>
      <c r="R94" s="440"/>
      <c r="S94" s="440"/>
      <c r="T94" s="440"/>
      <c r="U94" s="439">
        <f t="shared" si="29"/>
        <v>11772.936614</v>
      </c>
      <c r="V94" s="440">
        <v>11772.936614</v>
      </c>
      <c r="W94" s="440"/>
      <c r="X94" s="439">
        <f t="shared" si="30"/>
        <v>0</v>
      </c>
      <c r="Y94" s="439"/>
      <c r="Z94" s="439"/>
      <c r="AA94" s="439"/>
      <c r="AB94" s="441">
        <f t="shared" si="21"/>
        <v>145.09991610000984</v>
      </c>
      <c r="AC94" s="441">
        <f t="shared" si="22"/>
        <v>121.92256278964466</v>
      </c>
      <c r="AD94" s="441"/>
      <c r="AE94" s="441"/>
    </row>
    <row r="95" spans="1:31" s="442" customFormat="1">
      <c r="A95" s="455" t="s">
        <v>370</v>
      </c>
      <c r="B95" s="456" t="s">
        <v>557</v>
      </c>
      <c r="C95" s="439">
        <f t="shared" si="18"/>
        <v>122782.913</v>
      </c>
      <c r="D95" s="440">
        <v>122782.913</v>
      </c>
      <c r="E95" s="440"/>
      <c r="F95" s="440"/>
      <c r="G95" s="440"/>
      <c r="H95" s="440"/>
      <c r="I95" s="440"/>
      <c r="J95" s="440"/>
      <c r="K95" s="439">
        <f t="shared" si="17"/>
        <v>0</v>
      </c>
      <c r="L95" s="440"/>
      <c r="M95" s="440"/>
      <c r="N95" s="439">
        <f t="shared" si="28"/>
        <v>117971.10799999999</v>
      </c>
      <c r="O95" s="440">
        <v>117971.10799999999</v>
      </c>
      <c r="P95" s="440"/>
      <c r="Q95" s="440"/>
      <c r="R95" s="440"/>
      <c r="S95" s="440"/>
      <c r="T95" s="440"/>
      <c r="U95" s="439">
        <f t="shared" si="29"/>
        <v>0</v>
      </c>
      <c r="V95" s="440">
        <v>0</v>
      </c>
      <c r="W95" s="440"/>
      <c r="X95" s="439">
        <f t="shared" si="30"/>
        <v>0</v>
      </c>
      <c r="Y95" s="439"/>
      <c r="Z95" s="439"/>
      <c r="AA95" s="439"/>
      <c r="AB95" s="441">
        <f t="shared" si="21"/>
        <v>96.081046716980879</v>
      </c>
      <c r="AC95" s="441">
        <f t="shared" si="22"/>
        <v>96.081046716980879</v>
      </c>
      <c r="AD95" s="441"/>
      <c r="AE95" s="441"/>
    </row>
    <row r="96" spans="1:31" s="442" customFormat="1">
      <c r="A96" s="455" t="s">
        <v>371</v>
      </c>
      <c r="B96" s="456" t="s">
        <v>780</v>
      </c>
      <c r="C96" s="439">
        <f t="shared" si="18"/>
        <v>48400</v>
      </c>
      <c r="D96" s="440">
        <v>48400</v>
      </c>
      <c r="E96" s="440"/>
      <c r="F96" s="440"/>
      <c r="G96" s="440"/>
      <c r="H96" s="440"/>
      <c r="I96" s="440"/>
      <c r="J96" s="440"/>
      <c r="K96" s="439">
        <f t="shared" si="17"/>
        <v>0</v>
      </c>
      <c r="L96" s="440"/>
      <c r="M96" s="440"/>
      <c r="N96" s="439">
        <f t="shared" si="28"/>
        <v>9896.1823089999998</v>
      </c>
      <c r="O96" s="440">
        <v>9896.1823089999998</v>
      </c>
      <c r="P96" s="440"/>
      <c r="Q96" s="440"/>
      <c r="R96" s="440"/>
      <c r="S96" s="440"/>
      <c r="T96" s="440"/>
      <c r="U96" s="439">
        <f t="shared" si="29"/>
        <v>0</v>
      </c>
      <c r="V96" s="440">
        <v>0</v>
      </c>
      <c r="W96" s="440"/>
      <c r="X96" s="439">
        <f t="shared" si="30"/>
        <v>0</v>
      </c>
      <c r="Y96" s="439"/>
      <c r="Z96" s="439"/>
      <c r="AA96" s="439"/>
      <c r="AB96" s="441">
        <f t="shared" si="21"/>
        <v>20.446657663223139</v>
      </c>
      <c r="AC96" s="441">
        <f t="shared" si="22"/>
        <v>20.446657663223139</v>
      </c>
      <c r="AD96" s="441"/>
      <c r="AE96" s="441"/>
    </row>
    <row r="97" spans="1:38" s="442" customFormat="1">
      <c r="A97" s="455" t="s">
        <v>372</v>
      </c>
      <c r="B97" s="456" t="s">
        <v>555</v>
      </c>
      <c r="C97" s="439">
        <f t="shared" si="18"/>
        <v>500</v>
      </c>
      <c r="D97" s="440">
        <v>500</v>
      </c>
      <c r="E97" s="440"/>
      <c r="F97" s="440"/>
      <c r="G97" s="440"/>
      <c r="H97" s="440"/>
      <c r="I97" s="440"/>
      <c r="J97" s="440"/>
      <c r="K97" s="439">
        <f t="shared" si="17"/>
        <v>0</v>
      </c>
      <c r="L97" s="440"/>
      <c r="M97" s="440"/>
      <c r="N97" s="439">
        <f t="shared" si="28"/>
        <v>0</v>
      </c>
      <c r="O97" s="440"/>
      <c r="P97" s="440"/>
      <c r="Q97" s="440"/>
      <c r="R97" s="440"/>
      <c r="S97" s="440"/>
      <c r="T97" s="440"/>
      <c r="U97" s="439">
        <f t="shared" si="29"/>
        <v>0</v>
      </c>
      <c r="V97" s="440">
        <v>0</v>
      </c>
      <c r="W97" s="440"/>
      <c r="X97" s="439">
        <f t="shared" si="30"/>
        <v>0</v>
      </c>
      <c r="Y97" s="439"/>
      <c r="Z97" s="439"/>
      <c r="AA97" s="439"/>
      <c r="AB97" s="441">
        <f t="shared" si="21"/>
        <v>0</v>
      </c>
      <c r="AC97" s="441">
        <f t="shared" si="22"/>
        <v>0</v>
      </c>
      <c r="AD97" s="441"/>
      <c r="AE97" s="441"/>
    </row>
    <row r="98" spans="1:38" s="442" customFormat="1">
      <c r="A98" s="455" t="s">
        <v>373</v>
      </c>
      <c r="B98" s="456" t="s">
        <v>254</v>
      </c>
      <c r="C98" s="439">
        <f t="shared" si="18"/>
        <v>74852</v>
      </c>
      <c r="D98" s="440">
        <v>74852</v>
      </c>
      <c r="E98" s="440"/>
      <c r="F98" s="440"/>
      <c r="G98" s="440"/>
      <c r="H98" s="440"/>
      <c r="I98" s="440"/>
      <c r="J98" s="440"/>
      <c r="K98" s="439">
        <f t="shared" si="17"/>
        <v>0</v>
      </c>
      <c r="L98" s="440"/>
      <c r="M98" s="440"/>
      <c r="N98" s="439">
        <f t="shared" si="28"/>
        <v>71369.936602000002</v>
      </c>
      <c r="O98" s="440">
        <v>70068.1587</v>
      </c>
      <c r="P98" s="440"/>
      <c r="Q98" s="440"/>
      <c r="R98" s="440"/>
      <c r="S98" s="440"/>
      <c r="T98" s="440"/>
      <c r="U98" s="439">
        <f t="shared" si="29"/>
        <v>1301.777902</v>
      </c>
      <c r="V98" s="440">
        <v>1301.777902</v>
      </c>
      <c r="W98" s="440"/>
      <c r="X98" s="439">
        <f t="shared" si="30"/>
        <v>0</v>
      </c>
      <c r="Y98" s="439"/>
      <c r="Z98" s="439"/>
      <c r="AA98" s="439"/>
      <c r="AB98" s="441">
        <f t="shared" si="21"/>
        <v>95.348068992144505</v>
      </c>
      <c r="AC98" s="441">
        <f t="shared" si="22"/>
        <v>93.608933228237063</v>
      </c>
      <c r="AD98" s="441"/>
      <c r="AE98" s="441"/>
      <c r="AI98" s="432"/>
      <c r="AJ98" s="432"/>
      <c r="AK98" s="432"/>
      <c r="AL98" s="432"/>
    </row>
    <row r="99" spans="1:38" s="442" customFormat="1">
      <c r="A99" s="455" t="s">
        <v>379</v>
      </c>
      <c r="B99" s="456" t="s">
        <v>781</v>
      </c>
      <c r="C99" s="439">
        <f t="shared" si="18"/>
        <v>58814.180999999997</v>
      </c>
      <c r="D99" s="440">
        <v>58814.180999999997</v>
      </c>
      <c r="E99" s="440"/>
      <c r="F99" s="440"/>
      <c r="G99" s="440"/>
      <c r="H99" s="440"/>
      <c r="I99" s="440"/>
      <c r="J99" s="440"/>
      <c r="K99" s="439">
        <f t="shared" si="17"/>
        <v>0</v>
      </c>
      <c r="L99" s="440"/>
      <c r="M99" s="440"/>
      <c r="N99" s="439">
        <f t="shared" si="28"/>
        <v>37109.549999999996</v>
      </c>
      <c r="O99" s="440">
        <v>37109.549999999996</v>
      </c>
      <c r="P99" s="440"/>
      <c r="Q99" s="440"/>
      <c r="R99" s="440"/>
      <c r="S99" s="440"/>
      <c r="T99" s="440"/>
      <c r="U99" s="439">
        <f t="shared" si="29"/>
        <v>0</v>
      </c>
      <c r="V99" s="440">
        <v>0</v>
      </c>
      <c r="W99" s="440"/>
      <c r="X99" s="439">
        <f t="shared" si="30"/>
        <v>0</v>
      </c>
      <c r="Y99" s="439"/>
      <c r="Z99" s="439"/>
      <c r="AA99" s="439"/>
      <c r="AB99" s="441">
        <f t="shared" si="21"/>
        <v>63.09626244731691</v>
      </c>
      <c r="AC99" s="441">
        <f t="shared" si="22"/>
        <v>63.09626244731691</v>
      </c>
      <c r="AD99" s="441"/>
      <c r="AE99" s="441"/>
      <c r="AI99" s="432"/>
      <c r="AJ99" s="432"/>
      <c r="AK99" s="432"/>
      <c r="AL99" s="432"/>
    </row>
    <row r="100" spans="1:38" s="442" customFormat="1">
      <c r="A100" s="455" t="s">
        <v>383</v>
      </c>
      <c r="B100" s="456" t="s">
        <v>782</v>
      </c>
      <c r="C100" s="439">
        <f>D100+E100+I100+J100+K100</f>
        <v>16911.999999999996</v>
      </c>
      <c r="D100" s="440">
        <v>16911.999999999996</v>
      </c>
      <c r="E100" s="440"/>
      <c r="F100" s="440"/>
      <c r="G100" s="440"/>
      <c r="H100" s="440"/>
      <c r="I100" s="440"/>
      <c r="J100" s="440"/>
      <c r="K100" s="439">
        <f t="shared" si="17"/>
        <v>0</v>
      </c>
      <c r="L100" s="440"/>
      <c r="M100" s="440"/>
      <c r="N100" s="439">
        <f t="shared" ref="N100:N101" si="31">O100+P100+S100+T100+U100+X100</f>
        <v>23495.892952999999</v>
      </c>
      <c r="O100" s="440">
        <v>0</v>
      </c>
      <c r="P100" s="440"/>
      <c r="Q100" s="440"/>
      <c r="R100" s="440"/>
      <c r="S100" s="440"/>
      <c r="T100" s="440"/>
      <c r="U100" s="439">
        <f t="shared" si="29"/>
        <v>23495.892952999999</v>
      </c>
      <c r="V100" s="440">
        <v>23495.892952999999</v>
      </c>
      <c r="W100" s="440"/>
      <c r="X100" s="439">
        <f t="shared" si="30"/>
        <v>0</v>
      </c>
      <c r="Y100" s="439"/>
      <c r="Z100" s="439"/>
      <c r="AA100" s="439"/>
      <c r="AB100" s="441">
        <f t="shared" si="21"/>
        <v>138.93030364829707</v>
      </c>
      <c r="AC100" s="441">
        <f t="shared" si="22"/>
        <v>0</v>
      </c>
      <c r="AD100" s="441"/>
      <c r="AE100" s="441"/>
      <c r="AI100" s="432"/>
      <c r="AJ100" s="432"/>
      <c r="AK100" s="432"/>
      <c r="AL100" s="432"/>
    </row>
    <row r="101" spans="1:38" s="442" customFormat="1">
      <c r="A101" s="455" t="s">
        <v>387</v>
      </c>
      <c r="B101" s="456" t="s">
        <v>463</v>
      </c>
      <c r="C101" s="439">
        <f t="shared" si="18"/>
        <v>500</v>
      </c>
      <c r="D101" s="440">
        <v>500</v>
      </c>
      <c r="E101" s="440"/>
      <c r="F101" s="440"/>
      <c r="G101" s="440"/>
      <c r="H101" s="440"/>
      <c r="I101" s="440"/>
      <c r="J101" s="440"/>
      <c r="K101" s="439">
        <f t="shared" si="17"/>
        <v>0</v>
      </c>
      <c r="L101" s="440"/>
      <c r="M101" s="440"/>
      <c r="N101" s="439">
        <f t="shared" si="31"/>
        <v>22036.815895</v>
      </c>
      <c r="O101" s="440">
        <v>22036.815895</v>
      </c>
      <c r="P101" s="440"/>
      <c r="Q101" s="440"/>
      <c r="R101" s="440"/>
      <c r="S101" s="440"/>
      <c r="T101" s="440"/>
      <c r="U101" s="439">
        <f t="shared" si="29"/>
        <v>0</v>
      </c>
      <c r="V101" s="440"/>
      <c r="W101" s="440"/>
      <c r="X101" s="439">
        <f t="shared" si="30"/>
        <v>0</v>
      </c>
      <c r="Y101" s="439"/>
      <c r="Z101" s="439"/>
      <c r="AA101" s="439"/>
      <c r="AB101" s="441">
        <f t="shared" si="21"/>
        <v>4407.3631789999999</v>
      </c>
      <c r="AC101" s="441">
        <f t="shared" si="22"/>
        <v>4407.3631789999999</v>
      </c>
      <c r="AD101" s="441"/>
      <c r="AE101" s="441"/>
      <c r="AI101" s="432"/>
      <c r="AJ101" s="432"/>
      <c r="AK101" s="432"/>
      <c r="AL101" s="432"/>
    </row>
    <row r="102" spans="1:38" s="442" customFormat="1">
      <c r="A102" s="455">
        <v>11</v>
      </c>
      <c r="B102" s="456" t="s">
        <v>634</v>
      </c>
      <c r="C102" s="439">
        <f t="shared" si="18"/>
        <v>0</v>
      </c>
      <c r="D102" s="440"/>
      <c r="E102" s="440"/>
      <c r="F102" s="440"/>
      <c r="G102" s="440"/>
      <c r="H102" s="440"/>
      <c r="I102" s="440"/>
      <c r="J102" s="440"/>
      <c r="K102" s="439">
        <f t="shared" si="17"/>
        <v>0</v>
      </c>
      <c r="L102" s="440"/>
      <c r="M102" s="440"/>
      <c r="N102" s="439"/>
      <c r="O102" s="440"/>
      <c r="P102" s="440"/>
      <c r="Q102" s="440"/>
      <c r="R102" s="440"/>
      <c r="S102" s="440"/>
      <c r="T102" s="440"/>
      <c r="U102" s="439"/>
      <c r="V102" s="440"/>
      <c r="W102" s="440"/>
      <c r="X102" s="439"/>
      <c r="Y102" s="439"/>
      <c r="Z102" s="439"/>
      <c r="AA102" s="439"/>
      <c r="AB102" s="441"/>
      <c r="AC102" s="441"/>
      <c r="AD102" s="441"/>
      <c r="AE102" s="441"/>
      <c r="AI102" s="432"/>
      <c r="AJ102" s="432"/>
      <c r="AK102" s="432"/>
      <c r="AL102" s="432"/>
    </row>
    <row r="103" spans="1:38" s="432" customFormat="1">
      <c r="A103" s="453" t="s">
        <v>33</v>
      </c>
      <c r="B103" s="457" t="s">
        <v>783</v>
      </c>
      <c r="C103" s="430">
        <f>D103+E103+I103+J103+K103</f>
        <v>73328</v>
      </c>
      <c r="D103" s="458"/>
      <c r="E103" s="458">
        <f>E104+E105+E106+E107+E109+E108+E110</f>
        <v>73328</v>
      </c>
      <c r="F103" s="458">
        <f>F104+F105+F106+F107+F109+F108+F110</f>
        <v>73328</v>
      </c>
      <c r="G103" s="458"/>
      <c r="H103" s="458"/>
      <c r="I103" s="458"/>
      <c r="J103" s="458"/>
      <c r="K103" s="430"/>
      <c r="L103" s="458"/>
      <c r="M103" s="458"/>
      <c r="N103" s="430"/>
      <c r="O103" s="458"/>
      <c r="P103" s="458"/>
      <c r="Q103" s="458"/>
      <c r="R103" s="458"/>
      <c r="S103" s="458"/>
      <c r="T103" s="458"/>
      <c r="U103" s="430"/>
      <c r="V103" s="458"/>
      <c r="W103" s="458"/>
      <c r="X103" s="430"/>
      <c r="Y103" s="430"/>
      <c r="Z103" s="430"/>
      <c r="AA103" s="430"/>
      <c r="AB103" s="441"/>
      <c r="AC103" s="441"/>
      <c r="AD103" s="441">
        <f t="shared" si="24"/>
        <v>0</v>
      </c>
      <c r="AE103" s="441"/>
    </row>
    <row r="104" spans="1:38" s="432" customFormat="1">
      <c r="A104" s="453"/>
      <c r="B104" s="456" t="s">
        <v>784</v>
      </c>
      <c r="C104" s="439">
        <f>D104+E104+I104+J104+K104</f>
        <v>3256</v>
      </c>
      <c r="D104" s="440"/>
      <c r="E104" s="440">
        <f>F104+G104+H104</f>
        <v>3256</v>
      </c>
      <c r="F104" s="440">
        <v>3256</v>
      </c>
      <c r="G104" s="458"/>
      <c r="H104" s="458"/>
      <c r="I104" s="458"/>
      <c r="J104" s="458"/>
      <c r="K104" s="430"/>
      <c r="L104" s="458"/>
      <c r="M104" s="458"/>
      <c r="N104" s="430"/>
      <c r="O104" s="458"/>
      <c r="P104" s="458"/>
      <c r="Q104" s="458"/>
      <c r="R104" s="458"/>
      <c r="S104" s="458"/>
      <c r="T104" s="458"/>
      <c r="U104" s="430"/>
      <c r="V104" s="458"/>
      <c r="W104" s="458"/>
      <c r="X104" s="430"/>
      <c r="Y104" s="430"/>
      <c r="Z104" s="430"/>
      <c r="AA104" s="430"/>
      <c r="AB104" s="441"/>
      <c r="AC104" s="441"/>
      <c r="AD104" s="441">
        <f t="shared" si="24"/>
        <v>0</v>
      </c>
      <c r="AE104" s="441"/>
    </row>
    <row r="105" spans="1:38" s="432" customFormat="1" ht="31.5">
      <c r="A105" s="453"/>
      <c r="B105" s="456" t="s">
        <v>997</v>
      </c>
      <c r="C105" s="439">
        <f>D105+E105+I105+J105+K105</f>
        <v>5000</v>
      </c>
      <c r="D105" s="440"/>
      <c r="E105" s="440">
        <f>F105+G105+H105</f>
        <v>5000</v>
      </c>
      <c r="F105" s="440">
        <v>5000</v>
      </c>
      <c r="G105" s="458"/>
      <c r="H105" s="458"/>
      <c r="I105" s="458"/>
      <c r="J105" s="458"/>
      <c r="K105" s="430"/>
      <c r="L105" s="458"/>
      <c r="M105" s="458"/>
      <c r="N105" s="430"/>
      <c r="O105" s="458"/>
      <c r="P105" s="458"/>
      <c r="Q105" s="458"/>
      <c r="R105" s="458"/>
      <c r="S105" s="458"/>
      <c r="T105" s="458"/>
      <c r="U105" s="430"/>
      <c r="V105" s="458"/>
      <c r="W105" s="458"/>
      <c r="X105" s="430"/>
      <c r="Y105" s="430"/>
      <c r="Z105" s="430"/>
      <c r="AA105" s="430"/>
      <c r="AB105" s="441"/>
      <c r="AC105" s="441"/>
      <c r="AD105" s="441">
        <f t="shared" si="24"/>
        <v>0</v>
      </c>
      <c r="AE105" s="441"/>
    </row>
    <row r="106" spans="1:38" s="432" customFormat="1">
      <c r="A106" s="453"/>
      <c r="B106" s="456" t="s">
        <v>785</v>
      </c>
      <c r="C106" s="439">
        <f t="shared" ref="C106:C110" si="32">D106+E106+I106+J106+K106</f>
        <v>6000</v>
      </c>
      <c r="D106" s="440"/>
      <c r="E106" s="440">
        <f t="shared" ref="E106:E110" si="33">F106+G106+H106</f>
        <v>6000</v>
      </c>
      <c r="F106" s="440">
        <v>6000</v>
      </c>
      <c r="G106" s="458"/>
      <c r="H106" s="458"/>
      <c r="I106" s="458"/>
      <c r="J106" s="458"/>
      <c r="K106" s="430"/>
      <c r="L106" s="458"/>
      <c r="M106" s="458"/>
      <c r="N106" s="430"/>
      <c r="O106" s="458"/>
      <c r="P106" s="458"/>
      <c r="Q106" s="458"/>
      <c r="R106" s="458"/>
      <c r="S106" s="458"/>
      <c r="T106" s="458"/>
      <c r="U106" s="430"/>
      <c r="V106" s="458"/>
      <c r="W106" s="458"/>
      <c r="X106" s="430"/>
      <c r="Y106" s="430"/>
      <c r="Z106" s="430"/>
      <c r="AA106" s="430"/>
      <c r="AB106" s="441"/>
      <c r="AC106" s="441"/>
      <c r="AD106" s="441">
        <f t="shared" si="24"/>
        <v>0</v>
      </c>
      <c r="AE106" s="441"/>
    </row>
    <row r="107" spans="1:38" s="432" customFormat="1">
      <c r="A107" s="453"/>
      <c r="B107" s="456" t="s">
        <v>998</v>
      </c>
      <c r="C107" s="439">
        <f t="shared" si="32"/>
        <v>5000</v>
      </c>
      <c r="D107" s="440"/>
      <c r="E107" s="440">
        <f t="shared" si="33"/>
        <v>5000</v>
      </c>
      <c r="F107" s="440">
        <v>5000</v>
      </c>
      <c r="G107" s="458"/>
      <c r="H107" s="458"/>
      <c r="I107" s="458"/>
      <c r="J107" s="458"/>
      <c r="K107" s="430"/>
      <c r="L107" s="458"/>
      <c r="M107" s="458"/>
      <c r="N107" s="430"/>
      <c r="O107" s="458"/>
      <c r="P107" s="458"/>
      <c r="Q107" s="458"/>
      <c r="R107" s="458"/>
      <c r="S107" s="458"/>
      <c r="T107" s="458"/>
      <c r="U107" s="430"/>
      <c r="V107" s="458"/>
      <c r="W107" s="458"/>
      <c r="X107" s="430"/>
      <c r="Y107" s="430"/>
      <c r="Z107" s="430"/>
      <c r="AA107" s="430"/>
      <c r="AB107" s="441"/>
      <c r="AC107" s="441"/>
      <c r="AD107" s="441">
        <f t="shared" si="24"/>
        <v>0</v>
      </c>
      <c r="AE107" s="441"/>
    </row>
    <row r="108" spans="1:38" s="432" customFormat="1">
      <c r="A108" s="453"/>
      <c r="B108" s="456" t="s">
        <v>999</v>
      </c>
      <c r="C108" s="439">
        <f t="shared" si="32"/>
        <v>10000</v>
      </c>
      <c r="D108" s="440"/>
      <c r="E108" s="440">
        <f t="shared" si="33"/>
        <v>10000</v>
      </c>
      <c r="F108" s="440">
        <v>10000</v>
      </c>
      <c r="G108" s="458"/>
      <c r="H108" s="458"/>
      <c r="I108" s="458"/>
      <c r="J108" s="458"/>
      <c r="K108" s="430"/>
      <c r="L108" s="458"/>
      <c r="M108" s="458"/>
      <c r="N108" s="430"/>
      <c r="O108" s="458"/>
      <c r="P108" s="458"/>
      <c r="Q108" s="458"/>
      <c r="R108" s="458"/>
      <c r="S108" s="458"/>
      <c r="T108" s="458"/>
      <c r="U108" s="430"/>
      <c r="V108" s="458"/>
      <c r="W108" s="458"/>
      <c r="X108" s="430"/>
      <c r="Y108" s="430"/>
      <c r="Z108" s="430"/>
      <c r="AA108" s="430"/>
      <c r="AB108" s="441"/>
      <c r="AC108" s="441"/>
      <c r="AD108" s="441">
        <f t="shared" si="24"/>
        <v>0</v>
      </c>
      <c r="AE108" s="441"/>
    </row>
    <row r="109" spans="1:38" s="432" customFormat="1">
      <c r="A109" s="453"/>
      <c r="B109" s="456" t="s">
        <v>519</v>
      </c>
      <c r="C109" s="439">
        <f t="shared" si="32"/>
        <v>44072</v>
      </c>
      <c r="D109" s="440"/>
      <c r="E109" s="440">
        <f t="shared" si="33"/>
        <v>44072</v>
      </c>
      <c r="F109" s="440">
        <f>47919-3847</f>
        <v>44072</v>
      </c>
      <c r="G109" s="458"/>
      <c r="H109" s="458"/>
      <c r="I109" s="458"/>
      <c r="J109" s="458"/>
      <c r="K109" s="430"/>
      <c r="L109" s="458"/>
      <c r="M109" s="458"/>
      <c r="N109" s="430"/>
      <c r="O109" s="458"/>
      <c r="P109" s="458"/>
      <c r="Q109" s="458"/>
      <c r="R109" s="458"/>
      <c r="S109" s="458"/>
      <c r="T109" s="458"/>
      <c r="U109" s="430"/>
      <c r="V109" s="458"/>
      <c r="W109" s="458"/>
      <c r="X109" s="430"/>
      <c r="Y109" s="430"/>
      <c r="Z109" s="430"/>
      <c r="AA109" s="430"/>
      <c r="AB109" s="441"/>
      <c r="AC109" s="441"/>
      <c r="AD109" s="441">
        <f t="shared" si="24"/>
        <v>0</v>
      </c>
      <c r="AE109" s="441"/>
    </row>
    <row r="110" spans="1:38" s="432" customFormat="1" hidden="1">
      <c r="A110" s="453"/>
      <c r="B110" s="456"/>
      <c r="C110" s="439">
        <f t="shared" si="32"/>
        <v>0</v>
      </c>
      <c r="D110" s="458"/>
      <c r="E110" s="440">
        <f t="shared" si="33"/>
        <v>0</v>
      </c>
      <c r="F110" s="440"/>
      <c r="G110" s="458"/>
      <c r="H110" s="458"/>
      <c r="I110" s="458"/>
      <c r="J110" s="458"/>
      <c r="K110" s="430"/>
      <c r="L110" s="458"/>
      <c r="M110" s="458"/>
      <c r="N110" s="430"/>
      <c r="O110" s="458"/>
      <c r="P110" s="458"/>
      <c r="Q110" s="458"/>
      <c r="R110" s="458"/>
      <c r="S110" s="458"/>
      <c r="T110" s="458"/>
      <c r="U110" s="430"/>
      <c r="V110" s="458"/>
      <c r="W110" s="458"/>
      <c r="X110" s="430"/>
      <c r="Y110" s="430"/>
      <c r="Z110" s="430"/>
      <c r="AA110" s="430"/>
      <c r="AB110" s="441" t="e">
        <f t="shared" si="21"/>
        <v>#DIV/0!</v>
      </c>
      <c r="AC110" s="441" t="e">
        <f t="shared" si="22"/>
        <v>#DIV/0!</v>
      </c>
      <c r="AD110" s="441" t="e">
        <f t="shared" si="24"/>
        <v>#DIV/0!</v>
      </c>
      <c r="AE110" s="441"/>
    </row>
    <row r="111" spans="1:38" s="432" customFormat="1" ht="68.25" customHeight="1">
      <c r="A111" s="459" t="s">
        <v>37</v>
      </c>
      <c r="B111" s="460" t="s">
        <v>1004</v>
      </c>
      <c r="C111" s="430">
        <f t="shared" si="18"/>
        <v>2000</v>
      </c>
      <c r="D111" s="458"/>
      <c r="E111" s="458"/>
      <c r="F111" s="458"/>
      <c r="G111" s="458"/>
      <c r="H111" s="458"/>
      <c r="I111" s="458">
        <v>2000</v>
      </c>
      <c r="J111" s="458"/>
      <c r="K111" s="430">
        <f t="shared" si="17"/>
        <v>0</v>
      </c>
      <c r="L111" s="458"/>
      <c r="M111" s="458"/>
      <c r="N111" s="430">
        <f t="shared" ref="N111:N117" si="34">O111+P111+S111+T111+U111+X111</f>
        <v>9500.851999999999</v>
      </c>
      <c r="O111" s="458"/>
      <c r="P111" s="458"/>
      <c r="Q111" s="458"/>
      <c r="R111" s="458"/>
      <c r="S111" s="458">
        <f>'bieu 53_'!G25</f>
        <v>9500.851999999999</v>
      </c>
      <c r="T111" s="458"/>
      <c r="U111" s="430">
        <f t="shared" ref="U111:U118" si="35">V111+W111</f>
        <v>0</v>
      </c>
      <c r="V111" s="458"/>
      <c r="W111" s="458"/>
      <c r="X111" s="430">
        <f>Y111+Z111</f>
        <v>0</v>
      </c>
      <c r="Y111" s="458"/>
      <c r="Z111" s="458"/>
      <c r="AA111" s="458"/>
      <c r="AB111" s="441">
        <f t="shared" si="21"/>
        <v>475.04259999999994</v>
      </c>
      <c r="AC111" s="441"/>
      <c r="AD111" s="441"/>
      <c r="AE111" s="441"/>
    </row>
    <row r="112" spans="1:38" s="432" customFormat="1" ht="21" customHeight="1">
      <c r="A112" s="459" t="s">
        <v>39</v>
      </c>
      <c r="B112" s="460" t="s">
        <v>786</v>
      </c>
      <c r="C112" s="430">
        <f t="shared" si="18"/>
        <v>1000</v>
      </c>
      <c r="D112" s="458"/>
      <c r="E112" s="458"/>
      <c r="F112" s="458"/>
      <c r="G112" s="458"/>
      <c r="H112" s="458"/>
      <c r="I112" s="458"/>
      <c r="J112" s="430">
        <v>1000</v>
      </c>
      <c r="K112" s="430">
        <f t="shared" si="17"/>
        <v>0</v>
      </c>
      <c r="L112" s="458"/>
      <c r="M112" s="458"/>
      <c r="N112" s="430">
        <f t="shared" si="34"/>
        <v>1000</v>
      </c>
      <c r="O112" s="458"/>
      <c r="P112" s="458">
        <f>Q112+R112</f>
        <v>0</v>
      </c>
      <c r="Q112" s="458"/>
      <c r="R112" s="458"/>
      <c r="S112" s="458"/>
      <c r="T112" s="458">
        <f>'bieu 53_'!G26</f>
        <v>1000</v>
      </c>
      <c r="U112" s="430">
        <f t="shared" si="35"/>
        <v>0</v>
      </c>
      <c r="V112" s="458"/>
      <c r="W112" s="458"/>
      <c r="X112" s="430">
        <f>Y112+Z112</f>
        <v>0</v>
      </c>
      <c r="Y112" s="458"/>
      <c r="Z112" s="458"/>
      <c r="AA112" s="458"/>
      <c r="AB112" s="441">
        <f t="shared" si="21"/>
        <v>100</v>
      </c>
      <c r="AC112" s="441"/>
      <c r="AD112" s="441"/>
      <c r="AE112" s="441"/>
      <c r="AI112" s="416"/>
      <c r="AJ112" s="416"/>
      <c r="AK112" s="416"/>
      <c r="AL112" s="416"/>
    </row>
    <row r="113" spans="1:38" s="432" customFormat="1">
      <c r="A113" s="459" t="s">
        <v>40</v>
      </c>
      <c r="B113" s="460" t="s">
        <v>787</v>
      </c>
      <c r="C113" s="430">
        <f>D113+J113+I113+E113+K113</f>
        <v>66785</v>
      </c>
      <c r="D113" s="458"/>
      <c r="F113" s="458"/>
      <c r="G113" s="458"/>
      <c r="H113" s="458"/>
      <c r="I113" s="458"/>
      <c r="J113" s="458">
        <v>66785</v>
      </c>
      <c r="K113" s="430">
        <f t="shared" si="17"/>
        <v>0</v>
      </c>
      <c r="L113" s="458"/>
      <c r="M113" s="458"/>
      <c r="N113" s="430">
        <f t="shared" si="34"/>
        <v>0</v>
      </c>
      <c r="O113" s="458"/>
      <c r="P113" s="458"/>
      <c r="Q113" s="458"/>
      <c r="R113" s="458"/>
      <c r="S113" s="458"/>
      <c r="T113" s="458"/>
      <c r="U113" s="430">
        <f t="shared" si="35"/>
        <v>0</v>
      </c>
      <c r="V113" s="458"/>
      <c r="W113" s="458"/>
      <c r="X113" s="430">
        <f>Y113+Z113</f>
        <v>0</v>
      </c>
      <c r="Y113" s="458"/>
      <c r="Z113" s="458"/>
      <c r="AA113" s="458"/>
      <c r="AB113" s="441">
        <f t="shared" si="21"/>
        <v>0</v>
      </c>
      <c r="AC113" s="441"/>
      <c r="AD113" s="441"/>
      <c r="AE113" s="441"/>
      <c r="AI113" s="416"/>
      <c r="AJ113" s="416"/>
      <c r="AK113" s="416"/>
      <c r="AL113" s="416"/>
    </row>
    <row r="114" spans="1:38" s="432" customFormat="1" ht="31.5">
      <c r="A114" s="459" t="s">
        <v>126</v>
      </c>
      <c r="B114" s="460" t="s">
        <v>1029</v>
      </c>
      <c r="C114" s="430">
        <f>D114+J114+I114+E114+K114</f>
        <v>39000</v>
      </c>
      <c r="D114" s="458"/>
      <c r="F114" s="458"/>
      <c r="G114" s="458"/>
      <c r="H114" s="458"/>
      <c r="I114" s="458"/>
      <c r="J114" s="458">
        <v>39000</v>
      </c>
      <c r="K114" s="430"/>
      <c r="L114" s="458"/>
      <c r="M114" s="458"/>
      <c r="N114" s="430">
        <f t="shared" si="34"/>
        <v>0</v>
      </c>
      <c r="O114" s="458"/>
      <c r="P114" s="458"/>
      <c r="Q114" s="458"/>
      <c r="R114" s="458"/>
      <c r="S114" s="458"/>
      <c r="T114" s="458"/>
      <c r="U114" s="430"/>
      <c r="V114" s="458"/>
      <c r="W114" s="458"/>
      <c r="X114" s="430"/>
      <c r="Y114" s="458"/>
      <c r="Z114" s="458"/>
      <c r="AA114" s="458"/>
      <c r="AB114" s="441">
        <f t="shared" si="21"/>
        <v>0</v>
      </c>
      <c r="AC114" s="441"/>
      <c r="AD114" s="441"/>
      <c r="AE114" s="441"/>
      <c r="AI114" s="416"/>
      <c r="AJ114" s="416"/>
      <c r="AK114" s="416"/>
      <c r="AL114" s="416"/>
    </row>
    <row r="115" spans="1:38" s="432" customFormat="1" ht="31.5">
      <c r="A115" s="459" t="s">
        <v>159</v>
      </c>
      <c r="B115" s="460" t="s">
        <v>1031</v>
      </c>
      <c r="C115" s="430">
        <f t="shared" ref="C115:C118" si="36">D115+J115+I115+E115+K115</f>
        <v>0</v>
      </c>
      <c r="D115" s="458"/>
      <c r="F115" s="458"/>
      <c r="G115" s="458"/>
      <c r="H115" s="458"/>
      <c r="I115" s="458"/>
      <c r="J115" s="458"/>
      <c r="K115" s="430"/>
      <c r="L115" s="458"/>
      <c r="M115" s="458"/>
      <c r="N115" s="430">
        <f t="shared" si="34"/>
        <v>11900</v>
      </c>
      <c r="O115" s="458"/>
      <c r="P115" s="458"/>
      <c r="Q115" s="458"/>
      <c r="R115" s="458"/>
      <c r="S115" s="458"/>
      <c r="T115" s="458">
        <v>11900</v>
      </c>
      <c r="U115" s="430"/>
      <c r="V115" s="458"/>
      <c r="W115" s="458"/>
      <c r="X115" s="430"/>
      <c r="Y115" s="458"/>
      <c r="Z115" s="458"/>
      <c r="AA115" s="458"/>
      <c r="AB115" s="441"/>
      <c r="AC115" s="441"/>
      <c r="AD115" s="441"/>
      <c r="AE115" s="441"/>
      <c r="AI115" s="416"/>
      <c r="AJ115" s="416"/>
      <c r="AK115" s="416"/>
      <c r="AL115" s="416"/>
    </row>
    <row r="116" spans="1:38" s="432" customFormat="1" ht="31.5">
      <c r="A116" s="459" t="s">
        <v>788</v>
      </c>
      <c r="B116" s="460" t="s">
        <v>915</v>
      </c>
      <c r="C116" s="430">
        <f t="shared" si="36"/>
        <v>359544</v>
      </c>
      <c r="D116" s="458"/>
      <c r="E116" s="458"/>
      <c r="F116" s="458"/>
      <c r="G116" s="458"/>
      <c r="H116" s="458"/>
      <c r="I116" s="458"/>
      <c r="J116" s="430">
        <v>359544</v>
      </c>
      <c r="K116" s="430">
        <f t="shared" si="17"/>
        <v>0</v>
      </c>
      <c r="L116" s="458"/>
      <c r="M116" s="458"/>
      <c r="N116" s="430">
        <f t="shared" si="34"/>
        <v>533490.10800000001</v>
      </c>
      <c r="O116" s="458"/>
      <c r="P116" s="458"/>
      <c r="Q116" s="458"/>
      <c r="R116" s="458"/>
      <c r="S116" s="458"/>
      <c r="T116" s="458">
        <v>533490.10800000001</v>
      </c>
      <c r="U116" s="430">
        <f t="shared" si="35"/>
        <v>0</v>
      </c>
      <c r="V116" s="458"/>
      <c r="W116" s="458"/>
      <c r="X116" s="430"/>
      <c r="Y116" s="458"/>
      <c r="Z116" s="458"/>
      <c r="AA116" s="458"/>
      <c r="AB116" s="441">
        <f t="shared" si="21"/>
        <v>148.37964421600694</v>
      </c>
      <c r="AC116" s="441"/>
      <c r="AD116" s="441"/>
      <c r="AE116" s="441"/>
      <c r="AI116" s="416"/>
      <c r="AJ116" s="416"/>
      <c r="AK116" s="416"/>
      <c r="AL116" s="416"/>
    </row>
    <row r="117" spans="1:38" s="432" customFormat="1" ht="31.5">
      <c r="A117" s="461" t="s">
        <v>1006</v>
      </c>
      <c r="B117" s="462" t="s">
        <v>695</v>
      </c>
      <c r="C117" s="430">
        <f t="shared" si="36"/>
        <v>0</v>
      </c>
      <c r="D117" s="154"/>
      <c r="E117" s="154"/>
      <c r="F117" s="154"/>
      <c r="G117" s="154"/>
      <c r="H117" s="154"/>
      <c r="I117" s="154"/>
      <c r="J117" s="154"/>
      <c r="K117" s="153">
        <f t="shared" si="17"/>
        <v>0</v>
      </c>
      <c r="L117" s="154"/>
      <c r="M117" s="154"/>
      <c r="N117" s="430">
        <f t="shared" si="34"/>
        <v>1326874.6171550001</v>
      </c>
      <c r="O117" s="154"/>
      <c r="P117" s="154"/>
      <c r="Q117" s="154"/>
      <c r="R117" s="154"/>
      <c r="S117" s="154"/>
      <c r="T117" s="154"/>
      <c r="U117" s="153">
        <f t="shared" si="35"/>
        <v>0</v>
      </c>
      <c r="V117" s="154"/>
      <c r="W117" s="154"/>
      <c r="X117" s="154">
        <f>'bieu 53_'!G106</f>
        <v>1326874.6171550001</v>
      </c>
      <c r="Y117" s="154"/>
      <c r="Z117" s="154"/>
      <c r="AA117" s="154"/>
      <c r="AB117" s="441"/>
      <c r="AC117" s="441"/>
      <c r="AD117" s="441"/>
      <c r="AE117" s="441"/>
      <c r="AI117" s="416"/>
      <c r="AJ117" s="416"/>
      <c r="AK117" s="416"/>
      <c r="AL117" s="416"/>
    </row>
    <row r="118" spans="1:38">
      <c r="A118" s="463" t="s">
        <v>1030</v>
      </c>
      <c r="B118" s="464" t="s">
        <v>696</v>
      </c>
      <c r="C118" s="465">
        <f t="shared" si="36"/>
        <v>0</v>
      </c>
      <c r="D118" s="466"/>
      <c r="E118" s="466"/>
      <c r="F118" s="466"/>
      <c r="G118" s="466"/>
      <c r="H118" s="466"/>
      <c r="I118" s="466"/>
      <c r="J118" s="466"/>
      <c r="K118" s="465">
        <f t="shared" si="17"/>
        <v>0</v>
      </c>
      <c r="L118" s="466"/>
      <c r="M118" s="466"/>
      <c r="N118" s="465">
        <f>O118+P118+S118+T118+U118+X118+AA118</f>
        <v>331567.81606899999</v>
      </c>
      <c r="O118" s="466"/>
      <c r="P118" s="466"/>
      <c r="Q118" s="466"/>
      <c r="R118" s="466"/>
      <c r="S118" s="466"/>
      <c r="T118" s="466"/>
      <c r="U118" s="465">
        <f t="shared" si="35"/>
        <v>0</v>
      </c>
      <c r="V118" s="466"/>
      <c r="W118" s="466"/>
      <c r="X118" s="466"/>
      <c r="Y118" s="466"/>
      <c r="Z118" s="466"/>
      <c r="AA118" s="466">
        <f>'bieu 53_'!G107</f>
        <v>331567.81606899999</v>
      </c>
      <c r="AB118" s="467"/>
      <c r="AC118" s="467"/>
      <c r="AD118" s="467"/>
      <c r="AE118" s="467"/>
    </row>
    <row r="119" spans="1:38" ht="51" customHeight="1"/>
    <row r="120" spans="1:38">
      <c r="B120" s="658"/>
      <c r="C120" s="658"/>
      <c r="D120" s="658"/>
      <c r="E120" s="658"/>
      <c r="F120" s="658"/>
      <c r="G120" s="658"/>
      <c r="H120" s="658"/>
      <c r="I120" s="658"/>
      <c r="J120" s="658"/>
      <c r="K120" s="658"/>
      <c r="L120" s="658"/>
      <c r="M120" s="658"/>
      <c r="N120" s="658"/>
      <c r="O120" s="658"/>
      <c r="P120" s="658"/>
      <c r="Q120" s="658"/>
      <c r="R120" s="658"/>
      <c r="S120" s="658"/>
      <c r="T120" s="658"/>
      <c r="U120" s="658"/>
      <c r="V120" s="658"/>
      <c r="W120" s="658"/>
      <c r="X120" s="658"/>
      <c r="Y120" s="658"/>
      <c r="Z120" s="658"/>
      <c r="AA120" s="658"/>
      <c r="AB120" s="658"/>
      <c r="AC120" s="658"/>
      <c r="AD120" s="658"/>
      <c r="AE120" s="658"/>
    </row>
    <row r="123" spans="1:38">
      <c r="N123" s="415"/>
    </row>
  </sheetData>
  <mergeCells count="33">
    <mergeCell ref="A7:A9"/>
    <mergeCell ref="B7:B9"/>
    <mergeCell ref="C7:M7"/>
    <mergeCell ref="N7:X7"/>
    <mergeCell ref="AB7:AE7"/>
    <mergeCell ref="Q8:R8"/>
    <mergeCell ref="C8:C9"/>
    <mergeCell ref="D8:D9"/>
    <mergeCell ref="E8:E9"/>
    <mergeCell ref="F8:F9"/>
    <mergeCell ref="G8:H8"/>
    <mergeCell ref="I8:I9"/>
    <mergeCell ref="J8:J9"/>
    <mergeCell ref="K8:M8"/>
    <mergeCell ref="N8:N9"/>
    <mergeCell ref="O8:O9"/>
    <mergeCell ref="B1:C1"/>
    <mergeCell ref="A3:AE3"/>
    <mergeCell ref="A4:AE4"/>
    <mergeCell ref="AB6:AC6"/>
    <mergeCell ref="AD6:AE6"/>
    <mergeCell ref="B120:AE120"/>
    <mergeCell ref="P8:P9"/>
    <mergeCell ref="AB8:AB9"/>
    <mergeCell ref="AC8:AC9"/>
    <mergeCell ref="AD8:AD9"/>
    <mergeCell ref="AE8:AE9"/>
    <mergeCell ref="S8:S9"/>
    <mergeCell ref="T8:T9"/>
    <mergeCell ref="U8:W8"/>
    <mergeCell ref="X8:X9"/>
    <mergeCell ref="Y8:Z8"/>
    <mergeCell ref="AA8:AA9"/>
  </mergeCells>
  <phoneticPr fontId="243" type="noConversion"/>
  <dataValidations count="6">
    <dataValidation allowBlank="1" showInputMessage="1" showErrorMessage="1" prompt="_x000a_" sqref="O36"/>
    <dataValidation allowBlank="1" showInputMessage="1" showErrorMessage="1" prompt="Theo TT 343 BTC các lĩnh vực  Công an tỉnh, Bộ chỉ huy quân sự tỉnh; Bộ chỉ huy biên phòng tỉnh, Ban Chỉ đạo phân giới, cắm mổc tỉnh (Việt nam - Lào), Ban chỉ đạo phân giới, cắm mổc tỉnh (Viêt nam - Cam Pu Chia) không công khai QT" sqref="WVQ982896 C65392 JE65392 TA65392 ACW65392 AMS65392 AWO65392 BGK65392 BQG65392 CAC65392 CJY65392 CTU65392 DDQ65392 DNM65392 DXI65392 EHE65392 ERA65392 FAW65392 FKS65392 FUO65392 GEK65392 GOG65392 GYC65392 HHY65392 HRU65392 IBQ65392 ILM65392 IVI65392 JFE65392 JPA65392 JYW65392 KIS65392 KSO65392 LCK65392 LMG65392 LWC65392 MFY65392 MPU65392 MZQ65392 NJM65392 NTI65392 ODE65392 ONA65392 OWW65392 PGS65392 PQO65392 QAK65392 QKG65392 QUC65392 RDY65392 RNU65392 RXQ65392 SHM65392 SRI65392 TBE65392 TLA65392 TUW65392 UES65392 UOO65392 UYK65392 VIG65392 VSC65392 WBY65392 WLU65392 WVQ65392 C130928 JE130928 TA130928 ACW130928 AMS130928 AWO130928 BGK130928 BQG130928 CAC130928 CJY130928 CTU130928 DDQ130928 DNM130928 DXI130928 EHE130928 ERA130928 FAW130928 FKS130928 FUO130928 GEK130928 GOG130928 GYC130928 HHY130928 HRU130928 IBQ130928 ILM130928 IVI130928 JFE130928 JPA130928 JYW130928 KIS130928 KSO130928 LCK130928 LMG130928 LWC130928 MFY130928 MPU130928 MZQ130928 NJM130928 NTI130928 ODE130928 ONA130928 OWW130928 PGS130928 PQO130928 QAK130928 QKG130928 QUC130928 RDY130928 RNU130928 RXQ130928 SHM130928 SRI130928 TBE130928 TLA130928 TUW130928 UES130928 UOO130928 UYK130928 VIG130928 VSC130928 WBY130928 WLU130928 WVQ130928 C196464 JE196464 TA196464 ACW196464 AMS196464 AWO196464 BGK196464 BQG196464 CAC196464 CJY196464 CTU196464 DDQ196464 DNM196464 DXI196464 EHE196464 ERA196464 FAW196464 FKS196464 FUO196464 GEK196464 GOG196464 GYC196464 HHY196464 HRU196464 IBQ196464 ILM196464 IVI196464 JFE196464 JPA196464 JYW196464 KIS196464 KSO196464 LCK196464 LMG196464 LWC196464 MFY196464 MPU196464 MZQ196464 NJM196464 NTI196464 ODE196464 ONA196464 OWW196464 PGS196464 PQO196464 QAK196464 QKG196464 QUC196464 RDY196464 RNU196464 RXQ196464 SHM196464 SRI196464 TBE196464 TLA196464 TUW196464 UES196464 UOO196464 UYK196464 VIG196464 VSC196464 WBY196464 WLU196464 WVQ196464 C262000 JE262000 TA262000 ACW262000 AMS262000 AWO262000 BGK262000 BQG262000 CAC262000 CJY262000 CTU262000 DDQ262000 DNM262000 DXI262000 EHE262000 ERA262000 FAW262000 FKS262000 FUO262000 GEK262000 GOG262000 GYC262000 HHY262000 HRU262000 IBQ262000 ILM262000 IVI262000 JFE262000 JPA262000 JYW262000 KIS262000 KSO262000 LCK262000 LMG262000 LWC262000 MFY262000 MPU262000 MZQ262000 NJM262000 NTI262000 ODE262000 ONA262000 OWW262000 PGS262000 PQO262000 QAK262000 QKG262000 QUC262000 RDY262000 RNU262000 RXQ262000 SHM262000 SRI262000 TBE262000 TLA262000 TUW262000 UES262000 UOO262000 UYK262000 VIG262000 VSC262000 WBY262000 WLU262000 WVQ262000 C327536 JE327536 TA327536 ACW327536 AMS327536 AWO327536 BGK327536 BQG327536 CAC327536 CJY327536 CTU327536 DDQ327536 DNM327536 DXI327536 EHE327536 ERA327536 FAW327536 FKS327536 FUO327536 GEK327536 GOG327536 GYC327536 HHY327536 HRU327536 IBQ327536 ILM327536 IVI327536 JFE327536 JPA327536 JYW327536 KIS327536 KSO327536 LCK327536 LMG327536 LWC327536 MFY327536 MPU327536 MZQ327536 NJM327536 NTI327536 ODE327536 ONA327536 OWW327536 PGS327536 PQO327536 QAK327536 QKG327536 QUC327536 RDY327536 RNU327536 RXQ327536 SHM327536 SRI327536 TBE327536 TLA327536 TUW327536 UES327536 UOO327536 UYK327536 VIG327536 VSC327536 WBY327536 WLU327536 WVQ327536 C393072 JE393072 TA393072 ACW393072 AMS393072 AWO393072 BGK393072 BQG393072 CAC393072 CJY393072 CTU393072 DDQ393072 DNM393072 DXI393072 EHE393072 ERA393072 FAW393072 FKS393072 FUO393072 GEK393072 GOG393072 GYC393072 HHY393072 HRU393072 IBQ393072 ILM393072 IVI393072 JFE393072 JPA393072 JYW393072 KIS393072 KSO393072 LCK393072 LMG393072 LWC393072 MFY393072 MPU393072 MZQ393072 NJM393072 NTI393072 ODE393072 ONA393072 OWW393072 PGS393072 PQO393072 QAK393072 QKG393072 QUC393072 RDY393072 RNU393072 RXQ393072 SHM393072 SRI393072 TBE393072 TLA393072 TUW393072 UES393072 UOO393072 UYK393072 VIG393072 VSC393072 WBY393072 WLU393072 WVQ393072 C458608 JE458608 TA458608 ACW458608 AMS458608 AWO458608 BGK458608 BQG458608 CAC458608 CJY458608 CTU458608 DDQ458608 DNM458608 DXI458608 EHE458608 ERA458608 FAW458608 FKS458608 FUO458608 GEK458608 GOG458608 GYC458608 HHY458608 HRU458608 IBQ458608 ILM458608 IVI458608 JFE458608 JPA458608 JYW458608 KIS458608 KSO458608 LCK458608 LMG458608 LWC458608 MFY458608 MPU458608 MZQ458608 NJM458608 NTI458608 ODE458608 ONA458608 OWW458608 PGS458608 PQO458608 QAK458608 QKG458608 QUC458608 RDY458608 RNU458608 RXQ458608 SHM458608 SRI458608 TBE458608 TLA458608 TUW458608 UES458608 UOO458608 UYK458608 VIG458608 VSC458608 WBY458608 WLU458608 WVQ458608 C524144 JE524144 TA524144 ACW524144 AMS524144 AWO524144 BGK524144 BQG524144 CAC524144 CJY524144 CTU524144 DDQ524144 DNM524144 DXI524144 EHE524144 ERA524144 FAW524144 FKS524144 FUO524144 GEK524144 GOG524144 GYC524144 HHY524144 HRU524144 IBQ524144 ILM524144 IVI524144 JFE524144 JPA524144 JYW524144 KIS524144 KSO524144 LCK524144 LMG524144 LWC524144 MFY524144 MPU524144 MZQ524144 NJM524144 NTI524144 ODE524144 ONA524144 OWW524144 PGS524144 PQO524144 QAK524144 QKG524144 QUC524144 RDY524144 RNU524144 RXQ524144 SHM524144 SRI524144 TBE524144 TLA524144 TUW524144 UES524144 UOO524144 UYK524144 VIG524144 VSC524144 WBY524144 WLU524144 WVQ524144 C589680 JE589680 TA589680 ACW589680 AMS589680 AWO589680 BGK589680 BQG589680 CAC589680 CJY589680 CTU589680 DDQ589680 DNM589680 DXI589680 EHE589680 ERA589680 FAW589680 FKS589680 FUO589680 GEK589680 GOG589680 GYC589680 HHY589680 HRU589680 IBQ589680 ILM589680 IVI589680 JFE589680 JPA589680 JYW589680 KIS589680 KSO589680 LCK589680 LMG589680 LWC589680 MFY589680 MPU589680 MZQ589680 NJM589680 NTI589680 ODE589680 ONA589680 OWW589680 PGS589680 PQO589680 QAK589680 QKG589680 QUC589680 RDY589680 RNU589680 RXQ589680 SHM589680 SRI589680 TBE589680 TLA589680 TUW589680 UES589680 UOO589680 UYK589680 VIG589680 VSC589680 WBY589680 WLU589680 WVQ589680 C655216 JE655216 TA655216 ACW655216 AMS655216 AWO655216 BGK655216 BQG655216 CAC655216 CJY655216 CTU655216 DDQ655216 DNM655216 DXI655216 EHE655216 ERA655216 FAW655216 FKS655216 FUO655216 GEK655216 GOG655216 GYC655216 HHY655216 HRU655216 IBQ655216 ILM655216 IVI655216 JFE655216 JPA655216 JYW655216 KIS655216 KSO655216 LCK655216 LMG655216 LWC655216 MFY655216 MPU655216 MZQ655216 NJM655216 NTI655216 ODE655216 ONA655216 OWW655216 PGS655216 PQO655216 QAK655216 QKG655216 QUC655216 RDY655216 RNU655216 RXQ655216 SHM655216 SRI655216 TBE655216 TLA655216 TUW655216 UES655216 UOO655216 UYK655216 VIG655216 VSC655216 WBY655216 WLU655216 WVQ655216 C720752 JE720752 TA720752 ACW720752 AMS720752 AWO720752 BGK720752 BQG720752 CAC720752 CJY720752 CTU720752 DDQ720752 DNM720752 DXI720752 EHE720752 ERA720752 FAW720752 FKS720752 FUO720752 GEK720752 GOG720752 GYC720752 HHY720752 HRU720752 IBQ720752 ILM720752 IVI720752 JFE720752 JPA720752 JYW720752 KIS720752 KSO720752 LCK720752 LMG720752 LWC720752 MFY720752 MPU720752 MZQ720752 NJM720752 NTI720752 ODE720752 ONA720752 OWW720752 PGS720752 PQO720752 QAK720752 QKG720752 QUC720752 RDY720752 RNU720752 RXQ720752 SHM720752 SRI720752 TBE720752 TLA720752 TUW720752 UES720752 UOO720752 UYK720752 VIG720752 VSC720752 WBY720752 WLU720752 WVQ720752 C786288 JE786288 TA786288 ACW786288 AMS786288 AWO786288 BGK786288 BQG786288 CAC786288 CJY786288 CTU786288 DDQ786288 DNM786288 DXI786288 EHE786288 ERA786288 FAW786288 FKS786288 FUO786288 GEK786288 GOG786288 GYC786288 HHY786288 HRU786288 IBQ786288 ILM786288 IVI786288 JFE786288 JPA786288 JYW786288 KIS786288 KSO786288 LCK786288 LMG786288 LWC786288 MFY786288 MPU786288 MZQ786288 NJM786288 NTI786288 ODE786288 ONA786288 OWW786288 PGS786288 PQO786288 QAK786288 QKG786288 QUC786288 RDY786288 RNU786288 RXQ786288 SHM786288 SRI786288 TBE786288 TLA786288 TUW786288 UES786288 UOO786288 UYK786288 VIG786288 VSC786288 WBY786288 WLU786288 WVQ786288 C851824 JE851824 TA851824 ACW851824 AMS851824 AWO851824 BGK851824 BQG851824 CAC851824 CJY851824 CTU851824 DDQ851824 DNM851824 DXI851824 EHE851824 ERA851824 FAW851824 FKS851824 FUO851824 GEK851824 GOG851824 GYC851824 HHY851824 HRU851824 IBQ851824 ILM851824 IVI851824 JFE851824 JPA851824 JYW851824 KIS851824 KSO851824 LCK851824 LMG851824 LWC851824 MFY851824 MPU851824 MZQ851824 NJM851824 NTI851824 ODE851824 ONA851824 OWW851824 PGS851824 PQO851824 QAK851824 QKG851824 QUC851824 RDY851824 RNU851824 RXQ851824 SHM851824 SRI851824 TBE851824 TLA851824 TUW851824 UES851824 UOO851824 UYK851824 VIG851824 VSC851824 WBY851824 WLU851824 WVQ851824 C917360 JE917360 TA917360 ACW917360 AMS917360 AWO917360 BGK917360 BQG917360 CAC917360 CJY917360 CTU917360 DDQ917360 DNM917360 DXI917360 EHE917360 ERA917360 FAW917360 FKS917360 FUO917360 GEK917360 GOG917360 GYC917360 HHY917360 HRU917360 IBQ917360 ILM917360 IVI917360 JFE917360 JPA917360 JYW917360 KIS917360 KSO917360 LCK917360 LMG917360 LWC917360 MFY917360 MPU917360 MZQ917360 NJM917360 NTI917360 ODE917360 ONA917360 OWW917360 PGS917360 PQO917360 QAK917360 QKG917360 QUC917360 RDY917360 RNU917360 RXQ917360 SHM917360 SRI917360 TBE917360 TLA917360 TUW917360 UES917360 UOO917360 UYK917360 VIG917360 VSC917360 WBY917360 WLU917360 WVQ917360 C982896 JE982896 TA982896 ACW982896 AMS982896 AWO982896 BGK982896 BQG982896 CAC982896 CJY982896 CTU982896 DDQ982896 DNM982896 DXI982896 EHE982896 ERA982896 FAW982896 FKS982896 FUO982896 GEK982896 GOG982896 GYC982896 HHY982896 HRU982896 IBQ982896 ILM982896 IVI982896 JFE982896 JPA982896 JYW982896 KIS982896 KSO982896 LCK982896 LMG982896 LWC982896 MFY982896 MPU982896 MZQ982896 NJM982896 NTI982896 ODE982896 ONA982896 OWW982896 PGS982896 PQO982896 QAK982896 QKG982896 QUC982896 RDY982896 RNU982896 RXQ982896 SHM982896 SRI982896 TBE982896 TLA982896 TUW982896 UES982896 UOO982896 UYK982896 VIG982896 VSC982896 WBY982896 WLU982896 WBY13:WBY90 VSC13:VSC90 VIG13:VIG90 UYK13:UYK90 UOO13:UOO90 UES13:UES90 TUW13:TUW90 TLA13:TLA90 TBE13:TBE90 SRI13:SRI90 SHM13:SHM90 RXQ13:RXQ90 RNU13:RNU90 RDY13:RDY90 QUC13:QUC90 QKG13:QKG90 QAK13:QAK90 PQO13:PQO90 PGS13:PGS90 OWW13:OWW90 ONA13:ONA90 ODE13:ODE90 NTI13:NTI90 NJM13:NJM90 MZQ13:MZQ90 MPU13:MPU90 MFY13:MFY90 LWC13:LWC90 LMG13:LMG90 LCK13:LCK90 KSO13:KSO90 KIS13:KIS90 JYW13:JYW90 JPA13:JPA90 JFE13:JFE90 IVI13:IVI90 ILM13:ILM90 IBQ13:IBQ90 HRU13:HRU90 HHY13:HHY90 GYC13:GYC90 GOG13:GOG90 GEK13:GEK90 FUO13:FUO90 FKS13:FKS90 FAW13:FAW90 ERA13:ERA90 EHE13:EHE90 DXI13:DXI90 DNM13:DNM90 DDQ13:DDQ90 CTU13:CTU90 CJY13:CJY90 CAC13:CAC90 BQG13:BQG90 BGK13:BGK90 AWO13:AWO90 AMS13:AMS90 ACW13:ACW90 TA13:TA90 JE13:JE90 WVQ13:WVQ90 WLU13:WLU90"/>
    <dataValidation allowBlank="1" showInputMessage="1" showErrorMessage="1" prompt="Bao gồm: tăng 300tr. đồng Ghi thu ghi chi quyền sử dụng đất khai thác quỹ đất khu phía Nam cầu Đăk bla (Thường xuyên)" sqref="R71"/>
    <dataValidation allowBlank="1" showInputMessage="1" showErrorMessage="1" prompt="Bao gồm Văn phòng điều phối CT MTQG NTM" sqref="M14"/>
    <dataValidation allowBlank="1" showInputMessage="1" showErrorMessage="1" prompt="Bộ Quốc phòng_x000a_" sqref="Q43"/>
    <dataValidation allowBlank="1" showInputMessage="1" showErrorMessage="1" prompt="Bao gồm cả BS cân đối để khớp với tổng chi NS tỉnh" sqref="T116"/>
  </dataValidations>
  <printOptions horizontalCentered="1"/>
  <pageMargins left="0" right="0" top="0.47244094488188981" bottom="0.51181102362204722" header="0.31496062992125984" footer="0"/>
  <pageSetup paperSize="9" scale="41" orientation="landscape" r:id="rId1"/>
  <headerFooter>
    <oddFooter>&amp;R&amp;P/&amp;N</oddFooter>
  </headerFooter>
  <colBreaks count="1" manualBreakCount="1">
    <brk id="27"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67"/>
  <sheetViews>
    <sheetView showZeros="0" zoomScaleNormal="100" workbookViewId="0">
      <pane xSplit="3" ySplit="12" topLeftCell="G167" activePane="bottomRight" state="frozen"/>
      <selection pane="topRight" activeCell="D1" sqref="D1"/>
      <selection pane="bottomLeft" activeCell="A12" sqref="A12"/>
      <selection pane="bottomRight" activeCell="A12" sqref="A12"/>
    </sheetView>
  </sheetViews>
  <sheetFormatPr defaultColWidth="9.140625" defaultRowHeight="12.75" outlineLevelRow="1" outlineLevelCol="1"/>
  <cols>
    <col min="1" max="1" width="5.5703125" style="23" customWidth="1"/>
    <col min="2" max="2" width="29.140625" style="24" customWidth="1"/>
    <col min="3" max="3" width="9.140625" style="25" hidden="1" customWidth="1" outlineLevel="1"/>
    <col min="4" max="4" width="12.140625" style="25" hidden="1" customWidth="1" outlineLevel="1"/>
    <col min="5" max="5" width="12" style="25" customWidth="1" collapsed="1"/>
    <col min="6" max="6" width="10.28515625" style="25" bestFit="1" customWidth="1"/>
    <col min="7" max="7" width="10.85546875" style="25" customWidth="1"/>
    <col min="8" max="8" width="10.7109375" style="25" hidden="1" customWidth="1" outlineLevel="1"/>
    <col min="9" max="11" width="9.140625" style="25" hidden="1" customWidth="1" outlineLevel="1"/>
    <col min="12" max="12" width="10" style="25" hidden="1" customWidth="1" outlineLevel="1"/>
    <col min="13" max="16" width="9.140625" style="25" hidden="1" customWidth="1" outlineLevel="1"/>
    <col min="17" max="17" width="10.7109375" style="25" hidden="1" customWidth="1" outlineLevel="1"/>
    <col min="18" max="20" width="9.140625" style="25" hidden="1" customWidth="1" outlineLevel="1"/>
    <col min="21" max="21" width="9.140625" style="25" hidden="1" customWidth="1" outlineLevel="1" collapsed="1"/>
    <col min="22" max="22" width="10" style="25" hidden="1" customWidth="1" outlineLevel="1"/>
    <col min="23" max="23" width="9.140625" style="25" hidden="1" customWidth="1" outlineLevel="1"/>
    <col min="24" max="24" width="5.7109375" style="25" hidden="1" customWidth="1" outlineLevel="1"/>
    <col min="25" max="25" width="9.140625" style="25" collapsed="1"/>
    <col min="26" max="26" width="7.85546875" style="25" customWidth="1" collapsed="1"/>
    <col min="27" max="29" width="9.140625" style="25"/>
    <col min="30" max="30" width="12" style="25" customWidth="1" collapsed="1"/>
    <col min="31" max="31" width="10.28515625" style="25" bestFit="1" customWidth="1"/>
    <col min="32" max="32" width="9.140625" style="25"/>
    <col min="33" max="45" width="9.140625" style="25" hidden="1" customWidth="1" outlineLevel="1"/>
    <col min="46" max="46" width="9.140625" style="25" hidden="1" customWidth="1" outlineLevel="1" collapsed="1"/>
    <col min="47" max="49" width="9.140625" style="25" hidden="1" customWidth="1" outlineLevel="1"/>
    <col min="50" max="50" width="9.140625" style="25" collapsed="1"/>
    <col min="51" max="51" width="7.85546875" style="25" customWidth="1" collapsed="1"/>
    <col min="52" max="16384" width="9.140625" style="25"/>
  </cols>
  <sheetData>
    <row r="1" spans="1:55" s="18" customFormat="1" ht="15">
      <c r="A1" s="17" t="s">
        <v>393</v>
      </c>
      <c r="E1" s="19"/>
      <c r="V1" s="18">
        <v>347305</v>
      </c>
      <c r="W1" s="18">
        <f>27350+11853</f>
        <v>39203</v>
      </c>
      <c r="AD1" s="19"/>
      <c r="AU1" s="18">
        <v>347305</v>
      </c>
      <c r="AV1" s="18">
        <f>27350+11853</f>
        <v>39203</v>
      </c>
    </row>
    <row r="2" spans="1:55" s="18" customFormat="1" ht="15">
      <c r="A2" s="20"/>
      <c r="E2" s="21"/>
      <c r="V2" s="22">
        <f>V1-V95</f>
        <v>347305</v>
      </c>
      <c r="W2" s="22">
        <f>W1-U13</f>
        <v>39203</v>
      </c>
      <c r="AD2" s="21"/>
      <c r="AU2" s="22">
        <f>AU1-AU95</f>
        <v>347305</v>
      </c>
      <c r="AV2" s="22">
        <f>AV1-AT13</f>
        <v>39203</v>
      </c>
    </row>
    <row r="3" spans="1:55" s="18" customFormat="1" ht="15">
      <c r="A3" s="670" t="s">
        <v>790</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0"/>
      <c r="AQ3" s="670"/>
      <c r="AR3" s="670"/>
      <c r="AS3" s="670"/>
      <c r="AT3" s="670"/>
      <c r="AU3" s="670"/>
      <c r="AV3" s="670"/>
      <c r="AW3" s="670"/>
      <c r="AX3" s="670"/>
      <c r="AY3" s="670"/>
      <c r="AZ3" s="670"/>
      <c r="BA3" s="670"/>
      <c r="BB3" s="670"/>
    </row>
    <row r="4" spans="1:55" s="18" customFormat="1" ht="15">
      <c r="A4" s="650" t="s">
        <v>394</v>
      </c>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row>
    <row r="5" spans="1:55">
      <c r="F5" s="26"/>
      <c r="L5" s="27" t="s">
        <v>62</v>
      </c>
      <c r="AC5" s="25" t="s">
        <v>395</v>
      </c>
      <c r="AE5" s="26"/>
      <c r="AK5" s="27" t="s">
        <v>62</v>
      </c>
    </row>
    <row r="6" spans="1:55" ht="12.75" hidden="1" customHeight="1" outlineLevel="1">
      <c r="B6" s="25"/>
      <c r="C6" s="689" t="s">
        <v>396</v>
      </c>
      <c r="D6" s="690" t="s">
        <v>397</v>
      </c>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28"/>
    </row>
    <row r="7" spans="1:55" ht="15" customHeight="1" outlineLevel="1">
      <c r="A7" s="679" t="s">
        <v>16</v>
      </c>
      <c r="B7" s="671" t="s">
        <v>398</v>
      </c>
      <c r="C7" s="689"/>
      <c r="D7" s="29"/>
      <c r="E7" s="676" t="s">
        <v>610</v>
      </c>
      <c r="F7" s="677"/>
      <c r="G7" s="677"/>
      <c r="H7" s="677"/>
      <c r="I7" s="677"/>
      <c r="J7" s="677"/>
      <c r="K7" s="677"/>
      <c r="L7" s="677"/>
      <c r="M7" s="677"/>
      <c r="N7" s="677"/>
      <c r="O7" s="677"/>
      <c r="P7" s="677"/>
      <c r="Q7" s="677"/>
      <c r="R7" s="677"/>
      <c r="S7" s="677"/>
      <c r="T7" s="677"/>
      <c r="U7" s="677"/>
      <c r="V7" s="677"/>
      <c r="W7" s="677"/>
      <c r="X7" s="677"/>
      <c r="Y7" s="677"/>
      <c r="Z7" s="677"/>
      <c r="AA7" s="677"/>
      <c r="AB7" s="677"/>
      <c r="AC7" s="678"/>
      <c r="AD7" s="676" t="s">
        <v>19</v>
      </c>
      <c r="AE7" s="677"/>
      <c r="AF7" s="677"/>
      <c r="AG7" s="677"/>
      <c r="AH7" s="677"/>
      <c r="AI7" s="677"/>
      <c r="AJ7" s="677"/>
      <c r="AK7" s="677"/>
      <c r="AL7" s="677"/>
      <c r="AM7" s="677"/>
      <c r="AN7" s="677"/>
      <c r="AO7" s="677"/>
      <c r="AP7" s="677"/>
      <c r="AQ7" s="677"/>
      <c r="AR7" s="677"/>
      <c r="AS7" s="677"/>
      <c r="AT7" s="677"/>
      <c r="AU7" s="677"/>
      <c r="AV7" s="677"/>
      <c r="AW7" s="677"/>
      <c r="AX7" s="677"/>
      <c r="AY7" s="677"/>
      <c r="AZ7" s="677"/>
      <c r="BA7" s="677"/>
      <c r="BB7" s="678"/>
    </row>
    <row r="8" spans="1:55" ht="12.75" customHeight="1">
      <c r="A8" s="679"/>
      <c r="B8" s="671"/>
      <c r="C8" s="689"/>
      <c r="D8" s="673" t="s">
        <v>399</v>
      </c>
      <c r="E8" s="679" t="s">
        <v>155</v>
      </c>
      <c r="F8" s="673" t="s">
        <v>599</v>
      </c>
      <c r="G8" s="671" t="s">
        <v>600</v>
      </c>
      <c r="H8" s="686" t="s">
        <v>161</v>
      </c>
      <c r="I8" s="687"/>
      <c r="J8" s="687"/>
      <c r="K8" s="687"/>
      <c r="L8" s="687"/>
      <c r="M8" s="687"/>
      <c r="N8" s="687"/>
      <c r="O8" s="687"/>
      <c r="P8" s="687"/>
      <c r="Q8" s="687"/>
      <c r="R8" s="687"/>
      <c r="S8" s="687"/>
      <c r="T8" s="687"/>
      <c r="U8" s="687"/>
      <c r="V8" s="687"/>
      <c r="W8" s="687"/>
      <c r="X8" s="688"/>
      <c r="Y8" s="673" t="s">
        <v>400</v>
      </c>
      <c r="Z8" s="673" t="s">
        <v>401</v>
      </c>
      <c r="AA8" s="680" t="s">
        <v>413</v>
      </c>
      <c r="AB8" s="681"/>
      <c r="AC8" s="682"/>
      <c r="AD8" s="679" t="s">
        <v>155</v>
      </c>
      <c r="AE8" s="673" t="s">
        <v>599</v>
      </c>
      <c r="AF8" s="671" t="s">
        <v>600</v>
      </c>
      <c r="AG8" s="686" t="s">
        <v>161</v>
      </c>
      <c r="AH8" s="687"/>
      <c r="AI8" s="687"/>
      <c r="AJ8" s="687"/>
      <c r="AK8" s="687"/>
      <c r="AL8" s="687"/>
      <c r="AM8" s="687"/>
      <c r="AN8" s="687"/>
      <c r="AO8" s="687"/>
      <c r="AP8" s="687"/>
      <c r="AQ8" s="687"/>
      <c r="AR8" s="687"/>
      <c r="AS8" s="687"/>
      <c r="AT8" s="687"/>
      <c r="AU8" s="687"/>
      <c r="AV8" s="687"/>
      <c r="AW8" s="688"/>
      <c r="AX8" s="673" t="s">
        <v>400</v>
      </c>
      <c r="AY8" s="673" t="s">
        <v>401</v>
      </c>
      <c r="AZ8" s="680" t="s">
        <v>413</v>
      </c>
      <c r="BA8" s="681"/>
      <c r="BB8" s="682"/>
    </row>
    <row r="9" spans="1:55" ht="12.75" customHeight="1">
      <c r="A9" s="679"/>
      <c r="B9" s="671"/>
      <c r="C9" s="689"/>
      <c r="D9" s="674"/>
      <c r="E9" s="679"/>
      <c r="F9" s="674"/>
      <c r="G9" s="671"/>
      <c r="H9" s="671" t="s">
        <v>402</v>
      </c>
      <c r="I9" s="671" t="s">
        <v>403</v>
      </c>
      <c r="J9" s="671" t="s">
        <v>134</v>
      </c>
      <c r="K9" s="671" t="s">
        <v>404</v>
      </c>
      <c r="L9" s="671" t="s">
        <v>405</v>
      </c>
      <c r="M9" s="671" t="s">
        <v>406</v>
      </c>
      <c r="N9" s="671" t="s">
        <v>407</v>
      </c>
      <c r="O9" s="671" t="s">
        <v>408</v>
      </c>
      <c r="P9" s="671" t="s">
        <v>139</v>
      </c>
      <c r="Q9" s="671" t="s">
        <v>409</v>
      </c>
      <c r="R9" s="672" t="s">
        <v>161</v>
      </c>
      <c r="S9" s="672"/>
      <c r="T9" s="672"/>
      <c r="U9" s="671" t="s">
        <v>410</v>
      </c>
      <c r="V9" s="671" t="s">
        <v>411</v>
      </c>
      <c r="W9" s="671" t="s">
        <v>412</v>
      </c>
      <c r="X9" s="673" t="s">
        <v>144</v>
      </c>
      <c r="Y9" s="674"/>
      <c r="Z9" s="674"/>
      <c r="AA9" s="683"/>
      <c r="AB9" s="684"/>
      <c r="AC9" s="685"/>
      <c r="AD9" s="679"/>
      <c r="AE9" s="674"/>
      <c r="AF9" s="671"/>
      <c r="AG9" s="671" t="s">
        <v>402</v>
      </c>
      <c r="AH9" s="671" t="s">
        <v>403</v>
      </c>
      <c r="AI9" s="671" t="s">
        <v>134</v>
      </c>
      <c r="AJ9" s="671" t="s">
        <v>404</v>
      </c>
      <c r="AK9" s="671" t="s">
        <v>405</v>
      </c>
      <c r="AL9" s="671" t="s">
        <v>406</v>
      </c>
      <c r="AM9" s="671" t="s">
        <v>407</v>
      </c>
      <c r="AN9" s="671" t="s">
        <v>408</v>
      </c>
      <c r="AO9" s="671" t="s">
        <v>139</v>
      </c>
      <c r="AP9" s="671" t="s">
        <v>409</v>
      </c>
      <c r="AQ9" s="672" t="s">
        <v>161</v>
      </c>
      <c r="AR9" s="672"/>
      <c r="AS9" s="672"/>
      <c r="AT9" s="671" t="s">
        <v>410</v>
      </c>
      <c r="AU9" s="671" t="s">
        <v>411</v>
      </c>
      <c r="AV9" s="671" t="s">
        <v>412</v>
      </c>
      <c r="AW9" s="673" t="s">
        <v>144</v>
      </c>
      <c r="AX9" s="674"/>
      <c r="AY9" s="674"/>
      <c r="AZ9" s="683"/>
      <c r="BA9" s="684"/>
      <c r="BB9" s="685"/>
    </row>
    <row r="10" spans="1:55" ht="12.75" customHeight="1">
      <c r="A10" s="679"/>
      <c r="B10" s="671"/>
      <c r="C10" s="689"/>
      <c r="D10" s="674"/>
      <c r="E10" s="679"/>
      <c r="F10" s="674"/>
      <c r="G10" s="671"/>
      <c r="H10" s="671"/>
      <c r="I10" s="671"/>
      <c r="J10" s="671"/>
      <c r="K10" s="671"/>
      <c r="L10" s="671"/>
      <c r="M10" s="671"/>
      <c r="N10" s="671"/>
      <c r="O10" s="671"/>
      <c r="P10" s="671"/>
      <c r="Q10" s="671"/>
      <c r="R10" s="672" t="s">
        <v>414</v>
      </c>
      <c r="S10" s="672" t="s">
        <v>415</v>
      </c>
      <c r="T10" s="672" t="s">
        <v>416</v>
      </c>
      <c r="U10" s="671"/>
      <c r="V10" s="671" t="s">
        <v>417</v>
      </c>
      <c r="W10" s="671"/>
      <c r="X10" s="674"/>
      <c r="Y10" s="674"/>
      <c r="Z10" s="674"/>
      <c r="AA10" s="671" t="s">
        <v>155</v>
      </c>
      <c r="AB10" s="673" t="s">
        <v>43</v>
      </c>
      <c r="AC10" s="673" t="s">
        <v>44</v>
      </c>
      <c r="AD10" s="679"/>
      <c r="AE10" s="674"/>
      <c r="AF10" s="671"/>
      <c r="AG10" s="671"/>
      <c r="AH10" s="671"/>
      <c r="AI10" s="671"/>
      <c r="AJ10" s="671"/>
      <c r="AK10" s="671"/>
      <c r="AL10" s="671"/>
      <c r="AM10" s="671"/>
      <c r="AN10" s="671"/>
      <c r="AO10" s="671"/>
      <c r="AP10" s="671"/>
      <c r="AQ10" s="672" t="s">
        <v>414</v>
      </c>
      <c r="AR10" s="672" t="s">
        <v>415</v>
      </c>
      <c r="AS10" s="672" t="s">
        <v>416</v>
      </c>
      <c r="AT10" s="671"/>
      <c r="AU10" s="671" t="s">
        <v>417</v>
      </c>
      <c r="AV10" s="671"/>
      <c r="AW10" s="674"/>
      <c r="AX10" s="674"/>
      <c r="AY10" s="674"/>
      <c r="AZ10" s="671" t="s">
        <v>155</v>
      </c>
      <c r="BA10" s="673" t="s">
        <v>43</v>
      </c>
      <c r="BB10" s="673" t="s">
        <v>44</v>
      </c>
    </row>
    <row r="11" spans="1:55" ht="67.5" customHeight="1">
      <c r="A11" s="679"/>
      <c r="B11" s="671"/>
      <c r="C11" s="689"/>
      <c r="D11" s="675"/>
      <c r="E11" s="679"/>
      <c r="F11" s="675"/>
      <c r="G11" s="671"/>
      <c r="H11" s="671"/>
      <c r="I11" s="671"/>
      <c r="J11" s="671"/>
      <c r="K11" s="671"/>
      <c r="L11" s="671"/>
      <c r="M11" s="671"/>
      <c r="N11" s="671"/>
      <c r="O11" s="671"/>
      <c r="P11" s="671"/>
      <c r="Q11" s="671"/>
      <c r="R11" s="672"/>
      <c r="S11" s="672"/>
      <c r="T11" s="672"/>
      <c r="U11" s="671"/>
      <c r="V11" s="671" t="s">
        <v>418</v>
      </c>
      <c r="W11" s="671"/>
      <c r="X11" s="675"/>
      <c r="Y11" s="675"/>
      <c r="Z11" s="675"/>
      <c r="AA11" s="671"/>
      <c r="AB11" s="675"/>
      <c r="AC11" s="675"/>
      <c r="AD11" s="679"/>
      <c r="AE11" s="675"/>
      <c r="AF11" s="671"/>
      <c r="AG11" s="671"/>
      <c r="AH11" s="671"/>
      <c r="AI11" s="671"/>
      <c r="AJ11" s="671"/>
      <c r="AK11" s="671"/>
      <c r="AL11" s="671"/>
      <c r="AM11" s="671"/>
      <c r="AN11" s="671"/>
      <c r="AO11" s="671"/>
      <c r="AP11" s="671"/>
      <c r="AQ11" s="672"/>
      <c r="AR11" s="672"/>
      <c r="AS11" s="672"/>
      <c r="AT11" s="671"/>
      <c r="AU11" s="671" t="s">
        <v>418</v>
      </c>
      <c r="AV11" s="671"/>
      <c r="AW11" s="675"/>
      <c r="AX11" s="675"/>
      <c r="AY11" s="675"/>
      <c r="AZ11" s="671"/>
      <c r="BA11" s="675"/>
      <c r="BB11" s="675"/>
    </row>
    <row r="12" spans="1:55" ht="12.75" customHeight="1">
      <c r="A12" s="30" t="s">
        <v>23</v>
      </c>
      <c r="B12" s="31" t="s">
        <v>24</v>
      </c>
      <c r="C12" s="32"/>
      <c r="D12" s="30"/>
      <c r="E12" s="30"/>
      <c r="F12" s="30"/>
      <c r="G12" s="33"/>
      <c r="H12" s="34"/>
      <c r="I12" s="34"/>
      <c r="J12" s="34"/>
      <c r="K12" s="34"/>
      <c r="L12" s="34"/>
      <c r="M12" s="34"/>
      <c r="N12" s="34"/>
      <c r="O12" s="34"/>
      <c r="P12" s="34"/>
      <c r="Q12" s="35"/>
      <c r="R12" s="35"/>
      <c r="U12" s="34"/>
      <c r="V12" s="30"/>
      <c r="W12" s="30"/>
      <c r="X12" s="30"/>
      <c r="Y12" s="30"/>
      <c r="Z12" s="30"/>
      <c r="AA12" s="30"/>
      <c r="AB12" s="30"/>
      <c r="AC12" s="30"/>
      <c r="AD12" s="30"/>
      <c r="AE12" s="30"/>
      <c r="AF12" s="33"/>
      <c r="AG12" s="34"/>
      <c r="AH12" s="34"/>
      <c r="AI12" s="34"/>
      <c r="AJ12" s="34"/>
      <c r="AK12" s="34"/>
      <c r="AL12" s="34"/>
      <c r="AM12" s="34"/>
      <c r="AN12" s="34"/>
      <c r="AO12" s="34"/>
      <c r="AP12" s="35"/>
      <c r="AQ12" s="35"/>
      <c r="AT12" s="34"/>
      <c r="AU12" s="30"/>
      <c r="AV12" s="30"/>
      <c r="AW12" s="30"/>
      <c r="AX12" s="30"/>
      <c r="AY12" s="30"/>
      <c r="AZ12" s="30"/>
      <c r="BA12" s="30"/>
      <c r="BB12" s="30"/>
    </row>
    <row r="13" spans="1:55" ht="20.25" customHeight="1">
      <c r="A13" s="36"/>
      <c r="B13" s="37" t="s">
        <v>419</v>
      </c>
      <c r="C13" s="38"/>
      <c r="D13" s="39"/>
      <c r="E13" s="40">
        <f>F13+G13+Y13+Z13+AA13</f>
        <v>0</v>
      </c>
      <c r="F13" s="41">
        <f t="shared" ref="F13:AC13" si="0">F14+F301</f>
        <v>0</v>
      </c>
      <c r="G13" s="41">
        <f t="shared" si="0"/>
        <v>0</v>
      </c>
      <c r="H13" s="41">
        <f t="shared" si="0"/>
        <v>0</v>
      </c>
      <c r="I13" s="41">
        <f t="shared" si="0"/>
        <v>0</v>
      </c>
      <c r="J13" s="41">
        <f t="shared" si="0"/>
        <v>0</v>
      </c>
      <c r="K13" s="41">
        <f t="shared" si="0"/>
        <v>0</v>
      </c>
      <c r="L13" s="41">
        <f t="shared" si="0"/>
        <v>0</v>
      </c>
      <c r="M13" s="41">
        <f t="shared" si="0"/>
        <v>0</v>
      </c>
      <c r="N13" s="41">
        <f t="shared" si="0"/>
        <v>0</v>
      </c>
      <c r="O13" s="41">
        <f t="shared" si="0"/>
        <v>0</v>
      </c>
      <c r="P13" s="41">
        <f t="shared" si="0"/>
        <v>0</v>
      </c>
      <c r="Q13" s="41">
        <f t="shared" si="0"/>
        <v>0</v>
      </c>
      <c r="R13" s="41">
        <f t="shared" si="0"/>
        <v>0</v>
      </c>
      <c r="S13" s="41">
        <f t="shared" si="0"/>
        <v>0</v>
      </c>
      <c r="T13" s="41">
        <f t="shared" si="0"/>
        <v>0</v>
      </c>
      <c r="U13" s="41">
        <f t="shared" si="0"/>
        <v>0</v>
      </c>
      <c r="V13" s="41">
        <f t="shared" si="0"/>
        <v>0</v>
      </c>
      <c r="W13" s="41">
        <f t="shared" si="0"/>
        <v>0</v>
      </c>
      <c r="X13" s="41">
        <f t="shared" si="0"/>
        <v>0</v>
      </c>
      <c r="Y13" s="41">
        <f t="shared" si="0"/>
        <v>0</v>
      </c>
      <c r="Z13" s="41">
        <f t="shared" si="0"/>
        <v>0</v>
      </c>
      <c r="AA13" s="41">
        <f t="shared" si="0"/>
        <v>0</v>
      </c>
      <c r="AB13" s="41">
        <f t="shared" si="0"/>
        <v>0</v>
      </c>
      <c r="AC13" s="41">
        <f t="shared" si="0"/>
        <v>0</v>
      </c>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row>
    <row r="14" spans="1:55" ht="27" customHeight="1">
      <c r="A14" s="42" t="s">
        <v>23</v>
      </c>
      <c r="B14" s="43" t="s">
        <v>420</v>
      </c>
      <c r="C14" s="44"/>
      <c r="D14" s="45"/>
      <c r="E14" s="46">
        <f t="shared" ref="E14:E77" si="1">F14+G14+Y14+Z14+AA14</f>
        <v>0</v>
      </c>
      <c r="F14" s="47">
        <f t="shared" ref="F14:AC14" si="2">F15+F95+F298+F299+F300+F297</f>
        <v>0</v>
      </c>
      <c r="G14" s="47">
        <f t="shared" si="2"/>
        <v>0</v>
      </c>
      <c r="H14" s="47">
        <f t="shared" si="2"/>
        <v>0</v>
      </c>
      <c r="I14" s="47">
        <f t="shared" si="2"/>
        <v>0</v>
      </c>
      <c r="J14" s="47">
        <f t="shared" si="2"/>
        <v>0</v>
      </c>
      <c r="K14" s="47">
        <f t="shared" si="2"/>
        <v>0</v>
      </c>
      <c r="L14" s="47">
        <f t="shared" si="2"/>
        <v>0</v>
      </c>
      <c r="M14" s="47">
        <f t="shared" si="2"/>
        <v>0</v>
      </c>
      <c r="N14" s="47">
        <f t="shared" si="2"/>
        <v>0</v>
      </c>
      <c r="O14" s="47">
        <f t="shared" si="2"/>
        <v>0</v>
      </c>
      <c r="P14" s="47">
        <f t="shared" si="2"/>
        <v>0</v>
      </c>
      <c r="Q14" s="47">
        <f t="shared" si="2"/>
        <v>0</v>
      </c>
      <c r="R14" s="47">
        <f t="shared" si="2"/>
        <v>0</v>
      </c>
      <c r="S14" s="47">
        <f t="shared" si="2"/>
        <v>0</v>
      </c>
      <c r="T14" s="47">
        <f t="shared" si="2"/>
        <v>0</v>
      </c>
      <c r="U14" s="47">
        <f t="shared" si="2"/>
        <v>0</v>
      </c>
      <c r="V14" s="47">
        <f t="shared" si="2"/>
        <v>0</v>
      </c>
      <c r="W14" s="47">
        <f t="shared" si="2"/>
        <v>0</v>
      </c>
      <c r="X14" s="47">
        <f t="shared" si="2"/>
        <v>0</v>
      </c>
      <c r="Y14" s="47">
        <f t="shared" si="2"/>
        <v>0</v>
      </c>
      <c r="Z14" s="47">
        <f t="shared" si="2"/>
        <v>0</v>
      </c>
      <c r="AA14" s="47">
        <f t="shared" si="2"/>
        <v>0</v>
      </c>
      <c r="AB14" s="47">
        <f t="shared" si="2"/>
        <v>0</v>
      </c>
      <c r="AC14" s="47">
        <f t="shared" si="2"/>
        <v>0</v>
      </c>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row>
    <row r="15" spans="1:55" ht="20.25" customHeight="1">
      <c r="A15" s="130" t="s">
        <v>421</v>
      </c>
      <c r="B15" s="131" t="s">
        <v>43</v>
      </c>
      <c r="C15" s="132"/>
      <c r="D15" s="133"/>
      <c r="E15" s="134">
        <f t="shared" si="1"/>
        <v>0</v>
      </c>
      <c r="F15" s="135">
        <f t="shared" ref="F15:AC15" si="3">F16</f>
        <v>0</v>
      </c>
      <c r="G15" s="135">
        <f t="shared" si="3"/>
        <v>0</v>
      </c>
      <c r="H15" s="135">
        <f t="shared" si="3"/>
        <v>0</v>
      </c>
      <c r="I15" s="135">
        <f t="shared" si="3"/>
        <v>0</v>
      </c>
      <c r="J15" s="135">
        <f t="shared" si="3"/>
        <v>0</v>
      </c>
      <c r="K15" s="135">
        <f t="shared" si="3"/>
        <v>0</v>
      </c>
      <c r="L15" s="135">
        <f t="shared" si="3"/>
        <v>0</v>
      </c>
      <c r="M15" s="135">
        <f t="shared" si="3"/>
        <v>0</v>
      </c>
      <c r="N15" s="135">
        <f t="shared" si="3"/>
        <v>0</v>
      </c>
      <c r="O15" s="135">
        <f t="shared" si="3"/>
        <v>0</v>
      </c>
      <c r="P15" s="135">
        <f t="shared" si="3"/>
        <v>0</v>
      </c>
      <c r="Q15" s="135">
        <f t="shared" si="3"/>
        <v>0</v>
      </c>
      <c r="R15" s="135">
        <f t="shared" si="3"/>
        <v>0</v>
      </c>
      <c r="S15" s="135">
        <f t="shared" si="3"/>
        <v>0</v>
      </c>
      <c r="T15" s="135">
        <f t="shared" si="3"/>
        <v>0</v>
      </c>
      <c r="U15" s="135">
        <f t="shared" si="3"/>
        <v>0</v>
      </c>
      <c r="V15" s="135">
        <f t="shared" si="3"/>
        <v>0</v>
      </c>
      <c r="W15" s="135">
        <f t="shared" si="3"/>
        <v>0</v>
      </c>
      <c r="X15" s="135">
        <f t="shared" si="3"/>
        <v>0</v>
      </c>
      <c r="Y15" s="135">
        <f t="shared" si="3"/>
        <v>0</v>
      </c>
      <c r="Z15" s="135">
        <f t="shared" si="3"/>
        <v>0</v>
      </c>
      <c r="AA15" s="135">
        <f t="shared" si="3"/>
        <v>0</v>
      </c>
      <c r="AB15" s="135">
        <f t="shared" si="3"/>
        <v>0</v>
      </c>
      <c r="AC15" s="135">
        <f t="shared" si="3"/>
        <v>0</v>
      </c>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25" t="s">
        <v>688</v>
      </c>
    </row>
    <row r="16" spans="1:55" s="18" customFormat="1" ht="22.5" customHeight="1">
      <c r="A16" s="136" t="s">
        <v>28</v>
      </c>
      <c r="B16" s="137" t="s">
        <v>422</v>
      </c>
      <c r="C16" s="138"/>
      <c r="D16" s="138"/>
      <c r="E16" s="134">
        <f t="shared" si="1"/>
        <v>0</v>
      </c>
      <c r="F16" s="135">
        <f t="shared" ref="F16:Z16" si="4">SUBTOTAL(9,F17:F94)</f>
        <v>0</v>
      </c>
      <c r="G16" s="139">
        <f t="shared" si="4"/>
        <v>0</v>
      </c>
      <c r="H16" s="139">
        <f t="shared" si="4"/>
        <v>0</v>
      </c>
      <c r="I16" s="139">
        <f t="shared" si="4"/>
        <v>0</v>
      </c>
      <c r="J16" s="139">
        <f t="shared" si="4"/>
        <v>0</v>
      </c>
      <c r="K16" s="139">
        <f t="shared" si="4"/>
        <v>0</v>
      </c>
      <c r="L16" s="139">
        <f t="shared" si="4"/>
        <v>0</v>
      </c>
      <c r="M16" s="139">
        <f t="shared" si="4"/>
        <v>0</v>
      </c>
      <c r="N16" s="139">
        <f t="shared" si="4"/>
        <v>0</v>
      </c>
      <c r="O16" s="139">
        <f t="shared" si="4"/>
        <v>0</v>
      </c>
      <c r="P16" s="139">
        <f t="shared" si="4"/>
        <v>0</v>
      </c>
      <c r="Q16" s="139">
        <f t="shared" si="4"/>
        <v>0</v>
      </c>
      <c r="R16" s="139">
        <f t="shared" si="4"/>
        <v>0</v>
      </c>
      <c r="S16" s="139">
        <f t="shared" si="4"/>
        <v>0</v>
      </c>
      <c r="T16" s="139">
        <f t="shared" si="4"/>
        <v>0</v>
      </c>
      <c r="U16" s="139">
        <f t="shared" si="4"/>
        <v>0</v>
      </c>
      <c r="V16" s="139">
        <f t="shared" si="4"/>
        <v>0</v>
      </c>
      <c r="W16" s="139">
        <f t="shared" si="4"/>
        <v>0</v>
      </c>
      <c r="X16" s="139">
        <f t="shared" si="4"/>
        <v>0</v>
      </c>
      <c r="Y16" s="139">
        <f t="shared" si="4"/>
        <v>0</v>
      </c>
      <c r="Z16" s="139">
        <f t="shared" si="4"/>
        <v>0</v>
      </c>
      <c r="AA16" s="139">
        <f>AB16+AC16</f>
        <v>0</v>
      </c>
      <c r="AB16" s="139">
        <f>SUBTOTAL(9,AB17:AB94)</f>
        <v>0</v>
      </c>
      <c r="AC16" s="139">
        <f>SUBTOTAL(9,AC17:AC94)</f>
        <v>0</v>
      </c>
      <c r="AD16" s="135"/>
      <c r="AE16" s="135"/>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row>
    <row r="17" spans="1:54" s="18" customFormat="1" ht="15">
      <c r="A17" s="140">
        <v>1</v>
      </c>
      <c r="B17" s="141" t="s">
        <v>245</v>
      </c>
      <c r="C17" s="142"/>
      <c r="D17" s="142"/>
      <c r="E17" s="134">
        <f t="shared" si="1"/>
        <v>0</v>
      </c>
      <c r="F17" s="143">
        <f>SUBTOTAL(9,F18:F20)</f>
        <v>0</v>
      </c>
      <c r="G17" s="144"/>
      <c r="H17" s="144"/>
      <c r="I17" s="144"/>
      <c r="J17" s="144"/>
      <c r="K17" s="144"/>
      <c r="L17" s="144"/>
      <c r="M17" s="144"/>
      <c r="N17" s="144"/>
      <c r="O17" s="144"/>
      <c r="P17" s="144"/>
      <c r="Q17" s="144"/>
      <c r="R17" s="144"/>
      <c r="S17" s="144"/>
      <c r="T17" s="144"/>
      <c r="U17" s="144"/>
      <c r="V17" s="144"/>
      <c r="W17" s="144"/>
      <c r="X17" s="144"/>
      <c r="Y17" s="144"/>
      <c r="Z17" s="144"/>
      <c r="AA17" s="144">
        <f>AB17+AC17</f>
        <v>0</v>
      </c>
      <c r="AB17" s="145"/>
      <c r="AC17" s="144"/>
      <c r="AD17" s="135"/>
      <c r="AE17" s="143"/>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5"/>
      <c r="BB17" s="144"/>
    </row>
    <row r="18" spans="1:54" s="18" customFormat="1" ht="25.5" hidden="1" customHeight="1" outlineLevel="1">
      <c r="A18" s="140" t="s">
        <v>30</v>
      </c>
      <c r="B18" s="141" t="s">
        <v>423</v>
      </c>
      <c r="C18" s="142"/>
      <c r="D18" s="142"/>
      <c r="E18" s="134">
        <f t="shared" si="1"/>
        <v>0</v>
      </c>
      <c r="F18" s="143"/>
      <c r="G18" s="144"/>
      <c r="H18" s="144"/>
      <c r="I18" s="144"/>
      <c r="J18" s="144"/>
      <c r="K18" s="144"/>
      <c r="L18" s="144"/>
      <c r="M18" s="144"/>
      <c r="N18" s="144"/>
      <c r="O18" s="144"/>
      <c r="P18" s="144"/>
      <c r="Q18" s="144"/>
      <c r="R18" s="144"/>
      <c r="S18" s="144"/>
      <c r="T18" s="144"/>
      <c r="U18" s="144"/>
      <c r="V18" s="144"/>
      <c r="W18" s="144"/>
      <c r="X18" s="144"/>
      <c r="Y18" s="144"/>
      <c r="Z18" s="144"/>
      <c r="AA18" s="144">
        <f t="shared" ref="AA18:AA81" si="5">AB18+AC18</f>
        <v>0</v>
      </c>
      <c r="AB18" s="146"/>
      <c r="AC18" s="144"/>
      <c r="AD18" s="135"/>
      <c r="AE18" s="143"/>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6"/>
      <c r="BB18" s="144"/>
    </row>
    <row r="19" spans="1:54" s="18" customFormat="1" ht="38.25" hidden="1" customHeight="1" outlineLevel="1">
      <c r="A19" s="140" t="s">
        <v>30</v>
      </c>
      <c r="B19" s="141" t="s">
        <v>424</v>
      </c>
      <c r="C19" s="142"/>
      <c r="D19" s="142"/>
      <c r="E19" s="134">
        <f t="shared" si="1"/>
        <v>0</v>
      </c>
      <c r="F19" s="143"/>
      <c r="G19" s="144"/>
      <c r="H19" s="144"/>
      <c r="I19" s="144"/>
      <c r="J19" s="144"/>
      <c r="K19" s="144"/>
      <c r="L19" s="144"/>
      <c r="M19" s="144"/>
      <c r="N19" s="144"/>
      <c r="O19" s="144"/>
      <c r="P19" s="144"/>
      <c r="Q19" s="144"/>
      <c r="R19" s="144"/>
      <c r="S19" s="144"/>
      <c r="T19" s="144"/>
      <c r="U19" s="144"/>
      <c r="V19" s="144"/>
      <c r="W19" s="144"/>
      <c r="X19" s="144"/>
      <c r="Y19" s="144"/>
      <c r="Z19" s="144"/>
      <c r="AA19" s="144">
        <f t="shared" si="5"/>
        <v>0</v>
      </c>
      <c r="AB19" s="146"/>
      <c r="AC19" s="144"/>
      <c r="AD19" s="135"/>
      <c r="AE19" s="143"/>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6"/>
      <c r="BB19" s="144"/>
    </row>
    <row r="20" spans="1:54" s="18" customFormat="1" ht="25.5" hidden="1" customHeight="1" outlineLevel="1">
      <c r="A20" s="140" t="s">
        <v>30</v>
      </c>
      <c r="B20" s="141" t="s">
        <v>425</v>
      </c>
      <c r="C20" s="142"/>
      <c r="D20" s="142"/>
      <c r="E20" s="134">
        <f t="shared" si="1"/>
        <v>0</v>
      </c>
      <c r="F20" s="143"/>
      <c r="G20" s="144"/>
      <c r="H20" s="144"/>
      <c r="I20" s="144"/>
      <c r="J20" s="144"/>
      <c r="K20" s="144"/>
      <c r="L20" s="144"/>
      <c r="M20" s="144"/>
      <c r="N20" s="144"/>
      <c r="O20" s="144"/>
      <c r="P20" s="144"/>
      <c r="Q20" s="144"/>
      <c r="R20" s="144"/>
      <c r="S20" s="144"/>
      <c r="T20" s="144"/>
      <c r="U20" s="144"/>
      <c r="V20" s="144"/>
      <c r="W20" s="144"/>
      <c r="X20" s="144"/>
      <c r="Y20" s="144"/>
      <c r="Z20" s="144"/>
      <c r="AA20" s="144">
        <f t="shared" si="5"/>
        <v>0</v>
      </c>
      <c r="AB20" s="146"/>
      <c r="AC20" s="144"/>
      <c r="AD20" s="135"/>
      <c r="AE20" s="143"/>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6"/>
      <c r="BB20" s="144"/>
    </row>
    <row r="21" spans="1:54" s="18" customFormat="1" ht="15" collapsed="1">
      <c r="A21" s="140">
        <v>2</v>
      </c>
      <c r="B21" s="141" t="s">
        <v>246</v>
      </c>
      <c r="C21" s="142"/>
      <c r="D21" s="142"/>
      <c r="E21" s="134">
        <f t="shared" si="1"/>
        <v>0</v>
      </c>
      <c r="F21" s="143">
        <f>SUBTOTAL(9,F22:F23)</f>
        <v>0</v>
      </c>
      <c r="G21" s="144"/>
      <c r="H21" s="144"/>
      <c r="I21" s="144"/>
      <c r="J21" s="144"/>
      <c r="K21" s="144"/>
      <c r="L21" s="144"/>
      <c r="M21" s="144"/>
      <c r="N21" s="144"/>
      <c r="O21" s="144"/>
      <c r="P21" s="144"/>
      <c r="Q21" s="144"/>
      <c r="R21" s="144"/>
      <c r="S21" s="144"/>
      <c r="T21" s="144"/>
      <c r="U21" s="144"/>
      <c r="V21" s="144"/>
      <c r="W21" s="144"/>
      <c r="X21" s="144"/>
      <c r="Y21" s="144"/>
      <c r="Z21" s="144"/>
      <c r="AA21" s="144">
        <f t="shared" si="5"/>
        <v>0</v>
      </c>
      <c r="AB21" s="145"/>
      <c r="AC21" s="144"/>
      <c r="AD21" s="135"/>
      <c r="AE21" s="143"/>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5"/>
      <c r="BB21" s="144"/>
    </row>
    <row r="22" spans="1:54" s="18" customFormat="1" ht="38.25" hidden="1" customHeight="1" outlineLevel="1">
      <c r="A22" s="140" t="s">
        <v>30</v>
      </c>
      <c r="B22" s="141" t="s">
        <v>426</v>
      </c>
      <c r="C22" s="142"/>
      <c r="D22" s="142"/>
      <c r="E22" s="134">
        <f t="shared" si="1"/>
        <v>0</v>
      </c>
      <c r="F22" s="143"/>
      <c r="G22" s="144"/>
      <c r="H22" s="144"/>
      <c r="I22" s="144"/>
      <c r="J22" s="144"/>
      <c r="K22" s="144"/>
      <c r="L22" s="144"/>
      <c r="M22" s="144"/>
      <c r="N22" s="144"/>
      <c r="O22" s="144"/>
      <c r="P22" s="144"/>
      <c r="Q22" s="144"/>
      <c r="R22" s="144"/>
      <c r="S22" s="144"/>
      <c r="T22" s="144"/>
      <c r="U22" s="144"/>
      <c r="V22" s="144"/>
      <c r="W22" s="144"/>
      <c r="X22" s="144"/>
      <c r="Y22" s="144"/>
      <c r="Z22" s="144"/>
      <c r="AA22" s="144">
        <f t="shared" si="5"/>
        <v>0</v>
      </c>
      <c r="AB22" s="146"/>
      <c r="AC22" s="144"/>
      <c r="AD22" s="135"/>
      <c r="AE22" s="143"/>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6"/>
      <c r="BB22" s="144"/>
    </row>
    <row r="23" spans="1:54" s="18" customFormat="1" ht="25.5" hidden="1" customHeight="1" outlineLevel="1">
      <c r="A23" s="140" t="s">
        <v>30</v>
      </c>
      <c r="B23" s="141" t="s">
        <v>427</v>
      </c>
      <c r="C23" s="142"/>
      <c r="D23" s="142"/>
      <c r="E23" s="134">
        <f t="shared" si="1"/>
        <v>0</v>
      </c>
      <c r="F23" s="143"/>
      <c r="G23" s="144"/>
      <c r="H23" s="144"/>
      <c r="I23" s="144"/>
      <c r="J23" s="144"/>
      <c r="K23" s="144"/>
      <c r="L23" s="144"/>
      <c r="M23" s="144"/>
      <c r="N23" s="144"/>
      <c r="O23" s="144"/>
      <c r="P23" s="144"/>
      <c r="Q23" s="144"/>
      <c r="R23" s="144"/>
      <c r="S23" s="144"/>
      <c r="T23" s="144"/>
      <c r="U23" s="144"/>
      <c r="V23" s="144"/>
      <c r="W23" s="144"/>
      <c r="X23" s="144"/>
      <c r="Y23" s="144"/>
      <c r="Z23" s="144"/>
      <c r="AA23" s="144">
        <f t="shared" si="5"/>
        <v>0</v>
      </c>
      <c r="AB23" s="146"/>
      <c r="AC23" s="144"/>
      <c r="AD23" s="135"/>
      <c r="AE23" s="143"/>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6"/>
      <c r="BB23" s="144"/>
    </row>
    <row r="24" spans="1:54" s="18" customFormat="1" ht="15" collapsed="1">
      <c r="A24" s="140">
        <v>3</v>
      </c>
      <c r="B24" s="141" t="s">
        <v>247</v>
      </c>
      <c r="C24" s="142"/>
      <c r="D24" s="142"/>
      <c r="E24" s="134">
        <f t="shared" si="1"/>
        <v>0</v>
      </c>
      <c r="F24" s="143">
        <f t="shared" ref="F24" si="6">SUBTOTAL(9,F25:F26)</f>
        <v>0</v>
      </c>
      <c r="G24" s="144"/>
      <c r="H24" s="144"/>
      <c r="I24" s="144"/>
      <c r="J24" s="144"/>
      <c r="K24" s="144"/>
      <c r="L24" s="144"/>
      <c r="M24" s="144"/>
      <c r="N24" s="144"/>
      <c r="O24" s="144"/>
      <c r="P24" s="144"/>
      <c r="Q24" s="144"/>
      <c r="R24" s="144"/>
      <c r="S24" s="144"/>
      <c r="T24" s="144"/>
      <c r="U24" s="144"/>
      <c r="V24" s="144"/>
      <c r="W24" s="144"/>
      <c r="X24" s="144"/>
      <c r="Y24" s="144"/>
      <c r="Z24" s="144"/>
      <c r="AA24" s="144">
        <f t="shared" si="5"/>
        <v>0</v>
      </c>
      <c r="AB24" s="145"/>
      <c r="AC24" s="144"/>
      <c r="AD24" s="135"/>
      <c r="AE24" s="143"/>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5"/>
      <c r="BB24" s="144"/>
    </row>
    <row r="25" spans="1:54" s="18" customFormat="1" ht="25.5" hidden="1" customHeight="1" outlineLevel="1">
      <c r="A25" s="140" t="s">
        <v>30</v>
      </c>
      <c r="B25" s="141" t="s">
        <v>428</v>
      </c>
      <c r="C25" s="142"/>
      <c r="D25" s="142"/>
      <c r="E25" s="134">
        <f t="shared" si="1"/>
        <v>0</v>
      </c>
      <c r="F25" s="143"/>
      <c r="G25" s="144"/>
      <c r="H25" s="144"/>
      <c r="I25" s="144"/>
      <c r="J25" s="144"/>
      <c r="K25" s="144"/>
      <c r="L25" s="144"/>
      <c r="M25" s="144"/>
      <c r="N25" s="144"/>
      <c r="O25" s="144"/>
      <c r="P25" s="144"/>
      <c r="Q25" s="144"/>
      <c r="R25" s="144"/>
      <c r="S25" s="144"/>
      <c r="T25" s="144"/>
      <c r="U25" s="144"/>
      <c r="V25" s="144"/>
      <c r="W25" s="144"/>
      <c r="X25" s="144"/>
      <c r="Y25" s="144"/>
      <c r="Z25" s="144"/>
      <c r="AA25" s="144">
        <f t="shared" si="5"/>
        <v>0</v>
      </c>
      <c r="AB25" s="146"/>
      <c r="AC25" s="144"/>
      <c r="AD25" s="135"/>
      <c r="AE25" s="143"/>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6"/>
      <c r="BB25" s="144"/>
    </row>
    <row r="26" spans="1:54" s="18" customFormat="1" ht="15" hidden="1" customHeight="1" outlineLevel="1">
      <c r="A26" s="140" t="s">
        <v>30</v>
      </c>
      <c r="B26" s="141" t="s">
        <v>429</v>
      </c>
      <c r="C26" s="142"/>
      <c r="D26" s="142"/>
      <c r="E26" s="134">
        <f t="shared" si="1"/>
        <v>0</v>
      </c>
      <c r="F26" s="143"/>
      <c r="G26" s="144"/>
      <c r="H26" s="144"/>
      <c r="I26" s="144"/>
      <c r="J26" s="144"/>
      <c r="K26" s="144"/>
      <c r="L26" s="144"/>
      <c r="M26" s="144"/>
      <c r="N26" s="144"/>
      <c r="O26" s="144"/>
      <c r="P26" s="144"/>
      <c r="Q26" s="144"/>
      <c r="R26" s="144"/>
      <c r="S26" s="144"/>
      <c r="T26" s="144"/>
      <c r="U26" s="144"/>
      <c r="V26" s="144"/>
      <c r="W26" s="144"/>
      <c r="X26" s="144"/>
      <c r="Y26" s="144"/>
      <c r="Z26" s="144"/>
      <c r="AA26" s="144">
        <f t="shared" si="5"/>
        <v>0</v>
      </c>
      <c r="AB26" s="146"/>
      <c r="AC26" s="144"/>
      <c r="AD26" s="135"/>
      <c r="AE26" s="143"/>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6"/>
      <c r="BB26" s="144"/>
    </row>
    <row r="27" spans="1:54" s="18" customFormat="1" ht="15" collapsed="1">
      <c r="A27" s="140">
        <v>4</v>
      </c>
      <c r="B27" s="141" t="s">
        <v>248</v>
      </c>
      <c r="C27" s="142"/>
      <c r="D27" s="142"/>
      <c r="E27" s="134">
        <f t="shared" si="1"/>
        <v>0</v>
      </c>
      <c r="F27" s="143">
        <f t="shared" ref="F27" si="7">SUBTOTAL(9,F28:F29)</f>
        <v>0</v>
      </c>
      <c r="G27" s="144"/>
      <c r="H27" s="144"/>
      <c r="I27" s="144"/>
      <c r="J27" s="144"/>
      <c r="K27" s="144"/>
      <c r="L27" s="144"/>
      <c r="M27" s="144"/>
      <c r="N27" s="144"/>
      <c r="O27" s="144"/>
      <c r="P27" s="144"/>
      <c r="Q27" s="144"/>
      <c r="R27" s="144"/>
      <c r="S27" s="144"/>
      <c r="T27" s="144"/>
      <c r="U27" s="144"/>
      <c r="V27" s="144"/>
      <c r="W27" s="144"/>
      <c r="X27" s="144"/>
      <c r="Y27" s="144"/>
      <c r="Z27" s="144"/>
      <c r="AA27" s="144">
        <f t="shared" si="5"/>
        <v>0</v>
      </c>
      <c r="AB27" s="145"/>
      <c r="AC27" s="144"/>
      <c r="AD27" s="135"/>
      <c r="AE27" s="143"/>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5"/>
      <c r="BB27" s="144"/>
    </row>
    <row r="28" spans="1:54" s="18" customFormat="1" ht="38.25" hidden="1" customHeight="1" outlineLevel="1">
      <c r="A28" s="140" t="s">
        <v>30</v>
      </c>
      <c r="B28" s="141" t="s">
        <v>430</v>
      </c>
      <c r="C28" s="142"/>
      <c r="D28" s="142"/>
      <c r="E28" s="134">
        <f t="shared" si="1"/>
        <v>0</v>
      </c>
      <c r="F28" s="143"/>
      <c r="G28" s="144"/>
      <c r="H28" s="144"/>
      <c r="I28" s="144"/>
      <c r="J28" s="144"/>
      <c r="K28" s="144"/>
      <c r="L28" s="144"/>
      <c r="M28" s="144"/>
      <c r="N28" s="144"/>
      <c r="O28" s="144"/>
      <c r="P28" s="144"/>
      <c r="Q28" s="144"/>
      <c r="R28" s="144"/>
      <c r="S28" s="144"/>
      <c r="T28" s="144"/>
      <c r="U28" s="144"/>
      <c r="V28" s="144"/>
      <c r="W28" s="144"/>
      <c r="X28" s="144"/>
      <c r="Y28" s="144"/>
      <c r="Z28" s="144"/>
      <c r="AA28" s="144">
        <f t="shared" si="5"/>
        <v>0</v>
      </c>
      <c r="AB28" s="146"/>
      <c r="AC28" s="144"/>
      <c r="AD28" s="135"/>
      <c r="AE28" s="143"/>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6"/>
      <c r="BB28" s="144"/>
    </row>
    <row r="29" spans="1:54" s="18" customFormat="1" ht="25.5" hidden="1" customHeight="1" outlineLevel="1">
      <c r="A29" s="140" t="s">
        <v>30</v>
      </c>
      <c r="B29" s="141" t="s">
        <v>431</v>
      </c>
      <c r="C29" s="142"/>
      <c r="D29" s="142"/>
      <c r="E29" s="134">
        <f t="shared" si="1"/>
        <v>0</v>
      </c>
      <c r="F29" s="143"/>
      <c r="G29" s="144"/>
      <c r="H29" s="144"/>
      <c r="I29" s="144"/>
      <c r="J29" s="144"/>
      <c r="K29" s="144"/>
      <c r="L29" s="144"/>
      <c r="M29" s="144"/>
      <c r="N29" s="144"/>
      <c r="O29" s="144"/>
      <c r="P29" s="144"/>
      <c r="Q29" s="144"/>
      <c r="R29" s="144"/>
      <c r="S29" s="144"/>
      <c r="T29" s="144"/>
      <c r="U29" s="144"/>
      <c r="V29" s="144"/>
      <c r="W29" s="144"/>
      <c r="X29" s="144"/>
      <c r="Y29" s="144"/>
      <c r="Z29" s="144"/>
      <c r="AA29" s="144">
        <f t="shared" si="5"/>
        <v>0</v>
      </c>
      <c r="AB29" s="146"/>
      <c r="AC29" s="144"/>
      <c r="AD29" s="135"/>
      <c r="AE29" s="143"/>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6"/>
      <c r="BB29" s="144"/>
    </row>
    <row r="30" spans="1:54" s="18" customFormat="1" ht="15" collapsed="1">
      <c r="A30" s="140">
        <v>5</v>
      </c>
      <c r="B30" s="141" t="s">
        <v>249</v>
      </c>
      <c r="C30" s="142"/>
      <c r="D30" s="142"/>
      <c r="E30" s="134">
        <f t="shared" si="1"/>
        <v>0</v>
      </c>
      <c r="F30" s="143">
        <f t="shared" ref="F30" si="8">SUBTOTAL(9,F31:F35)</f>
        <v>0</v>
      </c>
      <c r="G30" s="144"/>
      <c r="H30" s="144"/>
      <c r="I30" s="144"/>
      <c r="J30" s="144"/>
      <c r="K30" s="144"/>
      <c r="L30" s="144"/>
      <c r="M30" s="144"/>
      <c r="N30" s="144"/>
      <c r="O30" s="144"/>
      <c r="P30" s="144"/>
      <c r="Q30" s="144"/>
      <c r="R30" s="144"/>
      <c r="S30" s="144"/>
      <c r="T30" s="144"/>
      <c r="U30" s="144"/>
      <c r="V30" s="144"/>
      <c r="W30" s="144"/>
      <c r="X30" s="144"/>
      <c r="Y30" s="144"/>
      <c r="Z30" s="144"/>
      <c r="AA30" s="144">
        <f t="shared" si="5"/>
        <v>0</v>
      </c>
      <c r="AB30" s="145"/>
      <c r="AC30" s="144"/>
      <c r="AD30" s="135"/>
      <c r="AE30" s="143"/>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5"/>
      <c r="BB30" s="144"/>
    </row>
    <row r="31" spans="1:54" s="18" customFormat="1" ht="25.5" hidden="1" customHeight="1" outlineLevel="1">
      <c r="A31" s="140" t="s">
        <v>30</v>
      </c>
      <c r="B31" s="141" t="s">
        <v>432</v>
      </c>
      <c r="C31" s="142"/>
      <c r="D31" s="142"/>
      <c r="E31" s="134">
        <f t="shared" si="1"/>
        <v>0</v>
      </c>
      <c r="F31" s="143"/>
      <c r="G31" s="144"/>
      <c r="H31" s="144"/>
      <c r="I31" s="144"/>
      <c r="J31" s="144"/>
      <c r="K31" s="144"/>
      <c r="L31" s="144"/>
      <c r="M31" s="144"/>
      <c r="N31" s="144"/>
      <c r="O31" s="144"/>
      <c r="P31" s="144"/>
      <c r="Q31" s="144"/>
      <c r="R31" s="144"/>
      <c r="S31" s="144"/>
      <c r="T31" s="144"/>
      <c r="U31" s="144"/>
      <c r="V31" s="144"/>
      <c r="W31" s="144"/>
      <c r="X31" s="144"/>
      <c r="Y31" s="144"/>
      <c r="Z31" s="144"/>
      <c r="AA31" s="144">
        <f t="shared" si="5"/>
        <v>0</v>
      </c>
      <c r="AB31" s="146"/>
      <c r="AC31" s="144"/>
      <c r="AD31" s="135"/>
      <c r="AE31" s="143"/>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6"/>
      <c r="BB31" s="144"/>
    </row>
    <row r="32" spans="1:54" s="18" customFormat="1" ht="38.25" hidden="1" customHeight="1" outlineLevel="1">
      <c r="A32" s="140" t="s">
        <v>30</v>
      </c>
      <c r="B32" s="141" t="s">
        <v>433</v>
      </c>
      <c r="C32" s="142"/>
      <c r="D32" s="142"/>
      <c r="E32" s="134">
        <f t="shared" si="1"/>
        <v>0</v>
      </c>
      <c r="F32" s="143"/>
      <c r="G32" s="144"/>
      <c r="H32" s="144"/>
      <c r="I32" s="144"/>
      <c r="J32" s="144"/>
      <c r="K32" s="144"/>
      <c r="L32" s="144"/>
      <c r="M32" s="144"/>
      <c r="N32" s="144"/>
      <c r="O32" s="144"/>
      <c r="P32" s="144"/>
      <c r="Q32" s="144"/>
      <c r="R32" s="144"/>
      <c r="S32" s="144"/>
      <c r="T32" s="144"/>
      <c r="U32" s="144"/>
      <c r="V32" s="144"/>
      <c r="W32" s="144"/>
      <c r="X32" s="144"/>
      <c r="Y32" s="144"/>
      <c r="Z32" s="144"/>
      <c r="AA32" s="144">
        <f t="shared" si="5"/>
        <v>0</v>
      </c>
      <c r="AB32" s="146"/>
      <c r="AC32" s="144"/>
      <c r="AD32" s="135"/>
      <c r="AE32" s="143"/>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6"/>
      <c r="BB32" s="144"/>
    </row>
    <row r="33" spans="1:54" s="18" customFormat="1" ht="25.5" hidden="1" customHeight="1" outlineLevel="1">
      <c r="A33" s="140" t="s">
        <v>30</v>
      </c>
      <c r="B33" s="141" t="s">
        <v>434</v>
      </c>
      <c r="C33" s="142"/>
      <c r="D33" s="142"/>
      <c r="E33" s="134">
        <f t="shared" si="1"/>
        <v>0</v>
      </c>
      <c r="F33" s="143"/>
      <c r="G33" s="144"/>
      <c r="H33" s="144"/>
      <c r="I33" s="144"/>
      <c r="J33" s="144"/>
      <c r="K33" s="144"/>
      <c r="L33" s="144"/>
      <c r="M33" s="144"/>
      <c r="N33" s="144"/>
      <c r="O33" s="144"/>
      <c r="P33" s="144"/>
      <c r="Q33" s="144"/>
      <c r="R33" s="144"/>
      <c r="S33" s="144"/>
      <c r="T33" s="144"/>
      <c r="U33" s="144"/>
      <c r="V33" s="144"/>
      <c r="W33" s="144"/>
      <c r="X33" s="144"/>
      <c r="Y33" s="144"/>
      <c r="Z33" s="144"/>
      <c r="AA33" s="144">
        <f t="shared" si="5"/>
        <v>0</v>
      </c>
      <c r="AB33" s="146"/>
      <c r="AC33" s="144"/>
      <c r="AD33" s="135"/>
      <c r="AE33" s="143"/>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6"/>
      <c r="BB33" s="144"/>
    </row>
    <row r="34" spans="1:54" s="18" customFormat="1" ht="25.5" hidden="1" customHeight="1" outlineLevel="1">
      <c r="A34" s="140" t="s">
        <v>30</v>
      </c>
      <c r="B34" s="141" t="s">
        <v>435</v>
      </c>
      <c r="C34" s="142"/>
      <c r="D34" s="142"/>
      <c r="E34" s="134">
        <f t="shared" si="1"/>
        <v>0</v>
      </c>
      <c r="F34" s="143"/>
      <c r="G34" s="144"/>
      <c r="H34" s="144"/>
      <c r="I34" s="144"/>
      <c r="J34" s="144"/>
      <c r="K34" s="144"/>
      <c r="L34" s="144"/>
      <c r="M34" s="144"/>
      <c r="N34" s="144"/>
      <c r="O34" s="144"/>
      <c r="P34" s="144"/>
      <c r="Q34" s="144"/>
      <c r="R34" s="144"/>
      <c r="S34" s="144"/>
      <c r="T34" s="144"/>
      <c r="U34" s="144"/>
      <c r="V34" s="144"/>
      <c r="W34" s="144"/>
      <c r="X34" s="144"/>
      <c r="Y34" s="144"/>
      <c r="Z34" s="144"/>
      <c r="AA34" s="144">
        <f t="shared" si="5"/>
        <v>0</v>
      </c>
      <c r="AB34" s="146"/>
      <c r="AC34" s="144"/>
      <c r="AD34" s="135"/>
      <c r="AE34" s="143"/>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6"/>
      <c r="BB34" s="144"/>
    </row>
    <row r="35" spans="1:54" s="18" customFormat="1" ht="25.5" hidden="1" customHeight="1" outlineLevel="1">
      <c r="A35" s="140" t="s">
        <v>30</v>
      </c>
      <c r="B35" s="141" t="s">
        <v>436</v>
      </c>
      <c r="C35" s="142"/>
      <c r="D35" s="142"/>
      <c r="E35" s="134">
        <f t="shared" si="1"/>
        <v>0</v>
      </c>
      <c r="F35" s="143"/>
      <c r="G35" s="144"/>
      <c r="H35" s="144"/>
      <c r="I35" s="144"/>
      <c r="J35" s="144"/>
      <c r="K35" s="144"/>
      <c r="L35" s="144"/>
      <c r="M35" s="144"/>
      <c r="N35" s="144"/>
      <c r="O35" s="144"/>
      <c r="P35" s="144"/>
      <c r="Q35" s="144"/>
      <c r="R35" s="144"/>
      <c r="S35" s="144"/>
      <c r="T35" s="144"/>
      <c r="U35" s="144"/>
      <c r="V35" s="144"/>
      <c r="W35" s="144"/>
      <c r="X35" s="144"/>
      <c r="Y35" s="144"/>
      <c r="Z35" s="144"/>
      <c r="AA35" s="144">
        <f t="shared" si="5"/>
        <v>0</v>
      </c>
      <c r="AB35" s="146"/>
      <c r="AC35" s="144"/>
      <c r="AD35" s="135"/>
      <c r="AE35" s="143"/>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6"/>
      <c r="BB35" s="144"/>
    </row>
    <row r="36" spans="1:54" s="18" customFormat="1" ht="15" collapsed="1">
      <c r="A36" s="140">
        <v>6</v>
      </c>
      <c r="B36" s="141" t="s">
        <v>250</v>
      </c>
      <c r="C36" s="142"/>
      <c r="D36" s="142"/>
      <c r="E36" s="134">
        <f t="shared" si="1"/>
        <v>0</v>
      </c>
      <c r="F36" s="143">
        <f t="shared" ref="F36" si="9">SUBTOTAL(9,F37)</f>
        <v>0</v>
      </c>
      <c r="G36" s="144"/>
      <c r="H36" s="144"/>
      <c r="I36" s="144"/>
      <c r="J36" s="144"/>
      <c r="K36" s="144"/>
      <c r="L36" s="144"/>
      <c r="M36" s="144"/>
      <c r="N36" s="144"/>
      <c r="O36" s="144"/>
      <c r="P36" s="144"/>
      <c r="Q36" s="144"/>
      <c r="R36" s="144"/>
      <c r="S36" s="144"/>
      <c r="T36" s="144"/>
      <c r="U36" s="144"/>
      <c r="V36" s="144"/>
      <c r="W36" s="144"/>
      <c r="X36" s="144"/>
      <c r="Y36" s="144"/>
      <c r="Z36" s="144"/>
      <c r="AA36" s="144">
        <f t="shared" si="5"/>
        <v>0</v>
      </c>
      <c r="AB36" s="145"/>
      <c r="AC36" s="144"/>
      <c r="AD36" s="135"/>
      <c r="AE36" s="143"/>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5"/>
      <c r="BB36" s="144"/>
    </row>
    <row r="37" spans="1:54" s="18" customFormat="1" ht="31.5" hidden="1" customHeight="1" outlineLevel="1">
      <c r="A37" s="140" t="s">
        <v>30</v>
      </c>
      <c r="B37" s="141" t="s">
        <v>437</v>
      </c>
      <c r="C37" s="142"/>
      <c r="D37" s="142"/>
      <c r="E37" s="134">
        <f t="shared" si="1"/>
        <v>0</v>
      </c>
      <c r="F37" s="143"/>
      <c r="G37" s="144"/>
      <c r="H37" s="144"/>
      <c r="I37" s="144"/>
      <c r="J37" s="144"/>
      <c r="K37" s="144"/>
      <c r="L37" s="144"/>
      <c r="M37" s="144"/>
      <c r="N37" s="144"/>
      <c r="O37" s="144"/>
      <c r="P37" s="144"/>
      <c r="Q37" s="144"/>
      <c r="R37" s="144"/>
      <c r="S37" s="144"/>
      <c r="T37" s="144"/>
      <c r="U37" s="144"/>
      <c r="V37" s="144"/>
      <c r="W37" s="144"/>
      <c r="X37" s="144"/>
      <c r="Y37" s="144"/>
      <c r="Z37" s="144"/>
      <c r="AA37" s="144">
        <f t="shared" si="5"/>
        <v>0</v>
      </c>
      <c r="AB37" s="146"/>
      <c r="AC37" s="144"/>
      <c r="AD37" s="135"/>
      <c r="AE37" s="143"/>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6"/>
      <c r="BB37" s="144"/>
    </row>
    <row r="38" spans="1:54" s="18" customFormat="1" ht="15" collapsed="1">
      <c r="A38" s="140">
        <v>7</v>
      </c>
      <c r="B38" s="141" t="s">
        <v>251</v>
      </c>
      <c r="C38" s="142"/>
      <c r="D38" s="142"/>
      <c r="E38" s="134">
        <f t="shared" si="1"/>
        <v>0</v>
      </c>
      <c r="F38" s="143">
        <f t="shared" ref="F38" si="10">SUBTOTAL(9,F39)</f>
        <v>0</v>
      </c>
      <c r="G38" s="144"/>
      <c r="H38" s="144"/>
      <c r="I38" s="144"/>
      <c r="J38" s="144"/>
      <c r="K38" s="144"/>
      <c r="L38" s="144"/>
      <c r="M38" s="144"/>
      <c r="N38" s="144"/>
      <c r="O38" s="144"/>
      <c r="P38" s="144"/>
      <c r="Q38" s="144"/>
      <c r="R38" s="144"/>
      <c r="S38" s="144"/>
      <c r="T38" s="144"/>
      <c r="U38" s="144"/>
      <c r="V38" s="144"/>
      <c r="W38" s="144"/>
      <c r="X38" s="144"/>
      <c r="Y38" s="144"/>
      <c r="Z38" s="144"/>
      <c r="AA38" s="144">
        <f t="shared" si="5"/>
        <v>0</v>
      </c>
      <c r="AB38" s="145"/>
      <c r="AC38" s="144"/>
      <c r="AD38" s="135"/>
      <c r="AE38" s="143"/>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5"/>
      <c r="BB38" s="144"/>
    </row>
    <row r="39" spans="1:54" s="18" customFormat="1" ht="51.75" hidden="1" customHeight="1" outlineLevel="1">
      <c r="A39" s="140" t="s">
        <v>30</v>
      </c>
      <c r="B39" s="141" t="s">
        <v>438</v>
      </c>
      <c r="C39" s="142"/>
      <c r="D39" s="142"/>
      <c r="E39" s="134">
        <f t="shared" si="1"/>
        <v>0</v>
      </c>
      <c r="F39" s="143"/>
      <c r="G39" s="144"/>
      <c r="H39" s="144"/>
      <c r="I39" s="144"/>
      <c r="J39" s="144"/>
      <c r="K39" s="144"/>
      <c r="L39" s="144"/>
      <c r="M39" s="144"/>
      <c r="N39" s="144"/>
      <c r="O39" s="144"/>
      <c r="P39" s="144"/>
      <c r="Q39" s="144"/>
      <c r="R39" s="144"/>
      <c r="S39" s="144"/>
      <c r="T39" s="144"/>
      <c r="U39" s="144"/>
      <c r="V39" s="144"/>
      <c r="W39" s="144"/>
      <c r="X39" s="144"/>
      <c r="Y39" s="144"/>
      <c r="Z39" s="144"/>
      <c r="AA39" s="144">
        <f t="shared" si="5"/>
        <v>0</v>
      </c>
      <c r="AB39" s="146"/>
      <c r="AC39" s="144"/>
      <c r="AD39" s="135"/>
      <c r="AE39" s="143"/>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6"/>
      <c r="BB39" s="144"/>
    </row>
    <row r="40" spans="1:54" s="18" customFormat="1" ht="15" collapsed="1">
      <c r="A40" s="140">
        <v>8</v>
      </c>
      <c r="B40" s="141" t="s">
        <v>439</v>
      </c>
      <c r="C40" s="142"/>
      <c r="D40" s="142"/>
      <c r="E40" s="134">
        <f t="shared" si="1"/>
        <v>0</v>
      </c>
      <c r="F40" s="143">
        <f t="shared" ref="F40" si="11">SUBTOTAL(9,F41:F42)</f>
        <v>0</v>
      </c>
      <c r="G40" s="144"/>
      <c r="H40" s="144"/>
      <c r="I40" s="144"/>
      <c r="J40" s="144"/>
      <c r="K40" s="144"/>
      <c r="L40" s="144"/>
      <c r="M40" s="144"/>
      <c r="N40" s="144"/>
      <c r="O40" s="144"/>
      <c r="P40" s="144"/>
      <c r="Q40" s="144"/>
      <c r="R40" s="144"/>
      <c r="S40" s="144"/>
      <c r="T40" s="144"/>
      <c r="U40" s="144"/>
      <c r="V40" s="144"/>
      <c r="W40" s="144"/>
      <c r="X40" s="144"/>
      <c r="Y40" s="144"/>
      <c r="Z40" s="144"/>
      <c r="AA40" s="144">
        <f t="shared" si="5"/>
        <v>0</v>
      </c>
      <c r="AB40" s="145"/>
      <c r="AC40" s="144"/>
      <c r="AD40" s="135"/>
      <c r="AE40" s="143"/>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5"/>
      <c r="BB40" s="144"/>
    </row>
    <row r="41" spans="1:54" s="18" customFormat="1" ht="38.25" hidden="1" customHeight="1" outlineLevel="1">
      <c r="A41" s="140" t="s">
        <v>30</v>
      </c>
      <c r="B41" s="141" t="s">
        <v>440</v>
      </c>
      <c r="C41" s="142"/>
      <c r="D41" s="142"/>
      <c r="E41" s="134">
        <f t="shared" si="1"/>
        <v>0</v>
      </c>
      <c r="F41" s="143"/>
      <c r="G41" s="144"/>
      <c r="H41" s="144"/>
      <c r="I41" s="144"/>
      <c r="J41" s="144"/>
      <c r="K41" s="144"/>
      <c r="L41" s="144"/>
      <c r="M41" s="144"/>
      <c r="N41" s="144"/>
      <c r="O41" s="144"/>
      <c r="P41" s="144"/>
      <c r="Q41" s="144"/>
      <c r="R41" s="144"/>
      <c r="S41" s="144"/>
      <c r="T41" s="144"/>
      <c r="U41" s="144"/>
      <c r="V41" s="144"/>
      <c r="W41" s="144"/>
      <c r="X41" s="144"/>
      <c r="Y41" s="144"/>
      <c r="Z41" s="144"/>
      <c r="AA41" s="144">
        <f t="shared" si="5"/>
        <v>0</v>
      </c>
      <c r="AB41" s="145"/>
      <c r="AC41" s="144"/>
      <c r="AD41" s="135"/>
      <c r="AE41" s="143"/>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5"/>
      <c r="BB41" s="144"/>
    </row>
    <row r="42" spans="1:54" s="18" customFormat="1" ht="25.5" hidden="1" customHeight="1" outlineLevel="1">
      <c r="A42" s="140" t="s">
        <v>30</v>
      </c>
      <c r="B42" s="141" t="s">
        <v>441</v>
      </c>
      <c r="C42" s="142"/>
      <c r="D42" s="142"/>
      <c r="E42" s="134">
        <f t="shared" si="1"/>
        <v>0</v>
      </c>
      <c r="F42" s="143"/>
      <c r="G42" s="144"/>
      <c r="H42" s="144"/>
      <c r="I42" s="144"/>
      <c r="J42" s="144"/>
      <c r="K42" s="144"/>
      <c r="L42" s="144"/>
      <c r="M42" s="144"/>
      <c r="N42" s="144"/>
      <c r="O42" s="144"/>
      <c r="P42" s="144"/>
      <c r="Q42" s="144"/>
      <c r="R42" s="144"/>
      <c r="S42" s="144"/>
      <c r="T42" s="144"/>
      <c r="U42" s="144"/>
      <c r="V42" s="144"/>
      <c r="W42" s="144"/>
      <c r="X42" s="144"/>
      <c r="Y42" s="144"/>
      <c r="Z42" s="144"/>
      <c r="AA42" s="144">
        <f t="shared" si="5"/>
        <v>0</v>
      </c>
      <c r="AB42" s="146"/>
      <c r="AC42" s="144"/>
      <c r="AD42" s="135"/>
      <c r="AE42" s="143"/>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6"/>
      <c r="BB42" s="144"/>
    </row>
    <row r="43" spans="1:54" s="18" customFormat="1" ht="15" collapsed="1">
      <c r="A43" s="140">
        <v>9</v>
      </c>
      <c r="B43" s="141" t="s">
        <v>252</v>
      </c>
      <c r="C43" s="142"/>
      <c r="D43" s="142"/>
      <c r="E43" s="134">
        <f t="shared" si="1"/>
        <v>0</v>
      </c>
      <c r="F43" s="143">
        <f t="shared" ref="F43" si="12">SUBTOTAL(9,F44:F47)</f>
        <v>0</v>
      </c>
      <c r="G43" s="144"/>
      <c r="H43" s="144"/>
      <c r="I43" s="144"/>
      <c r="J43" s="144"/>
      <c r="K43" s="144"/>
      <c r="L43" s="144"/>
      <c r="M43" s="144"/>
      <c r="N43" s="144"/>
      <c r="O43" s="144"/>
      <c r="P43" s="144"/>
      <c r="Q43" s="144"/>
      <c r="R43" s="144"/>
      <c r="S43" s="144"/>
      <c r="T43" s="144"/>
      <c r="U43" s="144"/>
      <c r="V43" s="144"/>
      <c r="W43" s="144"/>
      <c r="X43" s="144"/>
      <c r="Y43" s="144"/>
      <c r="Z43" s="144"/>
      <c r="AA43" s="144">
        <f t="shared" si="5"/>
        <v>0</v>
      </c>
      <c r="AB43" s="145"/>
      <c r="AC43" s="144"/>
      <c r="AD43" s="135"/>
      <c r="AE43" s="143"/>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5"/>
      <c r="BB43" s="144"/>
    </row>
    <row r="44" spans="1:54" s="18" customFormat="1" ht="25.5" hidden="1" customHeight="1" outlineLevel="1">
      <c r="A44" s="140" t="s">
        <v>30</v>
      </c>
      <c r="B44" s="141" t="s">
        <v>442</v>
      </c>
      <c r="C44" s="142"/>
      <c r="D44" s="142"/>
      <c r="E44" s="134">
        <f t="shared" si="1"/>
        <v>0</v>
      </c>
      <c r="F44" s="143"/>
      <c r="G44" s="144"/>
      <c r="H44" s="144"/>
      <c r="I44" s="144"/>
      <c r="J44" s="144"/>
      <c r="K44" s="144"/>
      <c r="L44" s="144"/>
      <c r="M44" s="144"/>
      <c r="N44" s="144"/>
      <c r="O44" s="144"/>
      <c r="P44" s="144"/>
      <c r="Q44" s="144"/>
      <c r="R44" s="144"/>
      <c r="S44" s="144"/>
      <c r="T44" s="144"/>
      <c r="U44" s="144"/>
      <c r="V44" s="144"/>
      <c r="W44" s="144"/>
      <c r="X44" s="144"/>
      <c r="Y44" s="144"/>
      <c r="Z44" s="144"/>
      <c r="AA44" s="144">
        <f t="shared" si="5"/>
        <v>0</v>
      </c>
      <c r="AB44" s="146"/>
      <c r="AC44" s="144"/>
      <c r="AD44" s="135"/>
      <c r="AE44" s="143"/>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6"/>
      <c r="BB44" s="144"/>
    </row>
    <row r="45" spans="1:54" s="18" customFormat="1" ht="38.25" hidden="1" customHeight="1" outlineLevel="1">
      <c r="A45" s="140" t="s">
        <v>30</v>
      </c>
      <c r="B45" s="141" t="s">
        <v>443</v>
      </c>
      <c r="C45" s="142"/>
      <c r="D45" s="142"/>
      <c r="E45" s="134">
        <f t="shared" si="1"/>
        <v>0</v>
      </c>
      <c r="F45" s="147"/>
      <c r="G45" s="144"/>
      <c r="H45" s="144"/>
      <c r="I45" s="144"/>
      <c r="J45" s="144"/>
      <c r="K45" s="144"/>
      <c r="L45" s="144"/>
      <c r="M45" s="144"/>
      <c r="N45" s="144"/>
      <c r="O45" s="144"/>
      <c r="P45" s="144"/>
      <c r="Q45" s="144"/>
      <c r="R45" s="144"/>
      <c r="S45" s="144"/>
      <c r="T45" s="144"/>
      <c r="U45" s="144"/>
      <c r="V45" s="144"/>
      <c r="W45" s="144"/>
      <c r="X45" s="144"/>
      <c r="Y45" s="144"/>
      <c r="Z45" s="144"/>
      <c r="AA45" s="144">
        <f t="shared" si="5"/>
        <v>0</v>
      </c>
      <c r="AB45" s="146"/>
      <c r="AC45" s="144"/>
      <c r="AD45" s="135"/>
      <c r="AE45" s="147"/>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6"/>
      <c r="BB45" s="144"/>
    </row>
    <row r="46" spans="1:54" s="18" customFormat="1" ht="25.5" hidden="1" customHeight="1" outlineLevel="1">
      <c r="A46" s="140" t="s">
        <v>30</v>
      </c>
      <c r="B46" s="141" t="s">
        <v>444</v>
      </c>
      <c r="C46" s="142"/>
      <c r="D46" s="142"/>
      <c r="E46" s="134">
        <f t="shared" si="1"/>
        <v>0</v>
      </c>
      <c r="F46" s="143"/>
      <c r="G46" s="144"/>
      <c r="H46" s="144"/>
      <c r="I46" s="144"/>
      <c r="J46" s="144"/>
      <c r="K46" s="144"/>
      <c r="L46" s="144"/>
      <c r="M46" s="144"/>
      <c r="N46" s="144"/>
      <c r="O46" s="144"/>
      <c r="P46" s="144"/>
      <c r="Q46" s="144"/>
      <c r="R46" s="144"/>
      <c r="S46" s="144"/>
      <c r="T46" s="144"/>
      <c r="U46" s="144"/>
      <c r="V46" s="144"/>
      <c r="W46" s="144"/>
      <c r="X46" s="144"/>
      <c r="Y46" s="144"/>
      <c r="Z46" s="144"/>
      <c r="AA46" s="144">
        <f t="shared" si="5"/>
        <v>0</v>
      </c>
      <c r="AB46" s="146"/>
      <c r="AC46" s="144"/>
      <c r="AD46" s="135"/>
      <c r="AE46" s="143"/>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6"/>
      <c r="BB46" s="144"/>
    </row>
    <row r="47" spans="1:54" s="18" customFormat="1" ht="25.5" hidden="1" customHeight="1" outlineLevel="1">
      <c r="A47" s="140" t="s">
        <v>30</v>
      </c>
      <c r="B47" s="141" t="s">
        <v>445</v>
      </c>
      <c r="C47" s="142"/>
      <c r="D47" s="142"/>
      <c r="E47" s="134">
        <f t="shared" si="1"/>
        <v>0</v>
      </c>
      <c r="F47" s="143"/>
      <c r="G47" s="144"/>
      <c r="H47" s="144"/>
      <c r="I47" s="144"/>
      <c r="J47" s="144"/>
      <c r="K47" s="144"/>
      <c r="L47" s="144"/>
      <c r="M47" s="144"/>
      <c r="N47" s="144"/>
      <c r="O47" s="144"/>
      <c r="P47" s="144"/>
      <c r="Q47" s="144"/>
      <c r="R47" s="144"/>
      <c r="S47" s="144"/>
      <c r="T47" s="144"/>
      <c r="U47" s="144"/>
      <c r="V47" s="144"/>
      <c r="W47" s="144"/>
      <c r="X47" s="144"/>
      <c r="Y47" s="144"/>
      <c r="Z47" s="144"/>
      <c r="AA47" s="144">
        <f t="shared" si="5"/>
        <v>0</v>
      </c>
      <c r="AB47" s="148"/>
      <c r="AC47" s="144"/>
      <c r="AD47" s="135"/>
      <c r="AE47" s="143"/>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8"/>
      <c r="BB47" s="144"/>
    </row>
    <row r="48" spans="1:54" s="18" customFormat="1" ht="38.25" collapsed="1">
      <c r="A48" s="140">
        <v>10</v>
      </c>
      <c r="B48" s="141" t="s">
        <v>446</v>
      </c>
      <c r="C48" s="142"/>
      <c r="D48" s="142"/>
      <c r="E48" s="134">
        <f t="shared" si="1"/>
        <v>0</v>
      </c>
      <c r="F48" s="143">
        <f t="shared" ref="F48" si="13">SUBTOTAL(9,F49:F51)</f>
        <v>0</v>
      </c>
      <c r="G48" s="144"/>
      <c r="H48" s="144"/>
      <c r="I48" s="144"/>
      <c r="J48" s="144"/>
      <c r="K48" s="144"/>
      <c r="L48" s="144"/>
      <c r="M48" s="144"/>
      <c r="N48" s="144"/>
      <c r="O48" s="144"/>
      <c r="P48" s="144"/>
      <c r="Q48" s="144"/>
      <c r="R48" s="144"/>
      <c r="S48" s="144"/>
      <c r="T48" s="144"/>
      <c r="U48" s="144"/>
      <c r="V48" s="144"/>
      <c r="W48" s="144"/>
      <c r="X48" s="144"/>
      <c r="Y48" s="144"/>
      <c r="Z48" s="144"/>
      <c r="AA48" s="144">
        <f t="shared" si="5"/>
        <v>0</v>
      </c>
      <c r="AB48" s="145"/>
      <c r="AC48" s="144"/>
      <c r="AD48" s="135"/>
      <c r="AE48" s="143"/>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5"/>
      <c r="BB48" s="144"/>
    </row>
    <row r="49" spans="1:54" s="18" customFormat="1" ht="51" hidden="1" customHeight="1" outlineLevel="1">
      <c r="A49" s="140" t="s">
        <v>30</v>
      </c>
      <c r="B49" s="141" t="s">
        <v>447</v>
      </c>
      <c r="C49" s="142"/>
      <c r="D49" s="142"/>
      <c r="E49" s="134">
        <f t="shared" si="1"/>
        <v>0</v>
      </c>
      <c r="F49" s="143"/>
      <c r="G49" s="144"/>
      <c r="H49" s="144"/>
      <c r="I49" s="144"/>
      <c r="J49" s="144"/>
      <c r="K49" s="144"/>
      <c r="L49" s="144"/>
      <c r="M49" s="144"/>
      <c r="N49" s="144"/>
      <c r="O49" s="144"/>
      <c r="P49" s="144"/>
      <c r="Q49" s="144"/>
      <c r="R49" s="144"/>
      <c r="S49" s="144"/>
      <c r="T49" s="144"/>
      <c r="U49" s="144"/>
      <c r="V49" s="144"/>
      <c r="W49" s="144"/>
      <c r="X49" s="144"/>
      <c r="Y49" s="144"/>
      <c r="Z49" s="144"/>
      <c r="AA49" s="144">
        <f t="shared" si="5"/>
        <v>0</v>
      </c>
      <c r="AB49" s="146"/>
      <c r="AC49" s="144"/>
      <c r="AD49" s="135"/>
      <c r="AE49" s="143"/>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6"/>
      <c r="BB49" s="144"/>
    </row>
    <row r="50" spans="1:54" s="18" customFormat="1" ht="25.5" hidden="1" customHeight="1" outlineLevel="1">
      <c r="A50" s="140" t="s">
        <v>30</v>
      </c>
      <c r="B50" s="141" t="s">
        <v>448</v>
      </c>
      <c r="C50" s="142"/>
      <c r="D50" s="142"/>
      <c r="E50" s="134">
        <f t="shared" si="1"/>
        <v>0</v>
      </c>
      <c r="F50" s="143"/>
      <c r="G50" s="144"/>
      <c r="H50" s="144"/>
      <c r="I50" s="144"/>
      <c r="J50" s="144"/>
      <c r="K50" s="144"/>
      <c r="L50" s="144"/>
      <c r="M50" s="144"/>
      <c r="N50" s="144"/>
      <c r="O50" s="144"/>
      <c r="P50" s="144"/>
      <c r="Q50" s="144"/>
      <c r="R50" s="144"/>
      <c r="S50" s="144"/>
      <c r="T50" s="144"/>
      <c r="U50" s="144"/>
      <c r="V50" s="144"/>
      <c r="W50" s="144"/>
      <c r="X50" s="144"/>
      <c r="Y50" s="144"/>
      <c r="Z50" s="144"/>
      <c r="AA50" s="144">
        <f t="shared" si="5"/>
        <v>0</v>
      </c>
      <c r="AB50" s="146"/>
      <c r="AC50" s="144"/>
      <c r="AD50" s="135"/>
      <c r="AE50" s="143"/>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6"/>
      <c r="BB50" s="144"/>
    </row>
    <row r="51" spans="1:54" s="18" customFormat="1" ht="25.5" hidden="1" customHeight="1" outlineLevel="1">
      <c r="A51" s="140" t="s">
        <v>30</v>
      </c>
      <c r="B51" s="141" t="s">
        <v>449</v>
      </c>
      <c r="C51" s="142"/>
      <c r="D51" s="142"/>
      <c r="E51" s="134">
        <f t="shared" si="1"/>
        <v>0</v>
      </c>
      <c r="F51" s="143"/>
      <c r="G51" s="144"/>
      <c r="H51" s="144"/>
      <c r="I51" s="144"/>
      <c r="J51" s="144"/>
      <c r="K51" s="144"/>
      <c r="L51" s="144"/>
      <c r="M51" s="144"/>
      <c r="N51" s="144"/>
      <c r="O51" s="144"/>
      <c r="P51" s="144"/>
      <c r="Q51" s="144"/>
      <c r="R51" s="144"/>
      <c r="S51" s="144"/>
      <c r="T51" s="144"/>
      <c r="U51" s="144"/>
      <c r="V51" s="144"/>
      <c r="W51" s="144"/>
      <c r="X51" s="144"/>
      <c r="Y51" s="144"/>
      <c r="Z51" s="144"/>
      <c r="AA51" s="144">
        <f t="shared" si="5"/>
        <v>0</v>
      </c>
      <c r="AB51" s="146"/>
      <c r="AC51" s="144"/>
      <c r="AD51" s="135"/>
      <c r="AE51" s="143"/>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6"/>
      <c r="BB51" s="144"/>
    </row>
    <row r="52" spans="1:54" s="18" customFormat="1" ht="25.5" collapsed="1">
      <c r="A52" s="140">
        <v>11</v>
      </c>
      <c r="B52" s="141" t="s">
        <v>450</v>
      </c>
      <c r="C52" s="142"/>
      <c r="D52" s="142"/>
      <c r="E52" s="134">
        <f t="shared" si="1"/>
        <v>0</v>
      </c>
      <c r="F52" s="143">
        <f t="shared" ref="F52" si="14">SUBTOTAL(9,F53:F56)</f>
        <v>0</v>
      </c>
      <c r="G52" s="144"/>
      <c r="H52" s="144"/>
      <c r="I52" s="144"/>
      <c r="J52" s="144"/>
      <c r="K52" s="144"/>
      <c r="L52" s="144"/>
      <c r="M52" s="144"/>
      <c r="N52" s="144"/>
      <c r="O52" s="144"/>
      <c r="P52" s="144"/>
      <c r="Q52" s="144"/>
      <c r="R52" s="144"/>
      <c r="S52" s="144"/>
      <c r="T52" s="144"/>
      <c r="U52" s="144"/>
      <c r="V52" s="144"/>
      <c r="W52" s="144"/>
      <c r="X52" s="144"/>
      <c r="Y52" s="144"/>
      <c r="Z52" s="144"/>
      <c r="AA52" s="144">
        <f t="shared" si="5"/>
        <v>0</v>
      </c>
      <c r="AB52" s="145"/>
      <c r="AC52" s="144"/>
      <c r="AD52" s="135"/>
      <c r="AE52" s="143"/>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5"/>
      <c r="BB52" s="144"/>
    </row>
    <row r="53" spans="1:54" s="18" customFormat="1" ht="38.25" hidden="1" customHeight="1" outlineLevel="1">
      <c r="A53" s="140" t="s">
        <v>30</v>
      </c>
      <c r="B53" s="141" t="s">
        <v>451</v>
      </c>
      <c r="C53" s="142"/>
      <c r="D53" s="142"/>
      <c r="E53" s="134">
        <f t="shared" si="1"/>
        <v>0</v>
      </c>
      <c r="F53" s="143"/>
      <c r="G53" s="144"/>
      <c r="H53" s="144"/>
      <c r="I53" s="144"/>
      <c r="J53" s="144"/>
      <c r="K53" s="144"/>
      <c r="L53" s="144"/>
      <c r="M53" s="144"/>
      <c r="N53" s="144"/>
      <c r="O53" s="144"/>
      <c r="P53" s="144"/>
      <c r="Q53" s="144"/>
      <c r="R53" s="144"/>
      <c r="S53" s="144"/>
      <c r="T53" s="144"/>
      <c r="U53" s="144"/>
      <c r="V53" s="144"/>
      <c r="W53" s="144"/>
      <c r="X53" s="144"/>
      <c r="Y53" s="144"/>
      <c r="Z53" s="144"/>
      <c r="AA53" s="144">
        <f t="shared" si="5"/>
        <v>0</v>
      </c>
      <c r="AB53" s="146"/>
      <c r="AC53" s="144"/>
      <c r="AD53" s="135"/>
      <c r="AE53" s="143"/>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6"/>
      <c r="BB53" s="144"/>
    </row>
    <row r="54" spans="1:54" s="18" customFormat="1" ht="25.5" hidden="1" customHeight="1" outlineLevel="1">
      <c r="A54" s="140" t="s">
        <v>30</v>
      </c>
      <c r="B54" s="141" t="s">
        <v>452</v>
      </c>
      <c r="C54" s="142"/>
      <c r="D54" s="142"/>
      <c r="E54" s="134">
        <f t="shared" si="1"/>
        <v>0</v>
      </c>
      <c r="F54" s="143"/>
      <c r="G54" s="144"/>
      <c r="H54" s="144"/>
      <c r="I54" s="144"/>
      <c r="J54" s="144"/>
      <c r="K54" s="144"/>
      <c r="L54" s="144"/>
      <c r="M54" s="144"/>
      <c r="N54" s="144"/>
      <c r="O54" s="144"/>
      <c r="P54" s="144"/>
      <c r="Q54" s="144"/>
      <c r="R54" s="144"/>
      <c r="S54" s="144"/>
      <c r="T54" s="144"/>
      <c r="U54" s="144"/>
      <c r="V54" s="144"/>
      <c r="W54" s="144"/>
      <c r="X54" s="144"/>
      <c r="Y54" s="144"/>
      <c r="Z54" s="144"/>
      <c r="AA54" s="144">
        <f t="shared" si="5"/>
        <v>0</v>
      </c>
      <c r="AB54" s="146"/>
      <c r="AC54" s="144"/>
      <c r="AD54" s="135"/>
      <c r="AE54" s="143"/>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6"/>
      <c r="BB54" s="144"/>
    </row>
    <row r="55" spans="1:54" s="18" customFormat="1" ht="25.5" hidden="1" customHeight="1" outlineLevel="1">
      <c r="A55" s="140" t="s">
        <v>30</v>
      </c>
      <c r="B55" s="141" t="s">
        <v>453</v>
      </c>
      <c r="C55" s="142"/>
      <c r="D55" s="142"/>
      <c r="E55" s="134">
        <f t="shared" si="1"/>
        <v>0</v>
      </c>
      <c r="F55" s="143"/>
      <c r="G55" s="144"/>
      <c r="H55" s="144"/>
      <c r="I55" s="144"/>
      <c r="J55" s="144"/>
      <c r="K55" s="144"/>
      <c r="L55" s="144"/>
      <c r="M55" s="144"/>
      <c r="N55" s="144"/>
      <c r="O55" s="144"/>
      <c r="P55" s="144"/>
      <c r="Q55" s="144"/>
      <c r="R55" s="144"/>
      <c r="S55" s="144"/>
      <c r="T55" s="144"/>
      <c r="U55" s="144"/>
      <c r="V55" s="144"/>
      <c r="W55" s="144"/>
      <c r="X55" s="144"/>
      <c r="Y55" s="144"/>
      <c r="Z55" s="144"/>
      <c r="AA55" s="144">
        <f t="shared" si="5"/>
        <v>0</v>
      </c>
      <c r="AB55" s="146"/>
      <c r="AC55" s="144"/>
      <c r="AD55" s="135"/>
      <c r="AE55" s="143"/>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6"/>
      <c r="BB55" s="144"/>
    </row>
    <row r="56" spans="1:54" s="18" customFormat="1" ht="25.5" hidden="1" customHeight="1" outlineLevel="1">
      <c r="A56" s="140" t="s">
        <v>30</v>
      </c>
      <c r="B56" s="141" t="s">
        <v>454</v>
      </c>
      <c r="C56" s="142"/>
      <c r="D56" s="142"/>
      <c r="E56" s="134">
        <f t="shared" si="1"/>
        <v>0</v>
      </c>
      <c r="F56" s="143"/>
      <c r="G56" s="144"/>
      <c r="H56" s="144"/>
      <c r="I56" s="144"/>
      <c r="J56" s="144"/>
      <c r="K56" s="144"/>
      <c r="L56" s="144"/>
      <c r="M56" s="144"/>
      <c r="N56" s="144"/>
      <c r="O56" s="144"/>
      <c r="P56" s="144"/>
      <c r="Q56" s="144"/>
      <c r="R56" s="144"/>
      <c r="S56" s="144"/>
      <c r="T56" s="144"/>
      <c r="U56" s="144"/>
      <c r="V56" s="144"/>
      <c r="W56" s="144"/>
      <c r="X56" s="144"/>
      <c r="Y56" s="144"/>
      <c r="Z56" s="144"/>
      <c r="AA56" s="144">
        <f t="shared" si="5"/>
        <v>0</v>
      </c>
      <c r="AB56" s="146"/>
      <c r="AC56" s="144"/>
      <c r="AD56" s="135"/>
      <c r="AE56" s="143"/>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6"/>
      <c r="BB56" s="144"/>
    </row>
    <row r="57" spans="1:54" s="18" customFormat="1" ht="25.5" collapsed="1">
      <c r="A57" s="140">
        <v>12</v>
      </c>
      <c r="B57" s="141" t="s">
        <v>455</v>
      </c>
      <c r="C57" s="142"/>
      <c r="D57" s="142"/>
      <c r="E57" s="134">
        <f t="shared" si="1"/>
        <v>0</v>
      </c>
      <c r="F57" s="143">
        <f t="shared" ref="F57" si="15">SUBTOTAL(9,F58)</f>
        <v>0</v>
      </c>
      <c r="G57" s="144"/>
      <c r="H57" s="144"/>
      <c r="I57" s="144"/>
      <c r="J57" s="144"/>
      <c r="K57" s="144"/>
      <c r="L57" s="144"/>
      <c r="M57" s="144"/>
      <c r="N57" s="144"/>
      <c r="O57" s="144"/>
      <c r="P57" s="144"/>
      <c r="Q57" s="144"/>
      <c r="R57" s="144"/>
      <c r="S57" s="144"/>
      <c r="T57" s="144"/>
      <c r="U57" s="144"/>
      <c r="V57" s="144"/>
      <c r="W57" s="144"/>
      <c r="X57" s="144"/>
      <c r="Y57" s="144"/>
      <c r="Z57" s="144"/>
      <c r="AA57" s="144">
        <f t="shared" si="5"/>
        <v>0</v>
      </c>
      <c r="AB57" s="145"/>
      <c r="AC57" s="144"/>
      <c r="AD57" s="135"/>
      <c r="AE57" s="143"/>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5"/>
      <c r="BB57" s="144"/>
    </row>
    <row r="58" spans="1:54" s="18" customFormat="1" ht="38.25" hidden="1" customHeight="1" outlineLevel="1">
      <c r="A58" s="140" t="s">
        <v>30</v>
      </c>
      <c r="B58" s="141" t="s">
        <v>456</v>
      </c>
      <c r="C58" s="142"/>
      <c r="D58" s="142"/>
      <c r="E58" s="134">
        <f t="shared" si="1"/>
        <v>0</v>
      </c>
      <c r="F58" s="143"/>
      <c r="G58" s="144"/>
      <c r="H58" s="144"/>
      <c r="I58" s="144"/>
      <c r="J58" s="144"/>
      <c r="K58" s="144"/>
      <c r="L58" s="144"/>
      <c r="M58" s="144"/>
      <c r="N58" s="144"/>
      <c r="O58" s="144"/>
      <c r="P58" s="144"/>
      <c r="Q58" s="144"/>
      <c r="R58" s="144"/>
      <c r="S58" s="144"/>
      <c r="T58" s="144"/>
      <c r="U58" s="144"/>
      <c r="V58" s="144"/>
      <c r="W58" s="144"/>
      <c r="X58" s="144"/>
      <c r="Y58" s="144"/>
      <c r="Z58" s="144"/>
      <c r="AA58" s="144">
        <f t="shared" si="5"/>
        <v>0</v>
      </c>
      <c r="AB58" s="146"/>
      <c r="AC58" s="144"/>
      <c r="AD58" s="135"/>
      <c r="AE58" s="143"/>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6"/>
      <c r="BB58" s="144"/>
    </row>
    <row r="59" spans="1:54" s="18" customFormat="1" ht="15" collapsed="1">
      <c r="A59" s="140">
        <v>13</v>
      </c>
      <c r="B59" s="141" t="s">
        <v>253</v>
      </c>
      <c r="C59" s="142"/>
      <c r="D59" s="142"/>
      <c r="E59" s="134">
        <f t="shared" si="1"/>
        <v>0</v>
      </c>
      <c r="F59" s="143">
        <f>SUBTOTAL(9,F60:F66)</f>
        <v>0</v>
      </c>
      <c r="G59" s="144"/>
      <c r="H59" s="144"/>
      <c r="I59" s="144"/>
      <c r="J59" s="144"/>
      <c r="K59" s="144"/>
      <c r="L59" s="144"/>
      <c r="M59" s="144"/>
      <c r="N59" s="144"/>
      <c r="O59" s="144"/>
      <c r="P59" s="144"/>
      <c r="Q59" s="144"/>
      <c r="R59" s="144"/>
      <c r="S59" s="144"/>
      <c r="T59" s="144"/>
      <c r="U59" s="144"/>
      <c r="V59" s="144"/>
      <c r="W59" s="144"/>
      <c r="X59" s="144"/>
      <c r="Y59" s="144"/>
      <c r="Z59" s="144"/>
      <c r="AA59" s="144">
        <f t="shared" si="5"/>
        <v>0</v>
      </c>
      <c r="AB59" s="145"/>
      <c r="AC59" s="144"/>
      <c r="AD59" s="135"/>
      <c r="AE59" s="143"/>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5"/>
      <c r="BB59" s="144"/>
    </row>
    <row r="60" spans="1:54" s="18" customFormat="1" ht="30" hidden="1" customHeight="1" outlineLevel="1">
      <c r="A60" s="140" t="s">
        <v>30</v>
      </c>
      <c r="B60" s="141" t="s">
        <v>457</v>
      </c>
      <c r="C60" s="142"/>
      <c r="D60" s="142"/>
      <c r="E60" s="134">
        <f t="shared" si="1"/>
        <v>0</v>
      </c>
      <c r="F60" s="143"/>
      <c r="G60" s="144"/>
      <c r="H60" s="144"/>
      <c r="I60" s="144"/>
      <c r="J60" s="144"/>
      <c r="K60" s="144"/>
      <c r="L60" s="144"/>
      <c r="M60" s="144"/>
      <c r="N60" s="144"/>
      <c r="O60" s="144"/>
      <c r="P60" s="144"/>
      <c r="Q60" s="144"/>
      <c r="R60" s="144"/>
      <c r="S60" s="144"/>
      <c r="T60" s="144"/>
      <c r="U60" s="144"/>
      <c r="V60" s="144"/>
      <c r="W60" s="144"/>
      <c r="X60" s="144"/>
      <c r="Y60" s="144"/>
      <c r="Z60" s="144"/>
      <c r="AA60" s="144">
        <f t="shared" si="5"/>
        <v>0</v>
      </c>
      <c r="AB60" s="146"/>
      <c r="AC60" s="144"/>
      <c r="AD60" s="135"/>
      <c r="AE60" s="143"/>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6"/>
      <c r="BB60" s="144"/>
    </row>
    <row r="61" spans="1:54" s="18" customFormat="1" ht="25.5" hidden="1" customHeight="1" outlineLevel="1">
      <c r="A61" s="140" t="s">
        <v>30</v>
      </c>
      <c r="B61" s="141" t="s">
        <v>458</v>
      </c>
      <c r="C61" s="142"/>
      <c r="D61" s="142"/>
      <c r="E61" s="134">
        <f t="shared" si="1"/>
        <v>0</v>
      </c>
      <c r="F61" s="143"/>
      <c r="G61" s="144"/>
      <c r="H61" s="144"/>
      <c r="I61" s="144"/>
      <c r="J61" s="144"/>
      <c r="K61" s="144"/>
      <c r="L61" s="144"/>
      <c r="M61" s="144"/>
      <c r="N61" s="144"/>
      <c r="O61" s="144"/>
      <c r="P61" s="144"/>
      <c r="Q61" s="144"/>
      <c r="R61" s="144"/>
      <c r="S61" s="144"/>
      <c r="T61" s="144"/>
      <c r="U61" s="144"/>
      <c r="V61" s="144"/>
      <c r="W61" s="144"/>
      <c r="X61" s="144"/>
      <c r="Y61" s="144"/>
      <c r="Z61" s="144"/>
      <c r="AA61" s="144">
        <f t="shared" si="5"/>
        <v>0</v>
      </c>
      <c r="AB61" s="146"/>
      <c r="AC61" s="144"/>
      <c r="AD61" s="135"/>
      <c r="AE61" s="143"/>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6"/>
      <c r="BB61" s="144"/>
    </row>
    <row r="62" spans="1:54" s="18" customFormat="1" ht="15" hidden="1" customHeight="1" outlineLevel="1">
      <c r="A62" s="140" t="s">
        <v>30</v>
      </c>
      <c r="B62" s="141" t="s">
        <v>459</v>
      </c>
      <c r="C62" s="142"/>
      <c r="D62" s="142"/>
      <c r="E62" s="134">
        <f t="shared" si="1"/>
        <v>0</v>
      </c>
      <c r="F62" s="143"/>
      <c r="G62" s="144"/>
      <c r="H62" s="144"/>
      <c r="I62" s="144"/>
      <c r="J62" s="144"/>
      <c r="K62" s="144"/>
      <c r="L62" s="144"/>
      <c r="M62" s="144"/>
      <c r="N62" s="144"/>
      <c r="O62" s="144"/>
      <c r="P62" s="144"/>
      <c r="Q62" s="144"/>
      <c r="R62" s="144"/>
      <c r="S62" s="144"/>
      <c r="T62" s="144"/>
      <c r="U62" s="144"/>
      <c r="V62" s="144"/>
      <c r="W62" s="144"/>
      <c r="X62" s="144"/>
      <c r="Y62" s="144"/>
      <c r="Z62" s="144"/>
      <c r="AA62" s="144">
        <f t="shared" si="5"/>
        <v>0</v>
      </c>
      <c r="AB62" s="146"/>
      <c r="AC62" s="144"/>
      <c r="AD62" s="135"/>
      <c r="AE62" s="143"/>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6"/>
      <c r="BB62" s="144"/>
    </row>
    <row r="63" spans="1:54" s="18" customFormat="1" ht="15" hidden="1" customHeight="1" outlineLevel="1">
      <c r="A63" s="140" t="s">
        <v>30</v>
      </c>
      <c r="B63" s="141" t="s">
        <v>460</v>
      </c>
      <c r="C63" s="142"/>
      <c r="D63" s="142"/>
      <c r="E63" s="134">
        <f t="shared" si="1"/>
        <v>0</v>
      </c>
      <c r="F63" s="143"/>
      <c r="G63" s="144"/>
      <c r="H63" s="144"/>
      <c r="I63" s="144"/>
      <c r="J63" s="144"/>
      <c r="K63" s="144"/>
      <c r="L63" s="144"/>
      <c r="M63" s="144"/>
      <c r="N63" s="144"/>
      <c r="O63" s="144"/>
      <c r="P63" s="144"/>
      <c r="Q63" s="144"/>
      <c r="R63" s="144"/>
      <c r="S63" s="144"/>
      <c r="T63" s="144"/>
      <c r="U63" s="144"/>
      <c r="V63" s="144"/>
      <c r="W63" s="144"/>
      <c r="X63" s="144"/>
      <c r="Y63" s="144"/>
      <c r="Z63" s="144"/>
      <c r="AA63" s="144">
        <f t="shared" si="5"/>
        <v>0</v>
      </c>
      <c r="AB63" s="146"/>
      <c r="AC63" s="144"/>
      <c r="AD63" s="135"/>
      <c r="AE63" s="143"/>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6"/>
      <c r="BB63" s="144"/>
    </row>
    <row r="64" spans="1:54" s="18" customFormat="1" ht="15" hidden="1" customHeight="1" outlineLevel="1">
      <c r="A64" s="140" t="s">
        <v>30</v>
      </c>
      <c r="B64" s="141" t="s">
        <v>461</v>
      </c>
      <c r="C64" s="142"/>
      <c r="D64" s="142"/>
      <c r="E64" s="134">
        <f t="shared" si="1"/>
        <v>0</v>
      </c>
      <c r="F64" s="143"/>
      <c r="G64" s="144"/>
      <c r="H64" s="144"/>
      <c r="I64" s="144"/>
      <c r="J64" s="144"/>
      <c r="K64" s="144"/>
      <c r="L64" s="144"/>
      <c r="M64" s="144"/>
      <c r="N64" s="144"/>
      <c r="O64" s="144"/>
      <c r="P64" s="144"/>
      <c r="Q64" s="144"/>
      <c r="R64" s="144"/>
      <c r="S64" s="144"/>
      <c r="T64" s="144"/>
      <c r="U64" s="144"/>
      <c r="V64" s="144"/>
      <c r="W64" s="144"/>
      <c r="X64" s="144"/>
      <c r="Y64" s="144"/>
      <c r="Z64" s="144"/>
      <c r="AA64" s="144">
        <f t="shared" si="5"/>
        <v>0</v>
      </c>
      <c r="AB64" s="146"/>
      <c r="AC64" s="144"/>
      <c r="AD64" s="135"/>
      <c r="AE64" s="143"/>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6"/>
      <c r="BB64" s="144"/>
    </row>
    <row r="65" spans="1:54" s="18" customFormat="1" ht="15" hidden="1" customHeight="1" outlineLevel="1">
      <c r="A65" s="149" t="s">
        <v>30</v>
      </c>
      <c r="B65" s="141" t="s">
        <v>324</v>
      </c>
      <c r="C65" s="142"/>
      <c r="D65" s="142"/>
      <c r="E65" s="134">
        <f t="shared" si="1"/>
        <v>0</v>
      </c>
      <c r="F65" s="143"/>
      <c r="G65" s="144"/>
      <c r="H65" s="144"/>
      <c r="I65" s="144"/>
      <c r="J65" s="144"/>
      <c r="K65" s="144"/>
      <c r="L65" s="144"/>
      <c r="M65" s="144"/>
      <c r="N65" s="144"/>
      <c r="O65" s="144"/>
      <c r="P65" s="144"/>
      <c r="Q65" s="144"/>
      <c r="R65" s="144"/>
      <c r="S65" s="144"/>
      <c r="T65" s="144"/>
      <c r="U65" s="144"/>
      <c r="V65" s="144"/>
      <c r="W65" s="144"/>
      <c r="X65" s="144"/>
      <c r="Y65" s="144"/>
      <c r="Z65" s="144"/>
      <c r="AA65" s="144">
        <f>AB65+AC65</f>
        <v>0</v>
      </c>
      <c r="AB65" s="145"/>
      <c r="AC65" s="144"/>
      <c r="AD65" s="135"/>
      <c r="AE65" s="143"/>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5"/>
      <c r="BB65" s="144"/>
    </row>
    <row r="66" spans="1:54" s="18" customFormat="1" ht="25.5" hidden="1" customHeight="1" outlineLevel="1">
      <c r="A66" s="140"/>
      <c r="B66" s="141" t="s">
        <v>462</v>
      </c>
      <c r="C66" s="142"/>
      <c r="D66" s="142"/>
      <c r="E66" s="134">
        <f t="shared" si="1"/>
        <v>0</v>
      </c>
      <c r="F66" s="143"/>
      <c r="G66" s="144"/>
      <c r="H66" s="144"/>
      <c r="I66" s="144"/>
      <c r="J66" s="144"/>
      <c r="K66" s="144"/>
      <c r="L66" s="144"/>
      <c r="M66" s="144"/>
      <c r="N66" s="144"/>
      <c r="O66" s="144"/>
      <c r="P66" s="144"/>
      <c r="Q66" s="144"/>
      <c r="R66" s="144"/>
      <c r="S66" s="144"/>
      <c r="T66" s="144"/>
      <c r="U66" s="144"/>
      <c r="V66" s="144"/>
      <c r="W66" s="144"/>
      <c r="X66" s="144"/>
      <c r="Y66" s="144"/>
      <c r="Z66" s="144"/>
      <c r="AA66" s="144">
        <f>AB66+AC66</f>
        <v>0</v>
      </c>
      <c r="AB66" s="146"/>
      <c r="AC66" s="144"/>
      <c r="AD66" s="135"/>
      <c r="AE66" s="143"/>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6"/>
      <c r="BB66" s="144"/>
    </row>
    <row r="67" spans="1:54" s="18" customFormat="1" ht="15" collapsed="1">
      <c r="A67" s="140">
        <v>14</v>
      </c>
      <c r="B67" s="141" t="s">
        <v>463</v>
      </c>
      <c r="C67" s="142"/>
      <c r="D67" s="142"/>
      <c r="E67" s="134">
        <f t="shared" si="1"/>
        <v>0</v>
      </c>
      <c r="F67" s="143"/>
      <c r="G67" s="144"/>
      <c r="H67" s="144"/>
      <c r="I67" s="144"/>
      <c r="J67" s="144"/>
      <c r="K67" s="144"/>
      <c r="L67" s="144"/>
      <c r="M67" s="144"/>
      <c r="N67" s="144"/>
      <c r="O67" s="144"/>
      <c r="P67" s="144"/>
      <c r="Q67" s="144"/>
      <c r="R67" s="144"/>
      <c r="S67" s="144"/>
      <c r="T67" s="144"/>
      <c r="U67" s="144"/>
      <c r="V67" s="144"/>
      <c r="W67" s="144"/>
      <c r="X67" s="144"/>
      <c r="Y67" s="144"/>
      <c r="Z67" s="144"/>
      <c r="AA67" s="144">
        <f t="shared" si="5"/>
        <v>0</v>
      </c>
      <c r="AB67" s="145"/>
      <c r="AC67" s="144"/>
      <c r="AD67" s="135"/>
      <c r="AE67" s="143"/>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5"/>
      <c r="BB67" s="144"/>
    </row>
    <row r="68" spans="1:54" s="18" customFormat="1" ht="41.25" hidden="1" customHeight="1" outlineLevel="1">
      <c r="A68" s="140" t="s">
        <v>30</v>
      </c>
      <c r="B68" s="141" t="s">
        <v>464</v>
      </c>
      <c r="C68" s="142"/>
      <c r="D68" s="142"/>
      <c r="E68" s="134">
        <f t="shared" si="1"/>
        <v>0</v>
      </c>
      <c r="F68" s="143"/>
      <c r="G68" s="144"/>
      <c r="H68" s="144"/>
      <c r="I68" s="144"/>
      <c r="J68" s="144"/>
      <c r="K68" s="144"/>
      <c r="L68" s="144"/>
      <c r="M68" s="144"/>
      <c r="N68" s="144"/>
      <c r="O68" s="144"/>
      <c r="P68" s="144"/>
      <c r="Q68" s="144"/>
      <c r="R68" s="144"/>
      <c r="S68" s="144"/>
      <c r="T68" s="144"/>
      <c r="U68" s="144"/>
      <c r="V68" s="144"/>
      <c r="W68" s="144"/>
      <c r="X68" s="144"/>
      <c r="Y68" s="144"/>
      <c r="Z68" s="144"/>
      <c r="AA68" s="144">
        <f t="shared" si="5"/>
        <v>0</v>
      </c>
      <c r="AB68" s="146"/>
      <c r="AC68" s="144"/>
      <c r="AD68" s="135"/>
      <c r="AE68" s="143"/>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6"/>
      <c r="BB68" s="144"/>
    </row>
    <row r="69" spans="1:54" s="18" customFormat="1" ht="38.25" hidden="1" customHeight="1" outlineLevel="1">
      <c r="A69" s="140" t="s">
        <v>30</v>
      </c>
      <c r="B69" s="141" t="s">
        <v>465</v>
      </c>
      <c r="C69" s="142"/>
      <c r="D69" s="142"/>
      <c r="E69" s="134">
        <f t="shared" si="1"/>
        <v>0</v>
      </c>
      <c r="F69" s="143"/>
      <c r="G69" s="144"/>
      <c r="H69" s="144"/>
      <c r="I69" s="144"/>
      <c r="J69" s="144"/>
      <c r="K69" s="144"/>
      <c r="L69" s="144"/>
      <c r="M69" s="144"/>
      <c r="N69" s="144"/>
      <c r="O69" s="144"/>
      <c r="P69" s="144"/>
      <c r="Q69" s="144"/>
      <c r="R69" s="144"/>
      <c r="S69" s="144"/>
      <c r="T69" s="144"/>
      <c r="U69" s="144"/>
      <c r="V69" s="144"/>
      <c r="W69" s="144"/>
      <c r="X69" s="144"/>
      <c r="Y69" s="144"/>
      <c r="Z69" s="144"/>
      <c r="AA69" s="144">
        <f t="shared" si="5"/>
        <v>0</v>
      </c>
      <c r="AB69" s="146"/>
      <c r="AC69" s="144"/>
      <c r="AD69" s="135"/>
      <c r="AE69" s="143"/>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6"/>
      <c r="BB69" s="144"/>
    </row>
    <row r="70" spans="1:54" s="18" customFormat="1" ht="15" hidden="1" customHeight="1" outlineLevel="1">
      <c r="A70" s="140" t="s">
        <v>30</v>
      </c>
      <c r="B70" s="141" t="s">
        <v>466</v>
      </c>
      <c r="C70" s="142"/>
      <c r="D70" s="142"/>
      <c r="E70" s="134">
        <f t="shared" si="1"/>
        <v>0</v>
      </c>
      <c r="F70" s="143"/>
      <c r="G70" s="144"/>
      <c r="H70" s="144"/>
      <c r="I70" s="144"/>
      <c r="J70" s="144"/>
      <c r="K70" s="144"/>
      <c r="L70" s="144"/>
      <c r="M70" s="144"/>
      <c r="N70" s="144"/>
      <c r="O70" s="144"/>
      <c r="P70" s="144"/>
      <c r="Q70" s="144"/>
      <c r="R70" s="144"/>
      <c r="S70" s="144"/>
      <c r="T70" s="144"/>
      <c r="U70" s="144"/>
      <c r="V70" s="144"/>
      <c r="W70" s="144"/>
      <c r="X70" s="144"/>
      <c r="Y70" s="144"/>
      <c r="Z70" s="144"/>
      <c r="AA70" s="144">
        <f t="shared" si="5"/>
        <v>0</v>
      </c>
      <c r="AB70" s="146"/>
      <c r="AC70" s="144"/>
      <c r="AD70" s="135"/>
      <c r="AE70" s="143"/>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6"/>
      <c r="BB70" s="144"/>
    </row>
    <row r="71" spans="1:54" s="18" customFormat="1" ht="25.5" hidden="1" customHeight="1" outlineLevel="1">
      <c r="A71" s="140" t="s">
        <v>30</v>
      </c>
      <c r="B71" s="141" t="s">
        <v>467</v>
      </c>
      <c r="C71" s="142"/>
      <c r="D71" s="142"/>
      <c r="E71" s="134">
        <f t="shared" si="1"/>
        <v>0</v>
      </c>
      <c r="F71" s="143"/>
      <c r="G71" s="144"/>
      <c r="H71" s="144"/>
      <c r="I71" s="144"/>
      <c r="J71" s="144"/>
      <c r="K71" s="144"/>
      <c r="L71" s="144"/>
      <c r="M71" s="144"/>
      <c r="N71" s="144"/>
      <c r="O71" s="144"/>
      <c r="P71" s="144"/>
      <c r="Q71" s="144"/>
      <c r="R71" s="144"/>
      <c r="S71" s="144"/>
      <c r="T71" s="144"/>
      <c r="U71" s="144"/>
      <c r="V71" s="144"/>
      <c r="W71" s="144"/>
      <c r="X71" s="144"/>
      <c r="Y71" s="144"/>
      <c r="Z71" s="144"/>
      <c r="AA71" s="144">
        <f t="shared" si="5"/>
        <v>0</v>
      </c>
      <c r="AB71" s="146"/>
      <c r="AC71" s="144"/>
      <c r="AD71" s="135"/>
      <c r="AE71" s="143"/>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6"/>
      <c r="BB71" s="144"/>
    </row>
    <row r="72" spans="1:54" s="18" customFormat="1" ht="25.5" hidden="1" customHeight="1" outlineLevel="1">
      <c r="A72" s="140" t="s">
        <v>30</v>
      </c>
      <c r="B72" s="141" t="s">
        <v>468</v>
      </c>
      <c r="C72" s="142"/>
      <c r="D72" s="142"/>
      <c r="E72" s="134">
        <f t="shared" si="1"/>
        <v>0</v>
      </c>
      <c r="F72" s="143"/>
      <c r="G72" s="144"/>
      <c r="H72" s="144"/>
      <c r="I72" s="144"/>
      <c r="J72" s="144"/>
      <c r="K72" s="144"/>
      <c r="L72" s="144"/>
      <c r="M72" s="144"/>
      <c r="N72" s="144"/>
      <c r="O72" s="144"/>
      <c r="P72" s="144"/>
      <c r="Q72" s="144"/>
      <c r="R72" s="144"/>
      <c r="S72" s="144"/>
      <c r="T72" s="144"/>
      <c r="U72" s="144"/>
      <c r="V72" s="144"/>
      <c r="W72" s="144"/>
      <c r="X72" s="144"/>
      <c r="Y72" s="144"/>
      <c r="Z72" s="144"/>
      <c r="AA72" s="144">
        <f t="shared" si="5"/>
        <v>0</v>
      </c>
      <c r="AB72" s="146"/>
      <c r="AC72" s="144"/>
      <c r="AD72" s="135"/>
      <c r="AE72" s="143"/>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6"/>
      <c r="BB72" s="144"/>
    </row>
    <row r="73" spans="1:54" s="18" customFormat="1" ht="25.5" hidden="1" customHeight="1" outlineLevel="1">
      <c r="A73" s="140" t="s">
        <v>30</v>
      </c>
      <c r="B73" s="141" t="s">
        <v>469</v>
      </c>
      <c r="C73" s="142"/>
      <c r="D73" s="142"/>
      <c r="E73" s="134">
        <f t="shared" si="1"/>
        <v>0</v>
      </c>
      <c r="F73" s="143"/>
      <c r="G73" s="144"/>
      <c r="H73" s="144"/>
      <c r="I73" s="144"/>
      <c r="J73" s="144"/>
      <c r="K73" s="144"/>
      <c r="L73" s="144"/>
      <c r="M73" s="144"/>
      <c r="N73" s="144"/>
      <c r="O73" s="144"/>
      <c r="P73" s="144"/>
      <c r="Q73" s="144"/>
      <c r="R73" s="144"/>
      <c r="S73" s="144"/>
      <c r="T73" s="144"/>
      <c r="U73" s="144"/>
      <c r="V73" s="144"/>
      <c r="W73" s="144"/>
      <c r="X73" s="144"/>
      <c r="Y73" s="144"/>
      <c r="Z73" s="144"/>
      <c r="AA73" s="144">
        <f t="shared" si="5"/>
        <v>0</v>
      </c>
      <c r="AB73" s="146"/>
      <c r="AC73" s="144"/>
      <c r="AD73" s="135"/>
      <c r="AE73" s="143"/>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6"/>
      <c r="BB73" s="144"/>
    </row>
    <row r="74" spans="1:54" s="18" customFormat="1" ht="15" hidden="1" customHeight="1" outlineLevel="1">
      <c r="A74" s="140" t="s">
        <v>30</v>
      </c>
      <c r="B74" s="141" t="s">
        <v>470</v>
      </c>
      <c r="C74" s="142"/>
      <c r="D74" s="142"/>
      <c r="E74" s="134">
        <f t="shared" si="1"/>
        <v>0</v>
      </c>
      <c r="F74" s="143"/>
      <c r="G74" s="144"/>
      <c r="H74" s="144"/>
      <c r="I74" s="144"/>
      <c r="J74" s="144"/>
      <c r="K74" s="144"/>
      <c r="L74" s="144"/>
      <c r="M74" s="144"/>
      <c r="N74" s="144"/>
      <c r="O74" s="144"/>
      <c r="P74" s="144"/>
      <c r="Q74" s="144"/>
      <c r="R74" s="144"/>
      <c r="S74" s="144"/>
      <c r="T74" s="144"/>
      <c r="U74" s="144"/>
      <c r="V74" s="144"/>
      <c r="W74" s="144"/>
      <c r="X74" s="144"/>
      <c r="Y74" s="144"/>
      <c r="Z74" s="144"/>
      <c r="AA74" s="144">
        <f t="shared" si="5"/>
        <v>0</v>
      </c>
      <c r="AB74" s="146"/>
      <c r="AC74" s="144"/>
      <c r="AD74" s="135"/>
      <c r="AE74" s="143"/>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6"/>
      <c r="BB74" s="144"/>
    </row>
    <row r="75" spans="1:54" s="18" customFormat="1" ht="25.5" hidden="1" customHeight="1" outlineLevel="1">
      <c r="A75" s="140" t="s">
        <v>30</v>
      </c>
      <c r="B75" s="141" t="s">
        <v>471</v>
      </c>
      <c r="C75" s="142"/>
      <c r="D75" s="142"/>
      <c r="E75" s="134">
        <f t="shared" si="1"/>
        <v>0</v>
      </c>
      <c r="F75" s="143"/>
      <c r="G75" s="144"/>
      <c r="H75" s="144"/>
      <c r="I75" s="144"/>
      <c r="J75" s="144"/>
      <c r="K75" s="144"/>
      <c r="L75" s="144"/>
      <c r="M75" s="144"/>
      <c r="N75" s="144"/>
      <c r="O75" s="144"/>
      <c r="P75" s="144"/>
      <c r="Q75" s="144"/>
      <c r="R75" s="144"/>
      <c r="S75" s="144"/>
      <c r="T75" s="144"/>
      <c r="U75" s="144"/>
      <c r="V75" s="144"/>
      <c r="W75" s="144"/>
      <c r="X75" s="144"/>
      <c r="Y75" s="144"/>
      <c r="Z75" s="144"/>
      <c r="AA75" s="144">
        <f t="shared" si="5"/>
        <v>0</v>
      </c>
      <c r="AB75" s="146"/>
      <c r="AC75" s="144"/>
      <c r="AD75" s="135"/>
      <c r="AE75" s="143"/>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6"/>
      <c r="BB75" s="144"/>
    </row>
    <row r="76" spans="1:54" s="18" customFormat="1" ht="15" hidden="1" customHeight="1" outlineLevel="1">
      <c r="A76" s="140" t="s">
        <v>30</v>
      </c>
      <c r="B76" s="141" t="s">
        <v>472</v>
      </c>
      <c r="C76" s="142"/>
      <c r="D76" s="142"/>
      <c r="E76" s="134">
        <f t="shared" si="1"/>
        <v>0</v>
      </c>
      <c r="F76" s="143"/>
      <c r="G76" s="144"/>
      <c r="H76" s="144"/>
      <c r="I76" s="144"/>
      <c r="J76" s="144"/>
      <c r="K76" s="144"/>
      <c r="L76" s="144"/>
      <c r="M76" s="144"/>
      <c r="N76" s="144"/>
      <c r="O76" s="144"/>
      <c r="P76" s="144"/>
      <c r="Q76" s="144"/>
      <c r="R76" s="144"/>
      <c r="S76" s="144"/>
      <c r="T76" s="144"/>
      <c r="U76" s="144"/>
      <c r="V76" s="144"/>
      <c r="W76" s="144"/>
      <c r="X76" s="144"/>
      <c r="Y76" s="144"/>
      <c r="Z76" s="144"/>
      <c r="AA76" s="144">
        <f t="shared" si="5"/>
        <v>0</v>
      </c>
      <c r="AB76" s="150"/>
      <c r="AC76" s="144"/>
      <c r="AD76" s="135"/>
      <c r="AE76" s="143"/>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50"/>
      <c r="BB76" s="144"/>
    </row>
    <row r="77" spans="1:54" s="18" customFormat="1" ht="15" hidden="1" customHeight="1" outlineLevel="1">
      <c r="A77" s="140" t="s">
        <v>30</v>
      </c>
      <c r="B77" s="141" t="s">
        <v>466</v>
      </c>
      <c r="C77" s="142"/>
      <c r="D77" s="142"/>
      <c r="E77" s="134">
        <f t="shared" si="1"/>
        <v>0</v>
      </c>
      <c r="F77" s="143"/>
      <c r="G77" s="144"/>
      <c r="H77" s="144"/>
      <c r="I77" s="144"/>
      <c r="J77" s="144"/>
      <c r="K77" s="144"/>
      <c r="L77" s="144"/>
      <c r="M77" s="144"/>
      <c r="N77" s="144"/>
      <c r="O77" s="144"/>
      <c r="P77" s="144"/>
      <c r="Q77" s="144"/>
      <c r="R77" s="144"/>
      <c r="S77" s="144"/>
      <c r="T77" s="144"/>
      <c r="U77" s="144"/>
      <c r="V77" s="144"/>
      <c r="W77" s="144"/>
      <c r="X77" s="144"/>
      <c r="Y77" s="144"/>
      <c r="Z77" s="144"/>
      <c r="AA77" s="144">
        <f t="shared" si="5"/>
        <v>0</v>
      </c>
      <c r="AB77" s="150"/>
      <c r="AC77" s="144"/>
      <c r="AD77" s="135"/>
      <c r="AE77" s="143"/>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50"/>
      <c r="BB77" s="144"/>
    </row>
    <row r="78" spans="1:54" s="18" customFormat="1" ht="25.5" hidden="1" customHeight="1" outlineLevel="1">
      <c r="A78" s="140" t="s">
        <v>30</v>
      </c>
      <c r="B78" s="141" t="s">
        <v>467</v>
      </c>
      <c r="C78" s="142"/>
      <c r="D78" s="142"/>
      <c r="E78" s="134">
        <f t="shared" ref="E78:E141" si="16">F78+G78+Y78+Z78+AA78</f>
        <v>0</v>
      </c>
      <c r="F78" s="143"/>
      <c r="G78" s="144"/>
      <c r="H78" s="144"/>
      <c r="I78" s="144"/>
      <c r="J78" s="144"/>
      <c r="K78" s="144"/>
      <c r="L78" s="144"/>
      <c r="M78" s="144"/>
      <c r="N78" s="144"/>
      <c r="O78" s="144"/>
      <c r="P78" s="144"/>
      <c r="Q78" s="144"/>
      <c r="R78" s="144"/>
      <c r="S78" s="144"/>
      <c r="T78" s="144"/>
      <c r="U78" s="144"/>
      <c r="V78" s="144"/>
      <c r="W78" s="144"/>
      <c r="X78" s="144"/>
      <c r="Y78" s="144"/>
      <c r="Z78" s="144"/>
      <c r="AA78" s="144">
        <f t="shared" si="5"/>
        <v>0</v>
      </c>
      <c r="AB78" s="150"/>
      <c r="AC78" s="144"/>
      <c r="AD78" s="135"/>
      <c r="AE78" s="143"/>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50"/>
      <c r="BB78" s="144"/>
    </row>
    <row r="79" spans="1:54" s="18" customFormat="1" ht="25.5" hidden="1" customHeight="1" outlineLevel="1">
      <c r="A79" s="140" t="s">
        <v>30</v>
      </c>
      <c r="B79" s="141" t="s">
        <v>468</v>
      </c>
      <c r="C79" s="142"/>
      <c r="D79" s="142"/>
      <c r="E79" s="134">
        <f t="shared" si="16"/>
        <v>0</v>
      </c>
      <c r="F79" s="143"/>
      <c r="G79" s="144"/>
      <c r="H79" s="144"/>
      <c r="I79" s="144"/>
      <c r="J79" s="144"/>
      <c r="K79" s="144"/>
      <c r="L79" s="144"/>
      <c r="M79" s="144"/>
      <c r="N79" s="144"/>
      <c r="O79" s="144"/>
      <c r="P79" s="144"/>
      <c r="Q79" s="144"/>
      <c r="R79" s="144"/>
      <c r="S79" s="144"/>
      <c r="T79" s="144"/>
      <c r="U79" s="144"/>
      <c r="V79" s="144"/>
      <c r="W79" s="144"/>
      <c r="X79" s="144"/>
      <c r="Y79" s="144"/>
      <c r="Z79" s="144"/>
      <c r="AA79" s="144">
        <f t="shared" si="5"/>
        <v>0</v>
      </c>
      <c r="AB79" s="150"/>
      <c r="AC79" s="144"/>
      <c r="AD79" s="135"/>
      <c r="AE79" s="143"/>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50"/>
      <c r="BB79" s="144"/>
    </row>
    <row r="80" spans="1:54" s="18" customFormat="1" ht="25.5" hidden="1" customHeight="1" outlineLevel="1">
      <c r="A80" s="140" t="s">
        <v>30</v>
      </c>
      <c r="B80" s="141" t="s">
        <v>469</v>
      </c>
      <c r="C80" s="142"/>
      <c r="D80" s="142"/>
      <c r="E80" s="134">
        <f t="shared" si="16"/>
        <v>0</v>
      </c>
      <c r="F80" s="143"/>
      <c r="G80" s="144"/>
      <c r="H80" s="144"/>
      <c r="I80" s="144"/>
      <c r="J80" s="144"/>
      <c r="K80" s="144"/>
      <c r="L80" s="144"/>
      <c r="M80" s="144"/>
      <c r="N80" s="144"/>
      <c r="O80" s="144"/>
      <c r="P80" s="144"/>
      <c r="Q80" s="144"/>
      <c r="R80" s="144"/>
      <c r="S80" s="144"/>
      <c r="T80" s="144"/>
      <c r="U80" s="144"/>
      <c r="V80" s="144"/>
      <c r="W80" s="144"/>
      <c r="X80" s="144"/>
      <c r="Y80" s="144"/>
      <c r="Z80" s="144"/>
      <c r="AA80" s="144">
        <f t="shared" si="5"/>
        <v>0</v>
      </c>
      <c r="AB80" s="150"/>
      <c r="AC80" s="144"/>
      <c r="AD80" s="135"/>
      <c r="AE80" s="143"/>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50"/>
      <c r="BB80" s="144"/>
    </row>
    <row r="81" spans="1:54" s="18" customFormat="1" ht="15" hidden="1" customHeight="1" outlineLevel="1">
      <c r="A81" s="140" t="s">
        <v>30</v>
      </c>
      <c r="B81" s="141" t="s">
        <v>470</v>
      </c>
      <c r="C81" s="142"/>
      <c r="D81" s="142"/>
      <c r="E81" s="134">
        <f t="shared" si="16"/>
        <v>0</v>
      </c>
      <c r="F81" s="143"/>
      <c r="G81" s="144"/>
      <c r="H81" s="144"/>
      <c r="I81" s="144"/>
      <c r="J81" s="144"/>
      <c r="K81" s="144"/>
      <c r="L81" s="144"/>
      <c r="M81" s="144"/>
      <c r="N81" s="144"/>
      <c r="O81" s="144"/>
      <c r="P81" s="144"/>
      <c r="Q81" s="144"/>
      <c r="R81" s="144"/>
      <c r="S81" s="144"/>
      <c r="T81" s="144"/>
      <c r="U81" s="144"/>
      <c r="V81" s="144"/>
      <c r="W81" s="144"/>
      <c r="X81" s="144"/>
      <c r="Y81" s="144"/>
      <c r="Z81" s="144"/>
      <c r="AA81" s="144">
        <f t="shared" si="5"/>
        <v>0</v>
      </c>
      <c r="AB81" s="150"/>
      <c r="AC81" s="144"/>
      <c r="AD81" s="135"/>
      <c r="AE81" s="143"/>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50"/>
      <c r="BB81" s="144"/>
    </row>
    <row r="82" spans="1:54" s="18" customFormat="1" ht="25.5" hidden="1" customHeight="1" outlineLevel="1">
      <c r="A82" s="140" t="s">
        <v>30</v>
      </c>
      <c r="B82" s="141" t="s">
        <v>473</v>
      </c>
      <c r="C82" s="142"/>
      <c r="D82" s="142"/>
      <c r="E82" s="134">
        <f t="shared" si="16"/>
        <v>0</v>
      </c>
      <c r="F82" s="143"/>
      <c r="G82" s="144"/>
      <c r="H82" s="144"/>
      <c r="I82" s="144"/>
      <c r="J82" s="144"/>
      <c r="K82" s="144"/>
      <c r="L82" s="144"/>
      <c r="M82" s="144"/>
      <c r="N82" s="144"/>
      <c r="O82" s="144"/>
      <c r="P82" s="144"/>
      <c r="Q82" s="144"/>
      <c r="R82" s="144"/>
      <c r="S82" s="144"/>
      <c r="T82" s="144"/>
      <c r="U82" s="144"/>
      <c r="V82" s="144"/>
      <c r="W82" s="144"/>
      <c r="X82" s="144"/>
      <c r="Y82" s="144"/>
      <c r="Z82" s="144"/>
      <c r="AA82" s="144">
        <f t="shared" ref="AA82:AA145" si="17">AB82+AC82</f>
        <v>0</v>
      </c>
      <c r="AB82" s="150"/>
      <c r="AC82" s="144"/>
      <c r="AD82" s="135"/>
      <c r="AE82" s="143"/>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50"/>
      <c r="BB82" s="144"/>
    </row>
    <row r="83" spans="1:54" s="18" customFormat="1" ht="15" collapsed="1">
      <c r="A83" s="140">
        <v>15</v>
      </c>
      <c r="B83" s="141" t="s">
        <v>254</v>
      </c>
      <c r="C83" s="142"/>
      <c r="D83" s="142"/>
      <c r="E83" s="134">
        <f t="shared" si="16"/>
        <v>0</v>
      </c>
      <c r="F83" s="143">
        <f>SUBTOTAL(9,F84:F84)</f>
        <v>0</v>
      </c>
      <c r="G83" s="144"/>
      <c r="H83" s="144"/>
      <c r="I83" s="144"/>
      <c r="J83" s="144"/>
      <c r="K83" s="144"/>
      <c r="L83" s="144"/>
      <c r="M83" s="144"/>
      <c r="N83" s="144"/>
      <c r="O83" s="144"/>
      <c r="P83" s="144"/>
      <c r="Q83" s="144"/>
      <c r="R83" s="144"/>
      <c r="S83" s="144"/>
      <c r="T83" s="144"/>
      <c r="U83" s="144"/>
      <c r="V83" s="144"/>
      <c r="W83" s="144"/>
      <c r="X83" s="144"/>
      <c r="Y83" s="144"/>
      <c r="Z83" s="144"/>
      <c r="AA83" s="144">
        <f t="shared" si="17"/>
        <v>0</v>
      </c>
      <c r="AB83" s="145"/>
      <c r="AC83" s="144"/>
      <c r="AD83" s="135"/>
      <c r="AE83" s="143"/>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5"/>
      <c r="BB83" s="144"/>
    </row>
    <row r="84" spans="1:54" s="18" customFormat="1" ht="38.25" hidden="1" outlineLevel="1">
      <c r="A84" s="140" t="s">
        <v>30</v>
      </c>
      <c r="B84" s="141" t="s">
        <v>474</v>
      </c>
      <c r="C84" s="142"/>
      <c r="D84" s="142"/>
      <c r="E84" s="134">
        <f t="shared" si="16"/>
        <v>0</v>
      </c>
      <c r="F84" s="143"/>
      <c r="G84" s="144"/>
      <c r="H84" s="144"/>
      <c r="I84" s="144"/>
      <c r="J84" s="144"/>
      <c r="K84" s="144"/>
      <c r="L84" s="144"/>
      <c r="M84" s="144"/>
      <c r="N84" s="144"/>
      <c r="O84" s="144"/>
      <c r="P84" s="144"/>
      <c r="Q84" s="144"/>
      <c r="R84" s="144"/>
      <c r="S84" s="144"/>
      <c r="T84" s="144"/>
      <c r="U84" s="144"/>
      <c r="V84" s="144"/>
      <c r="W84" s="144"/>
      <c r="X84" s="144"/>
      <c r="Y84" s="144"/>
      <c r="Z84" s="144"/>
      <c r="AA84" s="144">
        <f t="shared" si="17"/>
        <v>0</v>
      </c>
      <c r="AB84" s="150"/>
      <c r="AC84" s="144"/>
      <c r="AD84" s="135"/>
      <c r="AE84" s="143"/>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50"/>
      <c r="BB84" s="144"/>
    </row>
    <row r="85" spans="1:54" s="18" customFormat="1" ht="15" collapsed="1">
      <c r="A85" s="140">
        <v>16</v>
      </c>
      <c r="B85" s="141" t="s">
        <v>475</v>
      </c>
      <c r="C85" s="142"/>
      <c r="D85" s="142"/>
      <c r="E85" s="134">
        <f t="shared" si="16"/>
        <v>0</v>
      </c>
      <c r="F85" s="143">
        <f t="shared" ref="F85" si="18">SUBTOTAL(9,F86:F94)</f>
        <v>0</v>
      </c>
      <c r="G85" s="144"/>
      <c r="H85" s="144"/>
      <c r="I85" s="144"/>
      <c r="J85" s="144"/>
      <c r="K85" s="144"/>
      <c r="L85" s="144"/>
      <c r="M85" s="144"/>
      <c r="N85" s="144"/>
      <c r="O85" s="144"/>
      <c r="P85" s="144"/>
      <c r="Q85" s="144"/>
      <c r="R85" s="144"/>
      <c r="S85" s="144"/>
      <c r="T85" s="144"/>
      <c r="U85" s="144"/>
      <c r="V85" s="144"/>
      <c r="W85" s="144"/>
      <c r="X85" s="144"/>
      <c r="Y85" s="144"/>
      <c r="Z85" s="144"/>
      <c r="AA85" s="144">
        <f t="shared" si="17"/>
        <v>0</v>
      </c>
      <c r="AB85" s="145"/>
      <c r="AC85" s="144"/>
      <c r="AD85" s="135"/>
      <c r="AE85" s="143"/>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5"/>
      <c r="BB85" s="144"/>
    </row>
    <row r="86" spans="1:54" s="18" customFormat="1" ht="25.5" hidden="1" outlineLevel="1">
      <c r="A86" s="51" t="s">
        <v>30</v>
      </c>
      <c r="B86" s="52" t="s">
        <v>464</v>
      </c>
      <c r="C86" s="50"/>
      <c r="D86" s="50"/>
      <c r="E86" s="46">
        <f t="shared" si="16"/>
        <v>0</v>
      </c>
      <c r="F86" s="15"/>
      <c r="G86" s="55"/>
      <c r="H86" s="55"/>
      <c r="I86" s="55"/>
      <c r="J86" s="55"/>
      <c r="K86" s="55"/>
      <c r="L86" s="55"/>
      <c r="M86" s="55"/>
      <c r="N86" s="55"/>
      <c r="O86" s="55"/>
      <c r="P86" s="55"/>
      <c r="Q86" s="55"/>
      <c r="R86" s="55"/>
      <c r="S86" s="55"/>
      <c r="T86" s="55"/>
      <c r="U86" s="55"/>
      <c r="V86" s="55"/>
      <c r="W86" s="55"/>
      <c r="X86" s="55"/>
      <c r="Y86" s="55"/>
      <c r="Z86" s="55"/>
      <c r="AA86" s="55">
        <f t="shared" si="17"/>
        <v>0</v>
      </c>
      <c r="AB86" s="16"/>
      <c r="AC86" s="55"/>
      <c r="AD86" s="47"/>
      <c r="AE86" s="15"/>
      <c r="AF86" s="55"/>
      <c r="AG86" s="55"/>
      <c r="AH86" s="55"/>
      <c r="AI86" s="55"/>
      <c r="AJ86" s="55"/>
      <c r="AK86" s="55"/>
      <c r="AL86" s="55"/>
      <c r="AM86" s="55"/>
      <c r="AN86" s="55"/>
      <c r="AO86" s="55"/>
      <c r="AP86" s="55"/>
      <c r="AQ86" s="55"/>
      <c r="AR86" s="55"/>
      <c r="AS86" s="55"/>
      <c r="AT86" s="55"/>
      <c r="AU86" s="55"/>
      <c r="AV86" s="55"/>
      <c r="AW86" s="55"/>
      <c r="AX86" s="55"/>
      <c r="AY86" s="55"/>
      <c r="AZ86" s="55"/>
      <c r="BA86" s="16"/>
      <c r="BB86" s="55"/>
    </row>
    <row r="87" spans="1:54" s="18" customFormat="1" ht="15" hidden="1" outlineLevel="1">
      <c r="A87" s="51" t="s">
        <v>30</v>
      </c>
      <c r="B87" s="52" t="s">
        <v>466</v>
      </c>
      <c r="C87" s="50"/>
      <c r="D87" s="50"/>
      <c r="E87" s="46">
        <f t="shared" si="16"/>
        <v>0</v>
      </c>
      <c r="F87" s="15"/>
      <c r="G87" s="55"/>
      <c r="H87" s="55"/>
      <c r="I87" s="55"/>
      <c r="J87" s="55"/>
      <c r="K87" s="55"/>
      <c r="L87" s="55"/>
      <c r="M87" s="55"/>
      <c r="N87" s="55"/>
      <c r="O87" s="55"/>
      <c r="P87" s="55"/>
      <c r="Q87" s="55"/>
      <c r="R87" s="55"/>
      <c r="S87" s="55"/>
      <c r="T87" s="55"/>
      <c r="U87" s="55"/>
      <c r="V87" s="55"/>
      <c r="W87" s="55"/>
      <c r="X87" s="55"/>
      <c r="Y87" s="55"/>
      <c r="Z87" s="55"/>
      <c r="AA87" s="55">
        <f t="shared" si="17"/>
        <v>0</v>
      </c>
      <c r="AB87" s="16"/>
      <c r="AC87" s="55"/>
      <c r="AD87" s="47"/>
      <c r="AE87" s="15"/>
      <c r="AF87" s="55"/>
      <c r="AG87" s="55"/>
      <c r="AH87" s="55"/>
      <c r="AI87" s="55"/>
      <c r="AJ87" s="55"/>
      <c r="AK87" s="55"/>
      <c r="AL87" s="55"/>
      <c r="AM87" s="55"/>
      <c r="AN87" s="55"/>
      <c r="AO87" s="55"/>
      <c r="AP87" s="55"/>
      <c r="AQ87" s="55"/>
      <c r="AR87" s="55"/>
      <c r="AS87" s="55"/>
      <c r="AT87" s="55"/>
      <c r="AU87" s="55"/>
      <c r="AV87" s="55"/>
      <c r="AW87" s="55"/>
      <c r="AX87" s="55"/>
      <c r="AY87" s="55"/>
      <c r="AZ87" s="55"/>
      <c r="BA87" s="16"/>
      <c r="BB87" s="55"/>
    </row>
    <row r="88" spans="1:54" s="18" customFormat="1" ht="38.25" hidden="1" outlineLevel="1">
      <c r="A88" s="51" t="s">
        <v>30</v>
      </c>
      <c r="B88" s="52" t="s">
        <v>467</v>
      </c>
      <c r="C88" s="50"/>
      <c r="D88" s="50"/>
      <c r="E88" s="46">
        <f t="shared" si="16"/>
        <v>0</v>
      </c>
      <c r="F88" s="15"/>
      <c r="G88" s="55"/>
      <c r="H88" s="55"/>
      <c r="I88" s="55"/>
      <c r="J88" s="55"/>
      <c r="K88" s="55"/>
      <c r="L88" s="55"/>
      <c r="M88" s="55"/>
      <c r="N88" s="55"/>
      <c r="O88" s="55"/>
      <c r="P88" s="55"/>
      <c r="Q88" s="55"/>
      <c r="R88" s="55"/>
      <c r="S88" s="55"/>
      <c r="T88" s="55"/>
      <c r="U88" s="55"/>
      <c r="V88" s="55"/>
      <c r="W88" s="55"/>
      <c r="X88" s="55"/>
      <c r="Y88" s="55"/>
      <c r="Z88" s="55"/>
      <c r="AA88" s="55">
        <f t="shared" si="17"/>
        <v>0</v>
      </c>
      <c r="AB88" s="16"/>
      <c r="AC88" s="55"/>
      <c r="AD88" s="47"/>
      <c r="AE88" s="15"/>
      <c r="AF88" s="55"/>
      <c r="AG88" s="55"/>
      <c r="AH88" s="55"/>
      <c r="AI88" s="55"/>
      <c r="AJ88" s="55"/>
      <c r="AK88" s="55"/>
      <c r="AL88" s="55"/>
      <c r="AM88" s="55"/>
      <c r="AN88" s="55"/>
      <c r="AO88" s="55"/>
      <c r="AP88" s="55"/>
      <c r="AQ88" s="55"/>
      <c r="AR88" s="55"/>
      <c r="AS88" s="55"/>
      <c r="AT88" s="55"/>
      <c r="AU88" s="55"/>
      <c r="AV88" s="55"/>
      <c r="AW88" s="55"/>
      <c r="AX88" s="55"/>
      <c r="AY88" s="55"/>
      <c r="AZ88" s="55"/>
      <c r="BA88" s="16"/>
      <c r="BB88" s="55"/>
    </row>
    <row r="89" spans="1:54" s="18" customFormat="1" ht="38.25" hidden="1" outlineLevel="1">
      <c r="A89" s="51" t="s">
        <v>30</v>
      </c>
      <c r="B89" s="52" t="s">
        <v>468</v>
      </c>
      <c r="C89" s="50"/>
      <c r="D89" s="50"/>
      <c r="E89" s="46">
        <f t="shared" si="16"/>
        <v>0</v>
      </c>
      <c r="F89" s="15"/>
      <c r="G89" s="55"/>
      <c r="H89" s="55"/>
      <c r="I89" s="55"/>
      <c r="J89" s="55"/>
      <c r="K89" s="55"/>
      <c r="L89" s="55"/>
      <c r="M89" s="55"/>
      <c r="N89" s="55"/>
      <c r="O89" s="55"/>
      <c r="P89" s="55"/>
      <c r="Q89" s="55"/>
      <c r="R89" s="55"/>
      <c r="S89" s="55"/>
      <c r="T89" s="55"/>
      <c r="U89" s="55"/>
      <c r="V89" s="55"/>
      <c r="W89" s="55"/>
      <c r="X89" s="55"/>
      <c r="Y89" s="55"/>
      <c r="Z89" s="55"/>
      <c r="AA89" s="55">
        <f t="shared" si="17"/>
        <v>0</v>
      </c>
      <c r="AB89" s="16"/>
      <c r="AC89" s="55"/>
      <c r="AD89" s="47"/>
      <c r="AE89" s="15"/>
      <c r="AF89" s="55"/>
      <c r="AG89" s="55"/>
      <c r="AH89" s="55"/>
      <c r="AI89" s="55"/>
      <c r="AJ89" s="55"/>
      <c r="AK89" s="55"/>
      <c r="AL89" s="55"/>
      <c r="AM89" s="55"/>
      <c r="AN89" s="55"/>
      <c r="AO89" s="55"/>
      <c r="AP89" s="55"/>
      <c r="AQ89" s="55"/>
      <c r="AR89" s="55"/>
      <c r="AS89" s="55"/>
      <c r="AT89" s="55"/>
      <c r="AU89" s="55"/>
      <c r="AV89" s="55"/>
      <c r="AW89" s="55"/>
      <c r="AX89" s="55"/>
      <c r="AY89" s="55"/>
      <c r="AZ89" s="55"/>
      <c r="BA89" s="16"/>
      <c r="BB89" s="55"/>
    </row>
    <row r="90" spans="1:54" s="18" customFormat="1" ht="25.5" hidden="1" outlineLevel="1">
      <c r="A90" s="51" t="s">
        <v>30</v>
      </c>
      <c r="B90" s="52" t="s">
        <v>469</v>
      </c>
      <c r="C90" s="50"/>
      <c r="D90" s="50"/>
      <c r="E90" s="46">
        <f t="shared" si="16"/>
        <v>0</v>
      </c>
      <c r="F90" s="15"/>
      <c r="G90" s="55"/>
      <c r="H90" s="55"/>
      <c r="I90" s="55"/>
      <c r="J90" s="55"/>
      <c r="K90" s="55"/>
      <c r="L90" s="55"/>
      <c r="M90" s="55"/>
      <c r="N90" s="55"/>
      <c r="O90" s="55"/>
      <c r="P90" s="55"/>
      <c r="Q90" s="55"/>
      <c r="R90" s="55"/>
      <c r="S90" s="55"/>
      <c r="T90" s="55"/>
      <c r="U90" s="55"/>
      <c r="V90" s="55"/>
      <c r="W90" s="55"/>
      <c r="X90" s="55"/>
      <c r="Y90" s="55"/>
      <c r="Z90" s="55"/>
      <c r="AA90" s="55">
        <f t="shared" si="17"/>
        <v>0</v>
      </c>
      <c r="AB90" s="16"/>
      <c r="AC90" s="55"/>
      <c r="AD90" s="47"/>
      <c r="AE90" s="15"/>
      <c r="AF90" s="55"/>
      <c r="AG90" s="55"/>
      <c r="AH90" s="55"/>
      <c r="AI90" s="55"/>
      <c r="AJ90" s="55"/>
      <c r="AK90" s="55"/>
      <c r="AL90" s="55"/>
      <c r="AM90" s="55"/>
      <c r="AN90" s="55"/>
      <c r="AO90" s="55"/>
      <c r="AP90" s="55"/>
      <c r="AQ90" s="55"/>
      <c r="AR90" s="55"/>
      <c r="AS90" s="55"/>
      <c r="AT90" s="55"/>
      <c r="AU90" s="55"/>
      <c r="AV90" s="55"/>
      <c r="AW90" s="55"/>
      <c r="AX90" s="55"/>
      <c r="AY90" s="55"/>
      <c r="AZ90" s="55"/>
      <c r="BA90" s="16"/>
      <c r="BB90" s="55"/>
    </row>
    <row r="91" spans="1:54" s="18" customFormat="1" ht="15" hidden="1" outlineLevel="1">
      <c r="A91" s="51" t="s">
        <v>30</v>
      </c>
      <c r="B91" s="52" t="s">
        <v>470</v>
      </c>
      <c r="C91" s="50"/>
      <c r="D91" s="50"/>
      <c r="E91" s="46">
        <f t="shared" si="16"/>
        <v>0</v>
      </c>
      <c r="F91" s="15"/>
      <c r="G91" s="55"/>
      <c r="H91" s="55"/>
      <c r="I91" s="55"/>
      <c r="J91" s="55"/>
      <c r="K91" s="55"/>
      <c r="L91" s="55"/>
      <c r="M91" s="55"/>
      <c r="N91" s="55"/>
      <c r="O91" s="55"/>
      <c r="P91" s="55"/>
      <c r="Q91" s="55"/>
      <c r="R91" s="55"/>
      <c r="S91" s="55"/>
      <c r="T91" s="55"/>
      <c r="U91" s="55"/>
      <c r="V91" s="55"/>
      <c r="W91" s="55"/>
      <c r="X91" s="55"/>
      <c r="Y91" s="55"/>
      <c r="Z91" s="55"/>
      <c r="AA91" s="55">
        <f t="shared" si="17"/>
        <v>0</v>
      </c>
      <c r="AB91" s="16"/>
      <c r="AC91" s="55"/>
      <c r="AD91" s="47"/>
      <c r="AE91" s="15"/>
      <c r="AF91" s="55"/>
      <c r="AG91" s="55"/>
      <c r="AH91" s="55"/>
      <c r="AI91" s="55"/>
      <c r="AJ91" s="55"/>
      <c r="AK91" s="55"/>
      <c r="AL91" s="55"/>
      <c r="AM91" s="55"/>
      <c r="AN91" s="55"/>
      <c r="AO91" s="55"/>
      <c r="AP91" s="55"/>
      <c r="AQ91" s="55"/>
      <c r="AR91" s="55"/>
      <c r="AS91" s="55"/>
      <c r="AT91" s="55"/>
      <c r="AU91" s="55"/>
      <c r="AV91" s="55"/>
      <c r="AW91" s="55"/>
      <c r="AX91" s="55"/>
      <c r="AY91" s="55"/>
      <c r="AZ91" s="55"/>
      <c r="BA91" s="16"/>
      <c r="BB91" s="55"/>
    </row>
    <row r="92" spans="1:54" s="18" customFormat="1" ht="38.25" hidden="1" outlineLevel="1">
      <c r="A92" s="51" t="s">
        <v>30</v>
      </c>
      <c r="B92" s="52" t="s">
        <v>476</v>
      </c>
      <c r="C92" s="50"/>
      <c r="D92" s="50"/>
      <c r="E92" s="46">
        <f t="shared" si="16"/>
        <v>0</v>
      </c>
      <c r="F92" s="15"/>
      <c r="G92" s="55"/>
      <c r="H92" s="55"/>
      <c r="I92" s="55"/>
      <c r="J92" s="55"/>
      <c r="K92" s="55"/>
      <c r="L92" s="55"/>
      <c r="M92" s="55"/>
      <c r="N92" s="55"/>
      <c r="O92" s="55"/>
      <c r="P92" s="55"/>
      <c r="Q92" s="55"/>
      <c r="R92" s="55"/>
      <c r="S92" s="55"/>
      <c r="T92" s="55"/>
      <c r="U92" s="55"/>
      <c r="V92" s="55"/>
      <c r="W92" s="55"/>
      <c r="X92" s="55"/>
      <c r="Y92" s="55"/>
      <c r="Z92" s="55"/>
      <c r="AA92" s="55">
        <f t="shared" si="17"/>
        <v>0</v>
      </c>
      <c r="AB92" s="16"/>
      <c r="AC92" s="55"/>
      <c r="AD92" s="47"/>
      <c r="AE92" s="15"/>
      <c r="AF92" s="55"/>
      <c r="AG92" s="55"/>
      <c r="AH92" s="55"/>
      <c r="AI92" s="55"/>
      <c r="AJ92" s="55"/>
      <c r="AK92" s="55"/>
      <c r="AL92" s="55"/>
      <c r="AM92" s="55"/>
      <c r="AN92" s="55"/>
      <c r="AO92" s="55"/>
      <c r="AP92" s="55"/>
      <c r="AQ92" s="55"/>
      <c r="AR92" s="55"/>
      <c r="AS92" s="55"/>
      <c r="AT92" s="55"/>
      <c r="AU92" s="55"/>
      <c r="AV92" s="55"/>
      <c r="AW92" s="55"/>
      <c r="AX92" s="55"/>
      <c r="AY92" s="55"/>
      <c r="AZ92" s="55"/>
      <c r="BA92" s="16"/>
      <c r="BB92" s="55"/>
    </row>
    <row r="93" spans="1:54" s="18" customFormat="1" ht="25.5" hidden="1" outlineLevel="1">
      <c r="A93" s="51" t="s">
        <v>30</v>
      </c>
      <c r="B93" s="52" t="s">
        <v>477</v>
      </c>
      <c r="C93" s="50"/>
      <c r="D93" s="50"/>
      <c r="E93" s="46">
        <f t="shared" si="16"/>
        <v>0</v>
      </c>
      <c r="F93" s="15"/>
      <c r="G93" s="55"/>
      <c r="H93" s="55"/>
      <c r="I93" s="55"/>
      <c r="J93" s="55"/>
      <c r="K93" s="55"/>
      <c r="L93" s="55"/>
      <c r="M93" s="55"/>
      <c r="N93" s="55"/>
      <c r="O93" s="55"/>
      <c r="P93" s="55"/>
      <c r="Q93" s="55"/>
      <c r="R93" s="55"/>
      <c r="S93" s="55"/>
      <c r="T93" s="55"/>
      <c r="U93" s="55"/>
      <c r="V93" s="55"/>
      <c r="W93" s="55"/>
      <c r="X93" s="55"/>
      <c r="Y93" s="55"/>
      <c r="Z93" s="55"/>
      <c r="AA93" s="55">
        <f t="shared" si="17"/>
        <v>0</v>
      </c>
      <c r="AB93" s="16"/>
      <c r="AC93" s="55"/>
      <c r="AD93" s="47"/>
      <c r="AE93" s="15"/>
      <c r="AF93" s="55"/>
      <c r="AG93" s="55"/>
      <c r="AH93" s="55"/>
      <c r="AI93" s="55"/>
      <c r="AJ93" s="55"/>
      <c r="AK93" s="55"/>
      <c r="AL93" s="55"/>
      <c r="AM93" s="55"/>
      <c r="AN93" s="55"/>
      <c r="AO93" s="55"/>
      <c r="AP93" s="55"/>
      <c r="AQ93" s="55"/>
      <c r="AR93" s="55"/>
      <c r="AS93" s="55"/>
      <c r="AT93" s="55"/>
      <c r="AU93" s="55"/>
      <c r="AV93" s="55"/>
      <c r="AW93" s="55"/>
      <c r="AX93" s="55"/>
      <c r="AY93" s="55"/>
      <c r="AZ93" s="55"/>
      <c r="BA93" s="16"/>
      <c r="BB93" s="55"/>
    </row>
    <row r="94" spans="1:54" s="18" customFormat="1" ht="25.5" hidden="1" outlineLevel="1">
      <c r="A94" s="51" t="s">
        <v>30</v>
      </c>
      <c r="B94" s="52" t="s">
        <v>478</v>
      </c>
      <c r="C94" s="50"/>
      <c r="D94" s="50"/>
      <c r="E94" s="46">
        <f t="shared" si="16"/>
        <v>0</v>
      </c>
      <c r="F94" s="15"/>
      <c r="G94" s="55"/>
      <c r="H94" s="55"/>
      <c r="I94" s="55"/>
      <c r="J94" s="55"/>
      <c r="K94" s="55"/>
      <c r="L94" s="55"/>
      <c r="M94" s="55"/>
      <c r="N94" s="55"/>
      <c r="O94" s="55"/>
      <c r="P94" s="55"/>
      <c r="Q94" s="55"/>
      <c r="R94" s="55"/>
      <c r="S94" s="55"/>
      <c r="T94" s="55"/>
      <c r="U94" s="55"/>
      <c r="V94" s="55"/>
      <c r="W94" s="55"/>
      <c r="X94" s="55"/>
      <c r="Y94" s="55"/>
      <c r="Z94" s="55"/>
      <c r="AA94" s="55">
        <f t="shared" si="17"/>
        <v>0</v>
      </c>
      <c r="AB94" s="16"/>
      <c r="AC94" s="55"/>
      <c r="AD94" s="47"/>
      <c r="AE94" s="15"/>
      <c r="AF94" s="55"/>
      <c r="AG94" s="55"/>
      <c r="AH94" s="55"/>
      <c r="AI94" s="55"/>
      <c r="AJ94" s="55"/>
      <c r="AK94" s="55"/>
      <c r="AL94" s="55"/>
      <c r="AM94" s="55"/>
      <c r="AN94" s="55"/>
      <c r="AO94" s="55"/>
      <c r="AP94" s="55"/>
      <c r="AQ94" s="55"/>
      <c r="AR94" s="55"/>
      <c r="AS94" s="55"/>
      <c r="AT94" s="55"/>
      <c r="AU94" s="55"/>
      <c r="AV94" s="55"/>
      <c r="AW94" s="55"/>
      <c r="AX94" s="55"/>
      <c r="AY94" s="55"/>
      <c r="AZ94" s="55"/>
      <c r="BA94" s="16"/>
      <c r="BB94" s="55"/>
    </row>
    <row r="95" spans="1:54" s="57" customFormat="1" ht="14.25" collapsed="1">
      <c r="A95" s="48" t="s">
        <v>479</v>
      </c>
      <c r="B95" s="43" t="s">
        <v>44</v>
      </c>
      <c r="C95" s="50"/>
      <c r="D95" s="50">
        <f>D96+D296</f>
        <v>0</v>
      </c>
      <c r="E95" s="46">
        <f t="shared" si="16"/>
        <v>0</v>
      </c>
      <c r="F95" s="56">
        <f t="shared" ref="F95:Z95" si="19">F96+F296</f>
        <v>0</v>
      </c>
      <c r="G95" s="55">
        <f t="shared" si="19"/>
        <v>0</v>
      </c>
      <c r="H95" s="55">
        <f t="shared" si="19"/>
        <v>0</v>
      </c>
      <c r="I95" s="55">
        <f t="shared" si="19"/>
        <v>0</v>
      </c>
      <c r="J95" s="55">
        <f t="shared" si="19"/>
        <v>0</v>
      </c>
      <c r="K95" s="55">
        <f t="shared" si="19"/>
        <v>0</v>
      </c>
      <c r="L95" s="55">
        <f t="shared" si="19"/>
        <v>0</v>
      </c>
      <c r="M95" s="55">
        <f t="shared" si="19"/>
        <v>0</v>
      </c>
      <c r="N95" s="55">
        <f t="shared" si="19"/>
        <v>0</v>
      </c>
      <c r="O95" s="55">
        <f t="shared" si="19"/>
        <v>0</v>
      </c>
      <c r="P95" s="55">
        <f t="shared" si="19"/>
        <v>0</v>
      </c>
      <c r="Q95" s="55">
        <f t="shared" si="19"/>
        <v>0</v>
      </c>
      <c r="R95" s="55">
        <f t="shared" si="19"/>
        <v>0</v>
      </c>
      <c r="S95" s="55">
        <f t="shared" si="19"/>
        <v>0</v>
      </c>
      <c r="T95" s="55">
        <f t="shared" si="19"/>
        <v>0</v>
      </c>
      <c r="U95" s="55">
        <f t="shared" si="19"/>
        <v>0</v>
      </c>
      <c r="V95" s="55">
        <f t="shared" si="19"/>
        <v>0</v>
      </c>
      <c r="W95" s="55">
        <f t="shared" si="19"/>
        <v>0</v>
      </c>
      <c r="X95" s="55">
        <f t="shared" si="19"/>
        <v>0</v>
      </c>
      <c r="Y95" s="55">
        <f t="shared" si="19"/>
        <v>0</v>
      </c>
      <c r="Z95" s="55">
        <f t="shared" si="19"/>
        <v>0</v>
      </c>
      <c r="AA95" s="55">
        <f t="shared" si="17"/>
        <v>0</v>
      </c>
      <c r="AB95" s="56">
        <f>AB96+AB296</f>
        <v>0</v>
      </c>
      <c r="AC95" s="55">
        <f>AC96+AC296</f>
        <v>0</v>
      </c>
      <c r="AD95" s="47"/>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row>
    <row r="96" spans="1:54" ht="25.5" customHeight="1">
      <c r="A96" s="42" t="s">
        <v>480</v>
      </c>
      <c r="B96" s="43" t="s">
        <v>481</v>
      </c>
      <c r="C96" s="44"/>
      <c r="D96" s="45">
        <f>D97+D250+D268+D269+D272+D273+D274+D291</f>
        <v>0</v>
      </c>
      <c r="E96" s="46">
        <f t="shared" si="16"/>
        <v>0</v>
      </c>
      <c r="F96" s="47">
        <f t="shared" ref="F96" si="20">F97+F250+F268+F269+F272+F274+F291</f>
        <v>0</v>
      </c>
      <c r="G96" s="45">
        <f>G97+G250+G268+G269+G272+G273+G274+G291</f>
        <v>0</v>
      </c>
      <c r="H96" s="45">
        <f>H97+H250+H268+H269+H272+H273+H274+H291</f>
        <v>0</v>
      </c>
      <c r="I96" s="45">
        <f t="shared" ref="I96:Y96" si="21">I97+I250+I268+I269+I272+I273+I274+I291</f>
        <v>0</v>
      </c>
      <c r="J96" s="45">
        <f t="shared" si="21"/>
        <v>0</v>
      </c>
      <c r="K96" s="45">
        <f t="shared" si="21"/>
        <v>0</v>
      </c>
      <c r="L96" s="45">
        <f t="shared" si="21"/>
        <v>0</v>
      </c>
      <c r="M96" s="45">
        <f t="shared" si="21"/>
        <v>0</v>
      </c>
      <c r="N96" s="45">
        <f t="shared" si="21"/>
        <v>0</v>
      </c>
      <c r="O96" s="45">
        <f t="shared" si="21"/>
        <v>0</v>
      </c>
      <c r="P96" s="45">
        <f t="shared" si="21"/>
        <v>0</v>
      </c>
      <c r="Q96" s="45">
        <f t="shared" si="21"/>
        <v>0</v>
      </c>
      <c r="R96" s="45">
        <f t="shared" si="21"/>
        <v>0</v>
      </c>
      <c r="S96" s="45">
        <f t="shared" si="21"/>
        <v>0</v>
      </c>
      <c r="T96" s="45">
        <f t="shared" si="21"/>
        <v>0</v>
      </c>
      <c r="U96" s="45">
        <f t="shared" si="21"/>
        <v>0</v>
      </c>
      <c r="V96" s="45">
        <f t="shared" si="21"/>
        <v>0</v>
      </c>
      <c r="W96" s="45">
        <f t="shared" si="21"/>
        <v>0</v>
      </c>
      <c r="X96" s="45">
        <f t="shared" si="21"/>
        <v>0</v>
      </c>
      <c r="Y96" s="45">
        <f t="shared" si="21"/>
        <v>0</v>
      </c>
      <c r="Z96" s="47">
        <f>Z97+Z250+Z268+Z269+Z272+Z274+Z291</f>
        <v>0</v>
      </c>
      <c r="AA96" s="47">
        <f t="shared" si="17"/>
        <v>0</v>
      </c>
      <c r="AB96" s="47">
        <f>AB97+AB250+AB268+AB269+AB272+AB274+AB291</f>
        <v>0</v>
      </c>
      <c r="AC96" s="47">
        <f>AC97+AC250+AC268+AC269+AC272+AC274+AC291</f>
        <v>0</v>
      </c>
      <c r="AD96" s="47"/>
      <c r="AE96" s="47"/>
      <c r="AF96" s="45"/>
      <c r="AG96" s="45"/>
      <c r="AH96" s="45"/>
      <c r="AI96" s="45"/>
      <c r="AJ96" s="45"/>
      <c r="AK96" s="45"/>
      <c r="AL96" s="45"/>
      <c r="AM96" s="45"/>
      <c r="AN96" s="45"/>
      <c r="AO96" s="45"/>
      <c r="AP96" s="45"/>
      <c r="AQ96" s="45"/>
      <c r="AR96" s="45"/>
      <c r="AS96" s="45"/>
      <c r="AT96" s="45"/>
      <c r="AU96" s="45"/>
      <c r="AV96" s="45"/>
      <c r="AW96" s="45"/>
      <c r="AX96" s="45"/>
      <c r="AY96" s="47"/>
      <c r="AZ96" s="47"/>
      <c r="BA96" s="47"/>
      <c r="BB96" s="47"/>
    </row>
    <row r="97" spans="1:54" ht="21.75" customHeight="1">
      <c r="A97" s="58" t="s">
        <v>28</v>
      </c>
      <c r="B97" s="59" t="s">
        <v>158</v>
      </c>
      <c r="C97" s="60"/>
      <c r="D97" s="61">
        <f>D98+D103+D106+D109+D113+D116+D123+D129+D133+D137+D140+D144+D147+D151+D154+D158+D162+D164+D167+D163+D169+D168+D170+D171+D172+D175+D179+D181+D184+D185+D188+D189+D192+D193+D197+D198+D201+D203+D205+D207+D208+D209+D210+D211+D212+D213+D216+D217+D218+D219+D220+D221+D222+D225+D233+D246+D249</f>
        <v>0</v>
      </c>
      <c r="E97" s="46">
        <f>F97+G97+Y97+Z97+AA97</f>
        <v>0</v>
      </c>
      <c r="F97" s="62">
        <f t="shared" ref="F97" si="22">F98+F103+F106+F109+F113+F116+F123+F129+F133+F137+F140+F144+F147+F151+F154+F158+F162+F164+F167+F163+F169+F168+F170+F171+F172+F175+F179+F181+F184+F185+F188+F189+F192+F193+F197+F198+F201+F203+F205+F207+F208+F209+F210+F211+F212+F213+F216+F217+F218+F219+F220+F221+F222+F225+F233+F246</f>
        <v>0</v>
      </c>
      <c r="G97" s="61">
        <f>G98+G103+G106+G109+G113+G116+G123+G129+G133+G137+G140+G144+G147+G151+G154+G158+G162+G164+G167+G163+G169+G168+G170+G171+G172+G175+G179+G181+G184+G185+G188+G189+G192+G193+G197+G198+G201+G203+G205+G207+G208+G209+G210+G211+G212+G213+G216+G217+G218+G219+G220+G221+G222+G225+G233+G246+G249</f>
        <v>0</v>
      </c>
      <c r="H97" s="61">
        <f>H98+H103+H106+H109+H113+H116+H123+H129+H133+H137+H140+H144+H147+H151+H154+H158+H162+H164+H167+H163+H169+H168+H170+H171+H172+H175+H179+H181+H184+H185+H188+H189+H192+H193+H197+H198+H201+H203+H205+H207+H208+H209+H210+H211+H212+H213+H216+H217+H218+H219+H220+H221+H222+H225+H233+H246+H249</f>
        <v>0</v>
      </c>
      <c r="I97" s="61">
        <f t="shared" ref="I97:Y97" si="23">I98+I103+I106+I109+I113+I116+I123+I129+I133+I137+I140+I144+I147+I151+I154+I158+I162+I164+I167+I163+I169+I168+I170+I171+I172+I175+I179+I181+I184+I185+I188+I189+I192+I193+I197+I198+I201+I203+I205+I207+I208+I209+I210+I211+I212+I213+I216+I217+I218+I219+I220+I221+I222+I225+I233+I246+I249</f>
        <v>0</v>
      </c>
      <c r="J97" s="61">
        <f t="shared" si="23"/>
        <v>0</v>
      </c>
      <c r="K97" s="61">
        <f t="shared" si="23"/>
        <v>0</v>
      </c>
      <c r="L97" s="61">
        <f t="shared" si="23"/>
        <v>0</v>
      </c>
      <c r="M97" s="61">
        <f t="shared" si="23"/>
        <v>0</v>
      </c>
      <c r="N97" s="61">
        <f t="shared" si="23"/>
        <v>0</v>
      </c>
      <c r="O97" s="61">
        <f t="shared" si="23"/>
        <v>0</v>
      </c>
      <c r="P97" s="61">
        <f t="shared" si="23"/>
        <v>0</v>
      </c>
      <c r="Q97" s="61">
        <f t="shared" si="23"/>
        <v>0</v>
      </c>
      <c r="R97" s="61">
        <f t="shared" si="23"/>
        <v>0</v>
      </c>
      <c r="S97" s="61">
        <f t="shared" si="23"/>
        <v>0</v>
      </c>
      <c r="T97" s="61">
        <f t="shared" si="23"/>
        <v>0</v>
      </c>
      <c r="U97" s="61">
        <f t="shared" si="23"/>
        <v>0</v>
      </c>
      <c r="V97" s="61">
        <f t="shared" si="23"/>
        <v>0</v>
      </c>
      <c r="W97" s="61">
        <f t="shared" si="23"/>
        <v>0</v>
      </c>
      <c r="X97" s="61">
        <f t="shared" si="23"/>
        <v>0</v>
      </c>
      <c r="Y97" s="61">
        <f t="shared" si="23"/>
        <v>0</v>
      </c>
      <c r="Z97" s="62"/>
      <c r="AA97" s="62">
        <f t="shared" si="17"/>
        <v>0</v>
      </c>
      <c r="AB97" s="62"/>
      <c r="AC97" s="62"/>
      <c r="AD97" s="47"/>
      <c r="AE97" s="62"/>
      <c r="AF97" s="61"/>
      <c r="AG97" s="61"/>
      <c r="AH97" s="61"/>
      <c r="AI97" s="61"/>
      <c r="AJ97" s="61"/>
      <c r="AK97" s="61"/>
      <c r="AL97" s="61"/>
      <c r="AM97" s="61"/>
      <c r="AN97" s="61"/>
      <c r="AO97" s="61"/>
      <c r="AP97" s="61"/>
      <c r="AQ97" s="61"/>
      <c r="AR97" s="61"/>
      <c r="AS97" s="61"/>
      <c r="AT97" s="61"/>
      <c r="AU97" s="61"/>
      <c r="AV97" s="61"/>
      <c r="AW97" s="61"/>
      <c r="AX97" s="61"/>
      <c r="AY97" s="62"/>
      <c r="AZ97" s="62"/>
      <c r="BA97" s="62"/>
      <c r="BB97" s="62"/>
    </row>
    <row r="98" spans="1:54">
      <c r="A98" s="63" t="s">
        <v>367</v>
      </c>
      <c r="B98" s="64" t="s">
        <v>257</v>
      </c>
      <c r="C98" s="65"/>
      <c r="D98" s="66"/>
      <c r="E98" s="46">
        <f t="shared" si="16"/>
        <v>0</v>
      </c>
      <c r="F98" s="67">
        <f t="shared" ref="F98:Y98" si="24">F99+F100+F101+F102</f>
        <v>0</v>
      </c>
      <c r="G98" s="67">
        <f t="shared" si="24"/>
        <v>0</v>
      </c>
      <c r="H98" s="67">
        <f t="shared" si="24"/>
        <v>0</v>
      </c>
      <c r="I98" s="67">
        <f t="shared" si="24"/>
        <v>0</v>
      </c>
      <c r="J98" s="67">
        <f t="shared" si="24"/>
        <v>0</v>
      </c>
      <c r="K98" s="67">
        <f t="shared" si="24"/>
        <v>0</v>
      </c>
      <c r="L98" s="67">
        <f t="shared" si="24"/>
        <v>0</v>
      </c>
      <c r="M98" s="67">
        <f t="shared" si="24"/>
        <v>0</v>
      </c>
      <c r="N98" s="67">
        <f t="shared" si="24"/>
        <v>0</v>
      </c>
      <c r="O98" s="67">
        <f t="shared" si="24"/>
        <v>0</v>
      </c>
      <c r="P98" s="67">
        <f t="shared" si="24"/>
        <v>0</v>
      </c>
      <c r="Q98" s="67">
        <f t="shared" si="24"/>
        <v>0</v>
      </c>
      <c r="R98" s="67">
        <f t="shared" si="24"/>
        <v>0</v>
      </c>
      <c r="S98" s="67">
        <f t="shared" si="24"/>
        <v>0</v>
      </c>
      <c r="T98" s="67">
        <f t="shared" si="24"/>
        <v>0</v>
      </c>
      <c r="U98" s="67">
        <f t="shared" si="24"/>
        <v>0</v>
      </c>
      <c r="V98" s="67">
        <f t="shared" si="24"/>
        <v>0</v>
      </c>
      <c r="W98" s="67">
        <f t="shared" si="24"/>
        <v>0</v>
      </c>
      <c r="X98" s="67">
        <f t="shared" si="24"/>
        <v>0</v>
      </c>
      <c r="Y98" s="67">
        <f t="shared" si="24"/>
        <v>0</v>
      </c>
      <c r="Z98" s="67"/>
      <c r="AA98" s="67">
        <f t="shared" si="17"/>
        <v>0</v>
      </c>
      <c r="AB98" s="67"/>
      <c r="AC98" s="67"/>
      <c r="AD98" s="4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row>
    <row r="99" spans="1:54" ht="12.75" hidden="1" customHeight="1" outlineLevel="1">
      <c r="A99" s="68" t="s">
        <v>188</v>
      </c>
      <c r="B99" s="64" t="s">
        <v>258</v>
      </c>
      <c r="C99" s="65" t="s">
        <v>482</v>
      </c>
      <c r="D99" s="66"/>
      <c r="E99" s="46">
        <f t="shared" si="16"/>
        <v>0</v>
      </c>
      <c r="F99" s="67">
        <f>IF($C99="820",$D99,)</f>
        <v>0</v>
      </c>
      <c r="G99" s="67">
        <f t="shared" ref="G99:G102" si="25">H99+I99+J99+K99+L99+M99+N99+O99+P99+Q99+U99+V99+W99+X99</f>
        <v>0</v>
      </c>
      <c r="H99" s="67">
        <f>IF($C99="864",$D99,)</f>
        <v>0</v>
      </c>
      <c r="I99" s="67">
        <f>IF($C99="867",$D99,)</f>
        <v>0</v>
      </c>
      <c r="J99" s="67">
        <f>IF($C99="861",$D99,)</f>
        <v>0</v>
      </c>
      <c r="K99" s="67">
        <f>IF($C99="862",$D99,)</f>
        <v>0</v>
      </c>
      <c r="L99" s="67">
        <f>IF($C99="865",$D99,)</f>
        <v>0</v>
      </c>
      <c r="M99" s="67">
        <f>IF($C99="868",$D99,)</f>
        <v>0</v>
      </c>
      <c r="N99" s="67">
        <f>IF($C99="869",$D99,)</f>
        <v>0</v>
      </c>
      <c r="O99" s="67">
        <f>IF($C99="871",$D99,)</f>
        <v>0</v>
      </c>
      <c r="P99" s="67">
        <f>IF($C99="874",$D99,)</f>
        <v>0</v>
      </c>
      <c r="Q99" s="67">
        <f>IF($C99="873",$D99,)</f>
        <v>0</v>
      </c>
      <c r="R99" s="67"/>
      <c r="S99" s="67"/>
      <c r="T99" s="67">
        <f>Q99-R99-S99</f>
        <v>0</v>
      </c>
      <c r="U99" s="67">
        <f>IF($C99="877",$D99,)</f>
        <v>0</v>
      </c>
      <c r="V99" s="67">
        <f>IF($C99="875",$D99,)</f>
        <v>0</v>
      </c>
      <c r="W99" s="67">
        <f>IF($C99="872",$D99,)</f>
        <v>0</v>
      </c>
      <c r="X99" s="67">
        <f>IF($C99="909",$D99,)</f>
        <v>0</v>
      </c>
      <c r="Y99" s="67">
        <f>IF(OR($C99="932",$C99="934",$C99="949"),$D99,)</f>
        <v>0</v>
      </c>
      <c r="Z99" s="67"/>
      <c r="AA99" s="67">
        <f t="shared" si="17"/>
        <v>0</v>
      </c>
      <c r="AB99" s="67"/>
      <c r="AC99" s="67"/>
      <c r="AD99" s="4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row>
    <row r="100" spans="1:54" ht="12.75" hidden="1" customHeight="1" outlineLevel="1">
      <c r="A100" s="69" t="s">
        <v>189</v>
      </c>
      <c r="B100" s="52" t="s">
        <v>259</v>
      </c>
      <c r="C100" s="65" t="s">
        <v>483</v>
      </c>
      <c r="D100" s="66"/>
      <c r="E100" s="46">
        <f t="shared" si="16"/>
        <v>0</v>
      </c>
      <c r="F100" s="67">
        <f>IF($C100="820",$D100,)</f>
        <v>0</v>
      </c>
      <c r="G100" s="67">
        <f t="shared" si="25"/>
        <v>0</v>
      </c>
      <c r="H100" s="67">
        <f>IF($C100="864",$D100,)</f>
        <v>0</v>
      </c>
      <c r="I100" s="67">
        <f>IF($C100="867",$D100,)</f>
        <v>0</v>
      </c>
      <c r="J100" s="67">
        <f>IF($C100="861",$D100,)</f>
        <v>0</v>
      </c>
      <c r="K100" s="67">
        <f>IF($C100="862",$D100,)</f>
        <v>0</v>
      </c>
      <c r="L100" s="67">
        <f>IF($C100="865",$D100,)</f>
        <v>0</v>
      </c>
      <c r="M100" s="67">
        <f>IF($C100="868",$D100,)</f>
        <v>0</v>
      </c>
      <c r="N100" s="67">
        <f>IF($C100="869",$D100,)</f>
        <v>0</v>
      </c>
      <c r="O100" s="67">
        <f>IF($C100="871",$D100,)</f>
        <v>0</v>
      </c>
      <c r="P100" s="67">
        <f>IF($C100="874",$D100,)</f>
        <v>0</v>
      </c>
      <c r="Q100" s="67">
        <f>IF($C100="873",$D100,)</f>
        <v>0</v>
      </c>
      <c r="R100" s="67"/>
      <c r="S100" s="67">
        <f>Q100</f>
        <v>0</v>
      </c>
      <c r="T100" s="67">
        <f t="shared" ref="T100:T150" si="26">Q100-R100-S100</f>
        <v>0</v>
      </c>
      <c r="U100" s="67">
        <f>IF($C100="877",$D100,)</f>
        <v>0</v>
      </c>
      <c r="V100" s="67">
        <f>IF($C100="875",$D100,)</f>
        <v>0</v>
      </c>
      <c r="W100" s="67">
        <f>IF($C100="872",$D100,)</f>
        <v>0</v>
      </c>
      <c r="X100" s="67">
        <f>IF($C100="909",$D100,)</f>
        <v>0</v>
      </c>
      <c r="Y100" s="67">
        <f>IF(OR($C100="932",$C100="934",$C100="949"),$D100,)</f>
        <v>0</v>
      </c>
      <c r="Z100" s="67"/>
      <c r="AA100" s="67">
        <f t="shared" si="17"/>
        <v>0</v>
      </c>
      <c r="AB100" s="67"/>
      <c r="AC100" s="67"/>
      <c r="AD100" s="4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row>
    <row r="101" spans="1:54" ht="12.75" hidden="1" customHeight="1" outlineLevel="1">
      <c r="A101" s="68" t="s">
        <v>190</v>
      </c>
      <c r="B101" s="70" t="s">
        <v>260</v>
      </c>
      <c r="C101" s="65" t="s">
        <v>483</v>
      </c>
      <c r="D101" s="66"/>
      <c r="E101" s="46">
        <f t="shared" si="16"/>
        <v>0</v>
      </c>
      <c r="F101" s="67">
        <f>IF($C101="820",$D101,)</f>
        <v>0</v>
      </c>
      <c r="G101" s="67">
        <f t="shared" si="25"/>
        <v>0</v>
      </c>
      <c r="H101" s="67">
        <f>IF($C101="864",$D101,)</f>
        <v>0</v>
      </c>
      <c r="I101" s="67">
        <f>IF($C101="867",$D101,)</f>
        <v>0</v>
      </c>
      <c r="J101" s="67">
        <f>IF($C101="861",$D101,)</f>
        <v>0</v>
      </c>
      <c r="K101" s="67">
        <f>IF($C101="862",$D101,)</f>
        <v>0</v>
      </c>
      <c r="L101" s="67">
        <f>IF($C101="865",$D101,)</f>
        <v>0</v>
      </c>
      <c r="M101" s="67">
        <f>IF($C101="868",$D101,)</f>
        <v>0</v>
      </c>
      <c r="N101" s="67">
        <f>IF($C101="869",$D101,)</f>
        <v>0</v>
      </c>
      <c r="O101" s="67">
        <f>IF($C101="871",$D101,)</f>
        <v>0</v>
      </c>
      <c r="P101" s="67">
        <f>IF($C101="874",$D101,)</f>
        <v>0</v>
      </c>
      <c r="Q101" s="67">
        <f>IF($C101="873",$D101,)</f>
        <v>0</v>
      </c>
      <c r="R101" s="67"/>
      <c r="S101" s="67">
        <f>Q101</f>
        <v>0</v>
      </c>
      <c r="T101" s="67">
        <f t="shared" si="26"/>
        <v>0</v>
      </c>
      <c r="U101" s="67">
        <f>IF($C101="877",$D101,)</f>
        <v>0</v>
      </c>
      <c r="V101" s="67">
        <f>IF($C101="875",$D101,)</f>
        <v>0</v>
      </c>
      <c r="W101" s="67">
        <f>IF($C101="872",$D101,)</f>
        <v>0</v>
      </c>
      <c r="X101" s="67">
        <f>IF($C101="909",$D101,)</f>
        <v>0</v>
      </c>
      <c r="Y101" s="67">
        <f>IF(OR($C101="932",$C101="934",$C101="949"),$D101,)</f>
        <v>0</v>
      </c>
      <c r="Z101" s="67"/>
      <c r="AA101" s="67">
        <f t="shared" si="17"/>
        <v>0</v>
      </c>
      <c r="AB101" s="67"/>
      <c r="AC101" s="67"/>
      <c r="AD101" s="4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row>
    <row r="102" spans="1:54" ht="12.75" hidden="1" customHeight="1" outlineLevel="1">
      <c r="A102" s="69" t="s">
        <v>215</v>
      </c>
      <c r="B102" s="52" t="s">
        <v>261</v>
      </c>
      <c r="C102" s="65" t="s">
        <v>483</v>
      </c>
      <c r="D102" s="66"/>
      <c r="E102" s="46">
        <f t="shared" si="16"/>
        <v>0</v>
      </c>
      <c r="F102" s="67">
        <f>IF($C102="820",$D102,)</f>
        <v>0</v>
      </c>
      <c r="G102" s="67">
        <f t="shared" si="25"/>
        <v>0</v>
      </c>
      <c r="H102" s="67">
        <f>IF($C102="864",$D102,)</f>
        <v>0</v>
      </c>
      <c r="I102" s="67">
        <f>IF($C102="867",$D102,)</f>
        <v>0</v>
      </c>
      <c r="J102" s="67">
        <f>IF($C102="861",$D102,)</f>
        <v>0</v>
      </c>
      <c r="K102" s="67">
        <f>IF($C102="862",$D102,)</f>
        <v>0</v>
      </c>
      <c r="L102" s="67">
        <f>IF($C102="865",$D102,)</f>
        <v>0</v>
      </c>
      <c r="M102" s="67">
        <f>IF($C102="868",$D102,)</f>
        <v>0</v>
      </c>
      <c r="N102" s="67">
        <f>IF($C102="869",$D102,)</f>
        <v>0</v>
      </c>
      <c r="O102" s="67">
        <f>IF($C102="871",$D102,)</f>
        <v>0</v>
      </c>
      <c r="P102" s="67">
        <f>IF($C102="874",$D102,)</f>
        <v>0</v>
      </c>
      <c r="Q102" s="67">
        <f>IF($C102="873",$D102,)</f>
        <v>0</v>
      </c>
      <c r="R102" s="67"/>
      <c r="S102" s="67">
        <f>Q102</f>
        <v>0</v>
      </c>
      <c r="T102" s="67">
        <f t="shared" si="26"/>
        <v>0</v>
      </c>
      <c r="U102" s="67">
        <f>IF($C102="877",$D102,)</f>
        <v>0</v>
      </c>
      <c r="V102" s="67">
        <f>IF($C102="875",$D102,)</f>
        <v>0</v>
      </c>
      <c r="W102" s="67">
        <f>IF($C102="872",$D102,)</f>
        <v>0</v>
      </c>
      <c r="X102" s="67">
        <f>IF($C102="909",$D102,)</f>
        <v>0</v>
      </c>
      <c r="Y102" s="67">
        <f>IF(OR($C102="932",$C102="934",$C102="949"),$D102,)</f>
        <v>0</v>
      </c>
      <c r="Z102" s="67"/>
      <c r="AA102" s="67">
        <f t="shared" si="17"/>
        <v>0</v>
      </c>
      <c r="AB102" s="67"/>
      <c r="AC102" s="67"/>
      <c r="AD102" s="4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row>
    <row r="103" spans="1:54" collapsed="1">
      <c r="A103" s="69" t="s">
        <v>368</v>
      </c>
      <c r="B103" s="70" t="s">
        <v>255</v>
      </c>
      <c r="C103" s="65"/>
      <c r="D103" s="66"/>
      <c r="E103" s="46">
        <f t="shared" si="16"/>
        <v>0</v>
      </c>
      <c r="F103" s="67">
        <f t="shared" ref="F103:Y103" si="27">F104+F105</f>
        <v>0</v>
      </c>
      <c r="G103" s="67">
        <f t="shared" si="27"/>
        <v>0</v>
      </c>
      <c r="H103" s="67">
        <f t="shared" si="27"/>
        <v>0</v>
      </c>
      <c r="I103" s="67">
        <f t="shared" si="27"/>
        <v>0</v>
      </c>
      <c r="J103" s="67">
        <f t="shared" si="27"/>
        <v>0</v>
      </c>
      <c r="K103" s="67">
        <f t="shared" si="27"/>
        <v>0</v>
      </c>
      <c r="L103" s="67">
        <f t="shared" si="27"/>
        <v>0</v>
      </c>
      <c r="M103" s="67">
        <f t="shared" si="27"/>
        <v>0</v>
      </c>
      <c r="N103" s="67">
        <f t="shared" si="27"/>
        <v>0</v>
      </c>
      <c r="O103" s="67">
        <f t="shared" si="27"/>
        <v>0</v>
      </c>
      <c r="P103" s="67">
        <f t="shared" si="27"/>
        <v>0</v>
      </c>
      <c r="Q103" s="67">
        <f t="shared" si="27"/>
        <v>0</v>
      </c>
      <c r="R103" s="67">
        <f t="shared" si="27"/>
        <v>0</v>
      </c>
      <c r="S103" s="67">
        <f t="shared" si="27"/>
        <v>0</v>
      </c>
      <c r="T103" s="67">
        <f t="shared" si="27"/>
        <v>0</v>
      </c>
      <c r="U103" s="67">
        <f t="shared" si="27"/>
        <v>0</v>
      </c>
      <c r="V103" s="67">
        <f t="shared" si="27"/>
        <v>0</v>
      </c>
      <c r="W103" s="67">
        <f t="shared" si="27"/>
        <v>0</v>
      </c>
      <c r="X103" s="67">
        <f t="shared" si="27"/>
        <v>0</v>
      </c>
      <c r="Y103" s="67">
        <f t="shared" si="27"/>
        <v>0</v>
      </c>
      <c r="Z103" s="67"/>
      <c r="AA103" s="67">
        <f t="shared" si="17"/>
        <v>0</v>
      </c>
      <c r="AB103" s="67"/>
      <c r="AC103" s="67"/>
      <c r="AD103" s="4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row>
    <row r="104" spans="1:54" ht="12.75" hidden="1" customHeight="1" outlineLevel="1">
      <c r="A104" s="69" t="s">
        <v>197</v>
      </c>
      <c r="B104" s="64" t="s">
        <v>262</v>
      </c>
      <c r="C104" s="65" t="s">
        <v>482</v>
      </c>
      <c r="D104" s="66"/>
      <c r="E104" s="46">
        <f t="shared" si="16"/>
        <v>0</v>
      </c>
      <c r="F104" s="67">
        <f>IF($C104="820",$D104,)</f>
        <v>0</v>
      </c>
      <c r="G104" s="67">
        <f t="shared" ref="G104:G167" si="28">H104+I104+J104+K104+L104+M104+N104+O104+P104+Q104+U104+V104+W104+X104</f>
        <v>0</v>
      </c>
      <c r="H104" s="67">
        <f>IF($C104="864",$D104,)</f>
        <v>0</v>
      </c>
      <c r="I104" s="67">
        <f>IF($C104="867",$D104,)</f>
        <v>0</v>
      </c>
      <c r="J104" s="67">
        <f>IF($C104="861",$D104,)</f>
        <v>0</v>
      </c>
      <c r="K104" s="67">
        <f>IF($C104="862",$D104,)</f>
        <v>0</v>
      </c>
      <c r="L104" s="67">
        <f>IF($C104="865",$D104,)</f>
        <v>0</v>
      </c>
      <c r="M104" s="67">
        <f>IF($C104="868",$D104,)</f>
        <v>0</v>
      </c>
      <c r="N104" s="67">
        <f>IF($C104="869",$D104,)</f>
        <v>0</v>
      </c>
      <c r="O104" s="67">
        <f>IF($C104="871",$D104,)</f>
        <v>0</v>
      </c>
      <c r="P104" s="67">
        <f>IF($C104="874",$D104,)</f>
        <v>0</v>
      </c>
      <c r="Q104" s="67">
        <f>IF($C104="873",$D104,)</f>
        <v>0</v>
      </c>
      <c r="R104" s="67"/>
      <c r="S104" s="67"/>
      <c r="T104" s="67">
        <f t="shared" si="26"/>
        <v>0</v>
      </c>
      <c r="U104" s="67">
        <f>IF($C104="877",$D104,)</f>
        <v>0</v>
      </c>
      <c r="V104" s="67">
        <f>IF($C104="875",$D104,)</f>
        <v>0</v>
      </c>
      <c r="W104" s="67">
        <f>IF($C104="872",$D104,)</f>
        <v>0</v>
      </c>
      <c r="X104" s="67">
        <f>IF($C104="909",$D104,)</f>
        <v>0</v>
      </c>
      <c r="Y104" s="67">
        <f>IF(OR($C104="932",$C104="934",$C104="949"),$D104,)</f>
        <v>0</v>
      </c>
      <c r="Z104" s="67"/>
      <c r="AA104" s="67">
        <f t="shared" si="17"/>
        <v>0</v>
      </c>
      <c r="AB104" s="67"/>
      <c r="AC104" s="67"/>
      <c r="AD104" s="4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row>
    <row r="105" spans="1:54" ht="12.75" hidden="1" customHeight="1" outlineLevel="1">
      <c r="A105" s="69" t="s">
        <v>199</v>
      </c>
      <c r="B105" s="52" t="s">
        <v>263</v>
      </c>
      <c r="C105" s="65" t="s">
        <v>483</v>
      </c>
      <c r="D105" s="66"/>
      <c r="E105" s="46">
        <f t="shared" si="16"/>
        <v>0</v>
      </c>
      <c r="F105" s="67">
        <f>IF($C105="820",$D105,)</f>
        <v>0</v>
      </c>
      <c r="G105" s="67">
        <f t="shared" si="28"/>
        <v>0</v>
      </c>
      <c r="H105" s="67">
        <f>IF($C105="864",$D105,)</f>
        <v>0</v>
      </c>
      <c r="I105" s="67">
        <f>IF($C105="867",$D105,)</f>
        <v>0</v>
      </c>
      <c r="J105" s="67">
        <f>IF($C105="861",$D105,)</f>
        <v>0</v>
      </c>
      <c r="K105" s="67">
        <f>IF($C105="862",$D105,)</f>
        <v>0</v>
      </c>
      <c r="L105" s="67">
        <f>IF($C105="865",$D105,)</f>
        <v>0</v>
      </c>
      <c r="M105" s="67">
        <f>IF($C105="868",$D105,)</f>
        <v>0</v>
      </c>
      <c r="N105" s="67">
        <f>IF($C105="869",$D105,)</f>
        <v>0</v>
      </c>
      <c r="O105" s="67">
        <f>IF($C105="871",$D105,)</f>
        <v>0</v>
      </c>
      <c r="P105" s="67">
        <f>IF($C105="874",$D105,)</f>
        <v>0</v>
      </c>
      <c r="Q105" s="67">
        <f>IF($C105="873",$D105,)</f>
        <v>0</v>
      </c>
      <c r="R105" s="67">
        <f>Q105</f>
        <v>0</v>
      </c>
      <c r="S105" s="67"/>
      <c r="T105" s="67">
        <f t="shared" si="26"/>
        <v>0</v>
      </c>
      <c r="U105" s="67">
        <f>IF($C105="877",$D105,)</f>
        <v>0</v>
      </c>
      <c r="V105" s="67">
        <f>IF($C105="875",$D105,)</f>
        <v>0</v>
      </c>
      <c r="W105" s="67">
        <f>IF($C105="872",$D105,)</f>
        <v>0</v>
      </c>
      <c r="X105" s="67">
        <f>IF($C105="909",$D105,)</f>
        <v>0</v>
      </c>
      <c r="Y105" s="67">
        <f>IF(OR($C105="932",$C105="934",$C105="949"),$D105,)</f>
        <v>0</v>
      </c>
      <c r="Z105" s="67"/>
      <c r="AA105" s="67">
        <f t="shared" si="17"/>
        <v>0</v>
      </c>
      <c r="AB105" s="67"/>
      <c r="AC105" s="67"/>
      <c r="AD105" s="4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row>
    <row r="106" spans="1:54" ht="25.5" collapsed="1">
      <c r="A106" s="71" t="s">
        <v>369</v>
      </c>
      <c r="B106" s="52" t="s">
        <v>256</v>
      </c>
      <c r="C106" s="65"/>
      <c r="D106" s="66"/>
      <c r="E106" s="46">
        <f t="shared" si="16"/>
        <v>0</v>
      </c>
      <c r="F106" s="67">
        <f t="shared" ref="F106:Y106" si="29">F107+F108</f>
        <v>0</v>
      </c>
      <c r="G106" s="67">
        <f t="shared" si="29"/>
        <v>0</v>
      </c>
      <c r="H106" s="67">
        <f t="shared" si="29"/>
        <v>0</v>
      </c>
      <c r="I106" s="67">
        <f t="shared" si="29"/>
        <v>0</v>
      </c>
      <c r="J106" s="67">
        <f t="shared" si="29"/>
        <v>0</v>
      </c>
      <c r="K106" s="67">
        <f t="shared" si="29"/>
        <v>0</v>
      </c>
      <c r="L106" s="67">
        <f t="shared" si="29"/>
        <v>0</v>
      </c>
      <c r="M106" s="67">
        <f t="shared" si="29"/>
        <v>0</v>
      </c>
      <c r="N106" s="67">
        <f t="shared" si="29"/>
        <v>0</v>
      </c>
      <c r="O106" s="67">
        <f t="shared" si="29"/>
        <v>0</v>
      </c>
      <c r="P106" s="67">
        <f t="shared" si="29"/>
        <v>0</v>
      </c>
      <c r="Q106" s="67">
        <f t="shared" si="29"/>
        <v>0</v>
      </c>
      <c r="R106" s="67">
        <f t="shared" si="29"/>
        <v>0</v>
      </c>
      <c r="S106" s="67">
        <f t="shared" si="29"/>
        <v>0</v>
      </c>
      <c r="T106" s="67">
        <f t="shared" si="29"/>
        <v>0</v>
      </c>
      <c r="U106" s="67">
        <f t="shared" si="29"/>
        <v>0</v>
      </c>
      <c r="V106" s="67">
        <f t="shared" si="29"/>
        <v>0</v>
      </c>
      <c r="W106" s="67">
        <f t="shared" si="29"/>
        <v>0</v>
      </c>
      <c r="X106" s="67">
        <f t="shared" si="29"/>
        <v>0</v>
      </c>
      <c r="Y106" s="67">
        <f t="shared" si="29"/>
        <v>0</v>
      </c>
      <c r="Z106" s="67"/>
      <c r="AA106" s="67">
        <f t="shared" si="17"/>
        <v>0</v>
      </c>
      <c r="AB106" s="67"/>
      <c r="AC106" s="67"/>
      <c r="AD106" s="4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row>
    <row r="107" spans="1:54" ht="12.75" hidden="1" customHeight="1" outlineLevel="1">
      <c r="A107" s="69" t="s">
        <v>202</v>
      </c>
      <c r="B107" s="64" t="s">
        <v>258</v>
      </c>
      <c r="C107" s="65" t="s">
        <v>482</v>
      </c>
      <c r="D107" s="66"/>
      <c r="E107" s="46">
        <f t="shared" si="16"/>
        <v>0</v>
      </c>
      <c r="F107" s="67">
        <f>IF($C107="820",$D107,)</f>
        <v>0</v>
      </c>
      <c r="G107" s="67">
        <f t="shared" si="28"/>
        <v>0</v>
      </c>
      <c r="H107" s="67">
        <f>IF($C107="864",$D107,)</f>
        <v>0</v>
      </c>
      <c r="I107" s="67">
        <f>IF($C107="867",$D107,)</f>
        <v>0</v>
      </c>
      <c r="J107" s="67">
        <f>IF($C107="861",$D107,)</f>
        <v>0</v>
      </c>
      <c r="K107" s="67">
        <f>IF($C107="862",$D107,)</f>
        <v>0</v>
      </c>
      <c r="L107" s="67">
        <f>IF($C107="865",$D107,)</f>
        <v>0</v>
      </c>
      <c r="M107" s="67">
        <f>IF($C107="868",$D107,)</f>
        <v>0</v>
      </c>
      <c r="N107" s="67">
        <f>IF($C107="869",$D107,)</f>
        <v>0</v>
      </c>
      <c r="O107" s="67">
        <f>IF($C107="871",$D107,)</f>
        <v>0</v>
      </c>
      <c r="P107" s="67">
        <f>IF($C107="874",$D107,)</f>
        <v>0</v>
      </c>
      <c r="Q107" s="67">
        <f>IF($C107="873",$D107,)</f>
        <v>0</v>
      </c>
      <c r="R107" s="67"/>
      <c r="S107" s="67"/>
      <c r="T107" s="67">
        <f t="shared" si="26"/>
        <v>0</v>
      </c>
      <c r="U107" s="67">
        <f>IF($C107="877",$D107,)</f>
        <v>0</v>
      </c>
      <c r="V107" s="67">
        <f>IF($C107="875",$D107,)</f>
        <v>0</v>
      </c>
      <c r="W107" s="67">
        <f>IF($C107="872",$D107,)</f>
        <v>0</v>
      </c>
      <c r="X107" s="67">
        <f>IF($C107="909",$D107,)</f>
        <v>0</v>
      </c>
      <c r="Y107" s="67">
        <f>IF(OR($C107="932",$C107="934",$C107="949"),$D107,)</f>
        <v>0</v>
      </c>
      <c r="Z107" s="67"/>
      <c r="AA107" s="67">
        <f t="shared" si="17"/>
        <v>0</v>
      </c>
      <c r="AB107" s="67"/>
      <c r="AC107" s="67"/>
      <c r="AD107" s="4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row>
    <row r="108" spans="1:54" ht="12.75" hidden="1" customHeight="1" outlineLevel="1">
      <c r="A108" s="69" t="s">
        <v>201</v>
      </c>
      <c r="B108" s="52" t="s">
        <v>264</v>
      </c>
      <c r="C108" s="65" t="s">
        <v>483</v>
      </c>
      <c r="D108" s="66"/>
      <c r="E108" s="46">
        <f t="shared" si="16"/>
        <v>0</v>
      </c>
      <c r="F108" s="67">
        <f>IF($C108="820",$D108,)</f>
        <v>0</v>
      </c>
      <c r="G108" s="67">
        <f t="shared" si="28"/>
        <v>0</v>
      </c>
      <c r="H108" s="67">
        <f>IF($C108="864",$D108,)</f>
        <v>0</v>
      </c>
      <c r="I108" s="67">
        <f>IF($C108="867",$D108,)</f>
        <v>0</v>
      </c>
      <c r="J108" s="67">
        <f>IF($C108="861",$D108,)</f>
        <v>0</v>
      </c>
      <c r="K108" s="67">
        <f>IF($C108="862",$D108,)</f>
        <v>0</v>
      </c>
      <c r="L108" s="67">
        <f>IF($C108="865",$D108,)</f>
        <v>0</v>
      </c>
      <c r="M108" s="67">
        <f>IF($C108="868",$D108,)</f>
        <v>0</v>
      </c>
      <c r="N108" s="67">
        <f>IF($C108="869",$D108,)</f>
        <v>0</v>
      </c>
      <c r="O108" s="67">
        <f>IF($C108="871",$D108,)</f>
        <v>0</v>
      </c>
      <c r="P108" s="67">
        <f>IF($C108="874",$D108,)</f>
        <v>0</v>
      </c>
      <c r="Q108" s="67">
        <f>IF($C108="873",$D108,)</f>
        <v>0</v>
      </c>
      <c r="R108" s="67"/>
      <c r="S108" s="67"/>
      <c r="T108" s="67">
        <f t="shared" si="26"/>
        <v>0</v>
      </c>
      <c r="U108" s="67">
        <f>IF($C108="877",$D108,)</f>
        <v>0</v>
      </c>
      <c r="V108" s="67">
        <f>IF($C108="875",$D108,)</f>
        <v>0</v>
      </c>
      <c r="W108" s="67">
        <f>IF($C108="872",$D108,)</f>
        <v>0</v>
      </c>
      <c r="X108" s="67">
        <f>IF($C108="909",$D108,)</f>
        <v>0</v>
      </c>
      <c r="Y108" s="67">
        <f>IF(OR($C108="932",$C108="934",$C108="949"),$D108,)</f>
        <v>0</v>
      </c>
      <c r="Z108" s="67"/>
      <c r="AA108" s="67">
        <f t="shared" si="17"/>
        <v>0</v>
      </c>
      <c r="AB108" s="67"/>
      <c r="AC108" s="67"/>
      <c r="AD108" s="4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row>
    <row r="109" spans="1:54" ht="25.5" collapsed="1">
      <c r="A109" s="71" t="s">
        <v>370</v>
      </c>
      <c r="B109" s="52" t="s">
        <v>265</v>
      </c>
      <c r="C109" s="65"/>
      <c r="D109" s="66"/>
      <c r="E109" s="46">
        <f t="shared" si="16"/>
        <v>0</v>
      </c>
      <c r="F109" s="67">
        <f t="shared" ref="F109:Y109" si="30">F110+F111+F112</f>
        <v>0</v>
      </c>
      <c r="G109" s="67">
        <f t="shared" si="30"/>
        <v>0</v>
      </c>
      <c r="H109" s="67">
        <f t="shared" si="30"/>
        <v>0</v>
      </c>
      <c r="I109" s="67">
        <f t="shared" si="30"/>
        <v>0</v>
      </c>
      <c r="J109" s="67">
        <f t="shared" si="30"/>
        <v>0</v>
      </c>
      <c r="K109" s="67">
        <f t="shared" si="30"/>
        <v>0</v>
      </c>
      <c r="L109" s="67">
        <f t="shared" si="30"/>
        <v>0</v>
      </c>
      <c r="M109" s="67">
        <f t="shared" si="30"/>
        <v>0</v>
      </c>
      <c r="N109" s="67">
        <f t="shared" si="30"/>
        <v>0</v>
      </c>
      <c r="O109" s="67">
        <f t="shared" si="30"/>
        <v>0</v>
      </c>
      <c r="P109" s="67">
        <f t="shared" si="30"/>
        <v>0</v>
      </c>
      <c r="Q109" s="67">
        <f t="shared" si="30"/>
        <v>0</v>
      </c>
      <c r="R109" s="67">
        <f t="shared" si="30"/>
        <v>0</v>
      </c>
      <c r="S109" s="67">
        <f t="shared" si="30"/>
        <v>0</v>
      </c>
      <c r="T109" s="67">
        <f t="shared" si="30"/>
        <v>0</v>
      </c>
      <c r="U109" s="67">
        <f t="shared" si="30"/>
        <v>0</v>
      </c>
      <c r="V109" s="67">
        <f t="shared" si="30"/>
        <v>0</v>
      </c>
      <c r="W109" s="67">
        <f t="shared" si="30"/>
        <v>0</v>
      </c>
      <c r="X109" s="67">
        <f t="shared" si="30"/>
        <v>0</v>
      </c>
      <c r="Y109" s="67">
        <f t="shared" si="30"/>
        <v>0</v>
      </c>
      <c r="Z109" s="67"/>
      <c r="AA109" s="67">
        <f t="shared" si="17"/>
        <v>0</v>
      </c>
      <c r="AB109" s="67"/>
      <c r="AC109" s="67"/>
      <c r="AD109" s="4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row>
    <row r="110" spans="1:54" ht="12.75" hidden="1" customHeight="1" outlineLevel="1">
      <c r="A110" s="69" t="s">
        <v>203</v>
      </c>
      <c r="B110" s="64" t="s">
        <v>262</v>
      </c>
      <c r="C110" s="65" t="s">
        <v>482</v>
      </c>
      <c r="D110" s="66"/>
      <c r="E110" s="46">
        <f t="shared" si="16"/>
        <v>0</v>
      </c>
      <c r="F110" s="67">
        <f>IF($C110="820",$D110,)</f>
        <v>0</v>
      </c>
      <c r="G110" s="67">
        <f t="shared" si="28"/>
        <v>0</v>
      </c>
      <c r="H110" s="67">
        <f>IF($C110="864",$D110,)</f>
        <v>0</v>
      </c>
      <c r="I110" s="67">
        <f>IF($C110="867",$D110,)</f>
        <v>0</v>
      </c>
      <c r="J110" s="67">
        <f>IF($C110="861",$D110,)</f>
        <v>0</v>
      </c>
      <c r="K110" s="67">
        <f>IF($C110="862",$D110,)</f>
        <v>0</v>
      </c>
      <c r="L110" s="67">
        <f>IF($C110="865",$D110,)</f>
        <v>0</v>
      </c>
      <c r="M110" s="67">
        <f>IF($C110="868",$D110,)</f>
        <v>0</v>
      </c>
      <c r="N110" s="67">
        <f>IF($C110="869",$D110,)</f>
        <v>0</v>
      </c>
      <c r="O110" s="67">
        <f>IF($C110="871",$D110,)</f>
        <v>0</v>
      </c>
      <c r="P110" s="67">
        <f>IF($C110="874",$D110,)</f>
        <v>0</v>
      </c>
      <c r="Q110" s="67">
        <f>IF($C110="873",$D110,)</f>
        <v>0</v>
      </c>
      <c r="R110" s="67"/>
      <c r="S110" s="67"/>
      <c r="T110" s="67">
        <f t="shared" si="26"/>
        <v>0</v>
      </c>
      <c r="U110" s="67">
        <f>IF($C110="877",$D110,)</f>
        <v>0</v>
      </c>
      <c r="V110" s="67">
        <f>IF($C110="875",$D110,)</f>
        <v>0</v>
      </c>
      <c r="W110" s="67">
        <f>IF($C110="872",$D110,)</f>
        <v>0</v>
      </c>
      <c r="X110" s="67">
        <f>IF($C110="909",$D110,)</f>
        <v>0</v>
      </c>
      <c r="Y110" s="67">
        <f>IF(OR($C110="932",$C110="934",$C110="949"),$D110,)</f>
        <v>0</v>
      </c>
      <c r="Z110" s="67"/>
      <c r="AA110" s="67">
        <f t="shared" si="17"/>
        <v>0</v>
      </c>
      <c r="AB110" s="67"/>
      <c r="AC110" s="67"/>
      <c r="AD110" s="4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row>
    <row r="111" spans="1:54" ht="12.75" hidden="1" customHeight="1" outlineLevel="1">
      <c r="A111" s="71" t="s">
        <v>204</v>
      </c>
      <c r="B111" s="64" t="s">
        <v>266</v>
      </c>
      <c r="C111" s="65" t="s">
        <v>483</v>
      </c>
      <c r="D111" s="66"/>
      <c r="E111" s="46">
        <f t="shared" si="16"/>
        <v>0</v>
      </c>
      <c r="F111" s="67">
        <f>IF($C111="820",$D111,)</f>
        <v>0</v>
      </c>
      <c r="G111" s="67">
        <f t="shared" si="28"/>
        <v>0</v>
      </c>
      <c r="H111" s="67">
        <f>IF($C111="864",$D111,)</f>
        <v>0</v>
      </c>
      <c r="I111" s="67">
        <f>IF($C111="867",$D111,)</f>
        <v>0</v>
      </c>
      <c r="J111" s="67">
        <f>IF($C111="861",$D111,)</f>
        <v>0</v>
      </c>
      <c r="K111" s="67">
        <f>IF($C111="862",$D111,)</f>
        <v>0</v>
      </c>
      <c r="L111" s="67">
        <f>IF($C111="865",$D111,)</f>
        <v>0</v>
      </c>
      <c r="M111" s="67">
        <f>IF($C111="868",$D111,)</f>
        <v>0</v>
      </c>
      <c r="N111" s="67">
        <f>IF($C111="869",$D111,)</f>
        <v>0</v>
      </c>
      <c r="O111" s="67">
        <f>IF($C111="871",$D111,)</f>
        <v>0</v>
      </c>
      <c r="P111" s="67">
        <f>IF($C111="874",$D111,)</f>
        <v>0</v>
      </c>
      <c r="Q111" s="67">
        <f>IF($C111="873",$D111,)</f>
        <v>0</v>
      </c>
      <c r="R111" s="67"/>
      <c r="S111" s="67"/>
      <c r="T111" s="67">
        <f t="shared" si="26"/>
        <v>0</v>
      </c>
      <c r="U111" s="67">
        <f>IF($C111="877",$D111,)</f>
        <v>0</v>
      </c>
      <c r="V111" s="67">
        <f>IF($C111="875",$D111,)</f>
        <v>0</v>
      </c>
      <c r="W111" s="67">
        <f>IF($C111="872",$D111,)</f>
        <v>0</v>
      </c>
      <c r="X111" s="67">
        <f>IF($C111="909",$D111,)</f>
        <v>0</v>
      </c>
      <c r="Y111" s="67">
        <f>IF(OR($C111="932",$C111="934",$C111="949"),$D111,)</f>
        <v>0</v>
      </c>
      <c r="Z111" s="67"/>
      <c r="AA111" s="67">
        <f t="shared" si="17"/>
        <v>0</v>
      </c>
      <c r="AB111" s="67"/>
      <c r="AC111" s="67"/>
      <c r="AD111" s="4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row>
    <row r="112" spans="1:54" ht="12.75" hidden="1" customHeight="1" outlineLevel="1">
      <c r="A112" s="71" t="s">
        <v>205</v>
      </c>
      <c r="B112" s="52" t="s">
        <v>267</v>
      </c>
      <c r="C112" s="65" t="s">
        <v>484</v>
      </c>
      <c r="D112" s="66"/>
      <c r="E112" s="46">
        <f t="shared" si="16"/>
        <v>0</v>
      </c>
      <c r="F112" s="67">
        <f>IF($C112="820",$D112,)</f>
        <v>0</v>
      </c>
      <c r="G112" s="67">
        <f t="shared" si="28"/>
        <v>0</v>
      </c>
      <c r="H112" s="67">
        <f>IF($C112="864",$D112,)</f>
        <v>0</v>
      </c>
      <c r="I112" s="67">
        <f>IF($C112="867",$D112,)</f>
        <v>0</v>
      </c>
      <c r="J112" s="67">
        <f>IF($C112="861",$D112,)</f>
        <v>0</v>
      </c>
      <c r="K112" s="67">
        <f>IF($C112="862",$D112,)</f>
        <v>0</v>
      </c>
      <c r="L112" s="67">
        <f>IF($C112="865",$D112,)</f>
        <v>0</v>
      </c>
      <c r="M112" s="67">
        <f>IF($C112="868",$D112,)</f>
        <v>0</v>
      </c>
      <c r="N112" s="67">
        <f>IF($C112="869",$D112,)</f>
        <v>0</v>
      </c>
      <c r="O112" s="67">
        <f>IF($C112="871",$D112,)</f>
        <v>0</v>
      </c>
      <c r="P112" s="67">
        <f>IF($C112="874",$D112,)</f>
        <v>0</v>
      </c>
      <c r="Q112" s="67">
        <f>IF($C112="873",$D112,)</f>
        <v>0</v>
      </c>
      <c r="R112" s="67"/>
      <c r="S112" s="67"/>
      <c r="T112" s="67">
        <f t="shared" si="26"/>
        <v>0</v>
      </c>
      <c r="U112" s="67">
        <f>IF($C112="877",$D112,)</f>
        <v>0</v>
      </c>
      <c r="V112" s="67">
        <f>IF($C112="875",$D112,)</f>
        <v>0</v>
      </c>
      <c r="W112" s="67">
        <f>IF($C112="872",$D112,)</f>
        <v>0</v>
      </c>
      <c r="X112" s="67">
        <f>IF($C112="909",$D112,)</f>
        <v>0</v>
      </c>
      <c r="Y112" s="67">
        <f>IF(OR($C112="932",$C112="934",$C112="949"),$D112,)</f>
        <v>0</v>
      </c>
      <c r="Z112" s="67"/>
      <c r="AA112" s="67">
        <f t="shared" si="17"/>
        <v>0</v>
      </c>
      <c r="AB112" s="67"/>
      <c r="AC112" s="67"/>
      <c r="AD112" s="4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row>
    <row r="113" spans="1:54" ht="28.5" customHeight="1" collapsed="1">
      <c r="A113" s="71" t="s">
        <v>371</v>
      </c>
      <c r="B113" s="64" t="s">
        <v>268</v>
      </c>
      <c r="C113" s="65"/>
      <c r="D113" s="66"/>
      <c r="E113" s="46">
        <f t="shared" si="16"/>
        <v>0</v>
      </c>
      <c r="F113" s="67">
        <f t="shared" ref="F113:Y113" si="31">F114+F115</f>
        <v>0</v>
      </c>
      <c r="G113" s="67">
        <f t="shared" si="31"/>
        <v>0</v>
      </c>
      <c r="H113" s="67">
        <f t="shared" si="31"/>
        <v>0</v>
      </c>
      <c r="I113" s="67">
        <f t="shared" si="31"/>
        <v>0</v>
      </c>
      <c r="J113" s="67">
        <f t="shared" si="31"/>
        <v>0</v>
      </c>
      <c r="K113" s="67">
        <f t="shared" si="31"/>
        <v>0</v>
      </c>
      <c r="L113" s="67">
        <f t="shared" si="31"/>
        <v>0</v>
      </c>
      <c r="M113" s="67">
        <f t="shared" si="31"/>
        <v>0</v>
      </c>
      <c r="N113" s="67">
        <f t="shared" si="31"/>
        <v>0</v>
      </c>
      <c r="O113" s="67">
        <f t="shared" si="31"/>
        <v>0</v>
      </c>
      <c r="P113" s="67">
        <f t="shared" si="31"/>
        <v>0</v>
      </c>
      <c r="Q113" s="67">
        <f t="shared" si="31"/>
        <v>0</v>
      </c>
      <c r="R113" s="67">
        <f t="shared" si="31"/>
        <v>0</v>
      </c>
      <c r="S113" s="67">
        <f t="shared" si="31"/>
        <v>0</v>
      </c>
      <c r="T113" s="67">
        <f t="shared" si="31"/>
        <v>0</v>
      </c>
      <c r="U113" s="67">
        <f t="shared" si="31"/>
        <v>0</v>
      </c>
      <c r="V113" s="67">
        <f t="shared" si="31"/>
        <v>0</v>
      </c>
      <c r="W113" s="67">
        <f t="shared" si="31"/>
        <v>0</v>
      </c>
      <c r="X113" s="67">
        <f t="shared" si="31"/>
        <v>0</v>
      </c>
      <c r="Y113" s="67">
        <f t="shared" si="31"/>
        <v>0</v>
      </c>
      <c r="Z113" s="67"/>
      <c r="AA113" s="67">
        <f t="shared" si="17"/>
        <v>0</v>
      </c>
      <c r="AB113" s="67"/>
      <c r="AC113" s="67"/>
      <c r="AD113" s="4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row>
    <row r="114" spans="1:54" ht="12.75" hidden="1" customHeight="1" outlineLevel="1">
      <c r="A114" s="69" t="s">
        <v>217</v>
      </c>
      <c r="B114" s="64" t="s">
        <v>258</v>
      </c>
      <c r="C114" s="65" t="s">
        <v>482</v>
      </c>
      <c r="D114" s="66"/>
      <c r="E114" s="46">
        <f t="shared" si="16"/>
        <v>0</v>
      </c>
      <c r="F114" s="67">
        <f>IF($C114="820",$D114,)</f>
        <v>0</v>
      </c>
      <c r="G114" s="67">
        <f t="shared" si="28"/>
        <v>0</v>
      </c>
      <c r="H114" s="67">
        <f>IF($C114="864",$D114,)</f>
        <v>0</v>
      </c>
      <c r="I114" s="67">
        <f>IF($C114="867",$D114,)</f>
        <v>0</v>
      </c>
      <c r="J114" s="67">
        <f>IF($C114="861",$D114,)</f>
        <v>0</v>
      </c>
      <c r="K114" s="67">
        <f>IF($C114="862",$D114,)</f>
        <v>0</v>
      </c>
      <c r="L114" s="67">
        <f>IF($C114="865",$D114,)</f>
        <v>0</v>
      </c>
      <c r="M114" s="67">
        <f>IF($C114="868",$D114,)</f>
        <v>0</v>
      </c>
      <c r="N114" s="67">
        <f>IF($C114="869",$D114,)</f>
        <v>0</v>
      </c>
      <c r="O114" s="67">
        <f>IF($C114="871",$D114,)</f>
        <v>0</v>
      </c>
      <c r="P114" s="67">
        <f>IF($C114="874",$D114,)</f>
        <v>0</v>
      </c>
      <c r="Q114" s="67">
        <f>IF($C114="873",$D114,)</f>
        <v>0</v>
      </c>
      <c r="R114" s="67"/>
      <c r="S114" s="67"/>
      <c r="T114" s="67">
        <f t="shared" si="26"/>
        <v>0</v>
      </c>
      <c r="U114" s="67">
        <f>IF($C114="877",$D114,)</f>
        <v>0</v>
      </c>
      <c r="V114" s="67">
        <f>IF($C114="875",$D114,)</f>
        <v>0</v>
      </c>
      <c r="W114" s="67">
        <f>IF($C114="872",$D114,)</f>
        <v>0</v>
      </c>
      <c r="X114" s="67">
        <f>IF($C114="909",$D114,)</f>
        <v>0</v>
      </c>
      <c r="Y114" s="67">
        <f>IF(OR($C114="932",$C114="934",$C114="949"),$D114,)</f>
        <v>0</v>
      </c>
      <c r="Z114" s="67"/>
      <c r="AA114" s="67">
        <f t="shared" si="17"/>
        <v>0</v>
      </c>
      <c r="AB114" s="67"/>
      <c r="AC114" s="67"/>
      <c r="AD114" s="4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row>
    <row r="115" spans="1:54" ht="12.75" hidden="1" customHeight="1" outlineLevel="1">
      <c r="A115" s="71" t="s">
        <v>218</v>
      </c>
      <c r="B115" s="64" t="s">
        <v>269</v>
      </c>
      <c r="C115" s="65" t="s">
        <v>483</v>
      </c>
      <c r="D115" s="66"/>
      <c r="E115" s="46">
        <f t="shared" si="16"/>
        <v>0</v>
      </c>
      <c r="F115" s="67">
        <f>IF($C115="820",$D115,)</f>
        <v>0</v>
      </c>
      <c r="G115" s="67">
        <f t="shared" si="28"/>
        <v>0</v>
      </c>
      <c r="H115" s="67">
        <f>IF($C115="864",$D115,)</f>
        <v>0</v>
      </c>
      <c r="I115" s="67">
        <f>IF($C115="867",$D115,)</f>
        <v>0</v>
      </c>
      <c r="J115" s="67">
        <f>IF($C115="861",$D115,)</f>
        <v>0</v>
      </c>
      <c r="K115" s="67">
        <f>IF($C115="862",$D115,)</f>
        <v>0</v>
      </c>
      <c r="L115" s="67">
        <f>IF($C115="865",$D115,)</f>
        <v>0</v>
      </c>
      <c r="M115" s="67">
        <f>IF($C115="868",$D115,)</f>
        <v>0</v>
      </c>
      <c r="N115" s="67">
        <f>IF($C115="869",$D115,)</f>
        <v>0</v>
      </c>
      <c r="O115" s="67">
        <f>IF($C115="871",$D115,)</f>
        <v>0</v>
      </c>
      <c r="P115" s="67">
        <f>IF($C115="874",$D115,)</f>
        <v>0</v>
      </c>
      <c r="Q115" s="67">
        <f>IF($C115="873",$D115,)</f>
        <v>0</v>
      </c>
      <c r="R115" s="67"/>
      <c r="S115" s="67"/>
      <c r="T115" s="67">
        <f t="shared" si="26"/>
        <v>0</v>
      </c>
      <c r="U115" s="67">
        <f>IF($C115="877",$D115,)</f>
        <v>0</v>
      </c>
      <c r="V115" s="67">
        <f>IF($C115="875",$D115,)</f>
        <v>0</v>
      </c>
      <c r="W115" s="67">
        <f>IF($C115="872",$D115,)</f>
        <v>0</v>
      </c>
      <c r="X115" s="67">
        <f>IF($C115="909",$D115,)</f>
        <v>0</v>
      </c>
      <c r="Y115" s="67">
        <f>IF(OR($C115="932",$C115="934",$C115="949"),$D115,)</f>
        <v>0</v>
      </c>
      <c r="Z115" s="67"/>
      <c r="AA115" s="67">
        <f t="shared" si="17"/>
        <v>0</v>
      </c>
      <c r="AB115" s="67"/>
      <c r="AC115" s="67"/>
      <c r="AD115" s="4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row>
    <row r="116" spans="1:54" ht="25.5" collapsed="1">
      <c r="A116" s="71" t="s">
        <v>372</v>
      </c>
      <c r="B116" s="52" t="s">
        <v>270</v>
      </c>
      <c r="C116" s="72"/>
      <c r="D116" s="66"/>
      <c r="E116" s="46">
        <f t="shared" si="16"/>
        <v>0</v>
      </c>
      <c r="F116" s="67">
        <f>F117+F121</f>
        <v>0</v>
      </c>
      <c r="G116" s="67">
        <f t="shared" si="28"/>
        <v>0</v>
      </c>
      <c r="H116" s="67">
        <f>H117+H121+H122</f>
        <v>0</v>
      </c>
      <c r="I116" s="67">
        <f t="shared" ref="I116:Y116" si="32">I117+I121+I122</f>
        <v>0</v>
      </c>
      <c r="J116" s="67">
        <f t="shared" si="32"/>
        <v>0</v>
      </c>
      <c r="K116" s="67">
        <f t="shared" si="32"/>
        <v>0</v>
      </c>
      <c r="L116" s="67">
        <f t="shared" si="32"/>
        <v>0</v>
      </c>
      <c r="M116" s="67">
        <f t="shared" si="32"/>
        <v>0</v>
      </c>
      <c r="N116" s="67">
        <f t="shared" si="32"/>
        <v>0</v>
      </c>
      <c r="O116" s="67">
        <f t="shared" si="32"/>
        <v>0</v>
      </c>
      <c r="P116" s="67">
        <f t="shared" si="32"/>
        <v>0</v>
      </c>
      <c r="Q116" s="67">
        <f t="shared" si="32"/>
        <v>0</v>
      </c>
      <c r="R116" s="67">
        <f t="shared" si="32"/>
        <v>0</v>
      </c>
      <c r="S116" s="67">
        <f t="shared" si="32"/>
        <v>0</v>
      </c>
      <c r="T116" s="67">
        <f t="shared" si="32"/>
        <v>0</v>
      </c>
      <c r="U116" s="67">
        <f t="shared" si="32"/>
        <v>0</v>
      </c>
      <c r="V116" s="67">
        <f t="shared" si="32"/>
        <v>0</v>
      </c>
      <c r="W116" s="67">
        <f t="shared" si="32"/>
        <v>0</v>
      </c>
      <c r="X116" s="67">
        <f t="shared" si="32"/>
        <v>0</v>
      </c>
      <c r="Y116" s="67">
        <f t="shared" si="32"/>
        <v>0</v>
      </c>
      <c r="Z116" s="67"/>
      <c r="AA116" s="67">
        <f t="shared" si="17"/>
        <v>0</v>
      </c>
      <c r="AB116" s="67"/>
      <c r="AC116" s="67"/>
      <c r="AD116" s="4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row>
    <row r="117" spans="1:54" ht="12.75" hidden="1" customHeight="1" outlineLevel="1">
      <c r="A117" s="73" t="s">
        <v>223</v>
      </c>
      <c r="B117" s="52" t="s">
        <v>271</v>
      </c>
      <c r="C117" s="72"/>
      <c r="D117" s="66"/>
      <c r="E117" s="46">
        <f t="shared" si="16"/>
        <v>0</v>
      </c>
      <c r="F117" s="67">
        <f t="shared" ref="F117:Y117" si="33">F118+F119+F120</f>
        <v>0</v>
      </c>
      <c r="G117" s="67">
        <f t="shared" si="33"/>
        <v>0</v>
      </c>
      <c r="H117" s="67">
        <f t="shared" si="33"/>
        <v>0</v>
      </c>
      <c r="I117" s="67">
        <f t="shared" si="33"/>
        <v>0</v>
      </c>
      <c r="J117" s="67">
        <f t="shared" si="33"/>
        <v>0</v>
      </c>
      <c r="K117" s="67">
        <f t="shared" si="33"/>
        <v>0</v>
      </c>
      <c r="L117" s="67">
        <f t="shared" si="33"/>
        <v>0</v>
      </c>
      <c r="M117" s="67">
        <f t="shared" si="33"/>
        <v>0</v>
      </c>
      <c r="N117" s="67">
        <f t="shared" si="33"/>
        <v>0</v>
      </c>
      <c r="O117" s="67">
        <f t="shared" si="33"/>
        <v>0</v>
      </c>
      <c r="P117" s="67">
        <f t="shared" si="33"/>
        <v>0</v>
      </c>
      <c r="Q117" s="67">
        <f t="shared" si="33"/>
        <v>0</v>
      </c>
      <c r="R117" s="67">
        <f t="shared" si="33"/>
        <v>0</v>
      </c>
      <c r="S117" s="67">
        <f t="shared" si="33"/>
        <v>0</v>
      </c>
      <c r="T117" s="67">
        <f t="shared" si="33"/>
        <v>0</v>
      </c>
      <c r="U117" s="67">
        <f t="shared" si="33"/>
        <v>0</v>
      </c>
      <c r="V117" s="67">
        <f t="shared" si="33"/>
        <v>0</v>
      </c>
      <c r="W117" s="67">
        <f t="shared" si="33"/>
        <v>0</v>
      </c>
      <c r="X117" s="67">
        <f t="shared" si="33"/>
        <v>0</v>
      </c>
      <c r="Y117" s="67">
        <f t="shared" si="33"/>
        <v>0</v>
      </c>
      <c r="Z117" s="67"/>
      <c r="AA117" s="67">
        <f t="shared" si="17"/>
        <v>0</v>
      </c>
      <c r="AB117" s="67"/>
      <c r="AC117" s="67"/>
      <c r="AD117" s="4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row>
    <row r="118" spans="1:54" ht="12.75" hidden="1" customHeight="1" outlineLevel="1">
      <c r="A118" s="68" t="s">
        <v>241</v>
      </c>
      <c r="B118" s="64" t="s">
        <v>258</v>
      </c>
      <c r="C118" s="65" t="s">
        <v>482</v>
      </c>
      <c r="D118" s="66"/>
      <c r="E118" s="46">
        <f t="shared" si="16"/>
        <v>0</v>
      </c>
      <c r="F118" s="67">
        <f>IF($C118="820",$D118,)</f>
        <v>0</v>
      </c>
      <c r="G118" s="67">
        <f t="shared" si="28"/>
        <v>0</v>
      </c>
      <c r="H118" s="67">
        <f>IF($C118="864",$D118,)</f>
        <v>0</v>
      </c>
      <c r="I118" s="67">
        <f>IF($C118="867",$D118,)</f>
        <v>0</v>
      </c>
      <c r="J118" s="67">
        <f>IF($C118="861",$D118,)</f>
        <v>0</v>
      </c>
      <c r="K118" s="67">
        <f>IF($C118="862",$D118,)</f>
        <v>0</v>
      </c>
      <c r="L118" s="67">
        <f>IF($C118="865",$D118,)</f>
        <v>0</v>
      </c>
      <c r="M118" s="67">
        <f>IF($C118="868",$D118,)</f>
        <v>0</v>
      </c>
      <c r="N118" s="67">
        <f>IF($C118="869",$D118,)</f>
        <v>0</v>
      </c>
      <c r="O118" s="67">
        <f>IF($C118="871",$D118,)</f>
        <v>0</v>
      </c>
      <c r="P118" s="67">
        <f>IF($C118="874",$D118,)</f>
        <v>0</v>
      </c>
      <c r="Q118" s="67">
        <f>IF($C118="873",$D118,)</f>
        <v>0</v>
      </c>
      <c r="R118" s="67"/>
      <c r="S118" s="67"/>
      <c r="T118" s="67">
        <f t="shared" si="26"/>
        <v>0</v>
      </c>
      <c r="U118" s="67">
        <f>IF($C118="877",$D118,)</f>
        <v>0</v>
      </c>
      <c r="V118" s="67">
        <f>IF($C118="875",$D118,)</f>
        <v>0</v>
      </c>
      <c r="W118" s="67">
        <f>IF($C118="872",$D118,)</f>
        <v>0</v>
      </c>
      <c r="X118" s="67">
        <f>IF($C118="909",$D118,)</f>
        <v>0</v>
      </c>
      <c r="Y118" s="67">
        <f>IF(OR($C118="932",$C118="934",$C118="949"),$D118,)</f>
        <v>0</v>
      </c>
      <c r="Z118" s="67"/>
      <c r="AA118" s="67">
        <f t="shared" si="17"/>
        <v>0</v>
      </c>
      <c r="AB118" s="67"/>
      <c r="AC118" s="67"/>
      <c r="AD118" s="4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row>
    <row r="119" spans="1:54" ht="12.75" hidden="1" customHeight="1" outlineLevel="1">
      <c r="A119" s="68" t="s">
        <v>242</v>
      </c>
      <c r="B119" s="64" t="s">
        <v>272</v>
      </c>
      <c r="C119" s="65" t="s">
        <v>485</v>
      </c>
      <c r="D119" s="66"/>
      <c r="E119" s="46">
        <f t="shared" si="16"/>
        <v>0</v>
      </c>
      <c r="F119" s="67">
        <f>IF($C119="820",$D119,)</f>
        <v>0</v>
      </c>
      <c r="G119" s="67">
        <f t="shared" si="28"/>
        <v>0</v>
      </c>
      <c r="H119" s="67">
        <f>IF($C119="864",$D119,)</f>
        <v>0</v>
      </c>
      <c r="I119" s="67">
        <f>IF($C119="867",$D119,)</f>
        <v>0</v>
      </c>
      <c r="J119" s="67">
        <f>IF($C119="861",$D119,)</f>
        <v>0</v>
      </c>
      <c r="K119" s="67">
        <f>IF($C119="862",$D119,)</f>
        <v>0</v>
      </c>
      <c r="L119" s="67">
        <f>IF($C119="865",$D119,)</f>
        <v>0</v>
      </c>
      <c r="M119" s="67">
        <f>IF($C119="868",$D119,)</f>
        <v>0</v>
      </c>
      <c r="N119" s="67">
        <f>IF($C119="869",$D119,)</f>
        <v>0</v>
      </c>
      <c r="O119" s="67">
        <f>IF($C119="871",$D119,)</f>
        <v>0</v>
      </c>
      <c r="P119" s="67">
        <f>IF($C119="874",$D119,)</f>
        <v>0</v>
      </c>
      <c r="Q119" s="67">
        <f>IF($C119="873",$D119,)</f>
        <v>0</v>
      </c>
      <c r="R119" s="67"/>
      <c r="S119" s="67"/>
      <c r="T119" s="67">
        <f t="shared" si="26"/>
        <v>0</v>
      </c>
      <c r="U119" s="67">
        <f>IF($C119="877",$D119,)</f>
        <v>0</v>
      </c>
      <c r="V119" s="67">
        <f>IF($C119="875",$D119,)</f>
        <v>0</v>
      </c>
      <c r="W119" s="67">
        <f>IF($C119="872",$D119,)</f>
        <v>0</v>
      </c>
      <c r="X119" s="67">
        <f>IF($C119="909",$D119,)</f>
        <v>0</v>
      </c>
      <c r="Y119" s="67">
        <f>IF(OR($C119="932",$C119="934",$C119="949"),$D119,)</f>
        <v>0</v>
      </c>
      <c r="Z119" s="67"/>
      <c r="AA119" s="67">
        <f t="shared" si="17"/>
        <v>0</v>
      </c>
      <c r="AB119" s="67"/>
      <c r="AC119" s="67"/>
      <c r="AD119" s="4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row>
    <row r="120" spans="1:54" ht="12.75" hidden="1" customHeight="1" outlineLevel="1">
      <c r="A120" s="73" t="s">
        <v>243</v>
      </c>
      <c r="B120" s="52" t="s">
        <v>273</v>
      </c>
      <c r="C120" s="65" t="s">
        <v>485</v>
      </c>
      <c r="D120" s="66"/>
      <c r="E120" s="46">
        <f t="shared" si="16"/>
        <v>0</v>
      </c>
      <c r="F120" s="67">
        <f>IF($C120="820",$D120,)</f>
        <v>0</v>
      </c>
      <c r="G120" s="67">
        <f t="shared" si="28"/>
        <v>0</v>
      </c>
      <c r="H120" s="67">
        <f>IF($C120="864",$D120,)</f>
        <v>0</v>
      </c>
      <c r="I120" s="67">
        <f>IF($C120="867",$D120,)</f>
        <v>0</v>
      </c>
      <c r="J120" s="67">
        <f>IF($C120="861",$D120,)</f>
        <v>0</v>
      </c>
      <c r="K120" s="67">
        <f>IF($C120="862",$D120,)</f>
        <v>0</v>
      </c>
      <c r="L120" s="67">
        <f>IF($C120="865",$D120,)</f>
        <v>0</v>
      </c>
      <c r="M120" s="67">
        <f>IF($C120="868",$D120,)</f>
        <v>0</v>
      </c>
      <c r="N120" s="67">
        <f>IF($C120="869",$D120,)</f>
        <v>0</v>
      </c>
      <c r="O120" s="67">
        <f>IF($C120="871",$D120,)</f>
        <v>0</v>
      </c>
      <c r="P120" s="67">
        <f>IF($C120="874",$D120,)</f>
        <v>0</v>
      </c>
      <c r="Q120" s="67">
        <f>IF($C120="873",$D120,)</f>
        <v>0</v>
      </c>
      <c r="R120" s="67"/>
      <c r="S120" s="67"/>
      <c r="T120" s="67">
        <f t="shared" si="26"/>
        <v>0</v>
      </c>
      <c r="U120" s="67">
        <f>IF($C120="877",$D120,)</f>
        <v>0</v>
      </c>
      <c r="V120" s="67">
        <f>IF($C120="875",$D120,)</f>
        <v>0</v>
      </c>
      <c r="W120" s="67">
        <f>IF($C120="872",$D120,)</f>
        <v>0</v>
      </c>
      <c r="X120" s="67">
        <f>IF($C120="909",$D120,)</f>
        <v>0</v>
      </c>
      <c r="Y120" s="67">
        <f>IF(OR($C120="932",$C120="934",$C120="949"),$D120,)</f>
        <v>0</v>
      </c>
      <c r="Z120" s="67"/>
      <c r="AA120" s="67">
        <f t="shared" si="17"/>
        <v>0</v>
      </c>
      <c r="AB120" s="67"/>
      <c r="AC120" s="67"/>
      <c r="AD120" s="4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row>
    <row r="121" spans="1:54" ht="51" hidden="1" customHeight="1" outlineLevel="1">
      <c r="A121" s="73" t="s">
        <v>224</v>
      </c>
      <c r="B121" s="52" t="s">
        <v>274</v>
      </c>
      <c r="C121" s="65" t="s">
        <v>485</v>
      </c>
      <c r="D121" s="66"/>
      <c r="E121" s="46">
        <f t="shared" si="16"/>
        <v>0</v>
      </c>
      <c r="F121" s="67">
        <f>IF($C121="820",$D121,)</f>
        <v>0</v>
      </c>
      <c r="G121" s="67">
        <f t="shared" si="28"/>
        <v>0</v>
      </c>
      <c r="H121" s="67">
        <f>IF($C121="864",$D121,)</f>
        <v>0</v>
      </c>
      <c r="I121" s="67">
        <f>IF($C121="867",$D121,)</f>
        <v>0</v>
      </c>
      <c r="J121" s="67">
        <f>IF($C121="861",$D121,)</f>
        <v>0</v>
      </c>
      <c r="K121" s="67">
        <f>IF($C121="862",$D121,)</f>
        <v>0</v>
      </c>
      <c r="L121" s="67">
        <f>IF($C121="865",$D121,)</f>
        <v>0</v>
      </c>
      <c r="M121" s="67">
        <f>IF($C121="868",$D121,)</f>
        <v>0</v>
      </c>
      <c r="N121" s="67">
        <f>IF($C121="869",$D121,)</f>
        <v>0</v>
      </c>
      <c r="O121" s="67">
        <f>IF($C121="871",$D121,)</f>
        <v>0</v>
      </c>
      <c r="P121" s="67">
        <f>IF($C121="874",$D121,)</f>
        <v>0</v>
      </c>
      <c r="Q121" s="67">
        <f>IF($C121="873",$D121,)</f>
        <v>0</v>
      </c>
      <c r="R121" s="67"/>
      <c r="S121" s="67"/>
      <c r="T121" s="67">
        <f t="shared" si="26"/>
        <v>0</v>
      </c>
      <c r="U121" s="67">
        <f>IF($C121="877",$D121,)</f>
        <v>0</v>
      </c>
      <c r="V121" s="67">
        <f>IF($C121="875",$D121,)</f>
        <v>0</v>
      </c>
      <c r="W121" s="67">
        <f>IF($C121="872",$D121,)</f>
        <v>0</v>
      </c>
      <c r="X121" s="67">
        <f>IF($C121="909",$D121,)</f>
        <v>0</v>
      </c>
      <c r="Y121" s="67">
        <f>IF(OR($C121="932",$C121="934",$C121="949"),$D121,)</f>
        <v>0</v>
      </c>
      <c r="Z121" s="67"/>
      <c r="AA121" s="67">
        <f t="shared" si="17"/>
        <v>0</v>
      </c>
      <c r="AB121" s="67"/>
      <c r="AC121" s="67"/>
      <c r="AD121" s="4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row>
    <row r="122" spans="1:54" ht="38.25" hidden="1" customHeight="1" outlineLevel="1">
      <c r="A122" s="73" t="s">
        <v>225</v>
      </c>
      <c r="B122" s="52" t="s">
        <v>275</v>
      </c>
      <c r="C122" s="65" t="s">
        <v>485</v>
      </c>
      <c r="D122" s="66"/>
      <c r="E122" s="46">
        <f t="shared" si="16"/>
        <v>0</v>
      </c>
      <c r="F122" s="67">
        <f>IF($C122="820",$D122,)</f>
        <v>0</v>
      </c>
      <c r="G122" s="67">
        <f t="shared" si="28"/>
        <v>0</v>
      </c>
      <c r="H122" s="67">
        <f>IF($C122="864",$D122,)</f>
        <v>0</v>
      </c>
      <c r="I122" s="67">
        <f>IF($C122="867",$D122,)</f>
        <v>0</v>
      </c>
      <c r="J122" s="67">
        <f>IF($C122="861",$D122,)</f>
        <v>0</v>
      </c>
      <c r="K122" s="67">
        <f>IF($C122="862",$D122,)</f>
        <v>0</v>
      </c>
      <c r="L122" s="67">
        <f>IF($C122="865",$D122,)</f>
        <v>0</v>
      </c>
      <c r="M122" s="67">
        <f>IF($C122="868",$D122,)</f>
        <v>0</v>
      </c>
      <c r="N122" s="67">
        <f>IF($C122="869",$D122,)</f>
        <v>0</v>
      </c>
      <c r="O122" s="67">
        <f>IF($C122="871",$D122,)</f>
        <v>0</v>
      </c>
      <c r="P122" s="67">
        <f>IF($C122="874",$D122,)</f>
        <v>0</v>
      </c>
      <c r="Q122" s="67">
        <f>IF($C122="873",$D122,)</f>
        <v>0</v>
      </c>
      <c r="R122" s="67"/>
      <c r="S122" s="67"/>
      <c r="T122" s="67">
        <f t="shared" si="26"/>
        <v>0</v>
      </c>
      <c r="U122" s="67">
        <f>IF($C122="877",$D122,)</f>
        <v>0</v>
      </c>
      <c r="V122" s="67">
        <f>IF($C122="875",$D122,)</f>
        <v>0</v>
      </c>
      <c r="W122" s="67">
        <f>IF($C122="872",$D122,)</f>
        <v>0</v>
      </c>
      <c r="X122" s="67">
        <f>IF($C122="909",$D122,)</f>
        <v>0</v>
      </c>
      <c r="Y122" s="67">
        <f>IF(OR($C122="932",$C122="934",$C122="949"),$D122,)</f>
        <v>0</v>
      </c>
      <c r="Z122" s="67"/>
      <c r="AA122" s="67"/>
      <c r="AB122" s="67"/>
      <c r="AC122" s="67"/>
      <c r="AD122" s="4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row>
    <row r="123" spans="1:54" collapsed="1">
      <c r="A123" s="71" t="s">
        <v>373</v>
      </c>
      <c r="B123" s="52" t="s">
        <v>248</v>
      </c>
      <c r="C123" s="65"/>
      <c r="D123" s="66"/>
      <c r="E123" s="46">
        <f t="shared" si="16"/>
        <v>0</v>
      </c>
      <c r="F123" s="67">
        <f t="shared" ref="F123:Y123" si="34">F124+F125+F126+F128+F127</f>
        <v>0</v>
      </c>
      <c r="G123" s="67">
        <f t="shared" si="34"/>
        <v>0</v>
      </c>
      <c r="H123" s="67">
        <f t="shared" si="34"/>
        <v>0</v>
      </c>
      <c r="I123" s="67">
        <f t="shared" si="34"/>
        <v>0</v>
      </c>
      <c r="J123" s="67">
        <f t="shared" si="34"/>
        <v>0</v>
      </c>
      <c r="K123" s="67">
        <f t="shared" si="34"/>
        <v>0</v>
      </c>
      <c r="L123" s="67">
        <f t="shared" si="34"/>
        <v>0</v>
      </c>
      <c r="M123" s="67">
        <f t="shared" si="34"/>
        <v>0</v>
      </c>
      <c r="N123" s="67">
        <f t="shared" si="34"/>
        <v>0</v>
      </c>
      <c r="O123" s="67">
        <f t="shared" si="34"/>
        <v>0</v>
      </c>
      <c r="P123" s="67">
        <f t="shared" si="34"/>
        <v>0</v>
      </c>
      <c r="Q123" s="67">
        <f t="shared" si="34"/>
        <v>0</v>
      </c>
      <c r="R123" s="67">
        <f t="shared" si="34"/>
        <v>0</v>
      </c>
      <c r="S123" s="67">
        <f t="shared" si="34"/>
        <v>0</v>
      </c>
      <c r="T123" s="67">
        <f t="shared" si="34"/>
        <v>0</v>
      </c>
      <c r="U123" s="67">
        <f t="shared" si="34"/>
        <v>0</v>
      </c>
      <c r="V123" s="67">
        <f t="shared" si="34"/>
        <v>0</v>
      </c>
      <c r="W123" s="67">
        <f t="shared" si="34"/>
        <v>0</v>
      </c>
      <c r="X123" s="67">
        <f t="shared" si="34"/>
        <v>0</v>
      </c>
      <c r="Y123" s="67">
        <f t="shared" si="34"/>
        <v>0</v>
      </c>
      <c r="Z123" s="67"/>
      <c r="AA123" s="67">
        <f t="shared" si="17"/>
        <v>0</v>
      </c>
      <c r="AB123" s="67"/>
      <c r="AC123" s="67"/>
      <c r="AD123" s="4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row>
    <row r="124" spans="1:54" ht="12.75" hidden="1" customHeight="1" outlineLevel="1">
      <c r="A124" s="69" t="s">
        <v>374</v>
      </c>
      <c r="B124" s="64" t="s">
        <v>258</v>
      </c>
      <c r="C124" s="65" t="s">
        <v>482</v>
      </c>
      <c r="D124" s="66"/>
      <c r="E124" s="46">
        <f t="shared" si="16"/>
        <v>0</v>
      </c>
      <c r="F124" s="67">
        <f>IF($C124="820",$D124,)</f>
        <v>0</v>
      </c>
      <c r="G124" s="67">
        <f t="shared" si="28"/>
        <v>0</v>
      </c>
      <c r="H124" s="67">
        <f>IF($C124="864",$D124,)</f>
        <v>0</v>
      </c>
      <c r="I124" s="67">
        <f>IF($C124="867",$D124,)</f>
        <v>0</v>
      </c>
      <c r="J124" s="67">
        <f>IF($C124="861",$D124,)</f>
        <v>0</v>
      </c>
      <c r="K124" s="67">
        <f>IF($C124="862",$D124,)</f>
        <v>0</v>
      </c>
      <c r="L124" s="67">
        <f>IF($C124="865",$D124,)</f>
        <v>0</v>
      </c>
      <c r="M124" s="67">
        <f>IF($C124="868",$D124,)</f>
        <v>0</v>
      </c>
      <c r="N124" s="67">
        <f>IF($C124="869",$D124,)</f>
        <v>0</v>
      </c>
      <c r="O124" s="67">
        <f>IF($C124="871",$D124,)</f>
        <v>0</v>
      </c>
      <c r="P124" s="67">
        <f>IF($C124="874",$D124,)</f>
        <v>0</v>
      </c>
      <c r="Q124" s="67">
        <f>IF($C124="873",$D124,)</f>
        <v>0</v>
      </c>
      <c r="R124" s="67"/>
      <c r="S124" s="67"/>
      <c r="T124" s="67">
        <f t="shared" si="26"/>
        <v>0</v>
      </c>
      <c r="U124" s="67">
        <f>IF($C124="877",$D124,)</f>
        <v>0</v>
      </c>
      <c r="V124" s="67">
        <f>IF($C124="875",$D124,)</f>
        <v>0</v>
      </c>
      <c r="W124" s="67">
        <f>IF($C124="872",$D124,)</f>
        <v>0</v>
      </c>
      <c r="X124" s="67">
        <f>IF($C124="909",$D124,)</f>
        <v>0</v>
      </c>
      <c r="Y124" s="67">
        <f>IF(OR($C124="932",$C124="934",$C124="949"),$D124,)</f>
        <v>0</v>
      </c>
      <c r="Z124" s="67"/>
      <c r="AA124" s="67">
        <f t="shared" si="17"/>
        <v>0</v>
      </c>
      <c r="AB124" s="67"/>
      <c r="AC124" s="67"/>
      <c r="AD124" s="4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row>
    <row r="125" spans="1:54" ht="12.75" hidden="1" customHeight="1" outlineLevel="1">
      <c r="A125" s="69" t="s">
        <v>375</v>
      </c>
      <c r="B125" s="64" t="s">
        <v>276</v>
      </c>
      <c r="C125" s="65" t="s">
        <v>486</v>
      </c>
      <c r="D125" s="66"/>
      <c r="E125" s="46">
        <f t="shared" si="16"/>
        <v>0</v>
      </c>
      <c r="F125" s="67">
        <f>IF($C125="820",$D125,)</f>
        <v>0</v>
      </c>
      <c r="G125" s="67">
        <f t="shared" si="28"/>
        <v>0</v>
      </c>
      <c r="H125" s="67">
        <f>IF($C125="864",$D125,)</f>
        <v>0</v>
      </c>
      <c r="I125" s="67">
        <f>IF($C125="867",$D125,)</f>
        <v>0</v>
      </c>
      <c r="J125" s="67">
        <f>IF($C125="861",$D125,)</f>
        <v>0</v>
      </c>
      <c r="K125" s="67">
        <f>IF($C125="862",$D125,)</f>
        <v>0</v>
      </c>
      <c r="L125" s="67">
        <f>IF($C125="865",$D125,)</f>
        <v>0</v>
      </c>
      <c r="M125" s="67">
        <f>IF($C125="868",$D125,)</f>
        <v>0</v>
      </c>
      <c r="N125" s="67">
        <f>IF($C125="869",$D125,)</f>
        <v>0</v>
      </c>
      <c r="O125" s="67">
        <f>IF($C125="871",$D125,)</f>
        <v>0</v>
      </c>
      <c r="P125" s="67">
        <f>IF($C125="874",$D125,)</f>
        <v>0</v>
      </c>
      <c r="Q125" s="67">
        <f>IF($C125="873",$D125,)</f>
        <v>0</v>
      </c>
      <c r="R125" s="67"/>
      <c r="S125" s="67"/>
      <c r="T125" s="67">
        <f t="shared" si="26"/>
        <v>0</v>
      </c>
      <c r="U125" s="67">
        <f>IF($C125="877",$D125,)</f>
        <v>0</v>
      </c>
      <c r="V125" s="67">
        <f>IF($C125="875",$D125,)</f>
        <v>0</v>
      </c>
      <c r="W125" s="67">
        <f>IF($C125="872",$D125,)</f>
        <v>0</v>
      </c>
      <c r="X125" s="67">
        <f>IF($C125="909",$D125,)</f>
        <v>0</v>
      </c>
      <c r="Y125" s="67">
        <f>IF(OR($C125="932",$C125="934",$C125="949"),$D125,)</f>
        <v>0</v>
      </c>
      <c r="Z125" s="67"/>
      <c r="AA125" s="67">
        <f t="shared" si="17"/>
        <v>0</v>
      </c>
      <c r="AB125" s="67"/>
      <c r="AC125" s="67"/>
      <c r="AD125" s="4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row>
    <row r="126" spans="1:54" ht="12.75" hidden="1" customHeight="1" outlineLevel="1">
      <c r="A126" s="69" t="s">
        <v>376</v>
      </c>
      <c r="B126" s="52" t="s">
        <v>277</v>
      </c>
      <c r="C126" s="65" t="s">
        <v>485</v>
      </c>
      <c r="D126" s="66"/>
      <c r="E126" s="46">
        <f t="shared" si="16"/>
        <v>0</v>
      </c>
      <c r="F126" s="67">
        <f>IF($C126="820",$D126,)</f>
        <v>0</v>
      </c>
      <c r="G126" s="67">
        <f t="shared" si="28"/>
        <v>0</v>
      </c>
      <c r="H126" s="67">
        <f>IF($C126="864",$D126,)</f>
        <v>0</v>
      </c>
      <c r="I126" s="67">
        <f>IF($C126="867",$D126,)</f>
        <v>0</v>
      </c>
      <c r="J126" s="67">
        <f>IF($C126="861",$D126,)</f>
        <v>0</v>
      </c>
      <c r="K126" s="67">
        <f>IF($C126="862",$D126,)</f>
        <v>0</v>
      </c>
      <c r="L126" s="67">
        <f>IF($C126="865",$D126,)</f>
        <v>0</v>
      </c>
      <c r="M126" s="67">
        <f>IF($C126="868",$D126,)</f>
        <v>0</v>
      </c>
      <c r="N126" s="67">
        <f>IF($C126="869",$D126,)</f>
        <v>0</v>
      </c>
      <c r="O126" s="67">
        <f>IF($C126="871",$D126,)</f>
        <v>0</v>
      </c>
      <c r="P126" s="67">
        <f>IF($C126="874",$D126,)</f>
        <v>0</v>
      </c>
      <c r="Q126" s="67">
        <f>IF($C126="873",$D126,)</f>
        <v>0</v>
      </c>
      <c r="R126" s="67"/>
      <c r="S126" s="67"/>
      <c r="T126" s="67">
        <f t="shared" si="26"/>
        <v>0</v>
      </c>
      <c r="U126" s="67">
        <f>IF($C126="877",$D126,)</f>
        <v>0</v>
      </c>
      <c r="V126" s="67">
        <f>IF($C126="875",$D126,)</f>
        <v>0</v>
      </c>
      <c r="W126" s="67">
        <f>IF($C126="872",$D126,)</f>
        <v>0</v>
      </c>
      <c r="X126" s="67">
        <f>IF($C126="909",$D126,)</f>
        <v>0</v>
      </c>
      <c r="Y126" s="67">
        <f>IF(OR($C126="932",$C126="934",$C126="949"),$D126,)</f>
        <v>0</v>
      </c>
      <c r="Z126" s="67"/>
      <c r="AA126" s="67">
        <f t="shared" si="17"/>
        <v>0</v>
      </c>
      <c r="AB126" s="67"/>
      <c r="AC126" s="67"/>
      <c r="AD126" s="4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row>
    <row r="127" spans="1:54" ht="12.75" hidden="1" customHeight="1" outlineLevel="1">
      <c r="A127" s="69" t="s">
        <v>377</v>
      </c>
      <c r="B127" s="52" t="s">
        <v>278</v>
      </c>
      <c r="C127" s="74" t="s">
        <v>485</v>
      </c>
      <c r="D127" s="66"/>
      <c r="E127" s="46">
        <f t="shared" si="16"/>
        <v>0</v>
      </c>
      <c r="F127" s="67">
        <f>IF($C127="820",$D127,)</f>
        <v>0</v>
      </c>
      <c r="G127" s="67">
        <f t="shared" si="28"/>
        <v>0</v>
      </c>
      <c r="H127" s="67">
        <f>IF($C127="864",$D127,)</f>
        <v>0</v>
      </c>
      <c r="I127" s="67">
        <f>IF($C127="867",$D127,)</f>
        <v>0</v>
      </c>
      <c r="J127" s="67">
        <f>IF($C127="861",$D127,)</f>
        <v>0</v>
      </c>
      <c r="K127" s="67">
        <f>IF($C127="862",$D127,)</f>
        <v>0</v>
      </c>
      <c r="L127" s="67">
        <f>IF($C127="865",$D127,)</f>
        <v>0</v>
      </c>
      <c r="M127" s="67">
        <f>IF($C127="868",$D127,)</f>
        <v>0</v>
      </c>
      <c r="N127" s="67">
        <f>IF($C127="869",$D127,)</f>
        <v>0</v>
      </c>
      <c r="O127" s="67">
        <f>IF($C127="871",$D127,)</f>
        <v>0</v>
      </c>
      <c r="P127" s="67">
        <f>IF($C127="874",$D127,)</f>
        <v>0</v>
      </c>
      <c r="Q127" s="67">
        <f>IF($C127="873",$D127,)</f>
        <v>0</v>
      </c>
      <c r="R127" s="67"/>
      <c r="S127" s="67"/>
      <c r="T127" s="67">
        <f t="shared" si="26"/>
        <v>0</v>
      </c>
      <c r="U127" s="67">
        <f>IF($C127="877",$D127,)</f>
        <v>0</v>
      </c>
      <c r="V127" s="67">
        <f>IF($C127="875",$D127,)</f>
        <v>0</v>
      </c>
      <c r="W127" s="67">
        <f>IF($C127="872",$D127,)</f>
        <v>0</v>
      </c>
      <c r="X127" s="67">
        <f>IF($C127="909",$D127,)</f>
        <v>0</v>
      </c>
      <c r="Y127" s="67">
        <f>IF(OR($C127="932",$C127="934",$C127="949"),$D127,)</f>
        <v>0</v>
      </c>
      <c r="Z127" s="67"/>
      <c r="AA127" s="67">
        <f t="shared" si="17"/>
        <v>0</v>
      </c>
      <c r="AB127" s="67"/>
      <c r="AC127" s="67"/>
      <c r="AD127" s="4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row>
    <row r="128" spans="1:54" ht="12.75" hidden="1" customHeight="1" outlineLevel="1">
      <c r="A128" s="69" t="s">
        <v>378</v>
      </c>
      <c r="B128" s="52" t="s">
        <v>279</v>
      </c>
      <c r="C128" s="65" t="s">
        <v>487</v>
      </c>
      <c r="D128" s="66"/>
      <c r="E128" s="46">
        <f t="shared" si="16"/>
        <v>0</v>
      </c>
      <c r="F128" s="67">
        <f>IF($C128="820",$D128,)</f>
        <v>0</v>
      </c>
      <c r="G128" s="67">
        <f t="shared" si="28"/>
        <v>0</v>
      </c>
      <c r="H128" s="67">
        <f>IF($C128="864",$D128,)</f>
        <v>0</v>
      </c>
      <c r="I128" s="67">
        <f>IF($C128="867",$D128,)</f>
        <v>0</v>
      </c>
      <c r="J128" s="67">
        <f>IF($C128="861",$D128,)</f>
        <v>0</v>
      </c>
      <c r="K128" s="67">
        <f>IF($C128="862",$D128,)</f>
        <v>0</v>
      </c>
      <c r="L128" s="67">
        <f>IF($C128="865",$D128,)</f>
        <v>0</v>
      </c>
      <c r="M128" s="67">
        <f>IF($C128="868",$D128,)</f>
        <v>0</v>
      </c>
      <c r="N128" s="67">
        <f>IF($C128="869",$D128,)</f>
        <v>0</v>
      </c>
      <c r="O128" s="67">
        <f>IF($C128="871",$D128,)</f>
        <v>0</v>
      </c>
      <c r="P128" s="67">
        <f>IF($C128="874",$D128,)</f>
        <v>0</v>
      </c>
      <c r="Q128" s="67">
        <f>IF($C128="873",$D128,)</f>
        <v>0</v>
      </c>
      <c r="R128" s="67"/>
      <c r="S128" s="67"/>
      <c r="T128" s="67">
        <f t="shared" si="26"/>
        <v>0</v>
      </c>
      <c r="U128" s="67">
        <f>IF($C128="877",$D128,)</f>
        <v>0</v>
      </c>
      <c r="V128" s="67">
        <f>IF($C128="875",$D128,)</f>
        <v>0</v>
      </c>
      <c r="W128" s="67">
        <f>IF($C128="872",$D128,)</f>
        <v>0</v>
      </c>
      <c r="X128" s="67">
        <f>IF($C128="909",$D128,)</f>
        <v>0</v>
      </c>
      <c r="Y128" s="67">
        <f>IF(OR($C128="932",$C128="934",$C128="949"),$D128,)</f>
        <v>0</v>
      </c>
      <c r="Z128" s="67"/>
      <c r="AA128" s="67">
        <f t="shared" si="17"/>
        <v>0</v>
      </c>
      <c r="AB128" s="67"/>
      <c r="AC128" s="67"/>
      <c r="AD128" s="4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row>
    <row r="129" spans="1:54" collapsed="1">
      <c r="A129" s="71" t="s">
        <v>379</v>
      </c>
      <c r="B129" s="52" t="s">
        <v>280</v>
      </c>
      <c r="C129" s="65"/>
      <c r="D129" s="66"/>
      <c r="E129" s="46">
        <f t="shared" si="16"/>
        <v>0</v>
      </c>
      <c r="F129" s="67">
        <f t="shared" ref="F129:Y129" si="35">F130+F131+F132</f>
        <v>0</v>
      </c>
      <c r="G129" s="67">
        <f t="shared" si="35"/>
        <v>0</v>
      </c>
      <c r="H129" s="67">
        <f t="shared" si="35"/>
        <v>0</v>
      </c>
      <c r="I129" s="67">
        <f t="shared" si="35"/>
        <v>0</v>
      </c>
      <c r="J129" s="67">
        <f t="shared" si="35"/>
        <v>0</v>
      </c>
      <c r="K129" s="67">
        <f t="shared" si="35"/>
        <v>0</v>
      </c>
      <c r="L129" s="67">
        <f t="shared" si="35"/>
        <v>0</v>
      </c>
      <c r="M129" s="67">
        <f t="shared" si="35"/>
        <v>0</v>
      </c>
      <c r="N129" s="67">
        <f t="shared" si="35"/>
        <v>0</v>
      </c>
      <c r="O129" s="67">
        <f t="shared" si="35"/>
        <v>0</v>
      </c>
      <c r="P129" s="67">
        <f t="shared" si="35"/>
        <v>0</v>
      </c>
      <c r="Q129" s="67">
        <f t="shared" si="35"/>
        <v>0</v>
      </c>
      <c r="R129" s="67">
        <f t="shared" si="35"/>
        <v>0</v>
      </c>
      <c r="S129" s="67">
        <f t="shared" si="35"/>
        <v>0</v>
      </c>
      <c r="T129" s="67">
        <f t="shared" si="35"/>
        <v>0</v>
      </c>
      <c r="U129" s="67">
        <f t="shared" si="35"/>
        <v>0</v>
      </c>
      <c r="V129" s="67">
        <f t="shared" si="35"/>
        <v>0</v>
      </c>
      <c r="W129" s="67">
        <f t="shared" si="35"/>
        <v>0</v>
      </c>
      <c r="X129" s="67">
        <f t="shared" si="35"/>
        <v>0</v>
      </c>
      <c r="Y129" s="67">
        <f t="shared" si="35"/>
        <v>0</v>
      </c>
      <c r="Z129" s="67"/>
      <c r="AA129" s="67">
        <f t="shared" si="17"/>
        <v>0</v>
      </c>
      <c r="AB129" s="67"/>
      <c r="AC129" s="67"/>
      <c r="AD129" s="4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row>
    <row r="130" spans="1:54" ht="12.75" hidden="1" customHeight="1" outlineLevel="1">
      <c r="A130" s="69" t="s">
        <v>380</v>
      </c>
      <c r="B130" s="64" t="s">
        <v>281</v>
      </c>
      <c r="C130" s="65" t="s">
        <v>482</v>
      </c>
      <c r="D130" s="66"/>
      <c r="E130" s="46">
        <f t="shared" si="16"/>
        <v>0</v>
      </c>
      <c r="F130" s="67">
        <f>IF($C130="820",$D130,)</f>
        <v>0</v>
      </c>
      <c r="G130" s="67">
        <f t="shared" si="28"/>
        <v>0</v>
      </c>
      <c r="H130" s="67">
        <f>IF($C130="864",$D130,)</f>
        <v>0</v>
      </c>
      <c r="I130" s="67">
        <f>IF($C130="867",$D130,)</f>
        <v>0</v>
      </c>
      <c r="J130" s="67">
        <f>IF($C130="861",$D130,)</f>
        <v>0</v>
      </c>
      <c r="K130" s="67">
        <f>IF($C130="862",$D130,)</f>
        <v>0</v>
      </c>
      <c r="L130" s="67">
        <f>IF($C130="865",$D130,)</f>
        <v>0</v>
      </c>
      <c r="M130" s="67">
        <f>IF($C130="868",$D130,)</f>
        <v>0</v>
      </c>
      <c r="N130" s="67">
        <f>IF($C130="869",$D130,)</f>
        <v>0</v>
      </c>
      <c r="O130" s="67">
        <f>IF($C130="871",$D130,)</f>
        <v>0</v>
      </c>
      <c r="P130" s="67">
        <f>IF($C130="874",$D130,)</f>
        <v>0</v>
      </c>
      <c r="Q130" s="67">
        <f>IF($C130="873",$D130,)</f>
        <v>0</v>
      </c>
      <c r="R130" s="67"/>
      <c r="S130" s="67"/>
      <c r="T130" s="67">
        <f t="shared" si="26"/>
        <v>0</v>
      </c>
      <c r="U130" s="67">
        <f>IF($C130="877",$D130,)</f>
        <v>0</v>
      </c>
      <c r="V130" s="67">
        <f>IF($C130="875",$D130,)</f>
        <v>0</v>
      </c>
      <c r="W130" s="67">
        <f>IF($C130="872",$D130,)</f>
        <v>0</v>
      </c>
      <c r="X130" s="67">
        <f>IF($C130="909",$D130,)</f>
        <v>0</v>
      </c>
      <c r="Y130" s="67">
        <f>IF(OR($C130="932",$C130="934",$C130="949"),$D130,)</f>
        <v>0</v>
      </c>
      <c r="Z130" s="67"/>
      <c r="AA130" s="67">
        <f t="shared" si="17"/>
        <v>0</v>
      </c>
      <c r="AB130" s="67"/>
      <c r="AC130" s="67"/>
      <c r="AD130" s="4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row>
    <row r="131" spans="1:54" ht="12.75" hidden="1" customHeight="1" outlineLevel="1">
      <c r="A131" s="69" t="s">
        <v>381</v>
      </c>
      <c r="B131" s="52" t="s">
        <v>282</v>
      </c>
      <c r="C131" s="65" t="s">
        <v>488</v>
      </c>
      <c r="D131" s="66"/>
      <c r="E131" s="46">
        <f t="shared" si="16"/>
        <v>0</v>
      </c>
      <c r="F131" s="67">
        <f>IF($C131="820",$D131,)</f>
        <v>0</v>
      </c>
      <c r="G131" s="67">
        <f t="shared" si="28"/>
        <v>0</v>
      </c>
      <c r="H131" s="67">
        <f>IF($C131="864",$D131,)</f>
        <v>0</v>
      </c>
      <c r="I131" s="67">
        <f>IF($C131="867",$D131,)</f>
        <v>0</v>
      </c>
      <c r="J131" s="67">
        <f>IF($C131="861",$D131,)</f>
        <v>0</v>
      </c>
      <c r="K131" s="67">
        <f>IF($C131="862",$D131,)</f>
        <v>0</v>
      </c>
      <c r="L131" s="67">
        <f>IF($C131="865",$D131,)</f>
        <v>0</v>
      </c>
      <c r="M131" s="67">
        <f>IF($C131="868",$D131,)</f>
        <v>0</v>
      </c>
      <c r="N131" s="67">
        <f>IF($C131="869",$D131,)</f>
        <v>0</v>
      </c>
      <c r="O131" s="67">
        <f>IF($C131="871",$D131,)</f>
        <v>0</v>
      </c>
      <c r="P131" s="67">
        <f>IF($C131="874",$D131,)</f>
        <v>0</v>
      </c>
      <c r="Q131" s="67">
        <f>IF($C131="873",$D131,)</f>
        <v>0</v>
      </c>
      <c r="R131" s="67"/>
      <c r="S131" s="67"/>
      <c r="T131" s="67">
        <f t="shared" si="26"/>
        <v>0</v>
      </c>
      <c r="U131" s="67">
        <f>IF($C131="877",$D131,)</f>
        <v>0</v>
      </c>
      <c r="V131" s="67">
        <f>IF($C131="875",$D131,)</f>
        <v>0</v>
      </c>
      <c r="W131" s="67">
        <f>IF($C131="872",$D131,)</f>
        <v>0</v>
      </c>
      <c r="X131" s="67">
        <f>IF($C131="909",$D131,)</f>
        <v>0</v>
      </c>
      <c r="Y131" s="67">
        <f>IF(OR($C131="932",$C131="934",$C131="949"),$D131,)</f>
        <v>0</v>
      </c>
      <c r="Z131" s="67"/>
      <c r="AA131" s="67">
        <f t="shared" si="17"/>
        <v>0</v>
      </c>
      <c r="AB131" s="67"/>
      <c r="AC131" s="67"/>
      <c r="AD131" s="4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row>
    <row r="132" spans="1:54" ht="12.75" hidden="1" customHeight="1" outlineLevel="1">
      <c r="A132" s="69" t="s">
        <v>382</v>
      </c>
      <c r="B132" s="52" t="s">
        <v>283</v>
      </c>
      <c r="C132" s="65" t="s">
        <v>489</v>
      </c>
      <c r="D132" s="66"/>
      <c r="E132" s="46">
        <f t="shared" si="16"/>
        <v>0</v>
      </c>
      <c r="F132" s="67">
        <f>IF($C132="820",$D132,)</f>
        <v>0</v>
      </c>
      <c r="G132" s="67">
        <f t="shared" si="28"/>
        <v>0</v>
      </c>
      <c r="H132" s="67">
        <f>IF($C132="864",$D132,)</f>
        <v>0</v>
      </c>
      <c r="I132" s="67">
        <f>IF($C132="867",$D132,)</f>
        <v>0</v>
      </c>
      <c r="J132" s="67">
        <f>IF($C132="861",$D132,)</f>
        <v>0</v>
      </c>
      <c r="K132" s="67">
        <f>IF($C132="862",$D132,)</f>
        <v>0</v>
      </c>
      <c r="L132" s="67">
        <f>IF($C132="865",$D132,)</f>
        <v>0</v>
      </c>
      <c r="M132" s="67">
        <f>IF($C132="868",$D132,)</f>
        <v>0</v>
      </c>
      <c r="N132" s="67">
        <f>IF($C132="869",$D132,)</f>
        <v>0</v>
      </c>
      <c r="O132" s="67">
        <f>IF($C132="871",$D132,)</f>
        <v>0</v>
      </c>
      <c r="P132" s="67">
        <f>IF($C132="874",$D132,)</f>
        <v>0</v>
      </c>
      <c r="Q132" s="67">
        <f>IF($C132="873",$D132,)</f>
        <v>0</v>
      </c>
      <c r="R132" s="67"/>
      <c r="S132" s="67"/>
      <c r="T132" s="67">
        <f t="shared" si="26"/>
        <v>0</v>
      </c>
      <c r="U132" s="67">
        <f>IF($C132="877",$D132,)</f>
        <v>0</v>
      </c>
      <c r="V132" s="67">
        <f>IF($C132="875",$D132,)</f>
        <v>0</v>
      </c>
      <c r="W132" s="67">
        <f>IF($C132="872",$D132,)</f>
        <v>0</v>
      </c>
      <c r="X132" s="67">
        <f>IF($C132="909",$D132,)</f>
        <v>0</v>
      </c>
      <c r="Y132" s="67">
        <f>IF(OR($C132="932",$C132="934",$C132="949"),$D132,)</f>
        <v>0</v>
      </c>
      <c r="Z132" s="67"/>
      <c r="AA132" s="67">
        <f t="shared" si="17"/>
        <v>0</v>
      </c>
      <c r="AB132" s="67"/>
      <c r="AC132" s="67"/>
      <c r="AD132" s="4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row>
    <row r="133" spans="1:54" ht="25.5" collapsed="1">
      <c r="A133" s="71" t="s">
        <v>383</v>
      </c>
      <c r="B133" s="52" t="s">
        <v>284</v>
      </c>
      <c r="C133" s="65"/>
      <c r="D133" s="66"/>
      <c r="E133" s="46">
        <f t="shared" si="16"/>
        <v>0</v>
      </c>
      <c r="F133" s="67">
        <f t="shared" ref="F133:Y133" si="36">F134+F135+F136</f>
        <v>0</v>
      </c>
      <c r="G133" s="67">
        <f t="shared" si="36"/>
        <v>0</v>
      </c>
      <c r="H133" s="67">
        <f t="shared" si="36"/>
        <v>0</v>
      </c>
      <c r="I133" s="67">
        <f t="shared" si="36"/>
        <v>0</v>
      </c>
      <c r="J133" s="67">
        <f t="shared" si="36"/>
        <v>0</v>
      </c>
      <c r="K133" s="67">
        <f t="shared" si="36"/>
        <v>0</v>
      </c>
      <c r="L133" s="67">
        <f t="shared" si="36"/>
        <v>0</v>
      </c>
      <c r="M133" s="67">
        <f t="shared" si="36"/>
        <v>0</v>
      </c>
      <c r="N133" s="67">
        <f t="shared" si="36"/>
        <v>0</v>
      </c>
      <c r="O133" s="67">
        <f t="shared" si="36"/>
        <v>0</v>
      </c>
      <c r="P133" s="67">
        <f t="shared" si="36"/>
        <v>0</v>
      </c>
      <c r="Q133" s="67">
        <f t="shared" si="36"/>
        <v>0</v>
      </c>
      <c r="R133" s="67">
        <f t="shared" si="36"/>
        <v>0</v>
      </c>
      <c r="S133" s="67">
        <f t="shared" si="36"/>
        <v>0</v>
      </c>
      <c r="T133" s="67">
        <f t="shared" si="36"/>
        <v>0</v>
      </c>
      <c r="U133" s="67">
        <f t="shared" si="36"/>
        <v>0</v>
      </c>
      <c r="V133" s="67">
        <f t="shared" si="36"/>
        <v>0</v>
      </c>
      <c r="W133" s="67">
        <f t="shared" si="36"/>
        <v>0</v>
      </c>
      <c r="X133" s="67">
        <f t="shared" si="36"/>
        <v>0</v>
      </c>
      <c r="Y133" s="67">
        <f t="shared" si="36"/>
        <v>0</v>
      </c>
      <c r="Z133" s="67"/>
      <c r="AA133" s="67">
        <f t="shared" si="17"/>
        <v>0</v>
      </c>
      <c r="AB133" s="67"/>
      <c r="AC133" s="67"/>
      <c r="AD133" s="4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row>
    <row r="134" spans="1:54" ht="12.75" hidden="1" customHeight="1" outlineLevel="1">
      <c r="A134" s="69" t="s">
        <v>384</v>
      </c>
      <c r="B134" s="64" t="s">
        <v>258</v>
      </c>
      <c r="C134" s="65" t="s">
        <v>482</v>
      </c>
      <c r="D134" s="66"/>
      <c r="E134" s="46">
        <f t="shared" si="16"/>
        <v>0</v>
      </c>
      <c r="F134" s="67">
        <f>IF($C134="820",$D134,)</f>
        <v>0</v>
      </c>
      <c r="G134" s="67">
        <f t="shared" si="28"/>
        <v>0</v>
      </c>
      <c r="H134" s="67">
        <f>IF($C134="864",$D134,)</f>
        <v>0</v>
      </c>
      <c r="I134" s="67">
        <f>IF($C134="867",$D134,)</f>
        <v>0</v>
      </c>
      <c r="J134" s="67">
        <f>IF($C134="861",$D134,)</f>
        <v>0</v>
      </c>
      <c r="K134" s="67">
        <f>IF($C134="862",$D134,)</f>
        <v>0</v>
      </c>
      <c r="L134" s="67">
        <f>IF($C134="865",$D134,)</f>
        <v>0</v>
      </c>
      <c r="M134" s="67">
        <f>IF($C134="868",$D134,)</f>
        <v>0</v>
      </c>
      <c r="N134" s="67">
        <f>IF($C134="869",$D134,)</f>
        <v>0</v>
      </c>
      <c r="O134" s="67">
        <f>IF($C134="871",$D134,)</f>
        <v>0</v>
      </c>
      <c r="P134" s="67">
        <f>IF($C134="874",$D134,)</f>
        <v>0</v>
      </c>
      <c r="Q134" s="67">
        <f>IF($C134="873",$D134,)</f>
        <v>0</v>
      </c>
      <c r="R134" s="67"/>
      <c r="S134" s="67"/>
      <c r="T134" s="67">
        <f t="shared" si="26"/>
        <v>0</v>
      </c>
      <c r="U134" s="67">
        <f>IF($C134="877",$D134,)</f>
        <v>0</v>
      </c>
      <c r="V134" s="67">
        <f>IF($C134="875",$D134,)</f>
        <v>0</v>
      </c>
      <c r="W134" s="67">
        <f>IF($C134="872",$D134,)</f>
        <v>0</v>
      </c>
      <c r="X134" s="67">
        <f>IF($C134="909",$D134,)</f>
        <v>0</v>
      </c>
      <c r="Y134" s="67">
        <f>IF(OR($C134="932",$C134="934",$C134="949"),$D134,)</f>
        <v>0</v>
      </c>
      <c r="Z134" s="67"/>
      <c r="AA134" s="67">
        <f t="shared" si="17"/>
        <v>0</v>
      </c>
      <c r="AB134" s="67"/>
      <c r="AC134" s="67"/>
      <c r="AD134" s="4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row>
    <row r="135" spans="1:54" ht="12.75" hidden="1" customHeight="1" outlineLevel="1">
      <c r="A135" s="73" t="s">
        <v>385</v>
      </c>
      <c r="B135" s="52" t="s">
        <v>285</v>
      </c>
      <c r="C135" s="65" t="s">
        <v>487</v>
      </c>
      <c r="D135" s="66"/>
      <c r="E135" s="46">
        <f t="shared" si="16"/>
        <v>0</v>
      </c>
      <c r="F135" s="67">
        <f>IF($C135="820",$D135,)</f>
        <v>0</v>
      </c>
      <c r="G135" s="67">
        <f t="shared" si="28"/>
        <v>0</v>
      </c>
      <c r="H135" s="67">
        <f>IF($C135="864",$D135,)</f>
        <v>0</v>
      </c>
      <c r="I135" s="67">
        <f>IF($C135="867",$D135,)</f>
        <v>0</v>
      </c>
      <c r="J135" s="67">
        <f>IF($C135="861",$D135,)</f>
        <v>0</v>
      </c>
      <c r="K135" s="67">
        <f>IF($C135="862",$D135,)</f>
        <v>0</v>
      </c>
      <c r="L135" s="67">
        <f>IF($C135="865",$D135,)</f>
        <v>0</v>
      </c>
      <c r="M135" s="67">
        <f>IF($C135="868",$D135,)</f>
        <v>0</v>
      </c>
      <c r="N135" s="67">
        <f>IF($C135="869",$D135,)</f>
        <v>0</v>
      </c>
      <c r="O135" s="67">
        <f>IF($C135="871",$D135,)</f>
        <v>0</v>
      </c>
      <c r="P135" s="67">
        <f>IF($C135="874",$D135,)</f>
        <v>0</v>
      </c>
      <c r="Q135" s="67">
        <f>IF($C135="873",$D135,)</f>
        <v>0</v>
      </c>
      <c r="R135" s="67"/>
      <c r="S135" s="67"/>
      <c r="T135" s="67">
        <f t="shared" si="26"/>
        <v>0</v>
      </c>
      <c r="U135" s="67">
        <f>IF($C135="877",$D135,)</f>
        <v>0</v>
      </c>
      <c r="V135" s="67">
        <f>IF($C135="875",$D135,)</f>
        <v>0</v>
      </c>
      <c r="W135" s="67">
        <f>IF($C135="872",$D135,)</f>
        <v>0</v>
      </c>
      <c r="X135" s="67">
        <f>IF($C135="909",$D135,)</f>
        <v>0</v>
      </c>
      <c r="Y135" s="67">
        <f>IF(OR($C135="932",$C135="934",$C135="949"),$D135,)</f>
        <v>0</v>
      </c>
      <c r="Z135" s="67"/>
      <c r="AA135" s="67">
        <f t="shared" si="17"/>
        <v>0</v>
      </c>
      <c r="AB135" s="67"/>
      <c r="AC135" s="67"/>
      <c r="AD135" s="4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row>
    <row r="136" spans="1:54" ht="12.75" hidden="1" customHeight="1" outlineLevel="1">
      <c r="A136" s="71" t="s">
        <v>386</v>
      </c>
      <c r="B136" s="64" t="s">
        <v>286</v>
      </c>
      <c r="C136" s="65" t="s">
        <v>486</v>
      </c>
      <c r="D136" s="66"/>
      <c r="E136" s="46">
        <f t="shared" si="16"/>
        <v>0</v>
      </c>
      <c r="F136" s="67">
        <f>IF($C136="820",$D136,)</f>
        <v>0</v>
      </c>
      <c r="G136" s="67">
        <f t="shared" si="28"/>
        <v>0</v>
      </c>
      <c r="H136" s="67">
        <f>IF($C136="864",$D136,)</f>
        <v>0</v>
      </c>
      <c r="I136" s="67">
        <f>IF($C136="867",$D136,)</f>
        <v>0</v>
      </c>
      <c r="J136" s="67">
        <f>IF($C136="861",$D136,)</f>
        <v>0</v>
      </c>
      <c r="K136" s="67">
        <f>IF($C136="862",$D136,)</f>
        <v>0</v>
      </c>
      <c r="L136" s="67">
        <f>IF($C136="865",$D136,)</f>
        <v>0</v>
      </c>
      <c r="M136" s="67">
        <f>IF($C136="868",$D136,)</f>
        <v>0</v>
      </c>
      <c r="N136" s="67">
        <f>IF($C136="869",$D136,)</f>
        <v>0</v>
      </c>
      <c r="O136" s="67">
        <f>IF($C136="871",$D136,)</f>
        <v>0</v>
      </c>
      <c r="P136" s="67">
        <f>IF($C136="874",$D136,)</f>
        <v>0</v>
      </c>
      <c r="Q136" s="67">
        <f>IF($C136="873",$D136,)</f>
        <v>0</v>
      </c>
      <c r="R136" s="67"/>
      <c r="S136" s="67"/>
      <c r="T136" s="67">
        <f t="shared" si="26"/>
        <v>0</v>
      </c>
      <c r="U136" s="67">
        <f>IF($C136="877",$D136,)</f>
        <v>0</v>
      </c>
      <c r="V136" s="67">
        <f>IF($C136="875",$D136,)</f>
        <v>0</v>
      </c>
      <c r="W136" s="67">
        <f>IF($C136="872",$D136,)</f>
        <v>0</v>
      </c>
      <c r="X136" s="67">
        <f>IF($C136="909",$D136,)</f>
        <v>0</v>
      </c>
      <c r="Y136" s="67">
        <f>IF(OR($C136="932",$C136="934",$C136="949"),$D136,)</f>
        <v>0</v>
      </c>
      <c r="Z136" s="67"/>
      <c r="AA136" s="67">
        <f t="shared" si="17"/>
        <v>0</v>
      </c>
      <c r="AB136" s="67"/>
      <c r="AC136" s="67"/>
      <c r="AD136" s="4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row>
    <row r="137" spans="1:54" ht="25.5" collapsed="1">
      <c r="A137" s="69" t="s">
        <v>387</v>
      </c>
      <c r="B137" s="52" t="s">
        <v>287</v>
      </c>
      <c r="C137" s="65"/>
      <c r="D137" s="66"/>
      <c r="E137" s="46">
        <f t="shared" si="16"/>
        <v>0</v>
      </c>
      <c r="F137" s="67">
        <f t="shared" ref="F137:Y137" si="37">F138+F139</f>
        <v>0</v>
      </c>
      <c r="G137" s="67">
        <f t="shared" si="37"/>
        <v>0</v>
      </c>
      <c r="H137" s="67">
        <f t="shared" si="37"/>
        <v>0</v>
      </c>
      <c r="I137" s="67">
        <f t="shared" si="37"/>
        <v>0</v>
      </c>
      <c r="J137" s="67">
        <f t="shared" si="37"/>
        <v>0</v>
      </c>
      <c r="K137" s="67">
        <f t="shared" si="37"/>
        <v>0</v>
      </c>
      <c r="L137" s="67">
        <f t="shared" si="37"/>
        <v>0</v>
      </c>
      <c r="M137" s="67">
        <f t="shared" si="37"/>
        <v>0</v>
      </c>
      <c r="N137" s="67">
        <f t="shared" si="37"/>
        <v>0</v>
      </c>
      <c r="O137" s="67">
        <f t="shared" si="37"/>
        <v>0</v>
      </c>
      <c r="P137" s="67">
        <f t="shared" si="37"/>
        <v>0</v>
      </c>
      <c r="Q137" s="67">
        <f t="shared" si="37"/>
        <v>0</v>
      </c>
      <c r="R137" s="67">
        <f t="shared" si="37"/>
        <v>0</v>
      </c>
      <c r="S137" s="67">
        <f t="shared" si="37"/>
        <v>0</v>
      </c>
      <c r="T137" s="67">
        <f t="shared" si="37"/>
        <v>0</v>
      </c>
      <c r="U137" s="67">
        <f t="shared" si="37"/>
        <v>0</v>
      </c>
      <c r="V137" s="67">
        <f t="shared" si="37"/>
        <v>0</v>
      </c>
      <c r="W137" s="67">
        <f t="shared" si="37"/>
        <v>0</v>
      </c>
      <c r="X137" s="67">
        <f t="shared" si="37"/>
        <v>0</v>
      </c>
      <c r="Y137" s="67">
        <f t="shared" si="37"/>
        <v>0</v>
      </c>
      <c r="Z137" s="67"/>
      <c r="AA137" s="67">
        <f t="shared" si="17"/>
        <v>0</v>
      </c>
      <c r="AB137" s="67"/>
      <c r="AC137" s="67"/>
      <c r="AD137" s="4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row>
    <row r="138" spans="1:54" ht="12.75" hidden="1" customHeight="1" outlineLevel="1">
      <c r="A138" s="68" t="s">
        <v>241</v>
      </c>
      <c r="B138" s="64" t="s">
        <v>288</v>
      </c>
      <c r="C138" s="65" t="s">
        <v>482</v>
      </c>
      <c r="D138" s="66"/>
      <c r="E138" s="46">
        <f t="shared" si="16"/>
        <v>0</v>
      </c>
      <c r="F138" s="67">
        <f>IF($C138="820",$D138,)</f>
        <v>0</v>
      </c>
      <c r="G138" s="67">
        <f t="shared" si="28"/>
        <v>0</v>
      </c>
      <c r="H138" s="67">
        <f>IF($C138="864",$D138,)</f>
        <v>0</v>
      </c>
      <c r="I138" s="67">
        <f>IF($C138="867",$D138,)</f>
        <v>0</v>
      </c>
      <c r="J138" s="67">
        <f>IF($C138="861",$D138,)</f>
        <v>0</v>
      </c>
      <c r="K138" s="67">
        <f>IF($C138="862",$D138,)</f>
        <v>0</v>
      </c>
      <c r="L138" s="67">
        <f>IF($C138="865",$D138,)</f>
        <v>0</v>
      </c>
      <c r="M138" s="67">
        <f>IF($C138="868",$D138,)</f>
        <v>0</v>
      </c>
      <c r="N138" s="67">
        <f>IF($C138="869",$D138,)</f>
        <v>0</v>
      </c>
      <c r="O138" s="67">
        <f>IF($C138="871",$D138,)</f>
        <v>0</v>
      </c>
      <c r="P138" s="67">
        <f>IF($C138="874",$D138,)</f>
        <v>0</v>
      </c>
      <c r="Q138" s="67">
        <f>IF($C138="873",$D138,)</f>
        <v>0</v>
      </c>
      <c r="R138" s="67"/>
      <c r="S138" s="67"/>
      <c r="T138" s="67">
        <f t="shared" si="26"/>
        <v>0</v>
      </c>
      <c r="U138" s="67">
        <f>IF($C138="877",$D138,)</f>
        <v>0</v>
      </c>
      <c r="V138" s="67">
        <f>IF($C138="875",$D138,)</f>
        <v>0</v>
      </c>
      <c r="W138" s="67">
        <f>IF($C138="872",$D138,)</f>
        <v>0</v>
      </c>
      <c r="X138" s="67">
        <f>IF($C138="909",$D138,)</f>
        <v>0</v>
      </c>
      <c r="Y138" s="67">
        <f>IF(OR($C138="932",$C138="934",$C138="949"),$D138,)</f>
        <v>0</v>
      </c>
      <c r="Z138" s="67"/>
      <c r="AA138" s="67">
        <f t="shared" si="17"/>
        <v>0</v>
      </c>
      <c r="AB138" s="67"/>
      <c r="AC138" s="67"/>
      <c r="AD138" s="4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row>
    <row r="139" spans="1:54" ht="12.75" hidden="1" customHeight="1" outlineLevel="1">
      <c r="A139" s="68" t="s">
        <v>242</v>
      </c>
      <c r="B139" s="52" t="s">
        <v>289</v>
      </c>
      <c r="C139" s="65" t="s">
        <v>487</v>
      </c>
      <c r="D139" s="66"/>
      <c r="E139" s="46">
        <f t="shared" si="16"/>
        <v>0</v>
      </c>
      <c r="F139" s="67">
        <f>IF($C139="820",$D139,)</f>
        <v>0</v>
      </c>
      <c r="G139" s="67">
        <f t="shared" si="28"/>
        <v>0</v>
      </c>
      <c r="H139" s="67">
        <f>IF($C139="864",$D139,)</f>
        <v>0</v>
      </c>
      <c r="I139" s="67">
        <f>IF($C139="867",$D139,)</f>
        <v>0</v>
      </c>
      <c r="J139" s="67">
        <f>IF($C139="861",$D139,)</f>
        <v>0</v>
      </c>
      <c r="K139" s="67">
        <f>IF($C139="862",$D139,)</f>
        <v>0</v>
      </c>
      <c r="L139" s="67">
        <f>IF($C139="865",$D139,)</f>
        <v>0</v>
      </c>
      <c r="M139" s="67">
        <f>IF($C139="868",$D139,)</f>
        <v>0</v>
      </c>
      <c r="N139" s="67">
        <f>IF($C139="869",$D139,)</f>
        <v>0</v>
      </c>
      <c r="O139" s="67">
        <f>IF($C139="871",$D139,)</f>
        <v>0</v>
      </c>
      <c r="P139" s="67">
        <f>IF($C139="874",$D139,)</f>
        <v>0</v>
      </c>
      <c r="Q139" s="67">
        <f>IF($C139="873",$D139,)</f>
        <v>0</v>
      </c>
      <c r="R139" s="67"/>
      <c r="S139" s="67"/>
      <c r="T139" s="67">
        <f t="shared" si="26"/>
        <v>0</v>
      </c>
      <c r="U139" s="67">
        <f>IF($C139="877",$D139,)</f>
        <v>0</v>
      </c>
      <c r="V139" s="67">
        <f>IF($C139="875",$D139,)</f>
        <v>0</v>
      </c>
      <c r="W139" s="67">
        <f>IF($C139="872",$D139,)</f>
        <v>0</v>
      </c>
      <c r="X139" s="67">
        <f>IF($C139="909",$D139,)</f>
        <v>0</v>
      </c>
      <c r="Y139" s="67">
        <f>IF(OR($C139="932",$C139="934",$C139="949"),$D139,)</f>
        <v>0</v>
      </c>
      <c r="Z139" s="67"/>
      <c r="AA139" s="67">
        <f t="shared" si="17"/>
        <v>0</v>
      </c>
      <c r="AB139" s="67"/>
      <c r="AC139" s="67"/>
      <c r="AD139" s="4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row>
    <row r="140" spans="1:54" ht="25.5" collapsed="1">
      <c r="A140" s="71" t="s">
        <v>388</v>
      </c>
      <c r="B140" s="52" t="s">
        <v>290</v>
      </c>
      <c r="C140" s="65"/>
      <c r="D140" s="66"/>
      <c r="E140" s="46">
        <f t="shared" si="16"/>
        <v>0</v>
      </c>
      <c r="F140" s="67">
        <f t="shared" ref="F140:Y140" si="38">F141+F142+F143</f>
        <v>0</v>
      </c>
      <c r="G140" s="67">
        <f t="shared" si="38"/>
        <v>0</v>
      </c>
      <c r="H140" s="67">
        <f t="shared" si="38"/>
        <v>0</v>
      </c>
      <c r="I140" s="67">
        <f t="shared" si="38"/>
        <v>0</v>
      </c>
      <c r="J140" s="67">
        <f t="shared" si="38"/>
        <v>0</v>
      </c>
      <c r="K140" s="67">
        <f t="shared" si="38"/>
        <v>0</v>
      </c>
      <c r="L140" s="67">
        <f t="shared" si="38"/>
        <v>0</v>
      </c>
      <c r="M140" s="67">
        <f t="shared" si="38"/>
        <v>0</v>
      </c>
      <c r="N140" s="67">
        <f t="shared" si="38"/>
        <v>0</v>
      </c>
      <c r="O140" s="67">
        <f t="shared" si="38"/>
        <v>0</v>
      </c>
      <c r="P140" s="67">
        <f t="shared" si="38"/>
        <v>0</v>
      </c>
      <c r="Q140" s="67">
        <f t="shared" si="38"/>
        <v>0</v>
      </c>
      <c r="R140" s="67">
        <f t="shared" si="38"/>
        <v>0</v>
      </c>
      <c r="S140" s="67">
        <f t="shared" si="38"/>
        <v>0</v>
      </c>
      <c r="T140" s="67">
        <f t="shared" si="38"/>
        <v>0</v>
      </c>
      <c r="U140" s="67">
        <f t="shared" si="38"/>
        <v>0</v>
      </c>
      <c r="V140" s="67">
        <f t="shared" si="38"/>
        <v>0</v>
      </c>
      <c r="W140" s="67">
        <f t="shared" si="38"/>
        <v>0</v>
      </c>
      <c r="X140" s="67">
        <f t="shared" si="38"/>
        <v>0</v>
      </c>
      <c r="Y140" s="67">
        <f t="shared" si="38"/>
        <v>0</v>
      </c>
      <c r="Z140" s="67"/>
      <c r="AA140" s="67">
        <f t="shared" si="17"/>
        <v>0</v>
      </c>
      <c r="AB140" s="67"/>
      <c r="AC140" s="67"/>
      <c r="AD140" s="4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row>
    <row r="141" spans="1:54" ht="12.75" hidden="1" customHeight="1" outlineLevel="1">
      <c r="A141" s="68" t="s">
        <v>241</v>
      </c>
      <c r="B141" s="64" t="s">
        <v>258</v>
      </c>
      <c r="C141" s="65" t="s">
        <v>482</v>
      </c>
      <c r="D141" s="66"/>
      <c r="E141" s="46">
        <f t="shared" si="16"/>
        <v>0</v>
      </c>
      <c r="F141" s="67">
        <f>IF($C141="820",$D141,)</f>
        <v>0</v>
      </c>
      <c r="G141" s="67">
        <f t="shared" si="28"/>
        <v>0</v>
      </c>
      <c r="H141" s="67">
        <f>IF($C141="864",$D141,)</f>
        <v>0</v>
      </c>
      <c r="I141" s="67">
        <f>IF($C141="867",$D141,)</f>
        <v>0</v>
      </c>
      <c r="J141" s="67">
        <f>IF($C141="861",$D141,)</f>
        <v>0</v>
      </c>
      <c r="K141" s="67">
        <f>IF($C141="862",$D141,)</f>
        <v>0</v>
      </c>
      <c r="L141" s="67">
        <f>IF($C141="865",$D141,)</f>
        <v>0</v>
      </c>
      <c r="M141" s="67">
        <f>IF($C141="868",$D141,)</f>
        <v>0</v>
      </c>
      <c r="N141" s="67">
        <f>IF($C141="869",$D141,)</f>
        <v>0</v>
      </c>
      <c r="O141" s="67">
        <f>IF($C141="871",$D141,)</f>
        <v>0</v>
      </c>
      <c r="P141" s="67">
        <f>IF($C141="874",$D141,)</f>
        <v>0</v>
      </c>
      <c r="Q141" s="67">
        <f>IF($C141="873",$D141,)</f>
        <v>0</v>
      </c>
      <c r="R141" s="67"/>
      <c r="S141" s="67"/>
      <c r="T141" s="67">
        <f t="shared" si="26"/>
        <v>0</v>
      </c>
      <c r="U141" s="67">
        <f>IF($C141="877",$D141,)</f>
        <v>0</v>
      </c>
      <c r="V141" s="67">
        <f>IF($C141="875",$D141,)</f>
        <v>0</v>
      </c>
      <c r="W141" s="67">
        <f>IF($C141="872",$D141,)</f>
        <v>0</v>
      </c>
      <c r="X141" s="67">
        <f>IF($C141="909",$D141,)</f>
        <v>0</v>
      </c>
      <c r="Y141" s="67">
        <f>IF(OR($C141="932",$C141="934",$C141="949"),$D141,)</f>
        <v>0</v>
      </c>
      <c r="Z141" s="67"/>
      <c r="AA141" s="67">
        <f t="shared" si="17"/>
        <v>0</v>
      </c>
      <c r="AB141" s="67"/>
      <c r="AC141" s="67"/>
      <c r="AD141" s="4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row>
    <row r="142" spans="1:54" ht="12.75" hidden="1" customHeight="1" outlineLevel="1">
      <c r="A142" s="68" t="s">
        <v>242</v>
      </c>
      <c r="B142" s="52" t="s">
        <v>282</v>
      </c>
      <c r="C142" s="65" t="s">
        <v>488</v>
      </c>
      <c r="D142" s="66"/>
      <c r="E142" s="46">
        <f t="shared" ref="E142:E205" si="39">F142+G142+Y142+Z142+AA142</f>
        <v>0</v>
      </c>
      <c r="F142" s="67">
        <f>IF($C142="820",$D142,)</f>
        <v>0</v>
      </c>
      <c r="G142" s="67">
        <f t="shared" si="28"/>
        <v>0</v>
      </c>
      <c r="H142" s="67">
        <f>IF($C142="864",$D142,)</f>
        <v>0</v>
      </c>
      <c r="I142" s="67">
        <f>IF($C142="867",$D142,)</f>
        <v>0</v>
      </c>
      <c r="J142" s="67">
        <f>IF($C142="861",$D142,)</f>
        <v>0</v>
      </c>
      <c r="K142" s="67">
        <f>IF($C142="862",$D142,)</f>
        <v>0</v>
      </c>
      <c r="L142" s="67">
        <f>IF($C142="865",$D142,)</f>
        <v>0</v>
      </c>
      <c r="M142" s="67">
        <f>IF($C142="868",$D142,)</f>
        <v>0</v>
      </c>
      <c r="N142" s="67">
        <f>IF($C142="869",$D142,)</f>
        <v>0</v>
      </c>
      <c r="O142" s="67">
        <f>IF($C142="871",$D142,)</f>
        <v>0</v>
      </c>
      <c r="P142" s="67">
        <f>IF($C142="874",$D142,)</f>
        <v>0</v>
      </c>
      <c r="Q142" s="67">
        <f>IF($C142="873",$D142,)</f>
        <v>0</v>
      </c>
      <c r="R142" s="67"/>
      <c r="S142" s="67"/>
      <c r="T142" s="67">
        <f t="shared" si="26"/>
        <v>0</v>
      </c>
      <c r="U142" s="67">
        <f>IF($C142="877",$D142,)</f>
        <v>0</v>
      </c>
      <c r="V142" s="67">
        <f>IF($C142="875",$D142,)</f>
        <v>0</v>
      </c>
      <c r="W142" s="67">
        <f>IF($C142="872",$D142,)</f>
        <v>0</v>
      </c>
      <c r="X142" s="67">
        <f>IF($C142="909",$D142,)</f>
        <v>0</v>
      </c>
      <c r="Y142" s="67">
        <f>IF(OR($C142="932",$C142="934",$C142="949"),$D142,)</f>
        <v>0</v>
      </c>
      <c r="Z142" s="67"/>
      <c r="AA142" s="67">
        <f t="shared" si="17"/>
        <v>0</v>
      </c>
      <c r="AB142" s="67"/>
      <c r="AC142" s="67"/>
      <c r="AD142" s="4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row>
    <row r="143" spans="1:54" ht="12.75" hidden="1" customHeight="1" outlineLevel="1">
      <c r="A143" s="68" t="s">
        <v>243</v>
      </c>
      <c r="B143" s="52" t="s">
        <v>269</v>
      </c>
      <c r="C143" s="65" t="s">
        <v>483</v>
      </c>
      <c r="D143" s="66"/>
      <c r="E143" s="46">
        <f t="shared" si="39"/>
        <v>0</v>
      </c>
      <c r="F143" s="67">
        <f>IF($C143="820",$D143,)</f>
        <v>0</v>
      </c>
      <c r="G143" s="67">
        <f t="shared" si="28"/>
        <v>0</v>
      </c>
      <c r="H143" s="67">
        <f>IF($C143="864",$D143,)</f>
        <v>0</v>
      </c>
      <c r="I143" s="67">
        <f>IF($C143="867",$D143,)</f>
        <v>0</v>
      </c>
      <c r="J143" s="67">
        <f>IF($C143="861",$D143,)</f>
        <v>0</v>
      </c>
      <c r="K143" s="67">
        <f>IF($C143="862",$D143,)</f>
        <v>0</v>
      </c>
      <c r="L143" s="67">
        <f>IF($C143="865",$D143,)</f>
        <v>0</v>
      </c>
      <c r="M143" s="67">
        <f>IF($C143="868",$D143,)</f>
        <v>0</v>
      </c>
      <c r="N143" s="67">
        <f>IF($C143="869",$D143,)</f>
        <v>0</v>
      </c>
      <c r="O143" s="67">
        <f>IF($C143="871",$D143,)</f>
        <v>0</v>
      </c>
      <c r="P143" s="67">
        <f>IF($C143="874",$D143,)</f>
        <v>0</v>
      </c>
      <c r="Q143" s="67">
        <f>IF($C143="873",$D143,)</f>
        <v>0</v>
      </c>
      <c r="R143" s="67"/>
      <c r="S143" s="67"/>
      <c r="T143" s="67">
        <f t="shared" si="26"/>
        <v>0</v>
      </c>
      <c r="U143" s="67">
        <f>IF($C143="877",$D143,)</f>
        <v>0</v>
      </c>
      <c r="V143" s="67">
        <f>IF($C143="875",$D143,)</f>
        <v>0</v>
      </c>
      <c r="W143" s="67">
        <f>IF($C143="872",$D143,)</f>
        <v>0</v>
      </c>
      <c r="X143" s="67">
        <f>IF($C143="909",$D143,)</f>
        <v>0</v>
      </c>
      <c r="Y143" s="67">
        <f>IF(OR($C143="932",$C143="934",$C143="949"),$D143,)</f>
        <v>0</v>
      </c>
      <c r="Z143" s="67"/>
      <c r="AA143" s="67">
        <f t="shared" si="17"/>
        <v>0</v>
      </c>
      <c r="AB143" s="67"/>
      <c r="AC143" s="67"/>
      <c r="AD143" s="4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row>
    <row r="144" spans="1:54" ht="25.5" collapsed="1">
      <c r="A144" s="71" t="s">
        <v>389</v>
      </c>
      <c r="B144" s="52" t="s">
        <v>291</v>
      </c>
      <c r="C144" s="65"/>
      <c r="D144" s="66"/>
      <c r="E144" s="46">
        <f t="shared" si="39"/>
        <v>0</v>
      </c>
      <c r="F144" s="67">
        <f t="shared" ref="F144:Y144" si="40">F145+F146</f>
        <v>0</v>
      </c>
      <c r="G144" s="67">
        <f t="shared" si="40"/>
        <v>0</v>
      </c>
      <c r="H144" s="67">
        <f t="shared" si="40"/>
        <v>0</v>
      </c>
      <c r="I144" s="67">
        <f t="shared" si="40"/>
        <v>0</v>
      </c>
      <c r="J144" s="67">
        <f t="shared" si="40"/>
        <v>0</v>
      </c>
      <c r="K144" s="67">
        <f t="shared" si="40"/>
        <v>0</v>
      </c>
      <c r="L144" s="67">
        <f t="shared" si="40"/>
        <v>0</v>
      </c>
      <c r="M144" s="67">
        <f t="shared" si="40"/>
        <v>0</v>
      </c>
      <c r="N144" s="67">
        <f t="shared" si="40"/>
        <v>0</v>
      </c>
      <c r="O144" s="67">
        <f t="shared" si="40"/>
        <v>0</v>
      </c>
      <c r="P144" s="67">
        <f t="shared" si="40"/>
        <v>0</v>
      </c>
      <c r="Q144" s="67">
        <f t="shared" si="40"/>
        <v>0</v>
      </c>
      <c r="R144" s="67">
        <f t="shared" si="40"/>
        <v>0</v>
      </c>
      <c r="S144" s="67">
        <f t="shared" si="40"/>
        <v>0</v>
      </c>
      <c r="T144" s="67">
        <f t="shared" si="40"/>
        <v>0</v>
      </c>
      <c r="U144" s="67">
        <f t="shared" si="40"/>
        <v>0</v>
      </c>
      <c r="V144" s="67">
        <f t="shared" si="40"/>
        <v>0</v>
      </c>
      <c r="W144" s="67">
        <f t="shared" si="40"/>
        <v>0</v>
      </c>
      <c r="X144" s="67">
        <f t="shared" si="40"/>
        <v>0</v>
      </c>
      <c r="Y144" s="67">
        <f t="shared" si="40"/>
        <v>0</v>
      </c>
      <c r="Z144" s="67"/>
      <c r="AA144" s="67">
        <f t="shared" si="17"/>
        <v>0</v>
      </c>
      <c r="AB144" s="67"/>
      <c r="AC144" s="67"/>
      <c r="AD144" s="4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row>
    <row r="145" spans="1:54" ht="12.75" hidden="1" customHeight="1" outlineLevel="1">
      <c r="A145" s="68" t="s">
        <v>241</v>
      </c>
      <c r="B145" s="64" t="s">
        <v>258</v>
      </c>
      <c r="C145" s="65" t="s">
        <v>482</v>
      </c>
      <c r="D145" s="66"/>
      <c r="E145" s="46">
        <f t="shared" si="39"/>
        <v>0</v>
      </c>
      <c r="F145" s="67">
        <f>IF($C145="820",$D145,)</f>
        <v>0</v>
      </c>
      <c r="G145" s="67">
        <f t="shared" si="28"/>
        <v>0</v>
      </c>
      <c r="H145" s="67">
        <f>IF($C145="864",$D145,)</f>
        <v>0</v>
      </c>
      <c r="I145" s="67">
        <f>IF($C145="867",$D145,)</f>
        <v>0</v>
      </c>
      <c r="J145" s="67">
        <f>IF($C145="861",$D145,)</f>
        <v>0</v>
      </c>
      <c r="K145" s="67">
        <f>IF($C145="862",$D145,)</f>
        <v>0</v>
      </c>
      <c r="L145" s="67">
        <f>IF($C145="865",$D145,)</f>
        <v>0</v>
      </c>
      <c r="M145" s="67">
        <f>IF($C145="868",$D145,)</f>
        <v>0</v>
      </c>
      <c r="N145" s="67">
        <f>IF($C145="869",$D145,)</f>
        <v>0</v>
      </c>
      <c r="O145" s="67">
        <f>IF($C145="871",$D145,)</f>
        <v>0</v>
      </c>
      <c r="P145" s="67">
        <f>IF($C145="874",$D145,)</f>
        <v>0</v>
      </c>
      <c r="Q145" s="67">
        <f>IF($C145="873",$D145,)</f>
        <v>0</v>
      </c>
      <c r="R145" s="67"/>
      <c r="S145" s="67"/>
      <c r="T145" s="67">
        <f t="shared" si="26"/>
        <v>0</v>
      </c>
      <c r="U145" s="67">
        <f>IF($C145="877",$D145,)</f>
        <v>0</v>
      </c>
      <c r="V145" s="67">
        <f>IF($C145="875",$D145,)</f>
        <v>0</v>
      </c>
      <c r="W145" s="67">
        <f>IF($C145="872",$D145,)</f>
        <v>0</v>
      </c>
      <c r="X145" s="67">
        <f>IF($C145="909",$D145,)</f>
        <v>0</v>
      </c>
      <c r="Y145" s="67">
        <f t="shared" ref="Y145:Y150" si="41">IF(OR($C145="932",$C145="934",$C145="949"),$D145,)</f>
        <v>0</v>
      </c>
      <c r="Z145" s="67"/>
      <c r="AA145" s="67">
        <f t="shared" si="17"/>
        <v>0</v>
      </c>
      <c r="AB145" s="67"/>
      <c r="AC145" s="67"/>
      <c r="AD145" s="4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row>
    <row r="146" spans="1:54" ht="12.75" hidden="1" customHeight="1" outlineLevel="1">
      <c r="A146" s="68" t="s">
        <v>242</v>
      </c>
      <c r="B146" s="52" t="s">
        <v>292</v>
      </c>
      <c r="C146" s="65" t="s">
        <v>490</v>
      </c>
      <c r="D146" s="66"/>
      <c r="E146" s="46">
        <f t="shared" si="39"/>
        <v>0</v>
      </c>
      <c r="F146" s="67">
        <f>IF($C146="820",$D146,)</f>
        <v>0</v>
      </c>
      <c r="G146" s="67">
        <f t="shared" si="28"/>
        <v>0</v>
      </c>
      <c r="H146" s="67">
        <f>IF($C146="864",$D146,)</f>
        <v>0</v>
      </c>
      <c r="I146" s="67">
        <f>IF($C146="867",$D146,)</f>
        <v>0</v>
      </c>
      <c r="J146" s="67">
        <f>IF($C146="861",$D146,)</f>
        <v>0</v>
      </c>
      <c r="K146" s="67">
        <f>IF($C146="862",$D146,)</f>
        <v>0</v>
      </c>
      <c r="L146" s="67">
        <f>IF($C146="865",$D146,)</f>
        <v>0</v>
      </c>
      <c r="M146" s="67">
        <f>IF($C146="868",$D146,)</f>
        <v>0</v>
      </c>
      <c r="N146" s="67">
        <f>IF($C146="869",$D146,)</f>
        <v>0</v>
      </c>
      <c r="O146" s="67">
        <f>IF($C146="871",$D146,)</f>
        <v>0</v>
      </c>
      <c r="P146" s="67">
        <f>IF($C146="874",$D146,)</f>
        <v>0</v>
      </c>
      <c r="Q146" s="67">
        <f>IF($C146="873",$D146,)</f>
        <v>0</v>
      </c>
      <c r="R146" s="67"/>
      <c r="S146" s="67"/>
      <c r="T146" s="67">
        <f t="shared" si="26"/>
        <v>0</v>
      </c>
      <c r="U146" s="67">
        <f>IF($C146="877",$D146,)</f>
        <v>0</v>
      </c>
      <c r="V146" s="67">
        <f>IF($C146="875",$D146,)</f>
        <v>0</v>
      </c>
      <c r="W146" s="67">
        <f>IF($C146="872",$D146,)</f>
        <v>0</v>
      </c>
      <c r="X146" s="67">
        <f>IF($C146="909",$D146,)</f>
        <v>0</v>
      </c>
      <c r="Y146" s="67">
        <f t="shared" si="41"/>
        <v>0</v>
      </c>
      <c r="Z146" s="67"/>
      <c r="AA146" s="67">
        <f t="shared" ref="AA146:AA209" si="42">AB146+AC146</f>
        <v>0</v>
      </c>
      <c r="AB146" s="67"/>
      <c r="AC146" s="67"/>
      <c r="AD146" s="4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row>
    <row r="147" spans="1:54" collapsed="1">
      <c r="A147" s="71" t="s">
        <v>390</v>
      </c>
      <c r="B147" s="52" t="s">
        <v>293</v>
      </c>
      <c r="C147" s="72"/>
      <c r="D147" s="66"/>
      <c r="E147" s="46">
        <f t="shared" si="39"/>
        <v>0</v>
      </c>
      <c r="F147" s="67">
        <f t="shared" ref="F147" si="43">F148+F149+F150</f>
        <v>0</v>
      </c>
      <c r="G147" s="67">
        <f t="shared" si="28"/>
        <v>0</v>
      </c>
      <c r="H147" s="67">
        <f>H148+H149+H150</f>
        <v>0</v>
      </c>
      <c r="I147" s="67">
        <f t="shared" ref="I147:Q147" si="44">I148+I149+I150</f>
        <v>0</v>
      </c>
      <c r="J147" s="67">
        <f t="shared" si="44"/>
        <v>0</v>
      </c>
      <c r="K147" s="67">
        <f t="shared" si="44"/>
        <v>0</v>
      </c>
      <c r="L147" s="67">
        <f t="shared" si="44"/>
        <v>0</v>
      </c>
      <c r="M147" s="67">
        <f t="shared" si="44"/>
        <v>0</v>
      </c>
      <c r="N147" s="67">
        <f t="shared" si="44"/>
        <v>0</v>
      </c>
      <c r="O147" s="67">
        <f t="shared" si="44"/>
        <v>0</v>
      </c>
      <c r="P147" s="67">
        <f t="shared" si="44"/>
        <v>0</v>
      </c>
      <c r="Q147" s="67">
        <f t="shared" si="44"/>
        <v>0</v>
      </c>
      <c r="R147" s="67"/>
      <c r="S147" s="67"/>
      <c r="T147" s="67">
        <f t="shared" si="26"/>
        <v>0</v>
      </c>
      <c r="U147" s="67">
        <f>U148+U149+U150</f>
        <v>0</v>
      </c>
      <c r="V147" s="67">
        <f>V148+V149+V150</f>
        <v>0</v>
      </c>
      <c r="W147" s="67">
        <f>W148+W149+W150</f>
        <v>0</v>
      </c>
      <c r="X147" s="67">
        <f>X148+X149+X150</f>
        <v>0</v>
      </c>
      <c r="Y147" s="67">
        <f t="shared" si="41"/>
        <v>0</v>
      </c>
      <c r="Z147" s="67"/>
      <c r="AA147" s="67">
        <f t="shared" si="42"/>
        <v>0</v>
      </c>
      <c r="AB147" s="67"/>
      <c r="AC147" s="67"/>
      <c r="AD147" s="4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row>
    <row r="148" spans="1:54" ht="12.75" hidden="1" customHeight="1" outlineLevel="1">
      <c r="A148" s="68" t="s">
        <v>241</v>
      </c>
      <c r="B148" s="64" t="s">
        <v>258</v>
      </c>
      <c r="C148" s="65" t="s">
        <v>482</v>
      </c>
      <c r="D148" s="66"/>
      <c r="E148" s="46">
        <f t="shared" si="39"/>
        <v>0</v>
      </c>
      <c r="F148" s="67">
        <f>IF($C148="820",$D148,)</f>
        <v>0</v>
      </c>
      <c r="G148" s="67">
        <f t="shared" si="28"/>
        <v>0</v>
      </c>
      <c r="H148" s="67">
        <f>IF($C148="864",$D148,)</f>
        <v>0</v>
      </c>
      <c r="I148" s="67">
        <f>IF($C148="867",$D148,)</f>
        <v>0</v>
      </c>
      <c r="J148" s="67">
        <f>IF($C148="861",$D148,)</f>
        <v>0</v>
      </c>
      <c r="K148" s="67">
        <f>IF($C148="862",$D148,)</f>
        <v>0</v>
      </c>
      <c r="L148" s="67">
        <f>IF($C148="865",$D148,)</f>
        <v>0</v>
      </c>
      <c r="M148" s="67">
        <f>IF($C148="868",$D148,)</f>
        <v>0</v>
      </c>
      <c r="N148" s="67">
        <f>IF($C148="869",$D148,)</f>
        <v>0</v>
      </c>
      <c r="O148" s="67">
        <f>IF($C148="871",$D148,)</f>
        <v>0</v>
      </c>
      <c r="P148" s="67">
        <f>IF($C148="874",$D148,)</f>
        <v>0</v>
      </c>
      <c r="Q148" s="67">
        <f>IF($C148="873",$D148,)</f>
        <v>0</v>
      </c>
      <c r="R148" s="67"/>
      <c r="S148" s="67"/>
      <c r="T148" s="67">
        <f t="shared" si="26"/>
        <v>0</v>
      </c>
      <c r="U148" s="67">
        <f>IF($C148="877",$D148,)</f>
        <v>0</v>
      </c>
      <c r="V148" s="67">
        <f>IF($C148="875",$D148,)</f>
        <v>0</v>
      </c>
      <c r="W148" s="67">
        <f>IF($C148="872",$D148,)</f>
        <v>0</v>
      </c>
      <c r="X148" s="67">
        <f>IF($C148="909",$D148,)</f>
        <v>0</v>
      </c>
      <c r="Y148" s="67">
        <f t="shared" si="41"/>
        <v>0</v>
      </c>
      <c r="Z148" s="67"/>
      <c r="AA148" s="67">
        <f t="shared" si="42"/>
        <v>0</v>
      </c>
      <c r="AB148" s="67"/>
      <c r="AC148" s="67"/>
      <c r="AD148" s="4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row>
    <row r="149" spans="1:54" ht="12.75" hidden="1" customHeight="1" outlineLevel="1">
      <c r="A149" s="68" t="s">
        <v>242</v>
      </c>
      <c r="B149" s="75" t="s">
        <v>282</v>
      </c>
      <c r="C149" s="65" t="s">
        <v>488</v>
      </c>
      <c r="D149" s="66"/>
      <c r="E149" s="46">
        <f t="shared" si="39"/>
        <v>0</v>
      </c>
      <c r="F149" s="67">
        <f>IF($C149="820",$D149,)</f>
        <v>0</v>
      </c>
      <c r="G149" s="67">
        <f t="shared" si="28"/>
        <v>0</v>
      </c>
      <c r="H149" s="67">
        <f>IF($C149="864",$D149,)</f>
        <v>0</v>
      </c>
      <c r="I149" s="67">
        <f>IF($C149="867",$D149,)</f>
        <v>0</v>
      </c>
      <c r="J149" s="67">
        <f>IF($C149="861",$D149,)</f>
        <v>0</v>
      </c>
      <c r="K149" s="67">
        <f>IF($C149="862",$D149,)</f>
        <v>0</v>
      </c>
      <c r="L149" s="67">
        <f>IF($C149="865",$D149,)</f>
        <v>0</v>
      </c>
      <c r="M149" s="67">
        <f>IF($C149="868",$D149,)</f>
        <v>0</v>
      </c>
      <c r="N149" s="67">
        <f>IF($C149="869",$D149,)</f>
        <v>0</v>
      </c>
      <c r="O149" s="67">
        <f>IF($C149="871",$D149,)</f>
        <v>0</v>
      </c>
      <c r="P149" s="67">
        <f>IF($C149="874",$D149,)</f>
        <v>0</v>
      </c>
      <c r="Q149" s="67">
        <f>IF($C149="873",$D149,)</f>
        <v>0</v>
      </c>
      <c r="R149" s="67"/>
      <c r="S149" s="67"/>
      <c r="T149" s="67">
        <f t="shared" si="26"/>
        <v>0</v>
      </c>
      <c r="U149" s="67">
        <f>IF($C149="877",$D149,)</f>
        <v>0</v>
      </c>
      <c r="V149" s="67">
        <f>IF($C149="875",$D149,)</f>
        <v>0</v>
      </c>
      <c r="W149" s="67">
        <f>IF($C149="872",$D149,)</f>
        <v>0</v>
      </c>
      <c r="X149" s="67">
        <f>IF($C149="909",$D149,)</f>
        <v>0</v>
      </c>
      <c r="Y149" s="67">
        <f t="shared" si="41"/>
        <v>0</v>
      </c>
      <c r="Z149" s="67"/>
      <c r="AA149" s="67">
        <f t="shared" si="42"/>
        <v>0</v>
      </c>
      <c r="AB149" s="67"/>
      <c r="AC149" s="67"/>
      <c r="AD149" s="4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row>
    <row r="150" spans="1:54" ht="12.75" hidden="1" customHeight="1" outlineLevel="1">
      <c r="A150" s="68" t="s">
        <v>243</v>
      </c>
      <c r="B150" s="75" t="s">
        <v>269</v>
      </c>
      <c r="C150" s="65" t="s">
        <v>483</v>
      </c>
      <c r="D150" s="66"/>
      <c r="E150" s="46">
        <f t="shared" si="39"/>
        <v>0</v>
      </c>
      <c r="F150" s="67">
        <f>IF($C150="820",$D150,)</f>
        <v>0</v>
      </c>
      <c r="G150" s="67">
        <f t="shared" si="28"/>
        <v>0</v>
      </c>
      <c r="H150" s="67">
        <f>IF($C150="864",$D150,)</f>
        <v>0</v>
      </c>
      <c r="I150" s="67">
        <f>IF($C150="867",$D150,)</f>
        <v>0</v>
      </c>
      <c r="J150" s="67">
        <f>IF($C150="861",$D150,)</f>
        <v>0</v>
      </c>
      <c r="K150" s="67">
        <f>IF($C150="862",$D150,)</f>
        <v>0</v>
      </c>
      <c r="L150" s="67">
        <f>IF($C150="865",$D150,)</f>
        <v>0</v>
      </c>
      <c r="M150" s="67">
        <f>IF($C150="868",$D150,)</f>
        <v>0</v>
      </c>
      <c r="N150" s="67">
        <f>IF($C150="869",$D150,)</f>
        <v>0</v>
      </c>
      <c r="O150" s="67">
        <f>IF($C150="871",$D150,)</f>
        <v>0</v>
      </c>
      <c r="P150" s="67">
        <f>IF($C150="874",$D150,)</f>
        <v>0</v>
      </c>
      <c r="Q150" s="67">
        <f>IF($C150="873",$D150,)</f>
        <v>0</v>
      </c>
      <c r="R150" s="67"/>
      <c r="S150" s="67"/>
      <c r="T150" s="67">
        <f t="shared" si="26"/>
        <v>0</v>
      </c>
      <c r="U150" s="67">
        <f>IF($C150="877",$D150,)</f>
        <v>0</v>
      </c>
      <c r="V150" s="67">
        <f>IF($C150="875",$D150,)</f>
        <v>0</v>
      </c>
      <c r="W150" s="67">
        <f>IF($C150="872",$D150,)</f>
        <v>0</v>
      </c>
      <c r="X150" s="67">
        <f>IF($C150="909",$D150,)</f>
        <v>0</v>
      </c>
      <c r="Y150" s="67">
        <f t="shared" si="41"/>
        <v>0</v>
      </c>
      <c r="Z150" s="67"/>
      <c r="AA150" s="67">
        <f t="shared" si="42"/>
        <v>0</v>
      </c>
      <c r="AB150" s="67"/>
      <c r="AC150" s="67"/>
      <c r="AD150" s="4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row>
    <row r="151" spans="1:54" collapsed="1">
      <c r="A151" s="71" t="s">
        <v>391</v>
      </c>
      <c r="B151" s="52" t="s">
        <v>294</v>
      </c>
      <c r="C151" s="65"/>
      <c r="D151" s="66"/>
      <c r="E151" s="46">
        <f t="shared" si="39"/>
        <v>0</v>
      </c>
      <c r="F151" s="67">
        <f t="shared" ref="F151:Y151" si="45">F152+F153</f>
        <v>0</v>
      </c>
      <c r="G151" s="67">
        <f t="shared" si="45"/>
        <v>0</v>
      </c>
      <c r="H151" s="67">
        <f t="shared" si="45"/>
        <v>0</v>
      </c>
      <c r="I151" s="67">
        <f t="shared" si="45"/>
        <v>0</v>
      </c>
      <c r="J151" s="67">
        <f t="shared" si="45"/>
        <v>0</v>
      </c>
      <c r="K151" s="67">
        <f t="shared" si="45"/>
        <v>0</v>
      </c>
      <c r="L151" s="67">
        <f t="shared" si="45"/>
        <v>0</v>
      </c>
      <c r="M151" s="67">
        <f t="shared" si="45"/>
        <v>0</v>
      </c>
      <c r="N151" s="67">
        <f t="shared" si="45"/>
        <v>0</v>
      </c>
      <c r="O151" s="67">
        <f t="shared" si="45"/>
        <v>0</v>
      </c>
      <c r="P151" s="67">
        <f t="shared" si="45"/>
        <v>0</v>
      </c>
      <c r="Q151" s="67">
        <f t="shared" si="45"/>
        <v>0</v>
      </c>
      <c r="R151" s="67">
        <f t="shared" si="45"/>
        <v>0</v>
      </c>
      <c r="S151" s="67">
        <f t="shared" si="45"/>
        <v>0</v>
      </c>
      <c r="T151" s="67">
        <f t="shared" si="45"/>
        <v>0</v>
      </c>
      <c r="U151" s="67">
        <f t="shared" si="45"/>
        <v>0</v>
      </c>
      <c r="V151" s="67">
        <f t="shared" si="45"/>
        <v>0</v>
      </c>
      <c r="W151" s="67">
        <f t="shared" si="45"/>
        <v>0</v>
      </c>
      <c r="X151" s="67">
        <f t="shared" si="45"/>
        <v>0</v>
      </c>
      <c r="Y151" s="67">
        <f t="shared" si="45"/>
        <v>0</v>
      </c>
      <c r="Z151" s="67"/>
      <c r="AA151" s="67">
        <f t="shared" si="42"/>
        <v>0</v>
      </c>
      <c r="AB151" s="67"/>
      <c r="AC151" s="67"/>
      <c r="AD151" s="4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row>
    <row r="152" spans="1:54" ht="12.75" customHeight="1" outlineLevel="1">
      <c r="A152" s="68" t="s">
        <v>241</v>
      </c>
      <c r="B152" s="64" t="s">
        <v>258</v>
      </c>
      <c r="C152" s="65" t="s">
        <v>482</v>
      </c>
      <c r="D152" s="66"/>
      <c r="E152" s="46">
        <f t="shared" si="39"/>
        <v>0</v>
      </c>
      <c r="F152" s="67">
        <f>IF($C152="820",$D152,)</f>
        <v>0</v>
      </c>
      <c r="G152" s="67">
        <f t="shared" si="28"/>
        <v>0</v>
      </c>
      <c r="H152" s="67">
        <f>IF($C152="864",$D152,)</f>
        <v>0</v>
      </c>
      <c r="I152" s="67">
        <f>IF($C152="867",$D152,)</f>
        <v>0</v>
      </c>
      <c r="J152" s="67">
        <f>IF($C152="861",$D152,)</f>
        <v>0</v>
      </c>
      <c r="K152" s="67">
        <f>IF($C152="862",$D152,)</f>
        <v>0</v>
      </c>
      <c r="L152" s="67">
        <f>IF($C152="865",$D152,)</f>
        <v>0</v>
      </c>
      <c r="M152" s="67">
        <f>IF($C152="868",$D152,)</f>
        <v>0</v>
      </c>
      <c r="N152" s="67">
        <f>IF($C152="869",$D152,)</f>
        <v>0</v>
      </c>
      <c r="O152" s="67">
        <f>IF($C152="871",$D152,)</f>
        <v>0</v>
      </c>
      <c r="P152" s="67">
        <f>IF($C152="874",$D152,)</f>
        <v>0</v>
      </c>
      <c r="Q152" s="67">
        <f>IF($C152="873",$D152,)</f>
        <v>0</v>
      </c>
      <c r="R152" s="67"/>
      <c r="S152" s="67"/>
      <c r="T152" s="67">
        <f t="shared" ref="T152:T217" si="46">Q152-R152-S152</f>
        <v>0</v>
      </c>
      <c r="U152" s="67">
        <f>IF($C152="877",$D152,)</f>
        <v>0</v>
      </c>
      <c r="V152" s="67">
        <f>IF($C152="875",$D152,)</f>
        <v>0</v>
      </c>
      <c r="W152" s="67">
        <f>IF($C152="872",$D152,)</f>
        <v>0</v>
      </c>
      <c r="X152" s="67">
        <f>IF($C152="909",$D152,)</f>
        <v>0</v>
      </c>
      <c r="Y152" s="67">
        <f>IF(OR($C152="932",$C152="934",$C152="949"),$D152,)</f>
        <v>0</v>
      </c>
      <c r="Z152" s="67"/>
      <c r="AA152" s="67">
        <f t="shared" si="42"/>
        <v>0</v>
      </c>
      <c r="AB152" s="67"/>
      <c r="AC152" s="67"/>
      <c r="AD152" s="4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row>
    <row r="153" spans="1:54" ht="12.75" customHeight="1" outlineLevel="1">
      <c r="A153" s="68" t="s">
        <v>242</v>
      </c>
      <c r="B153" s="52" t="s">
        <v>295</v>
      </c>
      <c r="C153" s="65" t="s">
        <v>483</v>
      </c>
      <c r="D153" s="66"/>
      <c r="E153" s="46">
        <f t="shared" si="39"/>
        <v>0</v>
      </c>
      <c r="F153" s="67">
        <f>IF($C153="820",$D153,)</f>
        <v>0</v>
      </c>
      <c r="G153" s="67">
        <f t="shared" si="28"/>
        <v>0</v>
      </c>
      <c r="H153" s="67">
        <f>IF($C153="864",$D153,)</f>
        <v>0</v>
      </c>
      <c r="I153" s="67">
        <f>IF($C153="867",$D153,)</f>
        <v>0</v>
      </c>
      <c r="J153" s="67">
        <f>IF($C153="861",$D153,)</f>
        <v>0</v>
      </c>
      <c r="K153" s="67">
        <f>IF($C153="862",$D153,)</f>
        <v>0</v>
      </c>
      <c r="L153" s="67">
        <f>IF($C153="865",$D153,)</f>
        <v>0</v>
      </c>
      <c r="M153" s="67">
        <f>IF($C153="868",$D153,)</f>
        <v>0</v>
      </c>
      <c r="N153" s="67">
        <f>IF($C153="869",$D153,)</f>
        <v>0</v>
      </c>
      <c r="O153" s="67">
        <f>IF($C153="871",$D153,)</f>
        <v>0</v>
      </c>
      <c r="P153" s="67">
        <f>IF($C153="874",$D153,)</f>
        <v>0</v>
      </c>
      <c r="Q153" s="67">
        <f>IF($C153="873",$D153,)</f>
        <v>0</v>
      </c>
      <c r="R153" s="67"/>
      <c r="S153" s="67"/>
      <c r="T153" s="67">
        <f t="shared" si="46"/>
        <v>0</v>
      </c>
      <c r="U153" s="67">
        <f>IF($C153="877",$D153,)</f>
        <v>0</v>
      </c>
      <c r="V153" s="67">
        <f>IF($C153="875",$D153,)</f>
        <v>0</v>
      </c>
      <c r="W153" s="67">
        <f>IF($C153="872",$D153,)</f>
        <v>0</v>
      </c>
      <c r="X153" s="67">
        <f>IF($C153="909",$D153,)</f>
        <v>0</v>
      </c>
      <c r="Y153" s="67">
        <f>IF(OR($C153="932",$C153="934",$C153="949"),$D153,)</f>
        <v>0</v>
      </c>
      <c r="Z153" s="67"/>
      <c r="AA153" s="67">
        <f t="shared" si="42"/>
        <v>0</v>
      </c>
      <c r="AB153" s="67"/>
      <c r="AC153" s="67"/>
      <c r="AD153" s="4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row>
    <row r="154" spans="1:54">
      <c r="A154" s="69" t="s">
        <v>392</v>
      </c>
      <c r="B154" s="52" t="s">
        <v>296</v>
      </c>
      <c r="C154" s="72"/>
      <c r="D154" s="66"/>
      <c r="E154" s="46">
        <f t="shared" si="39"/>
        <v>0</v>
      </c>
      <c r="F154" s="67">
        <f t="shared" ref="F154:Y154" si="47">F155+F156+F157</f>
        <v>0</v>
      </c>
      <c r="G154" s="67">
        <f>G155+G156+G157</f>
        <v>0</v>
      </c>
      <c r="H154" s="67">
        <f t="shared" si="47"/>
        <v>0</v>
      </c>
      <c r="I154" s="67">
        <f t="shared" si="47"/>
        <v>0</v>
      </c>
      <c r="J154" s="67">
        <f t="shared" si="47"/>
        <v>0</v>
      </c>
      <c r="K154" s="67">
        <f t="shared" si="47"/>
        <v>0</v>
      </c>
      <c r="L154" s="67">
        <f t="shared" si="47"/>
        <v>0</v>
      </c>
      <c r="M154" s="67">
        <f t="shared" si="47"/>
        <v>0</v>
      </c>
      <c r="N154" s="67">
        <f t="shared" si="47"/>
        <v>0</v>
      </c>
      <c r="O154" s="67">
        <f t="shared" si="47"/>
        <v>0</v>
      </c>
      <c r="P154" s="67">
        <f t="shared" si="47"/>
        <v>0</v>
      </c>
      <c r="Q154" s="67">
        <f t="shared" si="47"/>
        <v>0</v>
      </c>
      <c r="R154" s="67">
        <f t="shared" si="47"/>
        <v>0</v>
      </c>
      <c r="S154" s="67">
        <f t="shared" si="47"/>
        <v>0</v>
      </c>
      <c r="T154" s="67">
        <f t="shared" si="47"/>
        <v>0</v>
      </c>
      <c r="U154" s="67">
        <f t="shared" si="47"/>
        <v>0</v>
      </c>
      <c r="V154" s="67">
        <f t="shared" si="47"/>
        <v>0</v>
      </c>
      <c r="W154" s="67">
        <f t="shared" si="47"/>
        <v>0</v>
      </c>
      <c r="X154" s="67">
        <f t="shared" si="47"/>
        <v>0</v>
      </c>
      <c r="Y154" s="67">
        <f t="shared" si="47"/>
        <v>0</v>
      </c>
      <c r="Z154" s="67"/>
      <c r="AA154" s="67">
        <f t="shared" si="42"/>
        <v>0</v>
      </c>
      <c r="AB154" s="67"/>
      <c r="AC154" s="67"/>
      <c r="AD154" s="4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row>
    <row r="155" spans="1:54" ht="12.75" customHeight="1" outlineLevel="1">
      <c r="A155" s="73" t="s">
        <v>241</v>
      </c>
      <c r="B155" s="52" t="s">
        <v>258</v>
      </c>
      <c r="C155" s="65" t="s">
        <v>482</v>
      </c>
      <c r="D155" s="66"/>
      <c r="E155" s="46">
        <f t="shared" si="39"/>
        <v>0</v>
      </c>
      <c r="F155" s="67">
        <f>IF($C155="820",$D155,)</f>
        <v>0</v>
      </c>
      <c r="G155" s="67">
        <f t="shared" si="28"/>
        <v>0</v>
      </c>
      <c r="H155" s="67">
        <f>IF($C155="864",$D155,)</f>
        <v>0</v>
      </c>
      <c r="I155" s="67">
        <f>IF($C155="867",$D155,)</f>
        <v>0</v>
      </c>
      <c r="J155" s="67">
        <f>IF($C155="861",$D155,)</f>
        <v>0</v>
      </c>
      <c r="K155" s="67">
        <f>IF($C155="862",$D155,)</f>
        <v>0</v>
      </c>
      <c r="L155" s="67">
        <f>IF($C155="865",$D155,)</f>
        <v>0</v>
      </c>
      <c r="M155" s="67">
        <f>IF($C155="868",$D155,)</f>
        <v>0</v>
      </c>
      <c r="N155" s="67">
        <f>IF($C155="869",$D155,)</f>
        <v>0</v>
      </c>
      <c r="O155" s="67">
        <f>IF($C155="871",$D155,)</f>
        <v>0</v>
      </c>
      <c r="P155" s="67">
        <f>IF($C155="874",$D155,)</f>
        <v>0</v>
      </c>
      <c r="Q155" s="67">
        <f>IF($C155="873",$D155,)</f>
        <v>0</v>
      </c>
      <c r="R155" s="67"/>
      <c r="S155" s="67"/>
      <c r="T155" s="67">
        <f t="shared" si="46"/>
        <v>0</v>
      </c>
      <c r="U155" s="67">
        <f>IF($C155="877",$D155,)</f>
        <v>0</v>
      </c>
      <c r="V155" s="67">
        <f>IF($C155="875",$D155,)</f>
        <v>0</v>
      </c>
      <c r="W155" s="67">
        <f>IF($C155="872",$D155,)</f>
        <v>0</v>
      </c>
      <c r="X155" s="67">
        <f>IF($C155="909",$D155,)</f>
        <v>0</v>
      </c>
      <c r="Y155" s="67">
        <f t="shared" ref="Y155:Y163" si="48">IF(OR($C155="932",$C155="934",$C155="949"),$D155,)</f>
        <v>0</v>
      </c>
      <c r="Z155" s="67"/>
      <c r="AA155" s="67">
        <f t="shared" si="42"/>
        <v>0</v>
      </c>
      <c r="AB155" s="67"/>
      <c r="AC155" s="67"/>
      <c r="AD155" s="4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row>
    <row r="156" spans="1:54" ht="12.75" customHeight="1" outlineLevel="1">
      <c r="A156" s="73" t="s">
        <v>242</v>
      </c>
      <c r="B156" s="52" t="s">
        <v>297</v>
      </c>
      <c r="C156" s="65" t="s">
        <v>483</v>
      </c>
      <c r="D156" s="66"/>
      <c r="E156" s="46">
        <f t="shared" si="39"/>
        <v>0</v>
      </c>
      <c r="F156" s="67">
        <f>IF($C156="820",$D156,)</f>
        <v>0</v>
      </c>
      <c r="G156" s="67">
        <f t="shared" si="28"/>
        <v>0</v>
      </c>
      <c r="H156" s="67">
        <f>IF($C156="864",$D156,)</f>
        <v>0</v>
      </c>
      <c r="I156" s="67">
        <f>IF($C156="867",$D156,)</f>
        <v>0</v>
      </c>
      <c r="J156" s="67">
        <f>IF($C156="861",$D156,)</f>
        <v>0</v>
      </c>
      <c r="K156" s="67">
        <f>IF($C156="862",$D156,)</f>
        <v>0</v>
      </c>
      <c r="L156" s="67">
        <f>IF($C156="865",$D156,)</f>
        <v>0</v>
      </c>
      <c r="M156" s="67">
        <f>IF($C156="868",$D156,)</f>
        <v>0</v>
      </c>
      <c r="N156" s="67">
        <f>IF($C156="869",$D156,)</f>
        <v>0</v>
      </c>
      <c r="O156" s="67">
        <f>IF($C156="871",$D156,)</f>
        <v>0</v>
      </c>
      <c r="P156" s="67">
        <f>IF($C156="874",$D156,)</f>
        <v>0</v>
      </c>
      <c r="Q156" s="67">
        <f>IF($C156="873",$D156,)</f>
        <v>0</v>
      </c>
      <c r="R156" s="67"/>
      <c r="S156" s="67"/>
      <c r="T156" s="67">
        <f t="shared" si="46"/>
        <v>0</v>
      </c>
      <c r="U156" s="67">
        <f>IF($C156="877",$D156,)</f>
        <v>0</v>
      </c>
      <c r="V156" s="67">
        <f>IF($C156="875",$D156,)</f>
        <v>0</v>
      </c>
      <c r="W156" s="67">
        <f>IF($C156="872",$D156,)</f>
        <v>0</v>
      </c>
      <c r="X156" s="67">
        <f>IF($C156="909",$D156,)</f>
        <v>0</v>
      </c>
      <c r="Y156" s="67">
        <f t="shared" si="48"/>
        <v>0</v>
      </c>
      <c r="Z156" s="67"/>
      <c r="AA156" s="67">
        <f t="shared" si="42"/>
        <v>0</v>
      </c>
      <c r="AB156" s="67"/>
      <c r="AC156" s="67"/>
      <c r="AD156" s="4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row>
    <row r="157" spans="1:54" ht="12.75" customHeight="1" outlineLevel="1">
      <c r="A157" s="73" t="s">
        <v>243</v>
      </c>
      <c r="B157" s="52" t="s">
        <v>298</v>
      </c>
      <c r="C157" s="65" t="s">
        <v>484</v>
      </c>
      <c r="D157" s="66"/>
      <c r="E157" s="46">
        <f t="shared" si="39"/>
        <v>0</v>
      </c>
      <c r="F157" s="67">
        <f>IF($C157="820",$D157,)</f>
        <v>0</v>
      </c>
      <c r="G157" s="67">
        <f t="shared" si="28"/>
        <v>0</v>
      </c>
      <c r="H157" s="67">
        <f>IF($C157="864",$D157,)</f>
        <v>0</v>
      </c>
      <c r="I157" s="67">
        <f>IF($C157="867",$D157,)</f>
        <v>0</v>
      </c>
      <c r="J157" s="67">
        <f>IF($C157="861",$D157,)</f>
        <v>0</v>
      </c>
      <c r="K157" s="67">
        <f>IF($C157="862",$D157,)</f>
        <v>0</v>
      </c>
      <c r="L157" s="67">
        <f>IF($C157="865",$D157,)</f>
        <v>0</v>
      </c>
      <c r="M157" s="67">
        <f>IF($C157="868",$D157,)</f>
        <v>0</v>
      </c>
      <c r="N157" s="67">
        <f>IF($C157="869",$D157,)</f>
        <v>0</v>
      </c>
      <c r="O157" s="67">
        <f>IF($C157="871",$D157,)</f>
        <v>0</v>
      </c>
      <c r="P157" s="67">
        <f>IF($C157="874",$D157,)</f>
        <v>0</v>
      </c>
      <c r="Q157" s="67">
        <f>IF($C157="873",$D157,)</f>
        <v>0</v>
      </c>
      <c r="R157" s="67"/>
      <c r="S157" s="67"/>
      <c r="T157" s="67">
        <f t="shared" si="46"/>
        <v>0</v>
      </c>
      <c r="U157" s="67">
        <f>IF($C157="877",$D157,)</f>
        <v>0</v>
      </c>
      <c r="V157" s="67">
        <f>IF($C157="875",$D157,)</f>
        <v>0</v>
      </c>
      <c r="W157" s="67">
        <f>IF($C157="872",$D157,)</f>
        <v>0</v>
      </c>
      <c r="X157" s="67">
        <f>IF($C157="909",$D157,)</f>
        <v>0</v>
      </c>
      <c r="Y157" s="67">
        <f t="shared" si="48"/>
        <v>0</v>
      </c>
      <c r="Z157" s="67"/>
      <c r="AA157" s="67">
        <f t="shared" si="42"/>
        <v>0</v>
      </c>
      <c r="AB157" s="67"/>
      <c r="AC157" s="67"/>
      <c r="AD157" s="4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row>
    <row r="158" spans="1:54">
      <c r="A158" s="76">
        <v>16</v>
      </c>
      <c r="B158" s="52" t="s">
        <v>299</v>
      </c>
      <c r="C158" s="65"/>
      <c r="D158" s="66"/>
      <c r="E158" s="46">
        <f t="shared" si="39"/>
        <v>0</v>
      </c>
      <c r="F158" s="67">
        <f>F159+F160+F161</f>
        <v>0</v>
      </c>
      <c r="G158" s="67">
        <f t="shared" si="28"/>
        <v>0</v>
      </c>
      <c r="H158" s="67">
        <f>H159+H160+H161</f>
        <v>0</v>
      </c>
      <c r="I158" s="67">
        <f t="shared" ref="I158:Q158" si="49">I159+I160+I161</f>
        <v>0</v>
      </c>
      <c r="J158" s="67">
        <f t="shared" si="49"/>
        <v>0</v>
      </c>
      <c r="K158" s="67">
        <f t="shared" si="49"/>
        <v>0</v>
      </c>
      <c r="L158" s="67">
        <f t="shared" si="49"/>
        <v>0</v>
      </c>
      <c r="M158" s="67">
        <f t="shared" si="49"/>
        <v>0</v>
      </c>
      <c r="N158" s="67">
        <f t="shared" si="49"/>
        <v>0</v>
      </c>
      <c r="O158" s="67">
        <f t="shared" si="49"/>
        <v>0</v>
      </c>
      <c r="P158" s="67">
        <f t="shared" si="49"/>
        <v>0</v>
      </c>
      <c r="Q158" s="67">
        <f t="shared" si="49"/>
        <v>0</v>
      </c>
      <c r="R158" s="67"/>
      <c r="S158" s="67"/>
      <c r="T158" s="67">
        <f t="shared" si="46"/>
        <v>0</v>
      </c>
      <c r="U158" s="67">
        <f>U159+U160+U161</f>
        <v>0</v>
      </c>
      <c r="V158" s="67">
        <f>V159+V160+V161</f>
        <v>0</v>
      </c>
      <c r="W158" s="67">
        <f>W159+W160+W161</f>
        <v>0</v>
      </c>
      <c r="X158" s="67">
        <f>X159+X160+X161</f>
        <v>0</v>
      </c>
      <c r="Y158" s="67">
        <f t="shared" si="48"/>
        <v>0</v>
      </c>
      <c r="Z158" s="67"/>
      <c r="AA158" s="67">
        <f t="shared" si="42"/>
        <v>0</v>
      </c>
      <c r="AB158" s="67"/>
      <c r="AC158" s="67"/>
      <c r="AD158" s="4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row>
    <row r="159" spans="1:54" ht="12.75" hidden="1" customHeight="1" outlineLevel="1">
      <c r="A159" s="73" t="s">
        <v>241</v>
      </c>
      <c r="B159" s="52" t="s">
        <v>258</v>
      </c>
      <c r="C159" s="65" t="s">
        <v>482</v>
      </c>
      <c r="D159" s="66"/>
      <c r="E159" s="46">
        <f t="shared" si="39"/>
        <v>0</v>
      </c>
      <c r="F159" s="67">
        <f>IF($C159="820",$D159,)</f>
        <v>0</v>
      </c>
      <c r="G159" s="67">
        <f t="shared" si="28"/>
        <v>0</v>
      </c>
      <c r="H159" s="67">
        <f>IF($C159="864",$D159,)</f>
        <v>0</v>
      </c>
      <c r="I159" s="67">
        <f>IF($C159="867",$D159,)</f>
        <v>0</v>
      </c>
      <c r="J159" s="67">
        <f>IF($C159="861",$D159,)</f>
        <v>0</v>
      </c>
      <c r="K159" s="67">
        <f>IF($C159="862",$D159,)</f>
        <v>0</v>
      </c>
      <c r="L159" s="67">
        <f>IF($C159="865",$D159,)</f>
        <v>0</v>
      </c>
      <c r="M159" s="67">
        <f>IF($C159="868",$D159,)</f>
        <v>0</v>
      </c>
      <c r="N159" s="67">
        <f>IF($C159="869",$D159,)</f>
        <v>0</v>
      </c>
      <c r="O159" s="67">
        <f>IF($C159="871",$D159,)</f>
        <v>0</v>
      </c>
      <c r="P159" s="67">
        <f>IF($C159="874",$D159,)</f>
        <v>0</v>
      </c>
      <c r="Q159" s="67">
        <f>IF($C159="873",$D159,)</f>
        <v>0</v>
      </c>
      <c r="R159" s="67"/>
      <c r="S159" s="67"/>
      <c r="T159" s="67">
        <f t="shared" si="46"/>
        <v>0</v>
      </c>
      <c r="U159" s="67">
        <f>IF($C159="877",$D159,)</f>
        <v>0</v>
      </c>
      <c r="V159" s="67">
        <f>IF($C159="875",$D159,)</f>
        <v>0</v>
      </c>
      <c r="W159" s="67">
        <f>IF($C159="872",$D159,)</f>
        <v>0</v>
      </c>
      <c r="X159" s="67">
        <f>IF($C159="909",$D159,)</f>
        <v>0</v>
      </c>
      <c r="Y159" s="67">
        <f t="shared" si="48"/>
        <v>0</v>
      </c>
      <c r="Z159" s="67"/>
      <c r="AA159" s="67">
        <f t="shared" si="42"/>
        <v>0</v>
      </c>
      <c r="AB159" s="67"/>
      <c r="AC159" s="67"/>
      <c r="AD159" s="4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row>
    <row r="160" spans="1:54" ht="12.75" hidden="1" customHeight="1" outlineLevel="1">
      <c r="A160" s="73" t="s">
        <v>242</v>
      </c>
      <c r="B160" s="52" t="s">
        <v>295</v>
      </c>
      <c r="C160" s="65" t="s">
        <v>483</v>
      </c>
      <c r="D160" s="66"/>
      <c r="E160" s="46">
        <f t="shared" si="39"/>
        <v>0</v>
      </c>
      <c r="F160" s="67">
        <f>IF($C160="820",$D160,)</f>
        <v>0</v>
      </c>
      <c r="G160" s="67">
        <f t="shared" si="28"/>
        <v>0</v>
      </c>
      <c r="H160" s="67">
        <f>IF($C160="864",$D160,)</f>
        <v>0</v>
      </c>
      <c r="I160" s="67">
        <f>IF($C160="867",$D160,)</f>
        <v>0</v>
      </c>
      <c r="J160" s="67">
        <f>IF($C160="861",$D160,)</f>
        <v>0</v>
      </c>
      <c r="K160" s="67">
        <f>IF($C160="862",$D160,)</f>
        <v>0</v>
      </c>
      <c r="L160" s="67">
        <f>IF($C160="865",$D160,)</f>
        <v>0</v>
      </c>
      <c r="M160" s="67">
        <f>IF($C160="868",$D160,)</f>
        <v>0</v>
      </c>
      <c r="N160" s="67">
        <f>IF($C160="869",$D160,)</f>
        <v>0</v>
      </c>
      <c r="O160" s="67">
        <f>IF($C160="871",$D160,)</f>
        <v>0</v>
      </c>
      <c r="P160" s="67">
        <f>IF($C160="874",$D160,)</f>
        <v>0</v>
      </c>
      <c r="Q160" s="67">
        <f>IF($C160="873",$D160,)</f>
        <v>0</v>
      </c>
      <c r="R160" s="67"/>
      <c r="S160" s="67"/>
      <c r="T160" s="67">
        <f t="shared" si="46"/>
        <v>0</v>
      </c>
      <c r="U160" s="67">
        <f>IF($C160="877",$D160,)</f>
        <v>0</v>
      </c>
      <c r="V160" s="67">
        <f>IF($C160="875",$D160,)</f>
        <v>0</v>
      </c>
      <c r="W160" s="67">
        <f>IF($C160="872",$D160,)</f>
        <v>0</v>
      </c>
      <c r="X160" s="67">
        <f>IF($C160="909",$D160,)</f>
        <v>0</v>
      </c>
      <c r="Y160" s="67">
        <f t="shared" si="48"/>
        <v>0</v>
      </c>
      <c r="Z160" s="67"/>
      <c r="AA160" s="67">
        <f t="shared" si="42"/>
        <v>0</v>
      </c>
      <c r="AB160" s="67"/>
      <c r="AC160" s="67"/>
      <c r="AD160" s="4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row>
    <row r="161" spans="1:54" ht="12.75" hidden="1" customHeight="1" outlineLevel="1">
      <c r="A161" s="73"/>
      <c r="B161" s="52"/>
      <c r="C161" s="65"/>
      <c r="D161" s="66"/>
      <c r="E161" s="46">
        <f t="shared" si="39"/>
        <v>0</v>
      </c>
      <c r="F161" s="67">
        <f>IF($C161="820",$D161,)</f>
        <v>0</v>
      </c>
      <c r="G161" s="67">
        <f t="shared" si="28"/>
        <v>0</v>
      </c>
      <c r="H161" s="67">
        <f>IF($C161="864",$D161,)</f>
        <v>0</v>
      </c>
      <c r="I161" s="67">
        <f>IF($C161="867",$D161,)</f>
        <v>0</v>
      </c>
      <c r="J161" s="67">
        <f>IF($C161="861",$D161,)</f>
        <v>0</v>
      </c>
      <c r="K161" s="67">
        <f>IF($C161="862",$D161,)</f>
        <v>0</v>
      </c>
      <c r="L161" s="67">
        <f>IF($C161="865",$D161,)</f>
        <v>0</v>
      </c>
      <c r="M161" s="67">
        <f>IF($C161="868",$D161,)</f>
        <v>0</v>
      </c>
      <c r="N161" s="67">
        <f>IF($C161="869",$D161,)</f>
        <v>0</v>
      </c>
      <c r="O161" s="67">
        <f>IF($C161="871",$D161,)</f>
        <v>0</v>
      </c>
      <c r="P161" s="67">
        <f>IF($C161="874",$D161,)</f>
        <v>0</v>
      </c>
      <c r="Q161" s="67">
        <f>IF($C161="873",$D161,)</f>
        <v>0</v>
      </c>
      <c r="R161" s="67"/>
      <c r="S161" s="67"/>
      <c r="T161" s="67">
        <f t="shared" si="46"/>
        <v>0</v>
      </c>
      <c r="U161" s="67">
        <f>IF($C161="877",$D161,)</f>
        <v>0</v>
      </c>
      <c r="V161" s="67">
        <f>IF($C161="875",$D161,)</f>
        <v>0</v>
      </c>
      <c r="W161" s="67">
        <f>IF($C161="872",$D161,)</f>
        <v>0</v>
      </c>
      <c r="X161" s="67">
        <f>IF($C161="909",$D161,)</f>
        <v>0</v>
      </c>
      <c r="Y161" s="67">
        <f t="shared" si="48"/>
        <v>0</v>
      </c>
      <c r="Z161" s="67"/>
      <c r="AA161" s="67">
        <f t="shared" si="42"/>
        <v>0</v>
      </c>
      <c r="AB161" s="67"/>
      <c r="AC161" s="67"/>
      <c r="AD161" s="4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row>
    <row r="162" spans="1:54" ht="12.75" hidden="1" customHeight="1" outlineLevel="1">
      <c r="A162" s="76"/>
      <c r="B162" s="52"/>
      <c r="C162" s="65"/>
      <c r="D162" s="66"/>
      <c r="E162" s="46">
        <f t="shared" si="39"/>
        <v>0</v>
      </c>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4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row>
    <row r="163" spans="1:54" collapsed="1">
      <c r="A163" s="76">
        <v>17</v>
      </c>
      <c r="B163" s="52" t="s">
        <v>300</v>
      </c>
      <c r="C163" s="74" t="s">
        <v>482</v>
      </c>
      <c r="D163" s="66"/>
      <c r="E163" s="46">
        <f t="shared" si="39"/>
        <v>0</v>
      </c>
      <c r="F163" s="67">
        <f>IF($C163="820",$D163,)</f>
        <v>0</v>
      </c>
      <c r="G163" s="67">
        <f>H163+I163+J163+K163+L163+M163+N163+O163+P163+Q163+U163+V163+W163+X163</f>
        <v>0</v>
      </c>
      <c r="H163" s="67">
        <f>IF($C163="864",$D163,)</f>
        <v>0</v>
      </c>
      <c r="I163" s="67">
        <f>IF($C163="867",$D163,)</f>
        <v>0</v>
      </c>
      <c r="J163" s="67">
        <f>IF($C163="861",$D163,)</f>
        <v>0</v>
      </c>
      <c r="K163" s="67">
        <f>IF($C163="862",$D163,)</f>
        <v>0</v>
      </c>
      <c r="L163" s="67">
        <f>IF($C163="865",$D163,)</f>
        <v>0</v>
      </c>
      <c r="M163" s="67">
        <f>IF($C163="868",$D163,)</f>
        <v>0</v>
      </c>
      <c r="N163" s="67">
        <f>IF($C163="869",$D163,)</f>
        <v>0</v>
      </c>
      <c r="O163" s="67">
        <f>IF($C163="871",$D163,)</f>
        <v>0</v>
      </c>
      <c r="P163" s="67">
        <f>IF($C163="874",$D163,)</f>
        <v>0</v>
      </c>
      <c r="Q163" s="67">
        <f>IF($C163="873",$D163,)</f>
        <v>0</v>
      </c>
      <c r="R163" s="67"/>
      <c r="S163" s="67"/>
      <c r="T163" s="67">
        <f>Q163-R163-S163</f>
        <v>0</v>
      </c>
      <c r="U163" s="67">
        <f>IF($C163="877",$D163,)</f>
        <v>0</v>
      </c>
      <c r="V163" s="67">
        <f>IF($C163="875",$D163,)</f>
        <v>0</v>
      </c>
      <c r="W163" s="67">
        <f>IF($C163="872",$D163,)</f>
        <v>0</v>
      </c>
      <c r="X163" s="67">
        <f>IF($C163="909",$D163,)</f>
        <v>0</v>
      </c>
      <c r="Y163" s="67">
        <f t="shared" si="48"/>
        <v>0</v>
      </c>
      <c r="Z163" s="67"/>
      <c r="AA163" s="67">
        <f t="shared" si="42"/>
        <v>0</v>
      </c>
      <c r="AB163" s="67"/>
      <c r="AC163" s="67"/>
      <c r="AD163" s="4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row>
    <row r="164" spans="1:54" ht="12.75" hidden="1" customHeight="1" outlineLevel="1">
      <c r="A164" s="76"/>
      <c r="B164" s="52"/>
      <c r="C164" s="65"/>
      <c r="D164" s="66"/>
      <c r="E164" s="46">
        <f t="shared" si="39"/>
        <v>0</v>
      </c>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4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row>
    <row r="165" spans="1:54" ht="12.75" hidden="1" customHeight="1" outlineLevel="1">
      <c r="A165" s="76"/>
      <c r="B165" s="52"/>
      <c r="C165" s="65"/>
      <c r="D165" s="66"/>
      <c r="E165" s="46">
        <f t="shared" si="39"/>
        <v>0</v>
      </c>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4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row>
    <row r="166" spans="1:54" ht="12.75" hidden="1" customHeight="1" outlineLevel="1">
      <c r="A166" s="76"/>
      <c r="B166" s="52"/>
      <c r="C166" s="65"/>
      <c r="D166" s="66"/>
      <c r="E166" s="46">
        <f t="shared" si="39"/>
        <v>0</v>
      </c>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4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row>
    <row r="167" spans="1:54" collapsed="1">
      <c r="A167" s="76">
        <v>18</v>
      </c>
      <c r="B167" s="52" t="s">
        <v>301</v>
      </c>
      <c r="C167" s="65" t="s">
        <v>483</v>
      </c>
      <c r="D167" s="66"/>
      <c r="E167" s="46">
        <f t="shared" si="39"/>
        <v>0</v>
      </c>
      <c r="F167" s="67">
        <f t="shared" ref="F167:F171" si="50">IF($C167="820",$D167,)</f>
        <v>0</v>
      </c>
      <c r="G167" s="67">
        <f t="shared" si="28"/>
        <v>0</v>
      </c>
      <c r="H167" s="67">
        <f t="shared" ref="H167:H171" si="51">IF($C167="864",$D167,)</f>
        <v>0</v>
      </c>
      <c r="I167" s="67">
        <f t="shared" ref="I167:I171" si="52">IF($C167="867",$D167,)</f>
        <v>0</v>
      </c>
      <c r="J167" s="67">
        <f t="shared" ref="J167:J171" si="53">IF($C167="861",$D167,)</f>
        <v>0</v>
      </c>
      <c r="K167" s="67">
        <f t="shared" ref="K167:K171" si="54">IF($C167="862",$D167,)</f>
        <v>0</v>
      </c>
      <c r="L167" s="67">
        <f t="shared" ref="L167:L171" si="55">IF($C167="865",$D167,)</f>
        <v>0</v>
      </c>
      <c r="M167" s="67">
        <f t="shared" ref="M167:M171" si="56">IF($C167="868",$D167,)</f>
        <v>0</v>
      </c>
      <c r="N167" s="67">
        <f t="shared" ref="N167:N171" si="57">IF($C167="869",$D167,)</f>
        <v>0</v>
      </c>
      <c r="O167" s="67">
        <f t="shared" ref="O167:O171" si="58">IF($C167="871",$D167,)</f>
        <v>0</v>
      </c>
      <c r="P167" s="67">
        <f t="shared" ref="P167:P171" si="59">IF($C167="874",$D167,)</f>
        <v>0</v>
      </c>
      <c r="Q167" s="67">
        <f t="shared" ref="Q167:Q171" si="60">IF($C167="873",$D167,)</f>
        <v>0</v>
      </c>
      <c r="R167" s="67"/>
      <c r="S167" s="67"/>
      <c r="T167" s="67">
        <f t="shared" si="46"/>
        <v>0</v>
      </c>
      <c r="U167" s="67">
        <f t="shared" ref="U167:U171" si="61">IF($C167="877",$D167,)</f>
        <v>0</v>
      </c>
      <c r="V167" s="67"/>
      <c r="W167" s="67"/>
      <c r="X167" s="67"/>
      <c r="Y167" s="67">
        <f t="shared" ref="Y167:Y180" si="62">IF(OR($C167="932",$C167="934",$C167="949"),$D167,)</f>
        <v>0</v>
      </c>
      <c r="Z167" s="67"/>
      <c r="AA167" s="67">
        <f t="shared" si="42"/>
        <v>0</v>
      </c>
      <c r="AB167" s="67"/>
      <c r="AC167" s="67"/>
      <c r="AD167" s="4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row>
    <row r="168" spans="1:54" ht="25.5">
      <c r="A168" s="76">
        <v>19</v>
      </c>
      <c r="B168" s="52" t="s">
        <v>302</v>
      </c>
      <c r="C168" s="65" t="s">
        <v>485</v>
      </c>
      <c r="D168" s="66"/>
      <c r="E168" s="46">
        <f t="shared" si="39"/>
        <v>0</v>
      </c>
      <c r="F168" s="67">
        <f t="shared" si="50"/>
        <v>0</v>
      </c>
      <c r="G168" s="67">
        <f>H168+I168+J168+K168+L168+M168+N168+O168+P168+Q168+U168+V168+W168+X168</f>
        <v>0</v>
      </c>
      <c r="H168" s="67">
        <f t="shared" si="51"/>
        <v>0</v>
      </c>
      <c r="I168" s="67">
        <f t="shared" si="52"/>
        <v>0</v>
      </c>
      <c r="J168" s="67">
        <f t="shared" si="53"/>
        <v>0</v>
      </c>
      <c r="K168" s="67">
        <f t="shared" si="54"/>
        <v>0</v>
      </c>
      <c r="L168" s="67">
        <f t="shared" si="55"/>
        <v>0</v>
      </c>
      <c r="M168" s="67">
        <f t="shared" si="56"/>
        <v>0</v>
      </c>
      <c r="N168" s="67">
        <f t="shared" si="57"/>
        <v>0</v>
      </c>
      <c r="O168" s="67">
        <f t="shared" si="58"/>
        <v>0</v>
      </c>
      <c r="P168" s="67">
        <f t="shared" si="59"/>
        <v>0</v>
      </c>
      <c r="Q168" s="67">
        <f t="shared" si="60"/>
        <v>0</v>
      </c>
      <c r="R168" s="67"/>
      <c r="S168" s="67"/>
      <c r="T168" s="67">
        <f>Q168-R168-S168</f>
        <v>0</v>
      </c>
      <c r="U168" s="67">
        <f t="shared" si="61"/>
        <v>0</v>
      </c>
      <c r="V168" s="67">
        <f>IF($C168="875",$D168,)</f>
        <v>0</v>
      </c>
      <c r="W168" s="67">
        <f>IF($C168="872",$D168,)</f>
        <v>0</v>
      </c>
      <c r="X168" s="67">
        <f>IF($C168="909",$D168,)</f>
        <v>0</v>
      </c>
      <c r="Y168" s="67">
        <f t="shared" si="62"/>
        <v>0</v>
      </c>
      <c r="Z168" s="67"/>
      <c r="AA168" s="67">
        <f t="shared" si="42"/>
        <v>0</v>
      </c>
      <c r="AB168" s="67"/>
      <c r="AC168" s="67"/>
      <c r="AD168" s="4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row>
    <row r="169" spans="1:54">
      <c r="A169" s="76">
        <v>20</v>
      </c>
      <c r="B169" s="52" t="s">
        <v>303</v>
      </c>
      <c r="C169" s="65" t="s">
        <v>485</v>
      </c>
      <c r="D169" s="66"/>
      <c r="E169" s="46">
        <f t="shared" si="39"/>
        <v>0</v>
      </c>
      <c r="F169" s="67">
        <f t="shared" si="50"/>
        <v>0</v>
      </c>
      <c r="G169" s="67">
        <f t="shared" ref="G169:G234" si="63">H169+I169+J169+K169+L169+M169+N169+O169+P169+Q169+U169+V169+W169+X169</f>
        <v>0</v>
      </c>
      <c r="H169" s="67">
        <f t="shared" si="51"/>
        <v>0</v>
      </c>
      <c r="I169" s="67">
        <f t="shared" si="52"/>
        <v>0</v>
      </c>
      <c r="J169" s="67">
        <f t="shared" si="53"/>
        <v>0</v>
      </c>
      <c r="K169" s="67">
        <f t="shared" si="54"/>
        <v>0</v>
      </c>
      <c r="L169" s="67">
        <f t="shared" si="55"/>
        <v>0</v>
      </c>
      <c r="M169" s="67">
        <f t="shared" si="56"/>
        <v>0</v>
      </c>
      <c r="N169" s="67">
        <f t="shared" si="57"/>
        <v>0</v>
      </c>
      <c r="O169" s="67">
        <f t="shared" si="58"/>
        <v>0</v>
      </c>
      <c r="P169" s="67">
        <f t="shared" si="59"/>
        <v>0</v>
      </c>
      <c r="Q169" s="67">
        <f t="shared" si="60"/>
        <v>0</v>
      </c>
      <c r="R169" s="67"/>
      <c r="S169" s="67"/>
      <c r="T169" s="67">
        <f t="shared" si="46"/>
        <v>0</v>
      </c>
      <c r="U169" s="67">
        <f t="shared" si="61"/>
        <v>0</v>
      </c>
      <c r="V169" s="67">
        <f>IF($C169="875",$D169,)</f>
        <v>0</v>
      </c>
      <c r="W169" s="67">
        <f>IF($C169="872",$D169,)</f>
        <v>0</v>
      </c>
      <c r="X169" s="67">
        <f>IF($C169="909",$D169,)</f>
        <v>0</v>
      </c>
      <c r="Y169" s="67">
        <f t="shared" si="62"/>
        <v>0</v>
      </c>
      <c r="Z169" s="67"/>
      <c r="AA169" s="67">
        <f t="shared" si="42"/>
        <v>0</v>
      </c>
      <c r="AB169" s="67"/>
      <c r="AC169" s="67"/>
      <c r="AD169" s="4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row>
    <row r="170" spans="1:54">
      <c r="A170" s="76">
        <v>21</v>
      </c>
      <c r="B170" s="52" t="s">
        <v>304</v>
      </c>
      <c r="C170" s="65" t="s">
        <v>491</v>
      </c>
      <c r="D170" s="66"/>
      <c r="E170" s="46">
        <f t="shared" si="39"/>
        <v>0</v>
      </c>
      <c r="F170" s="67">
        <f t="shared" si="50"/>
        <v>0</v>
      </c>
      <c r="G170" s="67">
        <f t="shared" si="63"/>
        <v>0</v>
      </c>
      <c r="H170" s="67">
        <f t="shared" si="51"/>
        <v>0</v>
      </c>
      <c r="I170" s="67">
        <f t="shared" si="52"/>
        <v>0</v>
      </c>
      <c r="J170" s="67">
        <f t="shared" si="53"/>
        <v>0</v>
      </c>
      <c r="K170" s="67">
        <f t="shared" si="54"/>
        <v>0</v>
      </c>
      <c r="L170" s="67">
        <f t="shared" si="55"/>
        <v>0</v>
      </c>
      <c r="M170" s="67">
        <f t="shared" si="56"/>
        <v>0</v>
      </c>
      <c r="N170" s="67">
        <f t="shared" si="57"/>
        <v>0</v>
      </c>
      <c r="O170" s="67">
        <f t="shared" si="58"/>
        <v>0</v>
      </c>
      <c r="P170" s="67">
        <f t="shared" si="59"/>
        <v>0</v>
      </c>
      <c r="Q170" s="67">
        <f t="shared" si="60"/>
        <v>0</v>
      </c>
      <c r="R170" s="67"/>
      <c r="S170" s="67"/>
      <c r="T170" s="67">
        <f t="shared" si="46"/>
        <v>0</v>
      </c>
      <c r="U170" s="67">
        <f t="shared" si="61"/>
        <v>0</v>
      </c>
      <c r="V170" s="67">
        <f>IF($C170="875",$D170,)</f>
        <v>0</v>
      </c>
      <c r="W170" s="67">
        <f>IF($C170="872",$D170,)</f>
        <v>0</v>
      </c>
      <c r="X170" s="67">
        <f>IF($C170="909",$D170,)</f>
        <v>0</v>
      </c>
      <c r="Y170" s="67">
        <f t="shared" si="62"/>
        <v>0</v>
      </c>
      <c r="Z170" s="67"/>
      <c r="AA170" s="67">
        <f t="shared" si="42"/>
        <v>0</v>
      </c>
      <c r="AB170" s="67"/>
      <c r="AC170" s="67"/>
      <c r="AD170" s="4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row>
    <row r="171" spans="1:54">
      <c r="A171" s="76">
        <v>22</v>
      </c>
      <c r="B171" s="52" t="s">
        <v>305</v>
      </c>
      <c r="C171" s="65" t="s">
        <v>486</v>
      </c>
      <c r="D171" s="66"/>
      <c r="E171" s="46">
        <f t="shared" si="39"/>
        <v>0</v>
      </c>
      <c r="F171" s="67">
        <f t="shared" si="50"/>
        <v>0</v>
      </c>
      <c r="G171" s="67">
        <f t="shared" si="63"/>
        <v>0</v>
      </c>
      <c r="H171" s="67">
        <f t="shared" si="51"/>
        <v>0</v>
      </c>
      <c r="I171" s="67">
        <f t="shared" si="52"/>
        <v>0</v>
      </c>
      <c r="J171" s="67">
        <f t="shared" si="53"/>
        <v>0</v>
      </c>
      <c r="K171" s="67">
        <f t="shared" si="54"/>
        <v>0</v>
      </c>
      <c r="L171" s="67">
        <f t="shared" si="55"/>
        <v>0</v>
      </c>
      <c r="M171" s="67">
        <f t="shared" si="56"/>
        <v>0</v>
      </c>
      <c r="N171" s="67">
        <f t="shared" si="57"/>
        <v>0</v>
      </c>
      <c r="O171" s="67">
        <f t="shared" si="58"/>
        <v>0</v>
      </c>
      <c r="P171" s="67">
        <f t="shared" si="59"/>
        <v>0</v>
      </c>
      <c r="Q171" s="67">
        <f t="shared" si="60"/>
        <v>0</v>
      </c>
      <c r="R171" s="67"/>
      <c r="S171" s="67"/>
      <c r="T171" s="67">
        <f t="shared" si="46"/>
        <v>0</v>
      </c>
      <c r="U171" s="67">
        <f t="shared" si="61"/>
        <v>0</v>
      </c>
      <c r="V171" s="67">
        <f>IF($C171="875",$D171,)</f>
        <v>0</v>
      </c>
      <c r="W171" s="67">
        <f>IF($C171="872",$D171,)</f>
        <v>0</v>
      </c>
      <c r="X171" s="67">
        <f>IF($C171="909",$D171,)</f>
        <v>0</v>
      </c>
      <c r="Y171" s="67">
        <f t="shared" si="62"/>
        <v>0</v>
      </c>
      <c r="Z171" s="67"/>
      <c r="AA171" s="67">
        <f t="shared" si="42"/>
        <v>0</v>
      </c>
      <c r="AB171" s="67"/>
      <c r="AC171" s="67"/>
      <c r="AD171" s="4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row>
    <row r="172" spans="1:54">
      <c r="A172" s="76">
        <v>23</v>
      </c>
      <c r="B172" s="52" t="s">
        <v>306</v>
      </c>
      <c r="C172" s="65"/>
      <c r="D172" s="66"/>
      <c r="E172" s="46">
        <f t="shared" si="39"/>
        <v>0</v>
      </c>
      <c r="F172" s="67">
        <f>SUM(F173:F174)</f>
        <v>0</v>
      </c>
      <c r="G172" s="67">
        <f t="shared" si="63"/>
        <v>0</v>
      </c>
      <c r="H172" s="67">
        <f>SUM(H173:H174)</f>
        <v>0</v>
      </c>
      <c r="I172" s="67">
        <f t="shared" ref="I172:Q172" si="64">SUM(I173:I174)</f>
        <v>0</v>
      </c>
      <c r="J172" s="67">
        <f t="shared" si="64"/>
        <v>0</v>
      </c>
      <c r="K172" s="67">
        <f t="shared" si="64"/>
        <v>0</v>
      </c>
      <c r="L172" s="67">
        <f t="shared" si="64"/>
        <v>0</v>
      </c>
      <c r="M172" s="67">
        <f t="shared" si="64"/>
        <v>0</v>
      </c>
      <c r="N172" s="67">
        <f t="shared" si="64"/>
        <v>0</v>
      </c>
      <c r="O172" s="67">
        <f t="shared" si="64"/>
        <v>0</v>
      </c>
      <c r="P172" s="67">
        <f t="shared" si="64"/>
        <v>0</v>
      </c>
      <c r="Q172" s="67">
        <f t="shared" si="64"/>
        <v>0</v>
      </c>
      <c r="R172" s="67"/>
      <c r="S172" s="67"/>
      <c r="T172" s="67">
        <f t="shared" si="46"/>
        <v>0</v>
      </c>
      <c r="U172" s="67">
        <f>SUM(U173:U174)</f>
        <v>0</v>
      </c>
      <c r="V172" s="67">
        <f>SUM(V173:V174)</f>
        <v>0</v>
      </c>
      <c r="W172" s="67">
        <f>SUM(W173:W174)</f>
        <v>0</v>
      </c>
      <c r="X172" s="67">
        <f>SUM(X173:X174)</f>
        <v>0</v>
      </c>
      <c r="Y172" s="67">
        <f t="shared" si="62"/>
        <v>0</v>
      </c>
      <c r="Z172" s="67"/>
      <c r="AA172" s="67">
        <f t="shared" si="42"/>
        <v>0</v>
      </c>
      <c r="AB172" s="67"/>
      <c r="AC172" s="67"/>
      <c r="AD172" s="4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row>
    <row r="173" spans="1:54" ht="12.75" hidden="1" customHeight="1" outlineLevel="1">
      <c r="A173" s="73" t="s">
        <v>241</v>
      </c>
      <c r="B173" s="52" t="s">
        <v>258</v>
      </c>
      <c r="C173" s="65" t="s">
        <v>482</v>
      </c>
      <c r="D173" s="66"/>
      <c r="E173" s="46">
        <f t="shared" si="39"/>
        <v>0</v>
      </c>
      <c r="F173" s="67">
        <f>IF($C173="820",$D173,)</f>
        <v>0</v>
      </c>
      <c r="G173" s="67">
        <f t="shared" si="63"/>
        <v>0</v>
      </c>
      <c r="H173" s="67">
        <f>IF($C173="864",$D173,)</f>
        <v>0</v>
      </c>
      <c r="I173" s="67">
        <f>IF($C173="867",$D173,)</f>
        <v>0</v>
      </c>
      <c r="J173" s="67">
        <f>IF($C173="861",$D173,)</f>
        <v>0</v>
      </c>
      <c r="K173" s="67">
        <f>IF($C173="862",$D173,)</f>
        <v>0</v>
      </c>
      <c r="L173" s="67">
        <f>IF($C173="865",$D173,)</f>
        <v>0</v>
      </c>
      <c r="M173" s="67">
        <f>IF($C173="868",$D173,)</f>
        <v>0</v>
      </c>
      <c r="N173" s="67">
        <f>IF($C173="869",$D173,)</f>
        <v>0</v>
      </c>
      <c r="O173" s="67">
        <f>IF($C173="871",$D173,)</f>
        <v>0</v>
      </c>
      <c r="P173" s="67">
        <f>IF($C173="874",$D173,)</f>
        <v>0</v>
      </c>
      <c r="Q173" s="67">
        <f>IF($C173="873",$D173,)</f>
        <v>0</v>
      </c>
      <c r="R173" s="67"/>
      <c r="S173" s="67"/>
      <c r="T173" s="67">
        <f t="shared" si="46"/>
        <v>0</v>
      </c>
      <c r="U173" s="67">
        <f>IF($C173="877",$D173,)</f>
        <v>0</v>
      </c>
      <c r="V173" s="67">
        <f>IF($C173="875",$D173,)</f>
        <v>0</v>
      </c>
      <c r="W173" s="67">
        <f>IF($C173="872",$D173,)</f>
        <v>0</v>
      </c>
      <c r="X173" s="67">
        <f>IF($C173="909",$D173,)</f>
        <v>0</v>
      </c>
      <c r="Y173" s="67">
        <f t="shared" si="62"/>
        <v>0</v>
      </c>
      <c r="Z173" s="67"/>
      <c r="AA173" s="67">
        <f t="shared" si="42"/>
        <v>0</v>
      </c>
      <c r="AB173" s="67"/>
      <c r="AC173" s="67"/>
      <c r="AD173" s="4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row>
    <row r="174" spans="1:54" ht="12.75" hidden="1" customHeight="1" outlineLevel="1">
      <c r="A174" s="73" t="s">
        <v>242</v>
      </c>
      <c r="B174" s="52" t="s">
        <v>295</v>
      </c>
      <c r="C174" s="65" t="s">
        <v>483</v>
      </c>
      <c r="D174" s="66"/>
      <c r="E174" s="46">
        <f t="shared" si="39"/>
        <v>0</v>
      </c>
      <c r="F174" s="67">
        <f>IF($C174="820",$D174,)</f>
        <v>0</v>
      </c>
      <c r="G174" s="67">
        <f t="shared" si="63"/>
        <v>0</v>
      </c>
      <c r="H174" s="67">
        <f>IF($C174="864",$D174,)</f>
        <v>0</v>
      </c>
      <c r="I174" s="67">
        <f>IF($C174="867",$D174,)</f>
        <v>0</v>
      </c>
      <c r="J174" s="67">
        <f>IF($C174="861",$D174,)</f>
        <v>0</v>
      </c>
      <c r="K174" s="67">
        <f>IF($C174="862",$D174,)</f>
        <v>0</v>
      </c>
      <c r="L174" s="67">
        <f>IF($C174="865",$D174,)</f>
        <v>0</v>
      </c>
      <c r="M174" s="67">
        <f>IF($C174="868",$D174,)</f>
        <v>0</v>
      </c>
      <c r="N174" s="67">
        <f>IF($C174="869",$D174,)</f>
        <v>0</v>
      </c>
      <c r="O174" s="67">
        <f>IF($C174="871",$D174,)</f>
        <v>0</v>
      </c>
      <c r="P174" s="67">
        <f>IF($C174="874",$D174,)</f>
        <v>0</v>
      </c>
      <c r="Q174" s="67">
        <f>IF($C174="873",$D174,)</f>
        <v>0</v>
      </c>
      <c r="R174" s="67"/>
      <c r="S174" s="67"/>
      <c r="T174" s="67">
        <f t="shared" si="46"/>
        <v>0</v>
      </c>
      <c r="U174" s="67">
        <f>IF($C174="877",$D174,)</f>
        <v>0</v>
      </c>
      <c r="V174" s="67">
        <f>IF($C174="875",$D174,)</f>
        <v>0</v>
      </c>
      <c r="W174" s="67">
        <f>IF($C174="872",$D174,)</f>
        <v>0</v>
      </c>
      <c r="X174" s="67">
        <f>IF($C174="909",$D174,)</f>
        <v>0</v>
      </c>
      <c r="Y174" s="67">
        <f t="shared" si="62"/>
        <v>0</v>
      </c>
      <c r="Z174" s="67"/>
      <c r="AA174" s="67">
        <f t="shared" si="42"/>
        <v>0</v>
      </c>
      <c r="AB174" s="67"/>
      <c r="AC174" s="67"/>
      <c r="AD174" s="4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row>
    <row r="175" spans="1:54" collapsed="1">
      <c r="A175" s="76">
        <v>24</v>
      </c>
      <c r="B175" s="52" t="s">
        <v>307</v>
      </c>
      <c r="C175" s="65"/>
      <c r="D175" s="66"/>
      <c r="E175" s="46">
        <f t="shared" si="39"/>
        <v>0</v>
      </c>
      <c r="F175" s="67">
        <f>SUM(F176:F178)</f>
        <v>0</v>
      </c>
      <c r="G175" s="67">
        <f t="shared" si="63"/>
        <v>0</v>
      </c>
      <c r="H175" s="67">
        <f>SUM(H176:H178)</f>
        <v>0</v>
      </c>
      <c r="I175" s="67">
        <f t="shared" ref="I175:Q175" si="65">SUM(I176:I178)</f>
        <v>0</v>
      </c>
      <c r="J175" s="67">
        <f t="shared" si="65"/>
        <v>0</v>
      </c>
      <c r="K175" s="67">
        <f t="shared" si="65"/>
        <v>0</v>
      </c>
      <c r="L175" s="67">
        <f t="shared" si="65"/>
        <v>0</v>
      </c>
      <c r="M175" s="67">
        <f t="shared" si="65"/>
        <v>0</v>
      </c>
      <c r="N175" s="67">
        <f t="shared" si="65"/>
        <v>0</v>
      </c>
      <c r="O175" s="67">
        <f t="shared" si="65"/>
        <v>0</v>
      </c>
      <c r="P175" s="67">
        <f t="shared" si="65"/>
        <v>0</v>
      </c>
      <c r="Q175" s="67">
        <f t="shared" si="65"/>
        <v>0</v>
      </c>
      <c r="R175" s="67"/>
      <c r="S175" s="67"/>
      <c r="T175" s="67">
        <f t="shared" si="46"/>
        <v>0</v>
      </c>
      <c r="U175" s="67">
        <f>SUM(U176:U178)</f>
        <v>0</v>
      </c>
      <c r="V175" s="67">
        <f>SUM(V176:V178)</f>
        <v>0</v>
      </c>
      <c r="W175" s="67">
        <f>SUM(W176:W178)</f>
        <v>0</v>
      </c>
      <c r="X175" s="67">
        <f>SUM(X176:X178)</f>
        <v>0</v>
      </c>
      <c r="Y175" s="67">
        <f t="shared" si="62"/>
        <v>0</v>
      </c>
      <c r="Z175" s="67"/>
      <c r="AA175" s="67">
        <f t="shared" si="42"/>
        <v>0</v>
      </c>
      <c r="AB175" s="67"/>
      <c r="AC175" s="67"/>
      <c r="AD175" s="4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row>
    <row r="176" spans="1:54" ht="12.75" hidden="1" customHeight="1" outlineLevel="1">
      <c r="A176" s="73" t="s">
        <v>241</v>
      </c>
      <c r="B176" s="52" t="s">
        <v>308</v>
      </c>
      <c r="C176" s="65" t="s">
        <v>482</v>
      </c>
      <c r="D176" s="66"/>
      <c r="E176" s="46">
        <f t="shared" si="39"/>
        <v>0</v>
      </c>
      <c r="F176" s="67">
        <f>IF($C176="820",$D176,)</f>
        <v>0</v>
      </c>
      <c r="G176" s="67">
        <f t="shared" si="63"/>
        <v>0</v>
      </c>
      <c r="H176" s="67">
        <f>IF($C176="864",$D176,)</f>
        <v>0</v>
      </c>
      <c r="I176" s="67">
        <f>IF($C176="867",$D176,)</f>
        <v>0</v>
      </c>
      <c r="J176" s="67">
        <f>IF($C176="861",$D176,)</f>
        <v>0</v>
      </c>
      <c r="K176" s="67">
        <f>IF($C176="862",$D176,)</f>
        <v>0</v>
      </c>
      <c r="L176" s="67">
        <f>IF($C176="865",$D176,)</f>
        <v>0</v>
      </c>
      <c r="M176" s="67">
        <f>IF($C176="868",$D176,)</f>
        <v>0</v>
      </c>
      <c r="N176" s="67">
        <f>IF($C176="869",$D176,)</f>
        <v>0</v>
      </c>
      <c r="O176" s="67">
        <f>IF($C176="871",$D176,)</f>
        <v>0</v>
      </c>
      <c r="P176" s="67">
        <f>IF($C176="874",$D176,)</f>
        <v>0</v>
      </c>
      <c r="Q176" s="67">
        <f>IF($C176="873",$D176,)</f>
        <v>0</v>
      </c>
      <c r="R176" s="67"/>
      <c r="S176" s="67"/>
      <c r="T176" s="67">
        <f t="shared" si="46"/>
        <v>0</v>
      </c>
      <c r="U176" s="67">
        <f>IF($C176="877",$D176,)</f>
        <v>0</v>
      </c>
      <c r="V176" s="67">
        <f>IF($C176="875",$D176,)</f>
        <v>0</v>
      </c>
      <c r="W176" s="67">
        <f>IF($C176="872",$D176,)</f>
        <v>0</v>
      </c>
      <c r="X176" s="67">
        <f>IF($C176="909",$D176,)</f>
        <v>0</v>
      </c>
      <c r="Y176" s="67">
        <f t="shared" si="62"/>
        <v>0</v>
      </c>
      <c r="Z176" s="67"/>
      <c r="AA176" s="67">
        <f t="shared" si="42"/>
        <v>0</v>
      </c>
      <c r="AB176" s="67"/>
      <c r="AC176" s="67"/>
      <c r="AD176" s="4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row>
    <row r="177" spans="1:54" ht="25.5" hidden="1" customHeight="1" outlineLevel="1">
      <c r="A177" s="73" t="s">
        <v>242</v>
      </c>
      <c r="B177" s="52" t="s">
        <v>309</v>
      </c>
      <c r="C177" s="65" t="s">
        <v>483</v>
      </c>
      <c r="D177" s="66"/>
      <c r="E177" s="46">
        <f t="shared" si="39"/>
        <v>0</v>
      </c>
      <c r="F177" s="67">
        <f>IF($C177="820",$D177,)</f>
        <v>0</v>
      </c>
      <c r="G177" s="67">
        <f t="shared" si="63"/>
        <v>0</v>
      </c>
      <c r="H177" s="67">
        <f>IF($C177="864",$D177,)</f>
        <v>0</v>
      </c>
      <c r="I177" s="67">
        <f>IF($C177="867",$D177,)</f>
        <v>0</v>
      </c>
      <c r="J177" s="67">
        <f>IF($C177="861",$D177,)</f>
        <v>0</v>
      </c>
      <c r="K177" s="67">
        <f>IF($C177="862",$D177,)</f>
        <v>0</v>
      </c>
      <c r="L177" s="67">
        <f>IF($C177="865",$D177,)</f>
        <v>0</v>
      </c>
      <c r="M177" s="67">
        <f>IF($C177="868",$D177,)</f>
        <v>0</v>
      </c>
      <c r="N177" s="67">
        <f>IF($C177="869",$D177,)</f>
        <v>0</v>
      </c>
      <c r="O177" s="67">
        <f>IF($C177="871",$D177,)</f>
        <v>0</v>
      </c>
      <c r="P177" s="67">
        <f>IF($C177="874",$D177,)</f>
        <v>0</v>
      </c>
      <c r="Q177" s="67">
        <f>IF($C177="873",$D177,)</f>
        <v>0</v>
      </c>
      <c r="R177" s="67"/>
      <c r="S177" s="67"/>
      <c r="T177" s="67">
        <f t="shared" si="46"/>
        <v>0</v>
      </c>
      <c r="U177" s="67">
        <f>IF($C177="877",$D177,)</f>
        <v>0</v>
      </c>
      <c r="V177" s="67">
        <f>IF($C177="875",$D177,)</f>
        <v>0</v>
      </c>
      <c r="W177" s="67">
        <f>IF($C177="872",$D177,)</f>
        <v>0</v>
      </c>
      <c r="X177" s="67">
        <f>IF($C177="909",$D177,)</f>
        <v>0</v>
      </c>
      <c r="Y177" s="67">
        <f t="shared" si="62"/>
        <v>0</v>
      </c>
      <c r="Z177" s="67"/>
      <c r="AA177" s="67">
        <f t="shared" si="42"/>
        <v>0</v>
      </c>
      <c r="AB177" s="67"/>
      <c r="AC177" s="67"/>
      <c r="AD177" s="4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row>
    <row r="178" spans="1:54" ht="25.5" hidden="1" customHeight="1" outlineLevel="1">
      <c r="A178" s="73" t="s">
        <v>243</v>
      </c>
      <c r="B178" s="52" t="s">
        <v>310</v>
      </c>
      <c r="C178" s="65" t="s">
        <v>482</v>
      </c>
      <c r="D178" s="66"/>
      <c r="E178" s="46">
        <f t="shared" si="39"/>
        <v>0</v>
      </c>
      <c r="F178" s="67">
        <f>IF($C178="820",$D178,)</f>
        <v>0</v>
      </c>
      <c r="G178" s="67">
        <f t="shared" si="63"/>
        <v>0</v>
      </c>
      <c r="H178" s="67">
        <f>IF($C178="864",$D178,)</f>
        <v>0</v>
      </c>
      <c r="I178" s="67">
        <f>IF($C178="867",$D178,)</f>
        <v>0</v>
      </c>
      <c r="J178" s="67">
        <f>IF($C178="861",$D178,)</f>
        <v>0</v>
      </c>
      <c r="K178" s="67">
        <f>IF($C178="862",$D178,)</f>
        <v>0</v>
      </c>
      <c r="L178" s="67">
        <f>IF($C178="865",$D178,)</f>
        <v>0</v>
      </c>
      <c r="M178" s="67">
        <f>IF($C178="868",$D178,)</f>
        <v>0</v>
      </c>
      <c r="N178" s="67">
        <f>IF($C178="869",$D178,)</f>
        <v>0</v>
      </c>
      <c r="O178" s="67">
        <f>IF($C178="871",$D178,)</f>
        <v>0</v>
      </c>
      <c r="P178" s="67">
        <f>IF($C178="874",$D178,)</f>
        <v>0</v>
      </c>
      <c r="Q178" s="67">
        <f>IF($C178="873",$D178,)</f>
        <v>0</v>
      </c>
      <c r="R178" s="67"/>
      <c r="S178" s="67"/>
      <c r="T178" s="67">
        <f t="shared" si="46"/>
        <v>0</v>
      </c>
      <c r="U178" s="67">
        <f>IF($C178="877",$D178,)</f>
        <v>0</v>
      </c>
      <c r="V178" s="67">
        <f>IF($C178="875",$D178,)</f>
        <v>0</v>
      </c>
      <c r="W178" s="67">
        <f>IF($C178="872",$D178,)</f>
        <v>0</v>
      </c>
      <c r="X178" s="67">
        <f>IF($C178="909",$D178,)</f>
        <v>0</v>
      </c>
      <c r="Y178" s="67">
        <f t="shared" si="62"/>
        <v>0</v>
      </c>
      <c r="Z178" s="67"/>
      <c r="AA178" s="67">
        <f t="shared" si="42"/>
        <v>0</v>
      </c>
      <c r="AB178" s="67"/>
      <c r="AC178" s="67"/>
      <c r="AD178" s="4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row>
    <row r="179" spans="1:54" collapsed="1">
      <c r="A179" s="76">
        <v>25</v>
      </c>
      <c r="B179" s="52" t="s">
        <v>311</v>
      </c>
      <c r="C179" s="65"/>
      <c r="D179" s="66"/>
      <c r="E179" s="46">
        <f t="shared" si="39"/>
        <v>0</v>
      </c>
      <c r="F179" s="67">
        <f>SUM(F180:F180)</f>
        <v>0</v>
      </c>
      <c r="G179" s="67">
        <f t="shared" si="63"/>
        <v>0</v>
      </c>
      <c r="H179" s="67">
        <f>SUM(H180:H180)</f>
        <v>0</v>
      </c>
      <c r="I179" s="67">
        <f t="shared" ref="I179:U179" si="66">SUM(I180:I180)</f>
        <v>0</v>
      </c>
      <c r="J179" s="67">
        <f t="shared" si="66"/>
        <v>0</v>
      </c>
      <c r="K179" s="67">
        <f t="shared" si="66"/>
        <v>0</v>
      </c>
      <c r="L179" s="67">
        <f t="shared" si="66"/>
        <v>0</v>
      </c>
      <c r="M179" s="67">
        <f t="shared" si="66"/>
        <v>0</v>
      </c>
      <c r="N179" s="67">
        <f t="shared" si="66"/>
        <v>0</v>
      </c>
      <c r="O179" s="67">
        <f t="shared" si="66"/>
        <v>0</v>
      </c>
      <c r="P179" s="67">
        <f t="shared" si="66"/>
        <v>0</v>
      </c>
      <c r="Q179" s="67">
        <f t="shared" si="66"/>
        <v>0</v>
      </c>
      <c r="R179" s="67"/>
      <c r="S179" s="67"/>
      <c r="T179" s="67">
        <f t="shared" si="46"/>
        <v>0</v>
      </c>
      <c r="U179" s="67">
        <f t="shared" si="66"/>
        <v>0</v>
      </c>
      <c r="V179" s="67">
        <f>SUM(V180:V180)</f>
        <v>0</v>
      </c>
      <c r="W179" s="67">
        <f>SUM(W180:W180)</f>
        <v>0</v>
      </c>
      <c r="X179" s="67">
        <f>SUM(X180:X180)</f>
        <v>0</v>
      </c>
      <c r="Y179" s="67">
        <f t="shared" si="62"/>
        <v>0</v>
      </c>
      <c r="Z179" s="67"/>
      <c r="AA179" s="67">
        <f t="shared" si="42"/>
        <v>0</v>
      </c>
      <c r="AB179" s="67"/>
      <c r="AC179" s="67"/>
      <c r="AD179" s="4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row>
    <row r="180" spans="1:54" ht="12.75" hidden="1" customHeight="1" outlineLevel="1">
      <c r="A180" s="68" t="s">
        <v>241</v>
      </c>
      <c r="B180" s="52" t="s">
        <v>258</v>
      </c>
      <c r="C180" s="65" t="s">
        <v>482</v>
      </c>
      <c r="D180" s="66"/>
      <c r="E180" s="46">
        <f t="shared" si="39"/>
        <v>0</v>
      </c>
      <c r="F180" s="67">
        <f>IF($C180="820",$D180,)</f>
        <v>0</v>
      </c>
      <c r="G180" s="67">
        <f t="shared" si="63"/>
        <v>0</v>
      </c>
      <c r="H180" s="67">
        <f>IF($C180="864",$D180,)</f>
        <v>0</v>
      </c>
      <c r="I180" s="67">
        <f>IF($C180="867",$D180,)</f>
        <v>0</v>
      </c>
      <c r="J180" s="67">
        <f>IF($C180="861",$D180,)</f>
        <v>0</v>
      </c>
      <c r="K180" s="67">
        <f>IF($C180="862",$D180,)</f>
        <v>0</v>
      </c>
      <c r="L180" s="67">
        <f>IF($C180="865",$D180,)</f>
        <v>0</v>
      </c>
      <c r="M180" s="67">
        <f>IF($C180="868",$D180,)</f>
        <v>0</v>
      </c>
      <c r="N180" s="67">
        <f>IF($C180="869",$D180,)</f>
        <v>0</v>
      </c>
      <c r="O180" s="67">
        <f>IF($C180="871",$D180,)</f>
        <v>0</v>
      </c>
      <c r="P180" s="67">
        <f>IF($C180="874",$D180,)</f>
        <v>0</v>
      </c>
      <c r="Q180" s="67">
        <f>IF($C180="873",$D180,)</f>
        <v>0</v>
      </c>
      <c r="R180" s="67"/>
      <c r="S180" s="67"/>
      <c r="T180" s="67">
        <f t="shared" si="46"/>
        <v>0</v>
      </c>
      <c r="U180" s="67">
        <f>IF($C180="877",$D180,)</f>
        <v>0</v>
      </c>
      <c r="V180" s="67">
        <f>IF($C180="875",$D180,)</f>
        <v>0</v>
      </c>
      <c r="W180" s="67">
        <f>IF($C180="872",$D180,)</f>
        <v>0</v>
      </c>
      <c r="X180" s="67">
        <f>IF($C180="909",$D180,)</f>
        <v>0</v>
      </c>
      <c r="Y180" s="67">
        <f t="shared" si="62"/>
        <v>0</v>
      </c>
      <c r="Z180" s="67"/>
      <c r="AA180" s="67">
        <f t="shared" si="42"/>
        <v>0</v>
      </c>
      <c r="AB180" s="67"/>
      <c r="AC180" s="67"/>
      <c r="AD180" s="4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row>
    <row r="181" spans="1:54" collapsed="1">
      <c r="A181" s="76">
        <v>26</v>
      </c>
      <c r="B181" s="52" t="s">
        <v>312</v>
      </c>
      <c r="C181" s="65"/>
      <c r="D181" s="66"/>
      <c r="E181" s="46">
        <f t="shared" si="39"/>
        <v>0</v>
      </c>
      <c r="F181" s="67">
        <f t="shared" ref="F181:Y181" si="67">F182+F183</f>
        <v>0</v>
      </c>
      <c r="G181" s="67">
        <f t="shared" si="67"/>
        <v>0</v>
      </c>
      <c r="H181" s="67">
        <f t="shared" si="67"/>
        <v>0</v>
      </c>
      <c r="I181" s="67">
        <f t="shared" si="67"/>
        <v>0</v>
      </c>
      <c r="J181" s="67">
        <f t="shared" si="67"/>
        <v>0</v>
      </c>
      <c r="K181" s="67">
        <f t="shared" si="67"/>
        <v>0</v>
      </c>
      <c r="L181" s="67">
        <f t="shared" si="67"/>
        <v>0</v>
      </c>
      <c r="M181" s="67">
        <f t="shared" si="67"/>
        <v>0</v>
      </c>
      <c r="N181" s="67">
        <f t="shared" si="67"/>
        <v>0</v>
      </c>
      <c r="O181" s="67">
        <f t="shared" si="67"/>
        <v>0</v>
      </c>
      <c r="P181" s="67">
        <f t="shared" si="67"/>
        <v>0</v>
      </c>
      <c r="Q181" s="67">
        <f t="shared" si="67"/>
        <v>0</v>
      </c>
      <c r="R181" s="67">
        <f t="shared" si="67"/>
        <v>0</v>
      </c>
      <c r="S181" s="67">
        <f t="shared" si="67"/>
        <v>0</v>
      </c>
      <c r="T181" s="67">
        <f t="shared" si="67"/>
        <v>0</v>
      </c>
      <c r="U181" s="67">
        <f t="shared" si="67"/>
        <v>0</v>
      </c>
      <c r="V181" s="67">
        <f t="shared" si="67"/>
        <v>0</v>
      </c>
      <c r="W181" s="67">
        <f t="shared" si="67"/>
        <v>0</v>
      </c>
      <c r="X181" s="67">
        <f t="shared" si="67"/>
        <v>0</v>
      </c>
      <c r="Y181" s="67">
        <f t="shared" si="67"/>
        <v>0</v>
      </c>
      <c r="Z181" s="67"/>
      <c r="AA181" s="67">
        <f t="shared" si="42"/>
        <v>0</v>
      </c>
      <c r="AB181" s="67"/>
      <c r="AC181" s="67"/>
      <c r="AD181" s="4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row>
    <row r="182" spans="1:54" ht="12.75" hidden="1" customHeight="1" outlineLevel="1">
      <c r="A182" s="73" t="s">
        <v>241</v>
      </c>
      <c r="B182" s="52" t="s">
        <v>258</v>
      </c>
      <c r="C182" s="65" t="s">
        <v>482</v>
      </c>
      <c r="D182" s="66"/>
      <c r="E182" s="46">
        <f t="shared" si="39"/>
        <v>0</v>
      </c>
      <c r="F182" s="67">
        <f>IF($C182="820",$D182,)</f>
        <v>0</v>
      </c>
      <c r="G182" s="67">
        <f t="shared" si="63"/>
        <v>0</v>
      </c>
      <c r="H182" s="67">
        <f>IF($C182="864",$D182,)</f>
        <v>0</v>
      </c>
      <c r="I182" s="67">
        <f>IF($C182="867",$D182,)</f>
        <v>0</v>
      </c>
      <c r="J182" s="67">
        <f>IF($C182="861",$D182,)</f>
        <v>0</v>
      </c>
      <c r="K182" s="67">
        <f>IF($C182="862",$D182,)</f>
        <v>0</v>
      </c>
      <c r="L182" s="67">
        <f>IF($C182="865",$D182,)</f>
        <v>0</v>
      </c>
      <c r="M182" s="67">
        <f>IF($C182="868",$D182,)</f>
        <v>0</v>
      </c>
      <c r="N182" s="67">
        <f>IF($C182="869",$D182,)</f>
        <v>0</v>
      </c>
      <c r="O182" s="67">
        <f>IF($C182="871",$D182,)</f>
        <v>0</v>
      </c>
      <c r="P182" s="67">
        <f>IF($C182="874",$D182,)</f>
        <v>0</v>
      </c>
      <c r="Q182" s="67">
        <f>IF($C182="873",$D182,)</f>
        <v>0</v>
      </c>
      <c r="R182" s="67"/>
      <c r="S182" s="67"/>
      <c r="T182" s="67">
        <f t="shared" si="46"/>
        <v>0</v>
      </c>
      <c r="U182" s="67">
        <f>IF($C182="877",$D182,)</f>
        <v>0</v>
      </c>
      <c r="V182" s="67">
        <f>IF($C182="875",$D182,)</f>
        <v>0</v>
      </c>
      <c r="W182" s="67">
        <f>IF($C182="872",$D182,)</f>
        <v>0</v>
      </c>
      <c r="X182" s="67">
        <f>IF($C182="909",$D182,)</f>
        <v>0</v>
      </c>
      <c r="Y182" s="67">
        <f t="shared" ref="Y182:Y200" si="68">IF(OR($C182="932",$C182="934",$C182="949"),$D182,)</f>
        <v>0</v>
      </c>
      <c r="Z182" s="67"/>
      <c r="AA182" s="67">
        <f t="shared" si="42"/>
        <v>0</v>
      </c>
      <c r="AB182" s="67"/>
      <c r="AC182" s="67"/>
      <c r="AD182" s="4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row>
    <row r="183" spans="1:54" ht="12.75" hidden="1" customHeight="1" outlineLevel="1">
      <c r="A183" s="73" t="s">
        <v>243</v>
      </c>
      <c r="B183" s="52" t="s">
        <v>313</v>
      </c>
      <c r="C183" s="65" t="s">
        <v>482</v>
      </c>
      <c r="D183" s="66"/>
      <c r="E183" s="46">
        <f t="shared" si="39"/>
        <v>0</v>
      </c>
      <c r="F183" s="67">
        <f>IF($C183="820",$D183,)</f>
        <v>0</v>
      </c>
      <c r="G183" s="67">
        <f t="shared" si="63"/>
        <v>0</v>
      </c>
      <c r="H183" s="67">
        <f>IF($C183="864",$D183,)</f>
        <v>0</v>
      </c>
      <c r="I183" s="67">
        <f>IF($C183="867",$D183,)</f>
        <v>0</v>
      </c>
      <c r="J183" s="67">
        <f>IF($C183="861",$D183,)</f>
        <v>0</v>
      </c>
      <c r="K183" s="67">
        <f>IF($C183="862",$D183,)</f>
        <v>0</v>
      </c>
      <c r="L183" s="67">
        <f>IF($C183="865",$D183,)</f>
        <v>0</v>
      </c>
      <c r="M183" s="67">
        <f>IF($C183="868",$D183,)</f>
        <v>0</v>
      </c>
      <c r="N183" s="67">
        <f>IF($C183="869",$D183,)</f>
        <v>0</v>
      </c>
      <c r="O183" s="67">
        <f>IF($C183="871",$D183,)</f>
        <v>0</v>
      </c>
      <c r="P183" s="67">
        <f>IF($C183="874",$D183,)</f>
        <v>0</v>
      </c>
      <c r="Q183" s="67">
        <f>IF($C183="873",$D183,)</f>
        <v>0</v>
      </c>
      <c r="R183" s="67"/>
      <c r="S183" s="67"/>
      <c r="T183" s="67">
        <f t="shared" si="46"/>
        <v>0</v>
      </c>
      <c r="U183" s="67">
        <f>IF($C183="877",$D183,)</f>
        <v>0</v>
      </c>
      <c r="V183" s="67">
        <f>IF($C183="875",$D183,)</f>
        <v>0</v>
      </c>
      <c r="W183" s="67">
        <f>IF($C183="872",$D183,)</f>
        <v>0</v>
      </c>
      <c r="X183" s="67">
        <f>IF($C183="909",$D183,)</f>
        <v>0</v>
      </c>
      <c r="Y183" s="67">
        <f t="shared" si="68"/>
        <v>0</v>
      </c>
      <c r="Z183" s="67"/>
      <c r="AA183" s="67">
        <f t="shared" si="42"/>
        <v>0</v>
      </c>
      <c r="AB183" s="67"/>
      <c r="AC183" s="67"/>
      <c r="AD183" s="4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row>
    <row r="184" spans="1:54" ht="25.5" collapsed="1">
      <c r="A184" s="76">
        <v>27</v>
      </c>
      <c r="B184" s="52" t="s">
        <v>314</v>
      </c>
      <c r="C184" s="65" t="s">
        <v>482</v>
      </c>
      <c r="D184" s="66"/>
      <c r="E184" s="46">
        <f t="shared" si="39"/>
        <v>0</v>
      </c>
      <c r="F184" s="67">
        <f>IF($C184="820",$D184,)</f>
        <v>0</v>
      </c>
      <c r="G184" s="67">
        <f t="shared" si="63"/>
        <v>0</v>
      </c>
      <c r="H184" s="67">
        <f>IF($C184="864",$D184,)</f>
        <v>0</v>
      </c>
      <c r="I184" s="67">
        <f>IF($C184="867",$D184,)</f>
        <v>0</v>
      </c>
      <c r="J184" s="67">
        <f>IF($C184="861",$D184,)</f>
        <v>0</v>
      </c>
      <c r="K184" s="67">
        <f>IF($C184="862",$D184,)</f>
        <v>0</v>
      </c>
      <c r="L184" s="67">
        <f>IF($C184="865",$D184,)</f>
        <v>0</v>
      </c>
      <c r="M184" s="67">
        <f>IF($C184="868",$D184,)</f>
        <v>0</v>
      </c>
      <c r="N184" s="67">
        <f>IF($C184="869",$D184,)</f>
        <v>0</v>
      </c>
      <c r="O184" s="67">
        <f>IF($C184="871",$D184,)</f>
        <v>0</v>
      </c>
      <c r="P184" s="67">
        <f>IF($C184="874",$D184,)</f>
        <v>0</v>
      </c>
      <c r="Q184" s="67">
        <f>IF($C184="873",$D184,)</f>
        <v>0</v>
      </c>
      <c r="R184" s="67"/>
      <c r="S184" s="67"/>
      <c r="T184" s="67">
        <f t="shared" si="46"/>
        <v>0</v>
      </c>
      <c r="U184" s="67">
        <f>IF($C184="877",$D184,)</f>
        <v>0</v>
      </c>
      <c r="V184" s="67">
        <f>IF($C184="875",$D184,)</f>
        <v>0</v>
      </c>
      <c r="W184" s="67">
        <f>IF($C184="872",$D184,)</f>
        <v>0</v>
      </c>
      <c r="X184" s="67">
        <f>IF($C184="909",$D184,)</f>
        <v>0</v>
      </c>
      <c r="Y184" s="67">
        <f t="shared" si="68"/>
        <v>0</v>
      </c>
      <c r="Z184" s="67"/>
      <c r="AA184" s="67">
        <f t="shared" si="42"/>
        <v>0</v>
      </c>
      <c r="AB184" s="67"/>
      <c r="AC184" s="67"/>
      <c r="AD184" s="4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row>
    <row r="185" spans="1:54">
      <c r="A185" s="76">
        <v>28</v>
      </c>
      <c r="B185" s="52" t="s">
        <v>315</v>
      </c>
      <c r="C185" s="65"/>
      <c r="D185" s="66"/>
      <c r="E185" s="46">
        <f t="shared" si="39"/>
        <v>0</v>
      </c>
      <c r="F185" s="67">
        <f>SUM(F186:F187)</f>
        <v>0</v>
      </c>
      <c r="G185" s="67">
        <f t="shared" si="63"/>
        <v>0</v>
      </c>
      <c r="H185" s="67">
        <f t="shared" ref="H185:Q185" si="69">SUM(H186:H187)</f>
        <v>0</v>
      </c>
      <c r="I185" s="67">
        <f t="shared" si="69"/>
        <v>0</v>
      </c>
      <c r="J185" s="67">
        <f t="shared" si="69"/>
        <v>0</v>
      </c>
      <c r="K185" s="67">
        <f t="shared" si="69"/>
        <v>0</v>
      </c>
      <c r="L185" s="67">
        <f t="shared" si="69"/>
        <v>0</v>
      </c>
      <c r="M185" s="67">
        <f t="shared" si="69"/>
        <v>0</v>
      </c>
      <c r="N185" s="67">
        <f t="shared" si="69"/>
        <v>0</v>
      </c>
      <c r="O185" s="67">
        <f t="shared" si="69"/>
        <v>0</v>
      </c>
      <c r="P185" s="67">
        <f t="shared" si="69"/>
        <v>0</v>
      </c>
      <c r="Q185" s="67">
        <f t="shared" si="69"/>
        <v>0</v>
      </c>
      <c r="R185" s="67"/>
      <c r="S185" s="67"/>
      <c r="T185" s="67">
        <f t="shared" si="46"/>
        <v>0</v>
      </c>
      <c r="U185" s="67">
        <f>SUM(U186:U187)</f>
        <v>0</v>
      </c>
      <c r="V185" s="67">
        <f>SUM(V186:V187)</f>
        <v>0</v>
      </c>
      <c r="W185" s="67">
        <f>SUM(W186:W187)</f>
        <v>0</v>
      </c>
      <c r="X185" s="67">
        <f>SUM(X186:X187)</f>
        <v>0</v>
      </c>
      <c r="Y185" s="67">
        <f t="shared" si="68"/>
        <v>0</v>
      </c>
      <c r="Z185" s="67"/>
      <c r="AA185" s="67">
        <f t="shared" si="42"/>
        <v>0</v>
      </c>
      <c r="AB185" s="67"/>
      <c r="AC185" s="67"/>
      <c r="AD185" s="4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row>
    <row r="186" spans="1:54" ht="12.75" hidden="1" customHeight="1" outlineLevel="1">
      <c r="A186" s="76">
        <v>28</v>
      </c>
      <c r="B186" s="64" t="s">
        <v>316</v>
      </c>
      <c r="C186" s="65" t="s">
        <v>482</v>
      </c>
      <c r="D186" s="66"/>
      <c r="E186" s="46">
        <f t="shared" si="39"/>
        <v>0</v>
      </c>
      <c r="F186" s="67">
        <f>IF($C186="820",$D186,)</f>
        <v>0</v>
      </c>
      <c r="G186" s="67">
        <f t="shared" si="63"/>
        <v>0</v>
      </c>
      <c r="H186" s="67">
        <f>IF($C186="864",$D186,)</f>
        <v>0</v>
      </c>
      <c r="I186" s="67">
        <f>IF($C186="867",$D186,)</f>
        <v>0</v>
      </c>
      <c r="J186" s="67">
        <f>IF($C186="861",$D186,)</f>
        <v>0</v>
      </c>
      <c r="K186" s="67">
        <f>IF($C186="862",$D186,)</f>
        <v>0</v>
      </c>
      <c r="L186" s="67">
        <f>IF($C186="865",$D186,)</f>
        <v>0</v>
      </c>
      <c r="M186" s="67">
        <f>IF($C186="868",$D186,)</f>
        <v>0</v>
      </c>
      <c r="N186" s="67">
        <f>IF($C186="869",$D186,)</f>
        <v>0</v>
      </c>
      <c r="O186" s="67">
        <f>IF($C186="871",$D186,)</f>
        <v>0</v>
      </c>
      <c r="P186" s="67">
        <f>IF($C186="874",$D186,)</f>
        <v>0</v>
      </c>
      <c r="Q186" s="67">
        <f>IF($C186="873",$D186,)</f>
        <v>0</v>
      </c>
      <c r="R186" s="67"/>
      <c r="S186" s="67"/>
      <c r="T186" s="67">
        <f t="shared" si="46"/>
        <v>0</v>
      </c>
      <c r="U186" s="67">
        <f>IF($C186="877",$D186,)</f>
        <v>0</v>
      </c>
      <c r="V186" s="67">
        <f>IF($C186="875",$D186,)</f>
        <v>0</v>
      </c>
      <c r="W186" s="67">
        <f>IF($C186="872",$D186,)</f>
        <v>0</v>
      </c>
      <c r="X186" s="67">
        <f>IF($C186="909",$D186,)</f>
        <v>0</v>
      </c>
      <c r="Y186" s="67">
        <f t="shared" si="68"/>
        <v>0</v>
      </c>
      <c r="Z186" s="67"/>
      <c r="AA186" s="67">
        <f t="shared" si="42"/>
        <v>0</v>
      </c>
      <c r="AB186" s="67"/>
      <c r="AC186" s="67"/>
      <c r="AD186" s="4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row>
    <row r="187" spans="1:54" ht="12.75" hidden="1" customHeight="1" outlineLevel="1">
      <c r="A187" s="76">
        <v>28</v>
      </c>
      <c r="B187" s="77" t="s">
        <v>295</v>
      </c>
      <c r="C187" s="65" t="s">
        <v>483</v>
      </c>
      <c r="D187" s="66"/>
      <c r="E187" s="46">
        <f t="shared" si="39"/>
        <v>0</v>
      </c>
      <c r="F187" s="67">
        <f>IF($C187="820",$D187,)</f>
        <v>0</v>
      </c>
      <c r="G187" s="67">
        <f t="shared" si="63"/>
        <v>0</v>
      </c>
      <c r="H187" s="67">
        <f>IF($C187="864",$D187,)</f>
        <v>0</v>
      </c>
      <c r="I187" s="67">
        <f>IF($C187="867",$D187,)</f>
        <v>0</v>
      </c>
      <c r="J187" s="67">
        <f>IF($C187="861",$D187,)</f>
        <v>0</v>
      </c>
      <c r="K187" s="67">
        <f>IF($C187="862",$D187,)</f>
        <v>0</v>
      </c>
      <c r="L187" s="67">
        <f>IF($C187="865",$D187,)</f>
        <v>0</v>
      </c>
      <c r="M187" s="67">
        <f>IF($C187="868",$D187,)</f>
        <v>0</v>
      </c>
      <c r="N187" s="67">
        <f>IF($C187="869",$D187,)</f>
        <v>0</v>
      </c>
      <c r="O187" s="67">
        <f>IF($C187="871",$D187,)</f>
        <v>0</v>
      </c>
      <c r="P187" s="67">
        <f>IF($C187="874",$D187,)</f>
        <v>0</v>
      </c>
      <c r="Q187" s="67">
        <f>IF($C187="873",$D187,)</f>
        <v>0</v>
      </c>
      <c r="R187" s="67"/>
      <c r="S187" s="67"/>
      <c r="T187" s="67">
        <f t="shared" si="46"/>
        <v>0</v>
      </c>
      <c r="U187" s="67">
        <f>IF($C187="877",$D187,)</f>
        <v>0</v>
      </c>
      <c r="V187" s="67">
        <f>IF($C187="875",$D187,)</f>
        <v>0</v>
      </c>
      <c r="W187" s="67">
        <f>IF($C187="872",$D187,)</f>
        <v>0</v>
      </c>
      <c r="X187" s="67">
        <f>IF($C187="909",$D187,)</f>
        <v>0</v>
      </c>
      <c r="Y187" s="67">
        <f t="shared" si="68"/>
        <v>0</v>
      </c>
      <c r="Z187" s="67"/>
      <c r="AA187" s="67">
        <f t="shared" si="42"/>
        <v>0</v>
      </c>
      <c r="AB187" s="67"/>
      <c r="AC187" s="67"/>
      <c r="AD187" s="4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row>
    <row r="188" spans="1:54" collapsed="1">
      <c r="A188" s="76">
        <v>29</v>
      </c>
      <c r="B188" s="52" t="s">
        <v>317</v>
      </c>
      <c r="C188" s="65" t="s">
        <v>482</v>
      </c>
      <c r="D188" s="66"/>
      <c r="E188" s="46">
        <f t="shared" si="39"/>
        <v>0</v>
      </c>
      <c r="F188" s="67">
        <f>IF($C188="820",$D188,)</f>
        <v>0</v>
      </c>
      <c r="G188" s="67">
        <f t="shared" si="63"/>
        <v>0</v>
      </c>
      <c r="H188" s="67">
        <f>IF($C188="864",$D188,)</f>
        <v>0</v>
      </c>
      <c r="I188" s="67">
        <f>IF($C188="867",$D188,)</f>
        <v>0</v>
      </c>
      <c r="J188" s="67">
        <f>IF($C188="861",$D188,)</f>
        <v>0</v>
      </c>
      <c r="K188" s="67">
        <f>IF($C188="862",$D188,)</f>
        <v>0</v>
      </c>
      <c r="L188" s="67">
        <f>IF($C188="865",$D188,)</f>
        <v>0</v>
      </c>
      <c r="M188" s="67">
        <f>IF($C188="868",$D188,)</f>
        <v>0</v>
      </c>
      <c r="N188" s="67">
        <f>IF($C188="869",$D188,)</f>
        <v>0</v>
      </c>
      <c r="O188" s="67">
        <f>IF($C188="871",$D188,)</f>
        <v>0</v>
      </c>
      <c r="P188" s="67">
        <f>IF($C188="874",$D188,)</f>
        <v>0</v>
      </c>
      <c r="Q188" s="67">
        <f>IF($C188="873",$D188,)</f>
        <v>0</v>
      </c>
      <c r="R188" s="67"/>
      <c r="S188" s="67"/>
      <c r="T188" s="67">
        <f t="shared" si="46"/>
        <v>0</v>
      </c>
      <c r="U188" s="67">
        <f>IF($C188="877",$D188,)</f>
        <v>0</v>
      </c>
      <c r="V188" s="67">
        <f>IF($C188="875",$D188,)</f>
        <v>0</v>
      </c>
      <c r="W188" s="67">
        <f>IF($C188="872",$D188,)</f>
        <v>0</v>
      </c>
      <c r="X188" s="67">
        <f>IF($C188="909",$D188,)</f>
        <v>0</v>
      </c>
      <c r="Y188" s="67">
        <f t="shared" si="68"/>
        <v>0</v>
      </c>
      <c r="Z188" s="67"/>
      <c r="AA188" s="67">
        <f t="shared" si="42"/>
        <v>0</v>
      </c>
      <c r="AB188" s="67"/>
      <c r="AC188" s="67"/>
      <c r="AD188" s="4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row>
    <row r="189" spans="1:54">
      <c r="A189" s="76">
        <v>30</v>
      </c>
      <c r="B189" s="52" t="s">
        <v>318</v>
      </c>
      <c r="C189" s="65"/>
      <c r="D189" s="66"/>
      <c r="E189" s="46">
        <f t="shared" si="39"/>
        <v>0</v>
      </c>
      <c r="F189" s="67">
        <f t="shared" ref="F189" si="70">F190+F191</f>
        <v>0</v>
      </c>
      <c r="G189" s="67">
        <f t="shared" si="63"/>
        <v>0</v>
      </c>
      <c r="H189" s="67">
        <f>H190+H191</f>
        <v>0</v>
      </c>
      <c r="I189" s="67">
        <f t="shared" ref="I189:Q189" si="71">I190+I191</f>
        <v>0</v>
      </c>
      <c r="J189" s="67">
        <f t="shared" si="71"/>
        <v>0</v>
      </c>
      <c r="K189" s="67">
        <f t="shared" si="71"/>
        <v>0</v>
      </c>
      <c r="L189" s="67">
        <f t="shared" si="71"/>
        <v>0</v>
      </c>
      <c r="M189" s="67">
        <f t="shared" si="71"/>
        <v>0</v>
      </c>
      <c r="N189" s="67">
        <f t="shared" si="71"/>
        <v>0</v>
      </c>
      <c r="O189" s="67">
        <f t="shared" si="71"/>
        <v>0</v>
      </c>
      <c r="P189" s="67">
        <f t="shared" si="71"/>
        <v>0</v>
      </c>
      <c r="Q189" s="67">
        <f t="shared" si="71"/>
        <v>0</v>
      </c>
      <c r="R189" s="67"/>
      <c r="S189" s="67"/>
      <c r="T189" s="67">
        <f t="shared" si="46"/>
        <v>0</v>
      </c>
      <c r="U189" s="67">
        <f>U190+U191</f>
        <v>0</v>
      </c>
      <c r="V189" s="67">
        <f>V190+V191</f>
        <v>0</v>
      </c>
      <c r="W189" s="67">
        <f>W190+W191</f>
        <v>0</v>
      </c>
      <c r="X189" s="67">
        <f>X190+X191</f>
        <v>0</v>
      </c>
      <c r="Y189" s="67">
        <f t="shared" si="68"/>
        <v>0</v>
      </c>
      <c r="Z189" s="67"/>
      <c r="AA189" s="67">
        <f t="shared" si="42"/>
        <v>0</v>
      </c>
      <c r="AB189" s="67"/>
      <c r="AC189" s="67"/>
      <c r="AD189" s="4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row>
    <row r="190" spans="1:54" ht="12.75" hidden="1" customHeight="1" outlineLevel="1">
      <c r="A190" s="76">
        <v>28</v>
      </c>
      <c r="B190" s="64" t="s">
        <v>316</v>
      </c>
      <c r="C190" s="65" t="s">
        <v>482</v>
      </c>
      <c r="D190" s="66"/>
      <c r="E190" s="46">
        <f t="shared" si="39"/>
        <v>0</v>
      </c>
      <c r="F190" s="67">
        <f>IF($C190="820",$D190,)</f>
        <v>0</v>
      </c>
      <c r="G190" s="67">
        <f t="shared" si="63"/>
        <v>0</v>
      </c>
      <c r="H190" s="67">
        <f>IF($C190="864",$D190,)</f>
        <v>0</v>
      </c>
      <c r="I190" s="67">
        <f>IF($C190="867",$D190,)</f>
        <v>0</v>
      </c>
      <c r="J190" s="67">
        <f>IF($C190="861",$D190,)</f>
        <v>0</v>
      </c>
      <c r="K190" s="67">
        <f>IF($C190="862",$D190,)</f>
        <v>0</v>
      </c>
      <c r="L190" s="67">
        <f>IF($C190="865",$D190,)</f>
        <v>0</v>
      </c>
      <c r="M190" s="67">
        <f>IF($C190="868",$D190,)</f>
        <v>0</v>
      </c>
      <c r="N190" s="67">
        <f>IF($C190="869",$D190,)</f>
        <v>0</v>
      </c>
      <c r="O190" s="67">
        <f>IF($C190="871",$D190,)</f>
        <v>0</v>
      </c>
      <c r="P190" s="67">
        <f>IF($C190="874",$D190,)</f>
        <v>0</v>
      </c>
      <c r="Q190" s="67">
        <f>IF($C190="873",$D190,)</f>
        <v>0</v>
      </c>
      <c r="R190" s="67"/>
      <c r="S190" s="67"/>
      <c r="T190" s="67">
        <f t="shared" si="46"/>
        <v>0</v>
      </c>
      <c r="U190" s="67">
        <f>IF($C190="877",$D190,)</f>
        <v>0</v>
      </c>
      <c r="V190" s="67">
        <f>IF($C190="875",$D190,)</f>
        <v>0</v>
      </c>
      <c r="W190" s="67">
        <f>IF($C190="872",$D190,)</f>
        <v>0</v>
      </c>
      <c r="X190" s="67">
        <f>IF($C190="909",$D190,)</f>
        <v>0</v>
      </c>
      <c r="Y190" s="67">
        <f t="shared" si="68"/>
        <v>0</v>
      </c>
      <c r="Z190" s="67"/>
      <c r="AA190" s="67">
        <f t="shared" si="42"/>
        <v>0</v>
      </c>
      <c r="AB190" s="67"/>
      <c r="AC190" s="67"/>
      <c r="AD190" s="4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row>
    <row r="191" spans="1:54" ht="12.75" hidden="1" customHeight="1" outlineLevel="1">
      <c r="A191" s="76">
        <v>28</v>
      </c>
      <c r="B191" s="77" t="s">
        <v>295</v>
      </c>
      <c r="C191" s="65" t="s">
        <v>483</v>
      </c>
      <c r="D191" s="66"/>
      <c r="E191" s="46">
        <f t="shared" si="39"/>
        <v>0</v>
      </c>
      <c r="F191" s="67">
        <f>IF($C191="820",$D191,)</f>
        <v>0</v>
      </c>
      <c r="G191" s="67">
        <f t="shared" si="63"/>
        <v>0</v>
      </c>
      <c r="H191" s="67">
        <f>IF($C191="864",$D191,)</f>
        <v>0</v>
      </c>
      <c r="I191" s="67">
        <f>IF($C191="867",$D191,)</f>
        <v>0</v>
      </c>
      <c r="J191" s="67">
        <f>IF($C191="861",$D191,)</f>
        <v>0</v>
      </c>
      <c r="K191" s="67">
        <f>IF($C191="862",$D191,)</f>
        <v>0</v>
      </c>
      <c r="L191" s="67">
        <f>IF($C191="865",$D191,)</f>
        <v>0</v>
      </c>
      <c r="M191" s="67">
        <f>IF($C191="868",$D191,)</f>
        <v>0</v>
      </c>
      <c r="N191" s="67">
        <f>IF($C191="869",$D191,)</f>
        <v>0</v>
      </c>
      <c r="O191" s="67">
        <f>IF($C191="871",$D191,)</f>
        <v>0</v>
      </c>
      <c r="P191" s="67">
        <f>IF($C191="874",$D191,)</f>
        <v>0</v>
      </c>
      <c r="Q191" s="67">
        <f>IF($C191="873",$D191,)</f>
        <v>0</v>
      </c>
      <c r="R191" s="67"/>
      <c r="S191" s="67"/>
      <c r="T191" s="67">
        <f t="shared" si="46"/>
        <v>0</v>
      </c>
      <c r="U191" s="67">
        <f>IF($C191="877",$D191,)</f>
        <v>0</v>
      </c>
      <c r="V191" s="67">
        <f>IF($C191="875",$D191,)</f>
        <v>0</v>
      </c>
      <c r="W191" s="67">
        <f>IF($C191="872",$D191,)</f>
        <v>0</v>
      </c>
      <c r="X191" s="67">
        <f>IF($C191="909",$D191,)</f>
        <v>0</v>
      </c>
      <c r="Y191" s="67">
        <f t="shared" si="68"/>
        <v>0</v>
      </c>
      <c r="Z191" s="67"/>
      <c r="AA191" s="67">
        <f t="shared" si="42"/>
        <v>0</v>
      </c>
      <c r="AB191" s="67"/>
      <c r="AC191" s="67"/>
      <c r="AD191" s="4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row>
    <row r="192" spans="1:54" collapsed="1">
      <c r="A192" s="76">
        <v>31</v>
      </c>
      <c r="B192" s="52" t="s">
        <v>319</v>
      </c>
      <c r="C192" s="65" t="s">
        <v>482</v>
      </c>
      <c r="D192" s="66"/>
      <c r="E192" s="46">
        <f t="shared" si="39"/>
        <v>0</v>
      </c>
      <c r="F192" s="67">
        <f>IF($C192="820",$D192,)</f>
        <v>0</v>
      </c>
      <c r="G192" s="67">
        <f t="shared" si="63"/>
        <v>0</v>
      </c>
      <c r="H192" s="67">
        <f>IF($C192="864",$D192,)</f>
        <v>0</v>
      </c>
      <c r="I192" s="67">
        <f>IF($C192="867",$D192,)</f>
        <v>0</v>
      </c>
      <c r="J192" s="67">
        <f>IF($C192="861",$D192,)</f>
        <v>0</v>
      </c>
      <c r="K192" s="67">
        <f>IF($C192="862",$D192,)</f>
        <v>0</v>
      </c>
      <c r="L192" s="67">
        <f>IF($C192="865",$D192,)</f>
        <v>0</v>
      </c>
      <c r="M192" s="67">
        <f>IF($C192="868",$D192,)</f>
        <v>0</v>
      </c>
      <c r="N192" s="67">
        <f>IF($C192="869",$D192,)</f>
        <v>0</v>
      </c>
      <c r="O192" s="67">
        <f>IF($C192="871",$D192,)</f>
        <v>0</v>
      </c>
      <c r="P192" s="67">
        <f>IF($C192="874",$D192,)</f>
        <v>0</v>
      </c>
      <c r="Q192" s="67">
        <f>IF($C192="873",$D192,)</f>
        <v>0</v>
      </c>
      <c r="R192" s="67"/>
      <c r="S192" s="67"/>
      <c r="T192" s="67">
        <f t="shared" si="46"/>
        <v>0</v>
      </c>
      <c r="U192" s="67">
        <f>IF($C192="877",$D192,)</f>
        <v>0</v>
      </c>
      <c r="V192" s="67">
        <f>IF($C192="875",$D192,)</f>
        <v>0</v>
      </c>
      <c r="W192" s="67">
        <f>IF($C192="872",$D192,)</f>
        <v>0</v>
      </c>
      <c r="X192" s="67">
        <f>IF($C192="909",$D192,)</f>
        <v>0</v>
      </c>
      <c r="Y192" s="67">
        <f t="shared" si="68"/>
        <v>0</v>
      </c>
      <c r="Z192" s="67"/>
      <c r="AA192" s="67">
        <f t="shared" si="42"/>
        <v>0</v>
      </c>
      <c r="AB192" s="67"/>
      <c r="AC192" s="67"/>
      <c r="AD192" s="4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row>
    <row r="193" spans="1:54">
      <c r="A193" s="76">
        <v>32</v>
      </c>
      <c r="B193" s="52" t="s">
        <v>320</v>
      </c>
      <c r="C193" s="65"/>
      <c r="D193" s="66"/>
      <c r="E193" s="46">
        <f t="shared" si="39"/>
        <v>0</v>
      </c>
      <c r="F193" s="67">
        <f t="shared" ref="F193" si="72">F194+F195+F196</f>
        <v>0</v>
      </c>
      <c r="G193" s="67">
        <f t="shared" si="63"/>
        <v>0</v>
      </c>
      <c r="H193" s="67">
        <f>H194+H195+H196</f>
        <v>0</v>
      </c>
      <c r="I193" s="67">
        <f t="shared" ref="I193:Q193" si="73">I194+I195+I196</f>
        <v>0</v>
      </c>
      <c r="J193" s="67">
        <f t="shared" si="73"/>
        <v>0</v>
      </c>
      <c r="K193" s="67">
        <f t="shared" si="73"/>
        <v>0</v>
      </c>
      <c r="L193" s="67">
        <f t="shared" si="73"/>
        <v>0</v>
      </c>
      <c r="M193" s="67">
        <f t="shared" si="73"/>
        <v>0</v>
      </c>
      <c r="N193" s="67">
        <f t="shared" si="73"/>
        <v>0</v>
      </c>
      <c r="O193" s="67">
        <f t="shared" si="73"/>
        <v>0</v>
      </c>
      <c r="P193" s="67">
        <f t="shared" si="73"/>
        <v>0</v>
      </c>
      <c r="Q193" s="67">
        <f t="shared" si="73"/>
        <v>0</v>
      </c>
      <c r="R193" s="67"/>
      <c r="S193" s="67"/>
      <c r="T193" s="67">
        <f t="shared" si="46"/>
        <v>0</v>
      </c>
      <c r="U193" s="67">
        <f>U194+U195+U196</f>
        <v>0</v>
      </c>
      <c r="V193" s="67">
        <f>V194+V195+V196</f>
        <v>0</v>
      </c>
      <c r="W193" s="67">
        <f>W194+W195+W196</f>
        <v>0</v>
      </c>
      <c r="X193" s="67">
        <f>X194+X195+X196</f>
        <v>0</v>
      </c>
      <c r="Y193" s="67">
        <f t="shared" si="68"/>
        <v>0</v>
      </c>
      <c r="Z193" s="67"/>
      <c r="AA193" s="67">
        <f t="shared" si="42"/>
        <v>0</v>
      </c>
      <c r="AB193" s="67"/>
      <c r="AC193" s="67"/>
      <c r="AD193" s="4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row>
    <row r="194" spans="1:54" ht="12.75" hidden="1" customHeight="1" outlineLevel="1">
      <c r="A194" s="76">
        <v>28</v>
      </c>
      <c r="B194" s="64" t="s">
        <v>316</v>
      </c>
      <c r="C194" s="65" t="s">
        <v>482</v>
      </c>
      <c r="D194" s="66"/>
      <c r="E194" s="46">
        <f t="shared" si="39"/>
        <v>0</v>
      </c>
      <c r="F194" s="67">
        <f>IF($C194="820",$D194,)</f>
        <v>0</v>
      </c>
      <c r="G194" s="67">
        <f t="shared" si="63"/>
        <v>0</v>
      </c>
      <c r="H194" s="67">
        <f>IF($C194="864",$D194,)</f>
        <v>0</v>
      </c>
      <c r="I194" s="67">
        <f>IF($C194="867",$D194,)</f>
        <v>0</v>
      </c>
      <c r="J194" s="67">
        <f>IF($C194="861",$D194,)</f>
        <v>0</v>
      </c>
      <c r="K194" s="67">
        <f>IF($C194="862",$D194,)</f>
        <v>0</v>
      </c>
      <c r="L194" s="67">
        <f>IF($C194="865",$D194,)</f>
        <v>0</v>
      </c>
      <c r="M194" s="67">
        <f>IF($C194="868",$D194,)</f>
        <v>0</v>
      </c>
      <c r="N194" s="67">
        <f>IF($C194="869",$D194,)</f>
        <v>0</v>
      </c>
      <c r="O194" s="67">
        <f>IF($C194="871",$D194,)</f>
        <v>0</v>
      </c>
      <c r="P194" s="67">
        <f>IF($C194="874",$D194,)</f>
        <v>0</v>
      </c>
      <c r="Q194" s="67">
        <f>IF($C194="873",$D194,)</f>
        <v>0</v>
      </c>
      <c r="R194" s="67"/>
      <c r="S194" s="67"/>
      <c r="T194" s="67">
        <f t="shared" si="46"/>
        <v>0</v>
      </c>
      <c r="U194" s="67">
        <f>IF($C194="877",$D194,)</f>
        <v>0</v>
      </c>
      <c r="V194" s="67">
        <f>IF($C194="875",$D194,)</f>
        <v>0</v>
      </c>
      <c r="W194" s="67">
        <f>IF($C194="872",$D194,)</f>
        <v>0</v>
      </c>
      <c r="X194" s="67">
        <f>IF($C194="909",$D194,)</f>
        <v>0</v>
      </c>
      <c r="Y194" s="67">
        <f t="shared" si="68"/>
        <v>0</v>
      </c>
      <c r="Z194" s="67"/>
      <c r="AA194" s="67">
        <f t="shared" si="42"/>
        <v>0</v>
      </c>
      <c r="AB194" s="67"/>
      <c r="AC194" s="67"/>
      <c r="AD194" s="4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row>
    <row r="195" spans="1:54" ht="12.75" hidden="1" customHeight="1" outlineLevel="1">
      <c r="A195" s="76">
        <v>28</v>
      </c>
      <c r="B195" s="77" t="s">
        <v>273</v>
      </c>
      <c r="C195" s="65" t="s">
        <v>485</v>
      </c>
      <c r="D195" s="66"/>
      <c r="E195" s="46">
        <f t="shared" si="39"/>
        <v>0</v>
      </c>
      <c r="F195" s="67">
        <f>IF($C195="820",$D195,)</f>
        <v>0</v>
      </c>
      <c r="G195" s="67">
        <f t="shared" si="63"/>
        <v>0</v>
      </c>
      <c r="H195" s="67">
        <f>IF($C195="864",$D195,)</f>
        <v>0</v>
      </c>
      <c r="I195" s="67">
        <f>IF($C195="867",$D195,)</f>
        <v>0</v>
      </c>
      <c r="J195" s="67">
        <f>IF($C195="861",$D195,)</f>
        <v>0</v>
      </c>
      <c r="K195" s="67">
        <f>IF($C195="862",$D195,)</f>
        <v>0</v>
      </c>
      <c r="L195" s="67">
        <f>IF($C195="865",$D195,)</f>
        <v>0</v>
      </c>
      <c r="M195" s="67">
        <f>IF($C195="868",$D195,)</f>
        <v>0</v>
      </c>
      <c r="N195" s="67">
        <f>IF($C195="869",$D195,)</f>
        <v>0</v>
      </c>
      <c r="O195" s="67">
        <f>IF($C195="871",$D195,)</f>
        <v>0</v>
      </c>
      <c r="P195" s="67">
        <f>IF($C195="874",$D195,)</f>
        <v>0</v>
      </c>
      <c r="Q195" s="67">
        <f>IF($C195="873",$D195,)</f>
        <v>0</v>
      </c>
      <c r="R195" s="67"/>
      <c r="S195" s="67"/>
      <c r="T195" s="67">
        <f t="shared" si="46"/>
        <v>0</v>
      </c>
      <c r="U195" s="67">
        <f>IF($C195="877",$D195,)</f>
        <v>0</v>
      </c>
      <c r="V195" s="67">
        <f>IF($C195="875",$D195,)</f>
        <v>0</v>
      </c>
      <c r="W195" s="67">
        <f>IF($C195="872",$D195,)</f>
        <v>0</v>
      </c>
      <c r="X195" s="67">
        <f>IF($C195="909",$D195,)</f>
        <v>0</v>
      </c>
      <c r="Y195" s="67">
        <f t="shared" si="68"/>
        <v>0</v>
      </c>
      <c r="Z195" s="67"/>
      <c r="AA195" s="67">
        <f t="shared" si="42"/>
        <v>0</v>
      </c>
      <c r="AB195" s="67"/>
      <c r="AC195" s="67"/>
      <c r="AD195" s="4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row>
    <row r="196" spans="1:54" ht="12.75" hidden="1" customHeight="1" outlineLevel="1">
      <c r="A196" s="76">
        <v>28</v>
      </c>
      <c r="B196" s="77" t="s">
        <v>269</v>
      </c>
      <c r="C196" s="65" t="s">
        <v>483</v>
      </c>
      <c r="D196" s="66"/>
      <c r="E196" s="46">
        <f t="shared" si="39"/>
        <v>0</v>
      </c>
      <c r="F196" s="67">
        <f>IF($C196="820",$D196,)</f>
        <v>0</v>
      </c>
      <c r="G196" s="67">
        <f t="shared" si="63"/>
        <v>0</v>
      </c>
      <c r="H196" s="67">
        <f>IF($C196="864",$D196,)</f>
        <v>0</v>
      </c>
      <c r="I196" s="67">
        <f>IF($C196="867",$D196,)</f>
        <v>0</v>
      </c>
      <c r="J196" s="67">
        <f>IF($C196="861",$D196,)</f>
        <v>0</v>
      </c>
      <c r="K196" s="67">
        <f>IF($C196="862",$D196,)</f>
        <v>0</v>
      </c>
      <c r="L196" s="67">
        <f>IF($C196="865",$D196,)</f>
        <v>0</v>
      </c>
      <c r="M196" s="67">
        <f>IF($C196="868",$D196,)</f>
        <v>0</v>
      </c>
      <c r="N196" s="67">
        <f>IF($C196="869",$D196,)</f>
        <v>0</v>
      </c>
      <c r="O196" s="67">
        <f>IF($C196="871",$D196,)</f>
        <v>0</v>
      </c>
      <c r="P196" s="67">
        <f>IF($C196="874",$D196,)</f>
        <v>0</v>
      </c>
      <c r="Q196" s="67">
        <f>IF($C196="873",$D196,)</f>
        <v>0</v>
      </c>
      <c r="R196" s="67"/>
      <c r="S196" s="67"/>
      <c r="T196" s="67">
        <f t="shared" si="46"/>
        <v>0</v>
      </c>
      <c r="U196" s="67">
        <f>IF($C196="877",$D196,)</f>
        <v>0</v>
      </c>
      <c r="V196" s="67">
        <f>IF($C196="875",$D196,)</f>
        <v>0</v>
      </c>
      <c r="W196" s="67">
        <f>IF($C196="872",$D196,)</f>
        <v>0</v>
      </c>
      <c r="X196" s="67">
        <f>IF($C196="909",$D196,)</f>
        <v>0</v>
      </c>
      <c r="Y196" s="67">
        <f t="shared" si="68"/>
        <v>0</v>
      </c>
      <c r="Z196" s="67"/>
      <c r="AA196" s="67">
        <f t="shared" si="42"/>
        <v>0</v>
      </c>
      <c r="AB196" s="67"/>
      <c r="AC196" s="67"/>
      <c r="AD196" s="4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row>
    <row r="197" spans="1:54" collapsed="1">
      <c r="A197" s="76">
        <v>33</v>
      </c>
      <c r="B197" s="52" t="s">
        <v>321</v>
      </c>
      <c r="C197" s="65" t="s">
        <v>482</v>
      </c>
      <c r="D197" s="66"/>
      <c r="E197" s="46">
        <f t="shared" si="39"/>
        <v>0</v>
      </c>
      <c r="F197" s="67">
        <f>IF($C197="820",$D197,)</f>
        <v>0</v>
      </c>
      <c r="G197" s="67">
        <f t="shared" si="63"/>
        <v>0</v>
      </c>
      <c r="H197" s="67">
        <f>IF($C197="864",$D197,)</f>
        <v>0</v>
      </c>
      <c r="I197" s="67">
        <f>IF($C197="867",$D197,)</f>
        <v>0</v>
      </c>
      <c r="J197" s="67">
        <f>IF($C197="861",$D197,)</f>
        <v>0</v>
      </c>
      <c r="K197" s="67">
        <f>IF($C197="862",$D197,)</f>
        <v>0</v>
      </c>
      <c r="L197" s="67">
        <f>IF($C197="865",$D197,)</f>
        <v>0</v>
      </c>
      <c r="M197" s="67">
        <f>IF($C197="868",$D197,)</f>
        <v>0</v>
      </c>
      <c r="N197" s="67">
        <f>IF($C197="869",$D197,)</f>
        <v>0</v>
      </c>
      <c r="O197" s="67">
        <f>IF($C197="871",$D197,)</f>
        <v>0</v>
      </c>
      <c r="P197" s="67">
        <f>IF($C197="874",$D197,)</f>
        <v>0</v>
      </c>
      <c r="Q197" s="67">
        <f>IF($C197="873",$D197,)</f>
        <v>0</v>
      </c>
      <c r="R197" s="67"/>
      <c r="S197" s="67"/>
      <c r="T197" s="67">
        <f t="shared" si="46"/>
        <v>0</v>
      </c>
      <c r="U197" s="67">
        <f>IF($C197="877",$D197,)</f>
        <v>0</v>
      </c>
      <c r="V197" s="67">
        <f>IF($C197="875",$D197,)</f>
        <v>0</v>
      </c>
      <c r="W197" s="67">
        <f>IF($C197="872",$D197,)</f>
        <v>0</v>
      </c>
      <c r="X197" s="67">
        <f>IF($C197="909",$D197,)</f>
        <v>0</v>
      </c>
      <c r="Y197" s="67">
        <f t="shared" si="68"/>
        <v>0</v>
      </c>
      <c r="Z197" s="67"/>
      <c r="AA197" s="67">
        <f t="shared" si="42"/>
        <v>0</v>
      </c>
      <c r="AB197" s="67"/>
      <c r="AC197" s="67"/>
      <c r="AD197" s="4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row>
    <row r="198" spans="1:54">
      <c r="A198" s="76">
        <v>34</v>
      </c>
      <c r="B198" s="52" t="s">
        <v>322</v>
      </c>
      <c r="C198" s="65"/>
      <c r="D198" s="66"/>
      <c r="E198" s="46">
        <f t="shared" si="39"/>
        <v>0</v>
      </c>
      <c r="F198" s="66">
        <f t="shared" ref="F198:Y198" si="74">F199+F200</f>
        <v>0</v>
      </c>
      <c r="G198" s="66">
        <f t="shared" si="74"/>
        <v>0</v>
      </c>
      <c r="H198" s="66">
        <f t="shared" si="74"/>
        <v>0</v>
      </c>
      <c r="I198" s="66">
        <f t="shared" si="74"/>
        <v>0</v>
      </c>
      <c r="J198" s="66">
        <f t="shared" si="74"/>
        <v>0</v>
      </c>
      <c r="K198" s="66">
        <f t="shared" si="74"/>
        <v>0</v>
      </c>
      <c r="L198" s="66">
        <f t="shared" si="74"/>
        <v>0</v>
      </c>
      <c r="M198" s="66">
        <f t="shared" si="74"/>
        <v>0</v>
      </c>
      <c r="N198" s="66">
        <f t="shared" si="74"/>
        <v>0</v>
      </c>
      <c r="O198" s="66">
        <f t="shared" si="74"/>
        <v>0</v>
      </c>
      <c r="P198" s="66">
        <f t="shared" si="74"/>
        <v>0</v>
      </c>
      <c r="Q198" s="66">
        <f t="shared" si="74"/>
        <v>0</v>
      </c>
      <c r="R198" s="66">
        <f t="shared" si="74"/>
        <v>0</v>
      </c>
      <c r="S198" s="66">
        <f t="shared" si="74"/>
        <v>0</v>
      </c>
      <c r="T198" s="66">
        <f t="shared" si="74"/>
        <v>0</v>
      </c>
      <c r="U198" s="66">
        <f t="shared" si="74"/>
        <v>0</v>
      </c>
      <c r="V198" s="66">
        <f t="shared" si="74"/>
        <v>0</v>
      </c>
      <c r="W198" s="66">
        <f t="shared" si="74"/>
        <v>0</v>
      </c>
      <c r="X198" s="66">
        <f t="shared" si="74"/>
        <v>0</v>
      </c>
      <c r="Y198" s="66">
        <f t="shared" si="74"/>
        <v>0</v>
      </c>
      <c r="Z198" s="67"/>
      <c r="AA198" s="67">
        <f t="shared" si="42"/>
        <v>0</v>
      </c>
      <c r="AB198" s="67"/>
      <c r="AC198" s="67"/>
      <c r="AD198" s="47"/>
      <c r="AE198" s="66"/>
      <c r="AF198" s="66"/>
      <c r="AG198" s="66"/>
      <c r="AH198" s="66"/>
      <c r="AI198" s="66"/>
      <c r="AJ198" s="66"/>
      <c r="AK198" s="66"/>
      <c r="AL198" s="66"/>
      <c r="AM198" s="66"/>
      <c r="AN198" s="66"/>
      <c r="AO198" s="66"/>
      <c r="AP198" s="66"/>
      <c r="AQ198" s="66"/>
      <c r="AR198" s="66"/>
      <c r="AS198" s="66"/>
      <c r="AT198" s="66"/>
      <c r="AU198" s="66"/>
      <c r="AV198" s="66"/>
      <c r="AW198" s="66"/>
      <c r="AX198" s="66"/>
      <c r="AY198" s="67"/>
      <c r="AZ198" s="67"/>
      <c r="BA198" s="67"/>
      <c r="BB198" s="67"/>
    </row>
    <row r="199" spans="1:54" hidden="1">
      <c r="A199" s="76">
        <v>28</v>
      </c>
      <c r="B199" s="64" t="s">
        <v>316</v>
      </c>
      <c r="C199" s="65" t="s">
        <v>482</v>
      </c>
      <c r="D199" s="66"/>
      <c r="E199" s="46">
        <f t="shared" si="39"/>
        <v>0</v>
      </c>
      <c r="F199" s="67">
        <f t="shared" ref="F199:F200" si="75">IF($C199="820",$D199,)</f>
        <v>0</v>
      </c>
      <c r="G199" s="67">
        <f t="shared" ref="G199:G200" si="76">H199+I199+J199+K199+L199+M199+N199+O199+P199+Q199+U199+V199+W199+X199</f>
        <v>0</v>
      </c>
      <c r="H199" s="67">
        <f t="shared" ref="H199:H200" si="77">IF($C199="864",$D199,)</f>
        <v>0</v>
      </c>
      <c r="I199" s="67">
        <f t="shared" ref="I199:I200" si="78">IF($C199="867",$D199,)</f>
        <v>0</v>
      </c>
      <c r="J199" s="67">
        <f t="shared" ref="J199:J200" si="79">IF($C199="861",$D199,)</f>
        <v>0</v>
      </c>
      <c r="K199" s="67">
        <f t="shared" ref="K199:K200" si="80">IF($C199="862",$D199,)</f>
        <v>0</v>
      </c>
      <c r="L199" s="67">
        <f t="shared" ref="L199:L200" si="81">IF($C199="865",$D199,)</f>
        <v>0</v>
      </c>
      <c r="M199" s="67">
        <f t="shared" ref="M199:M200" si="82">IF($C199="868",$D199,)</f>
        <v>0</v>
      </c>
      <c r="N199" s="67">
        <f t="shared" ref="N199:N200" si="83">IF($C199="869",$D199,)</f>
        <v>0</v>
      </c>
      <c r="O199" s="67">
        <f t="shared" ref="O199:O200" si="84">IF($C199="871",$D199,)</f>
        <v>0</v>
      </c>
      <c r="P199" s="67">
        <f t="shared" ref="P199:P200" si="85">IF($C199="874",$D199,)</f>
        <v>0</v>
      </c>
      <c r="Q199" s="67">
        <f t="shared" ref="Q199:Q200" si="86">IF($C199="873",$D199,)</f>
        <v>0</v>
      </c>
      <c r="R199" s="67"/>
      <c r="S199" s="67"/>
      <c r="T199" s="67">
        <f t="shared" ref="T199:T200" si="87">Q199-R199-S199</f>
        <v>0</v>
      </c>
      <c r="U199" s="67">
        <f t="shared" ref="U199:U200" si="88">IF($C199="877",$D199,)</f>
        <v>0</v>
      </c>
      <c r="V199" s="67">
        <f t="shared" ref="V199:V200" si="89">IF($C199="875",$D199,)</f>
        <v>0</v>
      </c>
      <c r="W199" s="67">
        <f t="shared" ref="W199:W200" si="90">IF($C199="872",$D199,)</f>
        <v>0</v>
      </c>
      <c r="X199" s="67">
        <f t="shared" ref="X199:X200" si="91">IF($C199="909",$D199,)</f>
        <v>0</v>
      </c>
      <c r="Y199" s="67">
        <f t="shared" si="68"/>
        <v>0</v>
      </c>
      <c r="Z199" s="67"/>
      <c r="AA199" s="67">
        <f t="shared" si="42"/>
        <v>0</v>
      </c>
      <c r="AB199" s="67"/>
      <c r="AC199" s="67"/>
      <c r="AD199" s="4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row>
    <row r="200" spans="1:54" hidden="1">
      <c r="A200" s="76">
        <v>28</v>
      </c>
      <c r="B200" s="77" t="s">
        <v>289</v>
      </c>
      <c r="C200" s="65" t="s">
        <v>487</v>
      </c>
      <c r="D200" s="66"/>
      <c r="E200" s="46">
        <f t="shared" si="39"/>
        <v>0</v>
      </c>
      <c r="F200" s="67">
        <f t="shared" si="75"/>
        <v>0</v>
      </c>
      <c r="G200" s="67">
        <f t="shared" si="76"/>
        <v>0</v>
      </c>
      <c r="H200" s="67">
        <f t="shared" si="77"/>
        <v>0</v>
      </c>
      <c r="I200" s="67">
        <f t="shared" si="78"/>
        <v>0</v>
      </c>
      <c r="J200" s="67">
        <f t="shared" si="79"/>
        <v>0</v>
      </c>
      <c r="K200" s="67">
        <f t="shared" si="80"/>
        <v>0</v>
      </c>
      <c r="L200" s="67">
        <f t="shared" si="81"/>
        <v>0</v>
      </c>
      <c r="M200" s="67">
        <f t="shared" si="82"/>
        <v>0</v>
      </c>
      <c r="N200" s="67">
        <f t="shared" si="83"/>
        <v>0</v>
      </c>
      <c r="O200" s="67">
        <f t="shared" si="84"/>
        <v>0</v>
      </c>
      <c r="P200" s="67">
        <f t="shared" si="85"/>
        <v>0</v>
      </c>
      <c r="Q200" s="67">
        <f t="shared" si="86"/>
        <v>0</v>
      </c>
      <c r="R200" s="67"/>
      <c r="S200" s="67"/>
      <c r="T200" s="67">
        <f t="shared" si="87"/>
        <v>0</v>
      </c>
      <c r="U200" s="67">
        <f t="shared" si="88"/>
        <v>0</v>
      </c>
      <c r="V200" s="67">
        <f t="shared" si="89"/>
        <v>0</v>
      </c>
      <c r="W200" s="67">
        <f t="shared" si="90"/>
        <v>0</v>
      </c>
      <c r="X200" s="67">
        <f t="shared" si="91"/>
        <v>0</v>
      </c>
      <c r="Y200" s="67">
        <f t="shared" si="68"/>
        <v>0</v>
      </c>
      <c r="Z200" s="67"/>
      <c r="AA200" s="67">
        <f t="shared" si="42"/>
        <v>0</v>
      </c>
      <c r="AB200" s="67"/>
      <c r="AC200" s="67"/>
      <c r="AD200" s="4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row>
    <row r="201" spans="1:54">
      <c r="A201" s="76">
        <v>35</v>
      </c>
      <c r="B201" s="52" t="s">
        <v>323</v>
      </c>
      <c r="C201" s="65"/>
      <c r="D201" s="66"/>
      <c r="E201" s="46">
        <f t="shared" si="39"/>
        <v>0</v>
      </c>
      <c r="F201" s="67">
        <f t="shared" ref="F201:Y201" si="92">F202</f>
        <v>0</v>
      </c>
      <c r="G201" s="67">
        <f t="shared" si="92"/>
        <v>0</v>
      </c>
      <c r="H201" s="67">
        <f t="shared" si="92"/>
        <v>0</v>
      </c>
      <c r="I201" s="67">
        <f t="shared" si="92"/>
        <v>0</v>
      </c>
      <c r="J201" s="67">
        <f t="shared" si="92"/>
        <v>0</v>
      </c>
      <c r="K201" s="67">
        <f t="shared" si="92"/>
        <v>0</v>
      </c>
      <c r="L201" s="67">
        <f t="shared" si="92"/>
        <v>0</v>
      </c>
      <c r="M201" s="67">
        <f t="shared" si="92"/>
        <v>0</v>
      </c>
      <c r="N201" s="67">
        <f t="shared" si="92"/>
        <v>0</v>
      </c>
      <c r="O201" s="67">
        <f t="shared" si="92"/>
        <v>0</v>
      </c>
      <c r="P201" s="67">
        <f t="shared" si="92"/>
        <v>0</v>
      </c>
      <c r="Q201" s="67">
        <f t="shared" si="92"/>
        <v>0</v>
      </c>
      <c r="R201" s="67">
        <f t="shared" si="92"/>
        <v>0</v>
      </c>
      <c r="S201" s="67">
        <f t="shared" si="92"/>
        <v>0</v>
      </c>
      <c r="T201" s="67">
        <f t="shared" si="92"/>
        <v>0</v>
      </c>
      <c r="U201" s="67">
        <f t="shared" si="92"/>
        <v>0</v>
      </c>
      <c r="V201" s="67">
        <f t="shared" si="92"/>
        <v>0</v>
      </c>
      <c r="W201" s="67">
        <f t="shared" si="92"/>
        <v>0</v>
      </c>
      <c r="X201" s="67">
        <f t="shared" si="92"/>
        <v>0</v>
      </c>
      <c r="Y201" s="67">
        <f t="shared" si="92"/>
        <v>0</v>
      </c>
      <c r="Z201" s="67"/>
      <c r="AA201" s="67">
        <f t="shared" si="42"/>
        <v>0</v>
      </c>
      <c r="AB201" s="67"/>
      <c r="AC201" s="67"/>
      <c r="AD201" s="4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row>
    <row r="202" spans="1:54" ht="12.75" hidden="1" customHeight="1" outlineLevel="1">
      <c r="A202" s="76" t="s">
        <v>30</v>
      </c>
      <c r="B202" s="70" t="s">
        <v>44</v>
      </c>
      <c r="C202" s="65" t="s">
        <v>492</v>
      </c>
      <c r="D202" s="66"/>
      <c r="E202" s="46">
        <f t="shared" si="39"/>
        <v>0</v>
      </c>
      <c r="F202" s="67">
        <f>IF($C202="820",$D202,)</f>
        <v>0</v>
      </c>
      <c r="G202" s="67">
        <f t="shared" si="63"/>
        <v>0</v>
      </c>
      <c r="H202" s="67">
        <f>IF($C202="864",$D202,)</f>
        <v>0</v>
      </c>
      <c r="I202" s="67">
        <f>IF($C202="867",$D202,)</f>
        <v>0</v>
      </c>
      <c r="J202" s="67">
        <f>IF($C202="861",$D202,)</f>
        <v>0</v>
      </c>
      <c r="K202" s="67">
        <f>IF($C202="862",$D202,)</f>
        <v>0</v>
      </c>
      <c r="L202" s="67">
        <f>IF($C202="865",$D202,)</f>
        <v>0</v>
      </c>
      <c r="M202" s="67">
        <f>IF($C202="868",$D202,)</f>
        <v>0</v>
      </c>
      <c r="N202" s="67">
        <f>IF($C202="869",$D202,)</f>
        <v>0</v>
      </c>
      <c r="O202" s="67">
        <f>IF($C202="871",$D202,)</f>
        <v>0</v>
      </c>
      <c r="P202" s="67">
        <f>IF($C202="874",$D202,)</f>
        <v>0</v>
      </c>
      <c r="Q202" s="67">
        <f>IF($C202="873",$D202,)</f>
        <v>0</v>
      </c>
      <c r="R202" s="67"/>
      <c r="S202" s="67"/>
      <c r="T202" s="67">
        <f t="shared" si="46"/>
        <v>0</v>
      </c>
      <c r="U202" s="67">
        <f>IF($C202="877",$D202,)</f>
        <v>0</v>
      </c>
      <c r="V202" s="67">
        <f>IF($C202="875",$D202,)</f>
        <v>0</v>
      </c>
      <c r="W202" s="67">
        <f>IF($C202="872",$D202,)</f>
        <v>0</v>
      </c>
      <c r="X202" s="67">
        <f>IF($C202="909",$D202,)</f>
        <v>0</v>
      </c>
      <c r="Y202" s="67">
        <f>IF(OR($C202="932",$C202="934",$C202="949"),$D202,)</f>
        <v>0</v>
      </c>
      <c r="Z202" s="67"/>
      <c r="AA202" s="67">
        <f t="shared" si="42"/>
        <v>0</v>
      </c>
      <c r="AB202" s="67"/>
      <c r="AC202" s="67"/>
      <c r="AD202" s="4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row>
    <row r="203" spans="1:54" collapsed="1">
      <c r="A203" s="76">
        <v>36</v>
      </c>
      <c r="B203" s="52" t="s">
        <v>324</v>
      </c>
      <c r="C203" s="65"/>
      <c r="D203" s="66"/>
      <c r="E203" s="46">
        <f t="shared" si="39"/>
        <v>0</v>
      </c>
      <c r="F203" s="67">
        <f t="shared" ref="F203:Y203" si="93">F204</f>
        <v>0</v>
      </c>
      <c r="G203" s="67">
        <f t="shared" si="93"/>
        <v>0</v>
      </c>
      <c r="H203" s="67">
        <f t="shared" si="93"/>
        <v>0</v>
      </c>
      <c r="I203" s="67">
        <f t="shared" si="93"/>
        <v>0</v>
      </c>
      <c r="J203" s="67">
        <f t="shared" si="93"/>
        <v>0</v>
      </c>
      <c r="K203" s="67">
        <f t="shared" si="93"/>
        <v>0</v>
      </c>
      <c r="L203" s="67">
        <f t="shared" si="93"/>
        <v>0</v>
      </c>
      <c r="M203" s="67">
        <f t="shared" si="93"/>
        <v>0</v>
      </c>
      <c r="N203" s="67">
        <f t="shared" si="93"/>
        <v>0</v>
      </c>
      <c r="O203" s="67">
        <f t="shared" si="93"/>
        <v>0</v>
      </c>
      <c r="P203" s="67">
        <f t="shared" si="93"/>
        <v>0</v>
      </c>
      <c r="Q203" s="67">
        <f t="shared" si="93"/>
        <v>0</v>
      </c>
      <c r="R203" s="67">
        <f t="shared" si="93"/>
        <v>0</v>
      </c>
      <c r="S203" s="67">
        <f t="shared" si="93"/>
        <v>0</v>
      </c>
      <c r="T203" s="67">
        <f t="shared" si="93"/>
        <v>0</v>
      </c>
      <c r="U203" s="67">
        <f t="shared" si="93"/>
        <v>0</v>
      </c>
      <c r="V203" s="67">
        <f t="shared" si="93"/>
        <v>0</v>
      </c>
      <c r="W203" s="67">
        <f t="shared" si="93"/>
        <v>0</v>
      </c>
      <c r="X203" s="67">
        <f t="shared" si="93"/>
        <v>0</v>
      </c>
      <c r="Y203" s="67">
        <f t="shared" si="93"/>
        <v>0</v>
      </c>
      <c r="Z203" s="67"/>
      <c r="AA203" s="67">
        <f t="shared" si="42"/>
        <v>0</v>
      </c>
      <c r="AB203" s="67"/>
      <c r="AC203" s="67"/>
      <c r="AD203" s="4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row>
    <row r="204" spans="1:54" ht="12.75" hidden="1" customHeight="1" outlineLevel="1">
      <c r="A204" s="76" t="s">
        <v>30</v>
      </c>
      <c r="B204" s="52" t="s">
        <v>44</v>
      </c>
      <c r="C204" s="65" t="s">
        <v>493</v>
      </c>
      <c r="D204" s="66"/>
      <c r="E204" s="46">
        <f t="shared" si="39"/>
        <v>0</v>
      </c>
      <c r="F204" s="67">
        <f>IF($C204="820",$D204,)</f>
        <v>0</v>
      </c>
      <c r="G204" s="67">
        <f t="shared" si="63"/>
        <v>0</v>
      </c>
      <c r="H204" s="67">
        <f>IF($C204="864",$D204,)</f>
        <v>0</v>
      </c>
      <c r="I204" s="67">
        <f>IF($C204="867",$D204,)</f>
        <v>0</v>
      </c>
      <c r="J204" s="67">
        <f>IF($C204="861",$D204,)</f>
        <v>0</v>
      </c>
      <c r="K204" s="67">
        <f>IF($C204="862",$D204,)</f>
        <v>0</v>
      </c>
      <c r="L204" s="67">
        <f>IF($C204="865",$D204,)</f>
        <v>0</v>
      </c>
      <c r="M204" s="67">
        <f>IF($C204="868",$D204,)</f>
        <v>0</v>
      </c>
      <c r="N204" s="67">
        <f>IF($C204="869",$D204,)</f>
        <v>0</v>
      </c>
      <c r="O204" s="67">
        <f>IF($C204="871",$D204,)</f>
        <v>0</v>
      </c>
      <c r="P204" s="67">
        <f>IF($C204="874",$D204,)</f>
        <v>0</v>
      </c>
      <c r="Q204" s="67">
        <f>IF($C204="873",$D204,)</f>
        <v>0</v>
      </c>
      <c r="R204" s="67"/>
      <c r="S204" s="67"/>
      <c r="T204" s="67">
        <f t="shared" si="46"/>
        <v>0</v>
      </c>
      <c r="U204" s="67">
        <f>IF($C204="877",$D204,)</f>
        <v>0</v>
      </c>
      <c r="V204" s="67">
        <f>IF($C204="875",$D204,)</f>
        <v>0</v>
      </c>
      <c r="W204" s="67">
        <f>IF($C204="872",$D204,)</f>
        <v>0</v>
      </c>
      <c r="X204" s="67">
        <f>IF($C204="909",$D204,)</f>
        <v>0</v>
      </c>
      <c r="Y204" s="67">
        <f>IF(OR($C204="932",$C204="934",$C204="949"),$D204,)</f>
        <v>0</v>
      </c>
      <c r="Z204" s="67"/>
      <c r="AA204" s="67">
        <f t="shared" si="42"/>
        <v>0</v>
      </c>
      <c r="AB204" s="67"/>
      <c r="AC204" s="67"/>
      <c r="AD204" s="4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row>
    <row r="205" spans="1:54" collapsed="1">
      <c r="A205" s="76">
        <v>37</v>
      </c>
      <c r="B205" s="52" t="s">
        <v>325</v>
      </c>
      <c r="C205" s="65"/>
      <c r="D205" s="66"/>
      <c r="E205" s="46">
        <f t="shared" si="39"/>
        <v>0</v>
      </c>
      <c r="F205" s="67">
        <f t="shared" ref="F205:Y205" si="94">F206</f>
        <v>0</v>
      </c>
      <c r="G205" s="67">
        <f t="shared" si="94"/>
        <v>0</v>
      </c>
      <c r="H205" s="67">
        <f t="shared" si="94"/>
        <v>0</v>
      </c>
      <c r="I205" s="67">
        <f t="shared" si="94"/>
        <v>0</v>
      </c>
      <c r="J205" s="67">
        <f t="shared" si="94"/>
        <v>0</v>
      </c>
      <c r="K205" s="67">
        <f t="shared" si="94"/>
        <v>0</v>
      </c>
      <c r="L205" s="67">
        <f t="shared" si="94"/>
        <v>0</v>
      </c>
      <c r="M205" s="67">
        <f t="shared" si="94"/>
        <v>0</v>
      </c>
      <c r="N205" s="67">
        <f t="shared" si="94"/>
        <v>0</v>
      </c>
      <c r="O205" s="67">
        <f t="shared" si="94"/>
        <v>0</v>
      </c>
      <c r="P205" s="67">
        <f t="shared" si="94"/>
        <v>0</v>
      </c>
      <c r="Q205" s="67">
        <f t="shared" si="94"/>
        <v>0</v>
      </c>
      <c r="R205" s="67">
        <f t="shared" si="94"/>
        <v>0</v>
      </c>
      <c r="S205" s="67">
        <f t="shared" si="94"/>
        <v>0</v>
      </c>
      <c r="T205" s="67">
        <f t="shared" si="94"/>
        <v>0</v>
      </c>
      <c r="U205" s="67">
        <f t="shared" si="94"/>
        <v>0</v>
      </c>
      <c r="V205" s="67">
        <f t="shared" si="94"/>
        <v>0</v>
      </c>
      <c r="W205" s="67">
        <f t="shared" si="94"/>
        <v>0</v>
      </c>
      <c r="X205" s="67">
        <f t="shared" si="94"/>
        <v>0</v>
      </c>
      <c r="Y205" s="67">
        <f t="shared" si="94"/>
        <v>0</v>
      </c>
      <c r="Z205" s="67"/>
      <c r="AA205" s="67">
        <f t="shared" si="42"/>
        <v>0</v>
      </c>
      <c r="AB205" s="67"/>
      <c r="AC205" s="67"/>
      <c r="AD205" s="4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row>
    <row r="206" spans="1:54" ht="12.75" hidden="1" customHeight="1" outlineLevel="1">
      <c r="A206" s="78" t="s">
        <v>30</v>
      </c>
      <c r="B206" s="70" t="s">
        <v>44</v>
      </c>
      <c r="C206" s="65" t="s">
        <v>493</v>
      </c>
      <c r="D206" s="66"/>
      <c r="E206" s="46">
        <f t="shared" ref="E206:E269" si="95">F206+G206+Y206+Z206+AA206</f>
        <v>0</v>
      </c>
      <c r="F206" s="67">
        <f t="shared" ref="F206:F212" si="96">IF($C206="820",$D206,)</f>
        <v>0</v>
      </c>
      <c r="G206" s="67">
        <f t="shared" si="63"/>
        <v>0</v>
      </c>
      <c r="H206" s="67">
        <f t="shared" ref="H206:H212" si="97">IF($C206="864",$D206,)</f>
        <v>0</v>
      </c>
      <c r="I206" s="67">
        <f t="shared" ref="I206:I212" si="98">IF($C206="867",$D206,)</f>
        <v>0</v>
      </c>
      <c r="J206" s="67">
        <f t="shared" ref="J206:J212" si="99">IF($C206="861",$D206,)</f>
        <v>0</v>
      </c>
      <c r="K206" s="67">
        <f t="shared" ref="K206:K212" si="100">IF($C206="862",$D206,)</f>
        <v>0</v>
      </c>
      <c r="L206" s="67">
        <f t="shared" ref="L206:L212" si="101">IF($C206="865",$D206,)</f>
        <v>0</v>
      </c>
      <c r="M206" s="67">
        <f t="shared" ref="M206:M212" si="102">IF($C206="868",$D206,)</f>
        <v>0</v>
      </c>
      <c r="N206" s="67">
        <f t="shared" ref="N206:N212" si="103">IF($C206="869",$D206,)</f>
        <v>0</v>
      </c>
      <c r="O206" s="67">
        <f t="shared" ref="O206:O212" si="104">IF($C206="871",$D206,)</f>
        <v>0</v>
      </c>
      <c r="P206" s="67">
        <f t="shared" ref="P206:P212" si="105">IF($C206="874",$D206,)</f>
        <v>0</v>
      </c>
      <c r="Q206" s="67">
        <f t="shared" ref="Q206:Q212" si="106">IF($C206="873",$D206,)</f>
        <v>0</v>
      </c>
      <c r="R206" s="67"/>
      <c r="S206" s="67"/>
      <c r="T206" s="67">
        <f t="shared" si="46"/>
        <v>0</v>
      </c>
      <c r="U206" s="67">
        <f t="shared" ref="U206:U212" si="107">IF($C206="877",$D206,)</f>
        <v>0</v>
      </c>
      <c r="V206" s="67">
        <f t="shared" ref="V206:V212" si="108">IF($C206="875",$D206,)</f>
        <v>0</v>
      </c>
      <c r="W206" s="67">
        <f t="shared" ref="W206:W212" si="109">IF($C206="872",$D206,)</f>
        <v>0</v>
      </c>
      <c r="X206" s="67">
        <f t="shared" ref="X206:X212" si="110">IF($C206="909",$D206,)</f>
        <v>0</v>
      </c>
      <c r="Y206" s="67">
        <f t="shared" ref="Y206:Y221" si="111">IF(OR($C206="932",$C206="934",$C206="949"),$D206,)</f>
        <v>0</v>
      </c>
      <c r="Z206" s="67"/>
      <c r="AA206" s="67">
        <f t="shared" si="42"/>
        <v>0</v>
      </c>
      <c r="AB206" s="67"/>
      <c r="AC206" s="67"/>
      <c r="AD206" s="4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row>
    <row r="207" spans="1:54" collapsed="1">
      <c r="A207" s="76">
        <v>38</v>
      </c>
      <c r="B207" s="52" t="s">
        <v>326</v>
      </c>
      <c r="C207" s="65" t="s">
        <v>482</v>
      </c>
      <c r="D207" s="66"/>
      <c r="E207" s="46">
        <f t="shared" si="95"/>
        <v>0</v>
      </c>
      <c r="F207" s="67">
        <f t="shared" si="96"/>
        <v>0</v>
      </c>
      <c r="G207" s="67">
        <f t="shared" si="63"/>
        <v>0</v>
      </c>
      <c r="H207" s="67">
        <f t="shared" si="97"/>
        <v>0</v>
      </c>
      <c r="I207" s="67">
        <f t="shared" si="98"/>
        <v>0</v>
      </c>
      <c r="J207" s="67">
        <f t="shared" si="99"/>
        <v>0</v>
      </c>
      <c r="K207" s="67">
        <f t="shared" si="100"/>
        <v>0</v>
      </c>
      <c r="L207" s="67">
        <f t="shared" si="101"/>
        <v>0</v>
      </c>
      <c r="M207" s="67">
        <f t="shared" si="102"/>
        <v>0</v>
      </c>
      <c r="N207" s="67">
        <f t="shared" si="103"/>
        <v>0</v>
      </c>
      <c r="O207" s="67">
        <f t="shared" si="104"/>
        <v>0</v>
      </c>
      <c r="P207" s="67">
        <f t="shared" si="105"/>
        <v>0</v>
      </c>
      <c r="Q207" s="67">
        <f t="shared" si="106"/>
        <v>0</v>
      </c>
      <c r="R207" s="67"/>
      <c r="S207" s="67"/>
      <c r="T207" s="67">
        <f t="shared" si="46"/>
        <v>0</v>
      </c>
      <c r="U207" s="67">
        <f t="shared" si="107"/>
        <v>0</v>
      </c>
      <c r="V207" s="67">
        <f t="shared" si="108"/>
        <v>0</v>
      </c>
      <c r="W207" s="67">
        <f t="shared" si="109"/>
        <v>0</v>
      </c>
      <c r="X207" s="67">
        <f t="shared" si="110"/>
        <v>0</v>
      </c>
      <c r="Y207" s="67">
        <f t="shared" si="111"/>
        <v>0</v>
      </c>
      <c r="Z207" s="67"/>
      <c r="AA207" s="67">
        <f t="shared" si="42"/>
        <v>0</v>
      </c>
      <c r="AB207" s="67"/>
      <c r="AC207" s="67"/>
      <c r="AD207" s="4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row>
    <row r="208" spans="1:54" ht="25.5">
      <c r="A208" s="76">
        <v>39</v>
      </c>
      <c r="B208" s="52" t="s">
        <v>327</v>
      </c>
      <c r="C208" s="65" t="s">
        <v>482</v>
      </c>
      <c r="D208" s="66"/>
      <c r="E208" s="46">
        <f t="shared" si="95"/>
        <v>0</v>
      </c>
      <c r="F208" s="67">
        <f t="shared" si="96"/>
        <v>0</v>
      </c>
      <c r="G208" s="67">
        <f t="shared" si="63"/>
        <v>0</v>
      </c>
      <c r="H208" s="67">
        <f t="shared" si="97"/>
        <v>0</v>
      </c>
      <c r="I208" s="67">
        <f t="shared" si="98"/>
        <v>0</v>
      </c>
      <c r="J208" s="67">
        <f t="shared" si="99"/>
        <v>0</v>
      </c>
      <c r="K208" s="67">
        <f t="shared" si="100"/>
        <v>0</v>
      </c>
      <c r="L208" s="67">
        <f t="shared" si="101"/>
        <v>0</v>
      </c>
      <c r="M208" s="67">
        <f t="shared" si="102"/>
        <v>0</v>
      </c>
      <c r="N208" s="67">
        <f t="shared" si="103"/>
        <v>0</v>
      </c>
      <c r="O208" s="67">
        <f t="shared" si="104"/>
        <v>0</v>
      </c>
      <c r="P208" s="67">
        <f t="shared" si="105"/>
        <v>0</v>
      </c>
      <c r="Q208" s="67">
        <f t="shared" si="106"/>
        <v>0</v>
      </c>
      <c r="R208" s="67"/>
      <c r="S208" s="67"/>
      <c r="T208" s="67">
        <f t="shared" si="46"/>
        <v>0</v>
      </c>
      <c r="U208" s="67">
        <f t="shared" si="107"/>
        <v>0</v>
      </c>
      <c r="V208" s="67">
        <f t="shared" si="108"/>
        <v>0</v>
      </c>
      <c r="W208" s="67">
        <f t="shared" si="109"/>
        <v>0</v>
      </c>
      <c r="X208" s="67">
        <f t="shared" si="110"/>
        <v>0</v>
      </c>
      <c r="Y208" s="67">
        <f t="shared" si="111"/>
        <v>0</v>
      </c>
      <c r="Z208" s="67"/>
      <c r="AA208" s="67">
        <f t="shared" si="42"/>
        <v>0</v>
      </c>
      <c r="AB208" s="67"/>
      <c r="AC208" s="67"/>
      <c r="AD208" s="4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row>
    <row r="209" spans="1:54">
      <c r="A209" s="76">
        <v>40</v>
      </c>
      <c r="B209" s="52" t="s">
        <v>328</v>
      </c>
      <c r="C209" s="65" t="s">
        <v>482</v>
      </c>
      <c r="D209" s="66"/>
      <c r="E209" s="46">
        <f t="shared" si="95"/>
        <v>0</v>
      </c>
      <c r="F209" s="67">
        <f t="shared" si="96"/>
        <v>0</v>
      </c>
      <c r="G209" s="67">
        <f t="shared" si="63"/>
        <v>0</v>
      </c>
      <c r="H209" s="67">
        <f t="shared" si="97"/>
        <v>0</v>
      </c>
      <c r="I209" s="67">
        <f t="shared" si="98"/>
        <v>0</v>
      </c>
      <c r="J209" s="67">
        <f t="shared" si="99"/>
        <v>0</v>
      </c>
      <c r="K209" s="67">
        <f t="shared" si="100"/>
        <v>0</v>
      </c>
      <c r="L209" s="67">
        <f t="shared" si="101"/>
        <v>0</v>
      </c>
      <c r="M209" s="67">
        <f t="shared" si="102"/>
        <v>0</v>
      </c>
      <c r="N209" s="67">
        <f t="shared" si="103"/>
        <v>0</v>
      </c>
      <c r="O209" s="67">
        <f t="shared" si="104"/>
        <v>0</v>
      </c>
      <c r="P209" s="67">
        <f t="shared" si="105"/>
        <v>0</v>
      </c>
      <c r="Q209" s="67">
        <f t="shared" si="106"/>
        <v>0</v>
      </c>
      <c r="R209" s="67"/>
      <c r="S209" s="67"/>
      <c r="T209" s="67">
        <f t="shared" si="46"/>
        <v>0</v>
      </c>
      <c r="U209" s="67">
        <f t="shared" si="107"/>
        <v>0</v>
      </c>
      <c r="V209" s="67">
        <f t="shared" si="108"/>
        <v>0</v>
      </c>
      <c r="W209" s="67">
        <f t="shared" si="109"/>
        <v>0</v>
      </c>
      <c r="X209" s="67">
        <f t="shared" si="110"/>
        <v>0</v>
      </c>
      <c r="Y209" s="67">
        <f t="shared" si="111"/>
        <v>0</v>
      </c>
      <c r="Z209" s="67"/>
      <c r="AA209" s="67">
        <f t="shared" si="42"/>
        <v>0</v>
      </c>
      <c r="AB209" s="67"/>
      <c r="AC209" s="67"/>
      <c r="AD209" s="4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row>
    <row r="210" spans="1:54">
      <c r="A210" s="76">
        <v>41</v>
      </c>
      <c r="B210" s="52" t="s">
        <v>329</v>
      </c>
      <c r="C210" s="65" t="s">
        <v>482</v>
      </c>
      <c r="D210" s="66"/>
      <c r="E210" s="46">
        <f t="shared" si="95"/>
        <v>0</v>
      </c>
      <c r="F210" s="67">
        <f t="shared" si="96"/>
        <v>0</v>
      </c>
      <c r="G210" s="67">
        <f t="shared" si="63"/>
        <v>0</v>
      </c>
      <c r="H210" s="67">
        <f t="shared" si="97"/>
        <v>0</v>
      </c>
      <c r="I210" s="67">
        <f t="shared" si="98"/>
        <v>0</v>
      </c>
      <c r="J210" s="67">
        <f t="shared" si="99"/>
        <v>0</v>
      </c>
      <c r="K210" s="67">
        <f t="shared" si="100"/>
        <v>0</v>
      </c>
      <c r="L210" s="67">
        <f t="shared" si="101"/>
        <v>0</v>
      </c>
      <c r="M210" s="67">
        <f t="shared" si="102"/>
        <v>0</v>
      </c>
      <c r="N210" s="67">
        <f t="shared" si="103"/>
        <v>0</v>
      </c>
      <c r="O210" s="67">
        <f t="shared" si="104"/>
        <v>0</v>
      </c>
      <c r="P210" s="67">
        <f t="shared" si="105"/>
        <v>0</v>
      </c>
      <c r="Q210" s="67">
        <f t="shared" si="106"/>
        <v>0</v>
      </c>
      <c r="R210" s="67"/>
      <c r="S210" s="67"/>
      <c r="T210" s="67">
        <f t="shared" si="46"/>
        <v>0</v>
      </c>
      <c r="U210" s="67">
        <f t="shared" si="107"/>
        <v>0</v>
      </c>
      <c r="V210" s="67">
        <f t="shared" si="108"/>
        <v>0</v>
      </c>
      <c r="W210" s="67">
        <f t="shared" si="109"/>
        <v>0</v>
      </c>
      <c r="X210" s="67">
        <f t="shared" si="110"/>
        <v>0</v>
      </c>
      <c r="Y210" s="67">
        <f t="shared" si="111"/>
        <v>0</v>
      </c>
      <c r="Z210" s="67"/>
      <c r="AA210" s="67">
        <f t="shared" ref="AA210:AA291" si="112">AB210+AC210</f>
        <v>0</v>
      </c>
      <c r="AB210" s="67"/>
      <c r="AC210" s="67"/>
      <c r="AD210" s="4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row>
    <row r="211" spans="1:54">
      <c r="A211" s="76">
        <v>42</v>
      </c>
      <c r="B211" s="52" t="s">
        <v>330</v>
      </c>
      <c r="C211" s="65" t="s">
        <v>482</v>
      </c>
      <c r="D211" s="66"/>
      <c r="E211" s="46">
        <f t="shared" si="95"/>
        <v>0</v>
      </c>
      <c r="F211" s="67">
        <f t="shared" si="96"/>
        <v>0</v>
      </c>
      <c r="G211" s="67">
        <f t="shared" si="63"/>
        <v>0</v>
      </c>
      <c r="H211" s="67">
        <f t="shared" si="97"/>
        <v>0</v>
      </c>
      <c r="I211" s="67">
        <f t="shared" si="98"/>
        <v>0</v>
      </c>
      <c r="J211" s="67">
        <f t="shared" si="99"/>
        <v>0</v>
      </c>
      <c r="K211" s="67">
        <f t="shared" si="100"/>
        <v>0</v>
      </c>
      <c r="L211" s="67">
        <f t="shared" si="101"/>
        <v>0</v>
      </c>
      <c r="M211" s="67">
        <f t="shared" si="102"/>
        <v>0</v>
      </c>
      <c r="N211" s="67">
        <f t="shared" si="103"/>
        <v>0</v>
      </c>
      <c r="O211" s="67">
        <f t="shared" si="104"/>
        <v>0</v>
      </c>
      <c r="P211" s="67">
        <f t="shared" si="105"/>
        <v>0</v>
      </c>
      <c r="Q211" s="67">
        <f t="shared" si="106"/>
        <v>0</v>
      </c>
      <c r="R211" s="67"/>
      <c r="S211" s="67"/>
      <c r="T211" s="67">
        <f t="shared" si="46"/>
        <v>0</v>
      </c>
      <c r="U211" s="67">
        <f t="shared" si="107"/>
        <v>0</v>
      </c>
      <c r="V211" s="67">
        <f t="shared" si="108"/>
        <v>0</v>
      </c>
      <c r="W211" s="67">
        <f t="shared" si="109"/>
        <v>0</v>
      </c>
      <c r="X211" s="67">
        <f t="shared" si="110"/>
        <v>0</v>
      </c>
      <c r="Y211" s="67">
        <f t="shared" si="111"/>
        <v>0</v>
      </c>
      <c r="Z211" s="67"/>
      <c r="AA211" s="67">
        <f t="shared" si="112"/>
        <v>0</v>
      </c>
      <c r="AB211" s="67"/>
      <c r="AC211" s="67"/>
      <c r="AD211" s="4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row>
    <row r="212" spans="1:54">
      <c r="A212" s="76">
        <v>43</v>
      </c>
      <c r="B212" s="52" t="s">
        <v>331</v>
      </c>
      <c r="C212" s="65" t="s">
        <v>482</v>
      </c>
      <c r="D212" s="66"/>
      <c r="E212" s="46">
        <f t="shared" si="95"/>
        <v>0</v>
      </c>
      <c r="F212" s="67">
        <f t="shared" si="96"/>
        <v>0</v>
      </c>
      <c r="G212" s="67">
        <f t="shared" si="63"/>
        <v>0</v>
      </c>
      <c r="H212" s="67">
        <f t="shared" si="97"/>
        <v>0</v>
      </c>
      <c r="I212" s="67">
        <f t="shared" si="98"/>
        <v>0</v>
      </c>
      <c r="J212" s="67">
        <f t="shared" si="99"/>
        <v>0</v>
      </c>
      <c r="K212" s="67">
        <f t="shared" si="100"/>
        <v>0</v>
      </c>
      <c r="L212" s="67">
        <f t="shared" si="101"/>
        <v>0</v>
      </c>
      <c r="M212" s="67">
        <f t="shared" si="102"/>
        <v>0</v>
      </c>
      <c r="N212" s="67">
        <f t="shared" si="103"/>
        <v>0</v>
      </c>
      <c r="O212" s="67">
        <f t="shared" si="104"/>
        <v>0</v>
      </c>
      <c r="P212" s="67">
        <f t="shared" si="105"/>
        <v>0</v>
      </c>
      <c r="Q212" s="67">
        <f t="shared" si="106"/>
        <v>0</v>
      </c>
      <c r="R212" s="67"/>
      <c r="S212" s="67"/>
      <c r="T212" s="67">
        <f t="shared" si="46"/>
        <v>0</v>
      </c>
      <c r="U212" s="67">
        <f t="shared" si="107"/>
        <v>0</v>
      </c>
      <c r="V212" s="67">
        <f t="shared" si="108"/>
        <v>0</v>
      </c>
      <c r="W212" s="67">
        <f t="shared" si="109"/>
        <v>0</v>
      </c>
      <c r="X212" s="67">
        <f t="shared" si="110"/>
        <v>0</v>
      </c>
      <c r="Y212" s="67">
        <f t="shared" si="111"/>
        <v>0</v>
      </c>
      <c r="Z212" s="67"/>
      <c r="AA212" s="67">
        <f t="shared" si="112"/>
        <v>0</v>
      </c>
      <c r="AB212" s="67"/>
      <c r="AC212" s="67"/>
      <c r="AD212" s="4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row>
    <row r="213" spans="1:54" ht="25.5">
      <c r="A213" s="76">
        <v>44</v>
      </c>
      <c r="B213" s="52" t="s">
        <v>332</v>
      </c>
      <c r="C213" s="65"/>
      <c r="D213" s="66"/>
      <c r="E213" s="46">
        <f t="shared" si="95"/>
        <v>0</v>
      </c>
      <c r="F213" s="67">
        <f>F214+F215</f>
        <v>0</v>
      </c>
      <c r="G213" s="67">
        <f t="shared" si="63"/>
        <v>0</v>
      </c>
      <c r="H213" s="67">
        <f>H214+H215</f>
        <v>0</v>
      </c>
      <c r="I213" s="67">
        <f t="shared" ref="I213:Q213" si="113">I214+I215</f>
        <v>0</v>
      </c>
      <c r="J213" s="67">
        <f t="shared" si="113"/>
        <v>0</v>
      </c>
      <c r="K213" s="67">
        <f t="shared" si="113"/>
        <v>0</v>
      </c>
      <c r="L213" s="67">
        <f t="shared" si="113"/>
        <v>0</v>
      </c>
      <c r="M213" s="67">
        <f t="shared" si="113"/>
        <v>0</v>
      </c>
      <c r="N213" s="67">
        <f t="shared" si="113"/>
        <v>0</v>
      </c>
      <c r="O213" s="67">
        <f t="shared" si="113"/>
        <v>0</v>
      </c>
      <c r="P213" s="67">
        <f t="shared" si="113"/>
        <v>0</v>
      </c>
      <c r="Q213" s="67">
        <f t="shared" si="113"/>
        <v>0</v>
      </c>
      <c r="R213" s="67"/>
      <c r="S213" s="67"/>
      <c r="T213" s="67">
        <f t="shared" si="46"/>
        <v>0</v>
      </c>
      <c r="U213" s="67">
        <f>U214+U215</f>
        <v>0</v>
      </c>
      <c r="V213" s="67">
        <f>V214+V215</f>
        <v>0</v>
      </c>
      <c r="W213" s="67">
        <f>W214+W215</f>
        <v>0</v>
      </c>
      <c r="X213" s="67">
        <f>X214+X215</f>
        <v>0</v>
      </c>
      <c r="Y213" s="67">
        <f t="shared" si="111"/>
        <v>0</v>
      </c>
      <c r="Z213" s="67"/>
      <c r="AA213" s="67">
        <f t="shared" si="112"/>
        <v>0</v>
      </c>
      <c r="AB213" s="67"/>
      <c r="AC213" s="67"/>
      <c r="AD213" s="4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row>
    <row r="214" spans="1:54" ht="12.75" hidden="1" customHeight="1" outlineLevel="1">
      <c r="A214" s="69" t="s">
        <v>30</v>
      </c>
      <c r="B214" s="52" t="s">
        <v>333</v>
      </c>
      <c r="C214" s="65" t="s">
        <v>482</v>
      </c>
      <c r="D214" s="66"/>
      <c r="E214" s="46">
        <f t="shared" si="95"/>
        <v>0</v>
      </c>
      <c r="F214" s="67">
        <f t="shared" ref="F214:F221" si="114">IF($C214="820",$D214,)</f>
        <v>0</v>
      </c>
      <c r="G214" s="67">
        <f t="shared" si="63"/>
        <v>0</v>
      </c>
      <c r="H214" s="67">
        <f t="shared" ref="H214:H221" si="115">IF($C214="864",$D214,)</f>
        <v>0</v>
      </c>
      <c r="I214" s="67">
        <f t="shared" ref="I214:I221" si="116">IF($C214="867",$D214,)</f>
        <v>0</v>
      </c>
      <c r="J214" s="67">
        <f t="shared" ref="J214:J221" si="117">IF($C214="861",$D214,)</f>
        <v>0</v>
      </c>
      <c r="K214" s="67">
        <f t="shared" ref="K214:K221" si="118">IF($C214="862",$D214,)</f>
        <v>0</v>
      </c>
      <c r="L214" s="67">
        <f t="shared" ref="L214:L221" si="119">IF($C214="865",$D214,)</f>
        <v>0</v>
      </c>
      <c r="M214" s="67">
        <f t="shared" ref="M214:M221" si="120">IF($C214="868",$D214,)</f>
        <v>0</v>
      </c>
      <c r="N214" s="67">
        <f t="shared" ref="N214:N221" si="121">IF($C214="869",$D214,)</f>
        <v>0</v>
      </c>
      <c r="O214" s="67">
        <f t="shared" ref="O214:O221" si="122">IF($C214="871",$D214,)</f>
        <v>0</v>
      </c>
      <c r="P214" s="67">
        <f t="shared" ref="P214:P221" si="123">IF($C214="874",$D214,)</f>
        <v>0</v>
      </c>
      <c r="Q214" s="67">
        <f t="shared" ref="Q214:Q221" si="124">IF($C214="873",$D214,)</f>
        <v>0</v>
      </c>
      <c r="R214" s="67"/>
      <c r="S214" s="67"/>
      <c r="T214" s="67">
        <f t="shared" si="46"/>
        <v>0</v>
      </c>
      <c r="U214" s="67">
        <f t="shared" ref="U214:U221" si="125">IF($C214="877",$D214,)</f>
        <v>0</v>
      </c>
      <c r="V214" s="67">
        <f t="shared" ref="V214:V221" si="126">IF($C214="875",$D214,)</f>
        <v>0</v>
      </c>
      <c r="W214" s="67">
        <f t="shared" ref="W214:W221" si="127">IF($C214="872",$D214,)</f>
        <v>0</v>
      </c>
      <c r="X214" s="67">
        <f t="shared" ref="X214:X221" si="128">IF($C214="909",$D214,)</f>
        <v>0</v>
      </c>
      <c r="Y214" s="67">
        <f t="shared" si="111"/>
        <v>0</v>
      </c>
      <c r="Z214" s="67"/>
      <c r="AA214" s="67">
        <f t="shared" si="112"/>
        <v>0</v>
      </c>
      <c r="AB214" s="67"/>
      <c r="AC214" s="67"/>
      <c r="AD214" s="4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row>
    <row r="215" spans="1:54" ht="12.75" hidden="1" customHeight="1" outlineLevel="1">
      <c r="A215" s="69" t="s">
        <v>30</v>
      </c>
      <c r="B215" s="52" t="s">
        <v>334</v>
      </c>
      <c r="C215" s="65" t="s">
        <v>490</v>
      </c>
      <c r="D215" s="66"/>
      <c r="E215" s="46">
        <f t="shared" si="95"/>
        <v>0</v>
      </c>
      <c r="F215" s="67">
        <f t="shared" si="114"/>
        <v>0</v>
      </c>
      <c r="G215" s="67">
        <f t="shared" si="63"/>
        <v>0</v>
      </c>
      <c r="H215" s="67">
        <f t="shared" si="115"/>
        <v>0</v>
      </c>
      <c r="I215" s="67">
        <f t="shared" si="116"/>
        <v>0</v>
      </c>
      <c r="J215" s="67">
        <f t="shared" si="117"/>
        <v>0</v>
      </c>
      <c r="K215" s="67">
        <f t="shared" si="118"/>
        <v>0</v>
      </c>
      <c r="L215" s="67">
        <f t="shared" si="119"/>
        <v>0</v>
      </c>
      <c r="M215" s="67">
        <f t="shared" si="120"/>
        <v>0</v>
      </c>
      <c r="N215" s="67">
        <f t="shared" si="121"/>
        <v>0</v>
      </c>
      <c r="O215" s="67">
        <f t="shared" si="122"/>
        <v>0</v>
      </c>
      <c r="P215" s="67">
        <f t="shared" si="123"/>
        <v>0</v>
      </c>
      <c r="Q215" s="67">
        <f t="shared" si="124"/>
        <v>0</v>
      </c>
      <c r="R215" s="67"/>
      <c r="S215" s="67"/>
      <c r="T215" s="67">
        <f t="shared" si="46"/>
        <v>0</v>
      </c>
      <c r="U215" s="67">
        <f t="shared" si="125"/>
        <v>0</v>
      </c>
      <c r="V215" s="67">
        <f t="shared" si="126"/>
        <v>0</v>
      </c>
      <c r="W215" s="67">
        <f t="shared" si="127"/>
        <v>0</v>
      </c>
      <c r="X215" s="67">
        <f t="shared" si="128"/>
        <v>0</v>
      </c>
      <c r="Y215" s="67">
        <f t="shared" si="111"/>
        <v>0</v>
      </c>
      <c r="Z215" s="67"/>
      <c r="AA215" s="67">
        <f t="shared" si="112"/>
        <v>0</v>
      </c>
      <c r="AB215" s="67"/>
      <c r="AC215" s="67"/>
      <c r="AD215" s="4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row>
    <row r="216" spans="1:54" collapsed="1">
      <c r="A216" s="76">
        <v>45</v>
      </c>
      <c r="B216" s="52" t="s">
        <v>335</v>
      </c>
      <c r="C216" s="65" t="s">
        <v>482</v>
      </c>
      <c r="D216" s="66"/>
      <c r="E216" s="46">
        <f t="shared" si="95"/>
        <v>0</v>
      </c>
      <c r="F216" s="67">
        <f t="shared" si="114"/>
        <v>0</v>
      </c>
      <c r="G216" s="67">
        <f t="shared" si="63"/>
        <v>0</v>
      </c>
      <c r="H216" s="67">
        <f t="shared" si="115"/>
        <v>0</v>
      </c>
      <c r="I216" s="67">
        <f t="shared" si="116"/>
        <v>0</v>
      </c>
      <c r="J216" s="67">
        <f t="shared" si="117"/>
        <v>0</v>
      </c>
      <c r="K216" s="67">
        <f t="shared" si="118"/>
        <v>0</v>
      </c>
      <c r="L216" s="67">
        <f t="shared" si="119"/>
        <v>0</v>
      </c>
      <c r="M216" s="67">
        <f t="shared" si="120"/>
        <v>0</v>
      </c>
      <c r="N216" s="67">
        <f t="shared" si="121"/>
        <v>0</v>
      </c>
      <c r="O216" s="67">
        <f t="shared" si="122"/>
        <v>0</v>
      </c>
      <c r="P216" s="67">
        <f t="shared" si="123"/>
        <v>0</v>
      </c>
      <c r="Q216" s="67">
        <f t="shared" si="124"/>
        <v>0</v>
      </c>
      <c r="R216" s="67"/>
      <c r="S216" s="67"/>
      <c r="T216" s="67">
        <f t="shared" si="46"/>
        <v>0</v>
      </c>
      <c r="U216" s="67">
        <f t="shared" si="125"/>
        <v>0</v>
      </c>
      <c r="V216" s="67">
        <f t="shared" si="126"/>
        <v>0</v>
      </c>
      <c r="W216" s="67">
        <f t="shared" si="127"/>
        <v>0</v>
      </c>
      <c r="X216" s="67">
        <f t="shared" si="128"/>
        <v>0</v>
      </c>
      <c r="Y216" s="67">
        <f t="shared" si="111"/>
        <v>0</v>
      </c>
      <c r="Z216" s="67"/>
      <c r="AA216" s="67">
        <f t="shared" si="112"/>
        <v>0</v>
      </c>
      <c r="AB216" s="67"/>
      <c r="AC216" s="67"/>
      <c r="AD216" s="4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row>
    <row r="217" spans="1:54">
      <c r="A217" s="76">
        <v>46</v>
      </c>
      <c r="B217" s="52" t="s">
        <v>336</v>
      </c>
      <c r="C217" s="65" t="s">
        <v>482</v>
      </c>
      <c r="D217" s="66"/>
      <c r="E217" s="46">
        <f t="shared" si="95"/>
        <v>0</v>
      </c>
      <c r="F217" s="67">
        <f t="shared" si="114"/>
        <v>0</v>
      </c>
      <c r="G217" s="67">
        <f t="shared" si="63"/>
        <v>0</v>
      </c>
      <c r="H217" s="67">
        <f t="shared" si="115"/>
        <v>0</v>
      </c>
      <c r="I217" s="67">
        <f t="shared" si="116"/>
        <v>0</v>
      </c>
      <c r="J217" s="67">
        <f t="shared" si="117"/>
        <v>0</v>
      </c>
      <c r="K217" s="67">
        <f t="shared" si="118"/>
        <v>0</v>
      </c>
      <c r="L217" s="67">
        <f t="shared" si="119"/>
        <v>0</v>
      </c>
      <c r="M217" s="67">
        <f t="shared" si="120"/>
        <v>0</v>
      </c>
      <c r="N217" s="67">
        <f t="shared" si="121"/>
        <v>0</v>
      </c>
      <c r="O217" s="67">
        <f t="shared" si="122"/>
        <v>0</v>
      </c>
      <c r="P217" s="67">
        <f t="shared" si="123"/>
        <v>0</v>
      </c>
      <c r="Q217" s="67">
        <f t="shared" si="124"/>
        <v>0</v>
      </c>
      <c r="R217" s="67"/>
      <c r="S217" s="67"/>
      <c r="T217" s="67">
        <f t="shared" si="46"/>
        <v>0</v>
      </c>
      <c r="U217" s="67">
        <f t="shared" si="125"/>
        <v>0</v>
      </c>
      <c r="V217" s="67">
        <f t="shared" si="126"/>
        <v>0</v>
      </c>
      <c r="W217" s="67">
        <f t="shared" si="127"/>
        <v>0</v>
      </c>
      <c r="X217" s="67">
        <f t="shared" si="128"/>
        <v>0</v>
      </c>
      <c r="Y217" s="67">
        <f t="shared" si="111"/>
        <v>0</v>
      </c>
      <c r="Z217" s="67"/>
      <c r="AA217" s="67">
        <f t="shared" si="112"/>
        <v>0</v>
      </c>
      <c r="AB217" s="67"/>
      <c r="AC217" s="67"/>
      <c r="AD217" s="4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row>
    <row r="218" spans="1:54" ht="25.5">
      <c r="A218" s="76">
        <v>47</v>
      </c>
      <c r="B218" s="52" t="s">
        <v>337</v>
      </c>
      <c r="C218" s="65" t="s">
        <v>482</v>
      </c>
      <c r="D218" s="66"/>
      <c r="E218" s="46">
        <f t="shared" si="95"/>
        <v>0</v>
      </c>
      <c r="F218" s="67">
        <f t="shared" si="114"/>
        <v>0</v>
      </c>
      <c r="G218" s="67">
        <f t="shared" si="63"/>
        <v>0</v>
      </c>
      <c r="H218" s="67">
        <f t="shared" si="115"/>
        <v>0</v>
      </c>
      <c r="I218" s="67">
        <f t="shared" si="116"/>
        <v>0</v>
      </c>
      <c r="J218" s="67">
        <f t="shared" si="117"/>
        <v>0</v>
      </c>
      <c r="K218" s="67">
        <f t="shared" si="118"/>
        <v>0</v>
      </c>
      <c r="L218" s="67">
        <f t="shared" si="119"/>
        <v>0</v>
      </c>
      <c r="M218" s="67">
        <f t="shared" si="120"/>
        <v>0</v>
      </c>
      <c r="N218" s="67">
        <f t="shared" si="121"/>
        <v>0</v>
      </c>
      <c r="O218" s="67">
        <f t="shared" si="122"/>
        <v>0</v>
      </c>
      <c r="P218" s="67">
        <f t="shared" si="123"/>
        <v>0</v>
      </c>
      <c r="Q218" s="67">
        <f t="shared" si="124"/>
        <v>0</v>
      </c>
      <c r="R218" s="67"/>
      <c r="S218" s="67"/>
      <c r="T218" s="67">
        <f t="shared" ref="T218:T300" si="129">Q218-R218-S218</f>
        <v>0</v>
      </c>
      <c r="U218" s="67">
        <f t="shared" si="125"/>
        <v>0</v>
      </c>
      <c r="V218" s="67">
        <f t="shared" si="126"/>
        <v>0</v>
      </c>
      <c r="W218" s="67">
        <f t="shared" si="127"/>
        <v>0</v>
      </c>
      <c r="X218" s="67">
        <f t="shared" si="128"/>
        <v>0</v>
      </c>
      <c r="Y218" s="67">
        <f t="shared" si="111"/>
        <v>0</v>
      </c>
      <c r="Z218" s="67"/>
      <c r="AA218" s="67">
        <f t="shared" si="112"/>
        <v>0</v>
      </c>
      <c r="AB218" s="67"/>
      <c r="AC218" s="67"/>
      <c r="AD218" s="4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row>
    <row r="219" spans="1:54" ht="30.75" customHeight="1">
      <c r="A219" s="76">
        <v>48</v>
      </c>
      <c r="B219" s="52" t="s">
        <v>338</v>
      </c>
      <c r="C219" s="65" t="s">
        <v>482</v>
      </c>
      <c r="D219" s="66"/>
      <c r="E219" s="46">
        <f t="shared" si="95"/>
        <v>0</v>
      </c>
      <c r="F219" s="67">
        <f t="shared" si="114"/>
        <v>0</v>
      </c>
      <c r="G219" s="67">
        <f t="shared" si="63"/>
        <v>0</v>
      </c>
      <c r="H219" s="67">
        <f t="shared" si="115"/>
        <v>0</v>
      </c>
      <c r="I219" s="67">
        <f t="shared" si="116"/>
        <v>0</v>
      </c>
      <c r="J219" s="67">
        <f t="shared" si="117"/>
        <v>0</v>
      </c>
      <c r="K219" s="67">
        <f t="shared" si="118"/>
        <v>0</v>
      </c>
      <c r="L219" s="67">
        <f t="shared" si="119"/>
        <v>0</v>
      </c>
      <c r="M219" s="67">
        <f t="shared" si="120"/>
        <v>0</v>
      </c>
      <c r="N219" s="67">
        <f t="shared" si="121"/>
        <v>0</v>
      </c>
      <c r="O219" s="67">
        <f t="shared" si="122"/>
        <v>0</v>
      </c>
      <c r="P219" s="67">
        <f t="shared" si="123"/>
        <v>0</v>
      </c>
      <c r="Q219" s="67">
        <f t="shared" si="124"/>
        <v>0</v>
      </c>
      <c r="R219" s="67"/>
      <c r="S219" s="67"/>
      <c r="T219" s="67">
        <f t="shared" si="129"/>
        <v>0</v>
      </c>
      <c r="U219" s="67">
        <f t="shared" si="125"/>
        <v>0</v>
      </c>
      <c r="V219" s="67">
        <f t="shared" si="126"/>
        <v>0</v>
      </c>
      <c r="W219" s="67">
        <f t="shared" si="127"/>
        <v>0</v>
      </c>
      <c r="X219" s="67">
        <f t="shared" si="128"/>
        <v>0</v>
      </c>
      <c r="Y219" s="67">
        <f t="shared" si="111"/>
        <v>0</v>
      </c>
      <c r="Z219" s="67"/>
      <c r="AA219" s="67">
        <f t="shared" si="112"/>
        <v>0</v>
      </c>
      <c r="AB219" s="67"/>
      <c r="AC219" s="67"/>
      <c r="AD219" s="4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row>
    <row r="220" spans="1:54">
      <c r="A220" s="76">
        <v>49</v>
      </c>
      <c r="B220" s="52" t="s">
        <v>339</v>
      </c>
      <c r="C220" s="65" t="s">
        <v>482</v>
      </c>
      <c r="D220" s="66"/>
      <c r="E220" s="46">
        <f t="shared" si="95"/>
        <v>0</v>
      </c>
      <c r="F220" s="67">
        <f t="shared" si="114"/>
        <v>0</v>
      </c>
      <c r="G220" s="67">
        <f t="shared" si="63"/>
        <v>0</v>
      </c>
      <c r="H220" s="67">
        <f t="shared" si="115"/>
        <v>0</v>
      </c>
      <c r="I220" s="67">
        <f t="shared" si="116"/>
        <v>0</v>
      </c>
      <c r="J220" s="67">
        <f t="shared" si="117"/>
        <v>0</v>
      </c>
      <c r="K220" s="67">
        <f t="shared" si="118"/>
        <v>0</v>
      </c>
      <c r="L220" s="67">
        <f t="shared" si="119"/>
        <v>0</v>
      </c>
      <c r="M220" s="67">
        <f t="shared" si="120"/>
        <v>0</v>
      </c>
      <c r="N220" s="67">
        <f t="shared" si="121"/>
        <v>0</v>
      </c>
      <c r="O220" s="67">
        <f t="shared" si="122"/>
        <v>0</v>
      </c>
      <c r="P220" s="67">
        <f t="shared" si="123"/>
        <v>0</v>
      </c>
      <c r="Q220" s="67">
        <f t="shared" si="124"/>
        <v>0</v>
      </c>
      <c r="R220" s="67"/>
      <c r="S220" s="67"/>
      <c r="T220" s="67">
        <f t="shared" si="129"/>
        <v>0</v>
      </c>
      <c r="U220" s="67">
        <f t="shared" si="125"/>
        <v>0</v>
      </c>
      <c r="V220" s="67">
        <f t="shared" si="126"/>
        <v>0</v>
      </c>
      <c r="W220" s="67">
        <f t="shared" si="127"/>
        <v>0</v>
      </c>
      <c r="X220" s="67">
        <f t="shared" si="128"/>
        <v>0</v>
      </c>
      <c r="Y220" s="67">
        <f t="shared" si="111"/>
        <v>0</v>
      </c>
      <c r="Z220" s="67"/>
      <c r="AA220" s="67">
        <f t="shared" si="112"/>
        <v>0</v>
      </c>
      <c r="AB220" s="67"/>
      <c r="AC220" s="67"/>
      <c r="AD220" s="4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row>
    <row r="221" spans="1:54">
      <c r="A221" s="76">
        <v>50</v>
      </c>
      <c r="B221" s="64" t="s">
        <v>340</v>
      </c>
      <c r="C221" s="65" t="s">
        <v>482</v>
      </c>
      <c r="D221" s="66"/>
      <c r="E221" s="46">
        <f t="shared" si="95"/>
        <v>0</v>
      </c>
      <c r="F221" s="67">
        <f t="shared" si="114"/>
        <v>0</v>
      </c>
      <c r="G221" s="67">
        <f t="shared" si="63"/>
        <v>0</v>
      </c>
      <c r="H221" s="67">
        <f t="shared" si="115"/>
        <v>0</v>
      </c>
      <c r="I221" s="67">
        <f t="shared" si="116"/>
        <v>0</v>
      </c>
      <c r="J221" s="67">
        <f t="shared" si="117"/>
        <v>0</v>
      </c>
      <c r="K221" s="67">
        <f t="shared" si="118"/>
        <v>0</v>
      </c>
      <c r="L221" s="67">
        <f t="shared" si="119"/>
        <v>0</v>
      </c>
      <c r="M221" s="67">
        <f t="shared" si="120"/>
        <v>0</v>
      </c>
      <c r="N221" s="67">
        <f t="shared" si="121"/>
        <v>0</v>
      </c>
      <c r="O221" s="67">
        <f t="shared" si="122"/>
        <v>0</v>
      </c>
      <c r="P221" s="67">
        <f t="shared" si="123"/>
        <v>0</v>
      </c>
      <c r="Q221" s="67">
        <f t="shared" si="124"/>
        <v>0</v>
      </c>
      <c r="R221" s="67"/>
      <c r="S221" s="67"/>
      <c r="T221" s="67">
        <f t="shared" si="129"/>
        <v>0</v>
      </c>
      <c r="U221" s="67">
        <f t="shared" si="125"/>
        <v>0</v>
      </c>
      <c r="V221" s="67">
        <f t="shared" si="126"/>
        <v>0</v>
      </c>
      <c r="W221" s="67">
        <f t="shared" si="127"/>
        <v>0</v>
      </c>
      <c r="X221" s="67">
        <f t="shared" si="128"/>
        <v>0</v>
      </c>
      <c r="Y221" s="67">
        <f t="shared" si="111"/>
        <v>0</v>
      </c>
      <c r="Z221" s="67"/>
      <c r="AA221" s="67">
        <f t="shared" si="112"/>
        <v>0</v>
      </c>
      <c r="AB221" s="67"/>
      <c r="AC221" s="67"/>
      <c r="AD221" s="4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row>
    <row r="222" spans="1:54">
      <c r="A222" s="76">
        <v>51</v>
      </c>
      <c r="B222" s="64" t="s">
        <v>341</v>
      </c>
      <c r="C222" s="65"/>
      <c r="D222" s="66"/>
      <c r="E222" s="46">
        <f t="shared" si="95"/>
        <v>0</v>
      </c>
      <c r="F222" s="67">
        <f t="shared" ref="F222:Y222" si="130">F223+F224</f>
        <v>0</v>
      </c>
      <c r="G222" s="67">
        <f t="shared" si="130"/>
        <v>0</v>
      </c>
      <c r="H222" s="67">
        <f t="shared" si="130"/>
        <v>0</v>
      </c>
      <c r="I222" s="67">
        <f t="shared" si="130"/>
        <v>0</v>
      </c>
      <c r="J222" s="67">
        <f t="shared" si="130"/>
        <v>0</v>
      </c>
      <c r="K222" s="67">
        <f t="shared" si="130"/>
        <v>0</v>
      </c>
      <c r="L222" s="67">
        <f t="shared" si="130"/>
        <v>0</v>
      </c>
      <c r="M222" s="67">
        <f t="shared" si="130"/>
        <v>0</v>
      </c>
      <c r="N222" s="67">
        <f t="shared" si="130"/>
        <v>0</v>
      </c>
      <c r="O222" s="67">
        <f t="shared" si="130"/>
        <v>0</v>
      </c>
      <c r="P222" s="67">
        <f t="shared" si="130"/>
        <v>0</v>
      </c>
      <c r="Q222" s="67">
        <f t="shared" si="130"/>
        <v>0</v>
      </c>
      <c r="R222" s="67">
        <f t="shared" si="130"/>
        <v>0</v>
      </c>
      <c r="S222" s="67">
        <f t="shared" si="130"/>
        <v>0</v>
      </c>
      <c r="T222" s="67">
        <f t="shared" si="130"/>
        <v>0</v>
      </c>
      <c r="U222" s="67">
        <f t="shared" si="130"/>
        <v>0</v>
      </c>
      <c r="V222" s="67">
        <f t="shared" si="130"/>
        <v>0</v>
      </c>
      <c r="W222" s="67">
        <f t="shared" si="130"/>
        <v>0</v>
      </c>
      <c r="X222" s="67">
        <f t="shared" si="130"/>
        <v>0</v>
      </c>
      <c r="Y222" s="67">
        <f t="shared" si="130"/>
        <v>0</v>
      </c>
      <c r="Z222" s="67"/>
      <c r="AA222" s="67">
        <f t="shared" si="112"/>
        <v>0</v>
      </c>
      <c r="AB222" s="67"/>
      <c r="AC222" s="67"/>
      <c r="AD222" s="4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row>
    <row r="223" spans="1:54" ht="12.75" hidden="1" customHeight="1" outlineLevel="1">
      <c r="A223" s="69" t="s">
        <v>30</v>
      </c>
      <c r="B223" s="64" t="s">
        <v>342</v>
      </c>
      <c r="C223" s="65" t="s">
        <v>482</v>
      </c>
      <c r="D223" s="66"/>
      <c r="E223" s="46">
        <f t="shared" si="95"/>
        <v>0</v>
      </c>
      <c r="F223" s="67">
        <f>IF($C223="820",$D223,)</f>
        <v>0</v>
      </c>
      <c r="G223" s="67">
        <f t="shared" si="63"/>
        <v>0</v>
      </c>
      <c r="H223" s="67">
        <f>IF($C223="864",$D223,)</f>
        <v>0</v>
      </c>
      <c r="I223" s="67">
        <f>IF($C223="867",$D223,)</f>
        <v>0</v>
      </c>
      <c r="J223" s="67">
        <f>IF($C223="861",$D223,)</f>
        <v>0</v>
      </c>
      <c r="K223" s="67">
        <f>IF($C223="862",$D223,)</f>
        <v>0</v>
      </c>
      <c r="L223" s="67">
        <f>IF($C223="865",$D223,)</f>
        <v>0</v>
      </c>
      <c r="M223" s="67">
        <f>IF($C223="868",$D223,)</f>
        <v>0</v>
      </c>
      <c r="N223" s="67">
        <f>IF($C223="869",$D223,)</f>
        <v>0</v>
      </c>
      <c r="O223" s="67">
        <f>IF($C223="871",$D223,)</f>
        <v>0</v>
      </c>
      <c r="P223" s="67">
        <f>IF($C223="874",$D223,)</f>
        <v>0</v>
      </c>
      <c r="Q223" s="67">
        <f>IF($C223="873",$D223,)</f>
        <v>0</v>
      </c>
      <c r="R223" s="67"/>
      <c r="S223" s="67"/>
      <c r="T223" s="67">
        <f t="shared" si="129"/>
        <v>0</v>
      </c>
      <c r="U223" s="67">
        <f>IF($C223="877",$D223,)</f>
        <v>0</v>
      </c>
      <c r="V223" s="67">
        <f>IF($C223="875",$D223,)</f>
        <v>0</v>
      </c>
      <c r="W223" s="67">
        <f>IF($C223="872",$D223,)</f>
        <v>0</v>
      </c>
      <c r="X223" s="67">
        <f>IF($C223="909",$D223,)</f>
        <v>0</v>
      </c>
      <c r="Y223" s="67">
        <f>IF(OR($C223="932",$C223="934",$C223="949"),$D223,)</f>
        <v>0</v>
      </c>
      <c r="Z223" s="67"/>
      <c r="AA223" s="67">
        <f t="shared" si="112"/>
        <v>0</v>
      </c>
      <c r="AB223" s="67"/>
      <c r="AC223" s="67"/>
      <c r="AD223" s="4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row>
    <row r="224" spans="1:54" ht="12.75" hidden="1" customHeight="1" outlineLevel="1">
      <c r="A224" s="69" t="s">
        <v>30</v>
      </c>
      <c r="B224" s="64" t="s">
        <v>295</v>
      </c>
      <c r="C224" s="65" t="s">
        <v>483</v>
      </c>
      <c r="D224" s="66"/>
      <c r="E224" s="46">
        <f t="shared" si="95"/>
        <v>0</v>
      </c>
      <c r="F224" s="67">
        <f>IF($C224="820",$D224,)</f>
        <v>0</v>
      </c>
      <c r="G224" s="67">
        <f t="shared" si="63"/>
        <v>0</v>
      </c>
      <c r="H224" s="67">
        <f>IF($C224="864",$D224,)</f>
        <v>0</v>
      </c>
      <c r="I224" s="67">
        <f>IF($C224="867",$D224,)</f>
        <v>0</v>
      </c>
      <c r="J224" s="67">
        <f>IF($C224="861",$D224,)</f>
        <v>0</v>
      </c>
      <c r="K224" s="67">
        <f>IF($C224="862",$D224,)</f>
        <v>0</v>
      </c>
      <c r="L224" s="67">
        <f>IF($C224="865",$D224,)</f>
        <v>0</v>
      </c>
      <c r="M224" s="67">
        <f>IF($C224="868",$D224,)</f>
        <v>0</v>
      </c>
      <c r="N224" s="67">
        <f>IF($C224="869",$D224,)</f>
        <v>0</v>
      </c>
      <c r="O224" s="67">
        <f>IF($C224="871",$D224,)</f>
        <v>0</v>
      </c>
      <c r="P224" s="67">
        <f>IF($C224="874",$D224,)</f>
        <v>0</v>
      </c>
      <c r="Q224" s="67">
        <f>IF($C224="873",$D224,)</f>
        <v>0</v>
      </c>
      <c r="R224" s="67"/>
      <c r="S224" s="67"/>
      <c r="T224" s="67">
        <f t="shared" si="129"/>
        <v>0</v>
      </c>
      <c r="U224" s="67">
        <f>IF($C224="877",$D224,)</f>
        <v>0</v>
      </c>
      <c r="V224" s="67">
        <f>IF($C224="875",$D224,)</f>
        <v>0</v>
      </c>
      <c r="W224" s="67">
        <f>IF($C224="872",$D224,)</f>
        <v>0</v>
      </c>
      <c r="X224" s="67">
        <f>IF($C224="909",$D224,)</f>
        <v>0</v>
      </c>
      <c r="Y224" s="67">
        <f>IF(OR($C224="932",$C224="934",$C224="949"),$D224,)</f>
        <v>0</v>
      </c>
      <c r="Z224" s="67"/>
      <c r="AA224" s="67">
        <f t="shared" si="112"/>
        <v>0</v>
      </c>
      <c r="AB224" s="67"/>
      <c r="AC224" s="67"/>
      <c r="AD224" s="4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row>
    <row r="225" spans="1:54" collapsed="1">
      <c r="A225" s="76">
        <v>52</v>
      </c>
      <c r="B225" s="64" t="s">
        <v>343</v>
      </c>
      <c r="C225" s="65"/>
      <c r="D225" s="66"/>
      <c r="E225" s="46">
        <f t="shared" si="95"/>
        <v>0</v>
      </c>
      <c r="F225" s="67">
        <f t="shared" ref="F225:Y225" si="131">SUM(F226:F232)</f>
        <v>0</v>
      </c>
      <c r="G225" s="67">
        <f t="shared" si="131"/>
        <v>0</v>
      </c>
      <c r="H225" s="67">
        <f t="shared" si="131"/>
        <v>0</v>
      </c>
      <c r="I225" s="67">
        <f t="shared" si="131"/>
        <v>0</v>
      </c>
      <c r="J225" s="67">
        <f t="shared" si="131"/>
        <v>0</v>
      </c>
      <c r="K225" s="67">
        <f t="shared" si="131"/>
        <v>0</v>
      </c>
      <c r="L225" s="67">
        <f t="shared" si="131"/>
        <v>0</v>
      </c>
      <c r="M225" s="67">
        <f t="shared" si="131"/>
        <v>0</v>
      </c>
      <c r="N225" s="67">
        <f t="shared" si="131"/>
        <v>0</v>
      </c>
      <c r="O225" s="67">
        <f t="shared" si="131"/>
        <v>0</v>
      </c>
      <c r="P225" s="67">
        <f t="shared" si="131"/>
        <v>0</v>
      </c>
      <c r="Q225" s="67">
        <f t="shared" si="131"/>
        <v>0</v>
      </c>
      <c r="R225" s="67">
        <f t="shared" si="131"/>
        <v>0</v>
      </c>
      <c r="S225" s="67">
        <f t="shared" si="131"/>
        <v>0</v>
      </c>
      <c r="T225" s="67">
        <f t="shared" si="131"/>
        <v>0</v>
      </c>
      <c r="U225" s="67">
        <f t="shared" si="131"/>
        <v>0</v>
      </c>
      <c r="V225" s="67">
        <f t="shared" si="131"/>
        <v>0</v>
      </c>
      <c r="W225" s="67">
        <f t="shared" si="131"/>
        <v>0</v>
      </c>
      <c r="X225" s="67">
        <f t="shared" si="131"/>
        <v>0</v>
      </c>
      <c r="Y225" s="67">
        <f t="shared" si="131"/>
        <v>0</v>
      </c>
      <c r="Z225" s="67"/>
      <c r="AA225" s="67">
        <f t="shared" si="112"/>
        <v>0</v>
      </c>
      <c r="AB225" s="67"/>
      <c r="AC225" s="67"/>
      <c r="AD225" s="4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row>
    <row r="226" spans="1:54">
      <c r="A226" s="69" t="s">
        <v>30</v>
      </c>
      <c r="B226" s="52" t="s">
        <v>344</v>
      </c>
      <c r="C226" s="65" t="s">
        <v>482</v>
      </c>
      <c r="D226" s="66"/>
      <c r="E226" s="46">
        <f t="shared" si="95"/>
        <v>0</v>
      </c>
      <c r="F226" s="67">
        <f>IF($C226="820",$D226,)</f>
        <v>0</v>
      </c>
      <c r="G226" s="67">
        <f t="shared" si="63"/>
        <v>0</v>
      </c>
      <c r="H226" s="67">
        <f>IF($C226="864",$D226,)</f>
        <v>0</v>
      </c>
      <c r="I226" s="67">
        <f>IF($C226="867",$D226,)</f>
        <v>0</v>
      </c>
      <c r="J226" s="67">
        <f>IF($C226="861",$D226,)</f>
        <v>0</v>
      </c>
      <c r="K226" s="67">
        <f>IF($C226="862",$D226,)</f>
        <v>0</v>
      </c>
      <c r="L226" s="67">
        <f>IF($C226="865",$D226,)</f>
        <v>0</v>
      </c>
      <c r="M226" s="67">
        <f>IF($C226="868",$D226,)</f>
        <v>0</v>
      </c>
      <c r="N226" s="67">
        <f>IF($C226="869",$D226,)</f>
        <v>0</v>
      </c>
      <c r="O226" s="67">
        <f>IF($C226="871",$D226,)</f>
        <v>0</v>
      </c>
      <c r="P226" s="67">
        <f>IF($C226="874",$D226,)</f>
        <v>0</v>
      </c>
      <c r="Q226" s="67">
        <f>IF($C226="873",$D226,)</f>
        <v>0</v>
      </c>
      <c r="R226" s="67"/>
      <c r="S226" s="67"/>
      <c r="T226" s="67">
        <f t="shared" si="129"/>
        <v>0</v>
      </c>
      <c r="U226" s="67">
        <f>IF($C226="877",$D226,)</f>
        <v>0</v>
      </c>
      <c r="V226" s="67">
        <f>IF($C226="875",$D226,)</f>
        <v>0</v>
      </c>
      <c r="W226" s="67">
        <f>IF($C226="872",$D226,)</f>
        <v>0</v>
      </c>
      <c r="X226" s="67">
        <f>IF($C226="909",$D226,)</f>
        <v>0</v>
      </c>
      <c r="Y226" s="67">
        <f>IF(OR($C226="932",$C226="934",$C226="949"),$D226,)</f>
        <v>0</v>
      </c>
      <c r="Z226" s="67"/>
      <c r="AA226" s="67">
        <f t="shared" si="112"/>
        <v>0</v>
      </c>
      <c r="AB226" s="67"/>
      <c r="AC226" s="67"/>
      <c r="AD226" s="4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row>
    <row r="227" spans="1:54">
      <c r="A227" s="69" t="s">
        <v>30</v>
      </c>
      <c r="B227" s="52" t="s">
        <v>345</v>
      </c>
      <c r="C227" s="65" t="s">
        <v>482</v>
      </c>
      <c r="D227" s="66"/>
      <c r="E227" s="46">
        <f t="shared" si="95"/>
        <v>0</v>
      </c>
      <c r="F227" s="67">
        <f>IF($C227="820",$D227,)</f>
        <v>0</v>
      </c>
      <c r="G227" s="67">
        <f t="shared" si="63"/>
        <v>0</v>
      </c>
      <c r="H227" s="67">
        <f>IF($C227="864",$D227,)</f>
        <v>0</v>
      </c>
      <c r="I227" s="67">
        <f>IF($C227="867",$D227,)</f>
        <v>0</v>
      </c>
      <c r="J227" s="67">
        <f>IF($C227="861",$D227,)</f>
        <v>0</v>
      </c>
      <c r="K227" s="67">
        <f>IF($C227="862",$D227,)</f>
        <v>0</v>
      </c>
      <c r="L227" s="67">
        <f>IF($C227="865",$D227,)</f>
        <v>0</v>
      </c>
      <c r="M227" s="67">
        <f>IF($C227="868",$D227,)</f>
        <v>0</v>
      </c>
      <c r="N227" s="67">
        <f>IF($C227="869",$D227,)</f>
        <v>0</v>
      </c>
      <c r="O227" s="67">
        <f>IF($C227="871",$D227,)</f>
        <v>0</v>
      </c>
      <c r="P227" s="67">
        <f>IF($C227="874",$D227,)</f>
        <v>0</v>
      </c>
      <c r="Q227" s="67">
        <f>IF($C227="873",$D227,)</f>
        <v>0</v>
      </c>
      <c r="R227" s="67"/>
      <c r="S227" s="67"/>
      <c r="T227" s="67">
        <f t="shared" si="129"/>
        <v>0</v>
      </c>
      <c r="U227" s="67">
        <f>IF($C227="877",$D227,)</f>
        <v>0</v>
      </c>
      <c r="V227" s="67">
        <f>IF($C227="875",$D227,)</f>
        <v>0</v>
      </c>
      <c r="W227" s="67">
        <f>IF($C227="872",$D227,)</f>
        <v>0</v>
      </c>
      <c r="X227" s="67">
        <f>IF($C227="909",$D227,)</f>
        <v>0</v>
      </c>
      <c r="Y227" s="67">
        <f>IF(OR($C227="932",$C227="934",$C227="949"),$D227,)</f>
        <v>0</v>
      </c>
      <c r="Z227" s="67"/>
      <c r="AA227" s="67">
        <f t="shared" si="112"/>
        <v>0</v>
      </c>
      <c r="AB227" s="67"/>
      <c r="AC227" s="67"/>
      <c r="AD227" s="4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row>
    <row r="228" spans="1:54">
      <c r="A228" s="69" t="s">
        <v>30</v>
      </c>
      <c r="B228" s="52" t="s">
        <v>346</v>
      </c>
      <c r="C228" s="65" t="s">
        <v>482</v>
      </c>
      <c r="D228" s="66"/>
      <c r="E228" s="46">
        <f t="shared" si="95"/>
        <v>0</v>
      </c>
      <c r="F228" s="67">
        <f>IF($C228="820",$D228,)</f>
        <v>0</v>
      </c>
      <c r="G228" s="67">
        <f t="shared" si="63"/>
        <v>0</v>
      </c>
      <c r="H228" s="67">
        <f>IF($C228="864",$D228,)</f>
        <v>0</v>
      </c>
      <c r="I228" s="67">
        <f>IF($C228="867",$D228,)</f>
        <v>0</v>
      </c>
      <c r="J228" s="67">
        <f>IF($C228="861",$D228,)</f>
        <v>0</v>
      </c>
      <c r="K228" s="67">
        <f>IF($C228="862",$D228,)</f>
        <v>0</v>
      </c>
      <c r="L228" s="67">
        <f>IF($C228="865",$D228,)</f>
        <v>0</v>
      </c>
      <c r="M228" s="67">
        <f>IF($C228="868",$D228,)</f>
        <v>0</v>
      </c>
      <c r="N228" s="67">
        <f>IF($C228="869",$D228,)</f>
        <v>0</v>
      </c>
      <c r="O228" s="67">
        <f>IF($C228="871",$D228,)</f>
        <v>0</v>
      </c>
      <c r="P228" s="67">
        <f>IF($C228="874",$D228,)</f>
        <v>0</v>
      </c>
      <c r="Q228" s="67">
        <f>IF($C228="873",$D228,)</f>
        <v>0</v>
      </c>
      <c r="R228" s="67"/>
      <c r="S228" s="67"/>
      <c r="T228" s="67">
        <f t="shared" si="129"/>
        <v>0</v>
      </c>
      <c r="U228" s="67">
        <f>IF($C228="877",$D228,)</f>
        <v>0</v>
      </c>
      <c r="V228" s="67">
        <f>IF($C228="875",$D228,)</f>
        <v>0</v>
      </c>
      <c r="W228" s="67">
        <f>IF($C228="872",$D228,)</f>
        <v>0</v>
      </c>
      <c r="X228" s="67">
        <f>IF($C228="909",$D228,)</f>
        <v>0</v>
      </c>
      <c r="Y228" s="67">
        <f>IF(OR($C228="932",$C228="934",$C228="949"),$D228,)</f>
        <v>0</v>
      </c>
      <c r="Z228" s="67"/>
      <c r="AA228" s="67">
        <f t="shared" si="112"/>
        <v>0</v>
      </c>
      <c r="AB228" s="67"/>
      <c r="AC228" s="67"/>
      <c r="AD228" s="4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row>
    <row r="229" spans="1:54">
      <c r="A229" s="69" t="s">
        <v>30</v>
      </c>
      <c r="B229" s="52" t="s">
        <v>347</v>
      </c>
      <c r="C229" s="65" t="s">
        <v>482</v>
      </c>
      <c r="D229" s="66"/>
      <c r="E229" s="46">
        <f t="shared" si="95"/>
        <v>0</v>
      </c>
      <c r="F229" s="67">
        <f>IF($C229="820",$D229,)</f>
        <v>0</v>
      </c>
      <c r="G229" s="67">
        <f t="shared" si="63"/>
        <v>0</v>
      </c>
      <c r="H229" s="67">
        <f>IF($C229="864",$D229,)</f>
        <v>0</v>
      </c>
      <c r="I229" s="67">
        <f>IF($C229="867",$D229,)</f>
        <v>0</v>
      </c>
      <c r="J229" s="67">
        <f>IF($C229="861",$D229,)</f>
        <v>0</v>
      </c>
      <c r="K229" s="67">
        <f>IF($C229="862",$D229,)</f>
        <v>0</v>
      </c>
      <c r="L229" s="67">
        <f>IF($C229="865",$D229,)</f>
        <v>0</v>
      </c>
      <c r="M229" s="67">
        <f>IF($C229="868",$D229,)</f>
        <v>0</v>
      </c>
      <c r="N229" s="67">
        <f>IF($C229="869",$D229,)</f>
        <v>0</v>
      </c>
      <c r="O229" s="67">
        <f>IF($C229="871",$D229,)</f>
        <v>0</v>
      </c>
      <c r="P229" s="67">
        <f>IF($C229="874",$D229,)</f>
        <v>0</v>
      </c>
      <c r="Q229" s="67">
        <f>IF($C229="873",$D229,)</f>
        <v>0</v>
      </c>
      <c r="R229" s="67"/>
      <c r="S229" s="67"/>
      <c r="T229" s="67">
        <f t="shared" si="129"/>
        <v>0</v>
      </c>
      <c r="U229" s="67">
        <f>IF($C229="877",$D229,)</f>
        <v>0</v>
      </c>
      <c r="V229" s="67">
        <f>IF($C229="875",$D229,)</f>
        <v>0</v>
      </c>
      <c r="W229" s="67">
        <f>IF($C229="872",$D229,)</f>
        <v>0</v>
      </c>
      <c r="X229" s="67">
        <f>IF($C229="909",$D229,)</f>
        <v>0</v>
      </c>
      <c r="Y229" s="67">
        <f>IF(OR($C229="932",$C229="934",$C229="949"),$D229,)</f>
        <v>0</v>
      </c>
      <c r="Z229" s="67"/>
      <c r="AA229" s="67">
        <f t="shared" si="112"/>
        <v>0</v>
      </c>
      <c r="AB229" s="67"/>
      <c r="AC229" s="67"/>
      <c r="AD229" s="4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row>
    <row r="230" spans="1:54">
      <c r="A230" s="69" t="s">
        <v>30</v>
      </c>
      <c r="B230" s="52" t="s">
        <v>348</v>
      </c>
      <c r="C230" s="65" t="s">
        <v>482</v>
      </c>
      <c r="D230" s="66"/>
      <c r="E230" s="46">
        <f t="shared" si="95"/>
        <v>0</v>
      </c>
      <c r="F230" s="67">
        <f>IF($C230="820",$D230,)</f>
        <v>0</v>
      </c>
      <c r="G230" s="67">
        <f t="shared" si="63"/>
        <v>0</v>
      </c>
      <c r="H230" s="67">
        <f>IF($C230="864",$D230,)</f>
        <v>0</v>
      </c>
      <c r="I230" s="67">
        <f>IF($C230="867",$D230,)</f>
        <v>0</v>
      </c>
      <c r="J230" s="67">
        <f>IF($C230="861",$D230,)</f>
        <v>0</v>
      </c>
      <c r="K230" s="67">
        <f>IF($C230="862",$D230,)</f>
        <v>0</v>
      </c>
      <c r="L230" s="67">
        <f>IF($C230="865",$D230,)</f>
        <v>0</v>
      </c>
      <c r="M230" s="67">
        <f>IF($C230="868",$D230,)</f>
        <v>0</v>
      </c>
      <c r="N230" s="67">
        <f>IF($C230="869",$D230,)</f>
        <v>0</v>
      </c>
      <c r="O230" s="67">
        <f>IF($C230="871",$D230,)</f>
        <v>0</v>
      </c>
      <c r="P230" s="67">
        <f>IF($C230="874",$D230,)</f>
        <v>0</v>
      </c>
      <c r="Q230" s="67">
        <f>IF($C230="873",$D230,)</f>
        <v>0</v>
      </c>
      <c r="R230" s="67"/>
      <c r="S230" s="67"/>
      <c r="T230" s="67">
        <f t="shared" si="129"/>
        <v>0</v>
      </c>
      <c r="U230" s="67">
        <f>IF($C230="877",$D230,)</f>
        <v>0</v>
      </c>
      <c r="V230" s="67">
        <f>IF($C230="875",$D230,)</f>
        <v>0</v>
      </c>
      <c r="W230" s="67">
        <f>IF($C230="872",$D230,)</f>
        <v>0</v>
      </c>
      <c r="X230" s="67">
        <f>IF($C230="909",$D230,)</f>
        <v>0</v>
      </c>
      <c r="Y230" s="67">
        <f>IF(OR($C230="932",$C230="934",$C230="949"),$D230,)</f>
        <v>0</v>
      </c>
      <c r="Z230" s="67"/>
      <c r="AA230" s="67">
        <f t="shared" si="112"/>
        <v>0</v>
      </c>
      <c r="AB230" s="67"/>
      <c r="AC230" s="67"/>
      <c r="AD230" s="4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row>
    <row r="231" spans="1:54" ht="12.75" hidden="1" customHeight="1" outlineLevel="1">
      <c r="A231" s="69" t="s">
        <v>30</v>
      </c>
      <c r="B231" s="52"/>
      <c r="C231" s="65"/>
      <c r="D231" s="66"/>
      <c r="E231" s="46">
        <f t="shared" si="95"/>
        <v>0</v>
      </c>
      <c r="F231" s="67">
        <f t="shared" ref="F231:F232" si="132">IF($C231="820",$D231,)</f>
        <v>0</v>
      </c>
      <c r="G231" s="67">
        <f t="shared" si="63"/>
        <v>0</v>
      </c>
      <c r="H231" s="67">
        <f t="shared" ref="H231:H232" si="133">IF($C231="864",$D231,)</f>
        <v>0</v>
      </c>
      <c r="I231" s="67">
        <f t="shared" ref="I231:I232" si="134">IF($C231="867",$D231,)</f>
        <v>0</v>
      </c>
      <c r="J231" s="67">
        <f t="shared" ref="J231:J232" si="135">IF($C231="861",$D231,)</f>
        <v>0</v>
      </c>
      <c r="K231" s="67">
        <f t="shared" ref="K231:K232" si="136">IF($C231="862",$D231,)</f>
        <v>0</v>
      </c>
      <c r="L231" s="67">
        <f t="shared" ref="L231:L232" si="137">IF($C231="865",$D231,)</f>
        <v>0</v>
      </c>
      <c r="M231" s="67">
        <f t="shared" ref="M231:M232" si="138">IF($C231="868",$D231,)</f>
        <v>0</v>
      </c>
      <c r="N231" s="67">
        <f t="shared" ref="N231:N232" si="139">IF($C231="869",$D231,)</f>
        <v>0</v>
      </c>
      <c r="O231" s="67">
        <f t="shared" ref="O231:O232" si="140">IF($C231="871",$D231,)</f>
        <v>0</v>
      </c>
      <c r="P231" s="67">
        <f t="shared" ref="P231:P232" si="141">IF($C231="874",$D231,)</f>
        <v>0</v>
      </c>
      <c r="Q231" s="67">
        <f t="shared" ref="Q231:Q232" si="142">IF($C231="873",$D231,)</f>
        <v>0</v>
      </c>
      <c r="R231" s="67"/>
      <c r="S231" s="67"/>
      <c r="T231" s="67">
        <f t="shared" si="129"/>
        <v>0</v>
      </c>
      <c r="U231" s="67">
        <f t="shared" ref="U231:U232" si="143">IF($C231="877",$D231,)</f>
        <v>0</v>
      </c>
      <c r="V231" s="67">
        <f t="shared" ref="V231:V232" si="144">IF($C231="875",$D231,)</f>
        <v>0</v>
      </c>
      <c r="W231" s="67">
        <f t="shared" ref="W231:W232" si="145">IF($C231="872",$D231,)</f>
        <v>0</v>
      </c>
      <c r="X231" s="67">
        <f t="shared" ref="X231:X232" si="146">IF($C231="909",$D231,)</f>
        <v>0</v>
      </c>
      <c r="Y231" s="67">
        <f t="shared" ref="Y231:Y299" si="147">IF(OR($C231="932",$C231="934",$C231="949"),$D231,)</f>
        <v>0</v>
      </c>
      <c r="Z231" s="67"/>
      <c r="AA231" s="67">
        <f t="shared" si="112"/>
        <v>0</v>
      </c>
      <c r="AB231" s="67"/>
      <c r="AC231" s="67"/>
      <c r="AD231" s="4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row>
    <row r="232" spans="1:54" ht="25.5" collapsed="1">
      <c r="A232" s="69" t="s">
        <v>30</v>
      </c>
      <c r="B232" s="52" t="s">
        <v>349</v>
      </c>
      <c r="C232" s="65" t="s">
        <v>482</v>
      </c>
      <c r="D232" s="66"/>
      <c r="E232" s="46">
        <f t="shared" si="95"/>
        <v>0</v>
      </c>
      <c r="F232" s="67">
        <f t="shared" si="132"/>
        <v>0</v>
      </c>
      <c r="G232" s="67">
        <f t="shared" si="63"/>
        <v>0</v>
      </c>
      <c r="H232" s="67">
        <f t="shared" si="133"/>
        <v>0</v>
      </c>
      <c r="I232" s="67">
        <f t="shared" si="134"/>
        <v>0</v>
      </c>
      <c r="J232" s="67">
        <f t="shared" si="135"/>
        <v>0</v>
      </c>
      <c r="K232" s="67">
        <f t="shared" si="136"/>
        <v>0</v>
      </c>
      <c r="L232" s="67">
        <f t="shared" si="137"/>
        <v>0</v>
      </c>
      <c r="M232" s="67">
        <f t="shared" si="138"/>
        <v>0</v>
      </c>
      <c r="N232" s="67">
        <f t="shared" si="139"/>
        <v>0</v>
      </c>
      <c r="O232" s="67">
        <f t="shared" si="140"/>
        <v>0</v>
      </c>
      <c r="P232" s="67">
        <f t="shared" si="141"/>
        <v>0</v>
      </c>
      <c r="Q232" s="67">
        <f t="shared" si="142"/>
        <v>0</v>
      </c>
      <c r="R232" s="67"/>
      <c r="S232" s="67"/>
      <c r="T232" s="67">
        <f t="shared" si="129"/>
        <v>0</v>
      </c>
      <c r="U232" s="67">
        <f t="shared" si="143"/>
        <v>0</v>
      </c>
      <c r="V232" s="67">
        <f t="shared" si="144"/>
        <v>0</v>
      </c>
      <c r="W232" s="67">
        <f t="shared" si="145"/>
        <v>0</v>
      </c>
      <c r="X232" s="67">
        <f t="shared" si="146"/>
        <v>0</v>
      </c>
      <c r="Y232" s="67">
        <f t="shared" si="147"/>
        <v>0</v>
      </c>
      <c r="Z232" s="67"/>
      <c r="AA232" s="67">
        <f t="shared" si="112"/>
        <v>0</v>
      </c>
      <c r="AB232" s="67"/>
      <c r="AC232" s="67"/>
      <c r="AD232" s="4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row>
    <row r="233" spans="1:54" ht="25.5">
      <c r="A233" s="76">
        <v>53</v>
      </c>
      <c r="B233" s="52" t="s">
        <v>350</v>
      </c>
      <c r="C233" s="65"/>
      <c r="D233" s="66"/>
      <c r="E233" s="46">
        <f t="shared" si="95"/>
        <v>0</v>
      </c>
      <c r="F233" s="67">
        <f t="shared" ref="F233" si="148">SUM(F234:F245)</f>
        <v>0</v>
      </c>
      <c r="G233" s="67">
        <f t="shared" si="63"/>
        <v>0</v>
      </c>
      <c r="H233" s="67">
        <f>SUM(H234:H245)</f>
        <v>0</v>
      </c>
      <c r="I233" s="67">
        <f t="shared" ref="I233:Q233" si="149">SUM(I234:I245)</f>
        <v>0</v>
      </c>
      <c r="J233" s="67">
        <f t="shared" si="149"/>
        <v>0</v>
      </c>
      <c r="K233" s="67">
        <f t="shared" si="149"/>
        <v>0</v>
      </c>
      <c r="L233" s="67">
        <f t="shared" si="149"/>
        <v>0</v>
      </c>
      <c r="M233" s="67">
        <f t="shared" si="149"/>
        <v>0</v>
      </c>
      <c r="N233" s="67">
        <f t="shared" si="149"/>
        <v>0</v>
      </c>
      <c r="O233" s="67">
        <f t="shared" si="149"/>
        <v>0</v>
      </c>
      <c r="P233" s="67">
        <f t="shared" si="149"/>
        <v>0</v>
      </c>
      <c r="Q233" s="67">
        <f t="shared" si="149"/>
        <v>0</v>
      </c>
      <c r="R233" s="67"/>
      <c r="S233" s="67"/>
      <c r="T233" s="67">
        <f t="shared" si="129"/>
        <v>0</v>
      </c>
      <c r="U233" s="67">
        <f>SUM(U234:U245)</f>
        <v>0</v>
      </c>
      <c r="V233" s="67">
        <f>SUM(V234:V245)</f>
        <v>0</v>
      </c>
      <c r="W233" s="67">
        <f>SUM(W234:W245)</f>
        <v>0</v>
      </c>
      <c r="X233" s="67">
        <f>SUM(X234:X245)</f>
        <v>0</v>
      </c>
      <c r="Y233" s="67">
        <f t="shared" si="147"/>
        <v>0</v>
      </c>
      <c r="Z233" s="67"/>
      <c r="AA233" s="67">
        <f t="shared" si="112"/>
        <v>0</v>
      </c>
      <c r="AB233" s="67"/>
      <c r="AC233" s="67"/>
      <c r="AD233" s="4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row>
    <row r="234" spans="1:54">
      <c r="A234" s="69" t="s">
        <v>30</v>
      </c>
      <c r="B234" s="52" t="s">
        <v>351</v>
      </c>
      <c r="C234" s="65" t="s">
        <v>482</v>
      </c>
      <c r="D234" s="66"/>
      <c r="E234" s="46">
        <f t="shared" si="95"/>
        <v>0</v>
      </c>
      <c r="F234" s="67">
        <f t="shared" ref="F234:F245" si="150">IF($C234="820",$D234,)</f>
        <v>0</v>
      </c>
      <c r="G234" s="67">
        <f t="shared" si="63"/>
        <v>0</v>
      </c>
      <c r="H234" s="67">
        <f t="shared" ref="H234:H245" si="151">IF($C234="864",$D234,)</f>
        <v>0</v>
      </c>
      <c r="I234" s="67">
        <f t="shared" ref="I234:I245" si="152">IF($C234="867",$D234,)</f>
        <v>0</v>
      </c>
      <c r="J234" s="67">
        <f t="shared" ref="J234:J245" si="153">IF($C234="861",$D234,)</f>
        <v>0</v>
      </c>
      <c r="K234" s="67">
        <f t="shared" ref="K234:K245" si="154">IF($C234="862",$D234,)</f>
        <v>0</v>
      </c>
      <c r="L234" s="67">
        <f t="shared" ref="L234:L245" si="155">IF($C234="865",$D234,)</f>
        <v>0</v>
      </c>
      <c r="M234" s="67">
        <f t="shared" ref="M234:M245" si="156">IF($C234="868",$D234,)</f>
        <v>0</v>
      </c>
      <c r="N234" s="67">
        <f t="shared" ref="N234:N245" si="157">IF($C234="869",$D234,)</f>
        <v>0</v>
      </c>
      <c r="O234" s="67">
        <f t="shared" ref="O234:O245" si="158">IF($C234="871",$D234,)</f>
        <v>0</v>
      </c>
      <c r="P234" s="67">
        <f t="shared" ref="P234:P245" si="159">IF($C234="874",$D234,)</f>
        <v>0</v>
      </c>
      <c r="Q234" s="67">
        <f t="shared" ref="Q234:Q245" si="160">IF($C234="873",$D234,)</f>
        <v>0</v>
      </c>
      <c r="R234" s="67"/>
      <c r="S234" s="67"/>
      <c r="T234" s="67">
        <f t="shared" si="129"/>
        <v>0</v>
      </c>
      <c r="U234" s="67">
        <f t="shared" ref="U234:U245" si="161">IF($C234="877",$D234,)</f>
        <v>0</v>
      </c>
      <c r="V234" s="67">
        <f t="shared" ref="V234:V245" si="162">IF($C234="875",$D234,)</f>
        <v>0</v>
      </c>
      <c r="W234" s="67">
        <f t="shared" ref="W234:W245" si="163">IF($C234="872",$D234,)</f>
        <v>0</v>
      </c>
      <c r="X234" s="67">
        <f t="shared" ref="X234:X245" si="164">IF($C234="909",$D234,)</f>
        <v>0</v>
      </c>
      <c r="Y234" s="67">
        <f t="shared" si="147"/>
        <v>0</v>
      </c>
      <c r="Z234" s="67"/>
      <c r="AA234" s="67">
        <f t="shared" si="112"/>
        <v>0</v>
      </c>
      <c r="AB234" s="67"/>
      <c r="AC234" s="67"/>
      <c r="AD234" s="4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row>
    <row r="235" spans="1:54">
      <c r="A235" s="69" t="s">
        <v>30</v>
      </c>
      <c r="B235" s="52" t="s">
        <v>352</v>
      </c>
      <c r="C235" s="65" t="s">
        <v>482</v>
      </c>
      <c r="D235" s="66"/>
      <c r="E235" s="46">
        <f t="shared" si="95"/>
        <v>0</v>
      </c>
      <c r="F235" s="67">
        <f t="shared" si="150"/>
        <v>0</v>
      </c>
      <c r="G235" s="67">
        <f t="shared" ref="G235:G299" si="165">H235+I235+J235+K235+L235+M235+N235+O235+P235+Q235+U235+V235+W235+X235</f>
        <v>0</v>
      </c>
      <c r="H235" s="67">
        <f t="shared" si="151"/>
        <v>0</v>
      </c>
      <c r="I235" s="67">
        <f t="shared" si="152"/>
        <v>0</v>
      </c>
      <c r="J235" s="67">
        <f t="shared" si="153"/>
        <v>0</v>
      </c>
      <c r="K235" s="67">
        <f t="shared" si="154"/>
        <v>0</v>
      </c>
      <c r="L235" s="67">
        <f t="shared" si="155"/>
        <v>0</v>
      </c>
      <c r="M235" s="67">
        <f t="shared" si="156"/>
        <v>0</v>
      </c>
      <c r="N235" s="67">
        <f t="shared" si="157"/>
        <v>0</v>
      </c>
      <c r="O235" s="67">
        <f t="shared" si="158"/>
        <v>0</v>
      </c>
      <c r="P235" s="67">
        <f t="shared" si="159"/>
        <v>0</v>
      </c>
      <c r="Q235" s="67">
        <f t="shared" si="160"/>
        <v>0</v>
      </c>
      <c r="R235" s="67"/>
      <c r="S235" s="67"/>
      <c r="T235" s="67">
        <f t="shared" si="129"/>
        <v>0</v>
      </c>
      <c r="U235" s="67">
        <f t="shared" si="161"/>
        <v>0</v>
      </c>
      <c r="V235" s="67">
        <f t="shared" si="162"/>
        <v>0</v>
      </c>
      <c r="W235" s="67">
        <f t="shared" si="163"/>
        <v>0</v>
      </c>
      <c r="X235" s="67">
        <f t="shared" si="164"/>
        <v>0</v>
      </c>
      <c r="Y235" s="67">
        <f t="shared" si="147"/>
        <v>0</v>
      </c>
      <c r="Z235" s="67"/>
      <c r="AA235" s="67">
        <f t="shared" si="112"/>
        <v>0</v>
      </c>
      <c r="AB235" s="67"/>
      <c r="AC235" s="67"/>
      <c r="AD235" s="4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row>
    <row r="236" spans="1:54">
      <c r="A236" s="69" t="s">
        <v>30</v>
      </c>
      <c r="B236" s="52" t="s">
        <v>353</v>
      </c>
      <c r="C236" s="65" t="s">
        <v>482</v>
      </c>
      <c r="D236" s="66"/>
      <c r="E236" s="46">
        <f t="shared" si="95"/>
        <v>0</v>
      </c>
      <c r="F236" s="67">
        <f t="shared" si="150"/>
        <v>0</v>
      </c>
      <c r="G236" s="67">
        <f t="shared" si="165"/>
        <v>0</v>
      </c>
      <c r="H236" s="67">
        <f t="shared" si="151"/>
        <v>0</v>
      </c>
      <c r="I236" s="67">
        <f t="shared" si="152"/>
        <v>0</v>
      </c>
      <c r="J236" s="67">
        <f t="shared" si="153"/>
        <v>0</v>
      </c>
      <c r="K236" s="67">
        <f t="shared" si="154"/>
        <v>0</v>
      </c>
      <c r="L236" s="67">
        <f t="shared" si="155"/>
        <v>0</v>
      </c>
      <c r="M236" s="67">
        <f t="shared" si="156"/>
        <v>0</v>
      </c>
      <c r="N236" s="67">
        <f t="shared" si="157"/>
        <v>0</v>
      </c>
      <c r="O236" s="67">
        <f t="shared" si="158"/>
        <v>0</v>
      </c>
      <c r="P236" s="67">
        <f t="shared" si="159"/>
        <v>0</v>
      </c>
      <c r="Q236" s="67">
        <f t="shared" si="160"/>
        <v>0</v>
      </c>
      <c r="R236" s="67"/>
      <c r="S236" s="67"/>
      <c r="T236" s="67">
        <f t="shared" si="129"/>
        <v>0</v>
      </c>
      <c r="U236" s="67">
        <f t="shared" si="161"/>
        <v>0</v>
      </c>
      <c r="V236" s="67">
        <f t="shared" si="162"/>
        <v>0</v>
      </c>
      <c r="W236" s="67">
        <f t="shared" si="163"/>
        <v>0</v>
      </c>
      <c r="X236" s="67">
        <f t="shared" si="164"/>
        <v>0</v>
      </c>
      <c r="Y236" s="67">
        <f t="shared" si="147"/>
        <v>0</v>
      </c>
      <c r="Z236" s="67"/>
      <c r="AA236" s="67">
        <f t="shared" si="112"/>
        <v>0</v>
      </c>
      <c r="AB236" s="67"/>
      <c r="AC236" s="67"/>
      <c r="AD236" s="4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row>
    <row r="237" spans="1:54">
      <c r="A237" s="69" t="s">
        <v>30</v>
      </c>
      <c r="B237" s="52" t="s">
        <v>354</v>
      </c>
      <c r="C237" s="65" t="s">
        <v>482</v>
      </c>
      <c r="D237" s="66"/>
      <c r="E237" s="46">
        <f t="shared" si="95"/>
        <v>0</v>
      </c>
      <c r="F237" s="67">
        <f t="shared" si="150"/>
        <v>0</v>
      </c>
      <c r="G237" s="67">
        <f t="shared" si="165"/>
        <v>0</v>
      </c>
      <c r="H237" s="67">
        <f t="shared" si="151"/>
        <v>0</v>
      </c>
      <c r="I237" s="67">
        <f t="shared" si="152"/>
        <v>0</v>
      </c>
      <c r="J237" s="67">
        <f t="shared" si="153"/>
        <v>0</v>
      </c>
      <c r="K237" s="67">
        <f t="shared" si="154"/>
        <v>0</v>
      </c>
      <c r="L237" s="67">
        <f t="shared" si="155"/>
        <v>0</v>
      </c>
      <c r="M237" s="67">
        <f t="shared" si="156"/>
        <v>0</v>
      </c>
      <c r="N237" s="67">
        <f t="shared" si="157"/>
        <v>0</v>
      </c>
      <c r="O237" s="67">
        <f t="shared" si="158"/>
        <v>0</v>
      </c>
      <c r="P237" s="67">
        <f t="shared" si="159"/>
        <v>0</v>
      </c>
      <c r="Q237" s="67">
        <f t="shared" si="160"/>
        <v>0</v>
      </c>
      <c r="R237" s="67"/>
      <c r="S237" s="67"/>
      <c r="T237" s="67">
        <f t="shared" si="129"/>
        <v>0</v>
      </c>
      <c r="U237" s="67">
        <f t="shared" si="161"/>
        <v>0</v>
      </c>
      <c r="V237" s="67">
        <f t="shared" si="162"/>
        <v>0</v>
      </c>
      <c r="W237" s="67">
        <f t="shared" si="163"/>
        <v>0</v>
      </c>
      <c r="X237" s="67">
        <f t="shared" si="164"/>
        <v>0</v>
      </c>
      <c r="Y237" s="67">
        <f t="shared" si="147"/>
        <v>0</v>
      </c>
      <c r="Z237" s="67"/>
      <c r="AA237" s="67">
        <f t="shared" si="112"/>
        <v>0</v>
      </c>
      <c r="AB237" s="67"/>
      <c r="AC237" s="67"/>
      <c r="AD237" s="4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row>
    <row r="238" spans="1:54">
      <c r="A238" s="69" t="s">
        <v>30</v>
      </c>
      <c r="B238" s="52" t="s">
        <v>355</v>
      </c>
      <c r="C238" s="65" t="s">
        <v>482</v>
      </c>
      <c r="D238" s="66"/>
      <c r="E238" s="46">
        <f t="shared" si="95"/>
        <v>0</v>
      </c>
      <c r="F238" s="67">
        <f t="shared" si="150"/>
        <v>0</v>
      </c>
      <c r="G238" s="67">
        <f t="shared" si="165"/>
        <v>0</v>
      </c>
      <c r="H238" s="67">
        <f t="shared" si="151"/>
        <v>0</v>
      </c>
      <c r="I238" s="67">
        <f t="shared" si="152"/>
        <v>0</v>
      </c>
      <c r="J238" s="67">
        <f t="shared" si="153"/>
        <v>0</v>
      </c>
      <c r="K238" s="67">
        <f t="shared" si="154"/>
        <v>0</v>
      </c>
      <c r="L238" s="67">
        <f t="shared" si="155"/>
        <v>0</v>
      </c>
      <c r="M238" s="67">
        <f t="shared" si="156"/>
        <v>0</v>
      </c>
      <c r="N238" s="67">
        <f t="shared" si="157"/>
        <v>0</v>
      </c>
      <c r="O238" s="67">
        <f t="shared" si="158"/>
        <v>0</v>
      </c>
      <c r="P238" s="67">
        <f t="shared" si="159"/>
        <v>0</v>
      </c>
      <c r="Q238" s="67">
        <f t="shared" si="160"/>
        <v>0</v>
      </c>
      <c r="R238" s="67"/>
      <c r="S238" s="67"/>
      <c r="T238" s="67">
        <f t="shared" si="129"/>
        <v>0</v>
      </c>
      <c r="U238" s="67">
        <f t="shared" si="161"/>
        <v>0</v>
      </c>
      <c r="V238" s="67">
        <f t="shared" si="162"/>
        <v>0</v>
      </c>
      <c r="W238" s="67">
        <f t="shared" si="163"/>
        <v>0</v>
      </c>
      <c r="X238" s="67">
        <f t="shared" si="164"/>
        <v>0</v>
      </c>
      <c r="Y238" s="67">
        <f t="shared" si="147"/>
        <v>0</v>
      </c>
      <c r="Z238" s="67"/>
      <c r="AA238" s="67">
        <f t="shared" si="112"/>
        <v>0</v>
      </c>
      <c r="AB238" s="67"/>
      <c r="AC238" s="67"/>
      <c r="AD238" s="4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row>
    <row r="239" spans="1:54">
      <c r="A239" s="69" t="s">
        <v>30</v>
      </c>
      <c r="B239" s="52" t="s">
        <v>356</v>
      </c>
      <c r="C239" s="65" t="s">
        <v>482</v>
      </c>
      <c r="D239" s="66"/>
      <c r="E239" s="46">
        <f t="shared" si="95"/>
        <v>0</v>
      </c>
      <c r="F239" s="67">
        <f t="shared" si="150"/>
        <v>0</v>
      </c>
      <c r="G239" s="67">
        <f t="shared" si="165"/>
        <v>0</v>
      </c>
      <c r="H239" s="67">
        <f t="shared" si="151"/>
        <v>0</v>
      </c>
      <c r="I239" s="67">
        <f t="shared" si="152"/>
        <v>0</v>
      </c>
      <c r="J239" s="67">
        <f t="shared" si="153"/>
        <v>0</v>
      </c>
      <c r="K239" s="67">
        <f t="shared" si="154"/>
        <v>0</v>
      </c>
      <c r="L239" s="67">
        <f t="shared" si="155"/>
        <v>0</v>
      </c>
      <c r="M239" s="67">
        <f t="shared" si="156"/>
        <v>0</v>
      </c>
      <c r="N239" s="67">
        <f t="shared" si="157"/>
        <v>0</v>
      </c>
      <c r="O239" s="67">
        <f t="shared" si="158"/>
        <v>0</v>
      </c>
      <c r="P239" s="67">
        <f t="shared" si="159"/>
        <v>0</v>
      </c>
      <c r="Q239" s="67">
        <f t="shared" si="160"/>
        <v>0</v>
      </c>
      <c r="R239" s="67"/>
      <c r="S239" s="67"/>
      <c r="T239" s="67">
        <f t="shared" si="129"/>
        <v>0</v>
      </c>
      <c r="U239" s="67">
        <f t="shared" si="161"/>
        <v>0</v>
      </c>
      <c r="V239" s="67">
        <f t="shared" si="162"/>
        <v>0</v>
      </c>
      <c r="W239" s="67">
        <f t="shared" si="163"/>
        <v>0</v>
      </c>
      <c r="X239" s="67">
        <f t="shared" si="164"/>
        <v>0</v>
      </c>
      <c r="Y239" s="67">
        <f t="shared" si="147"/>
        <v>0</v>
      </c>
      <c r="Z239" s="67"/>
      <c r="AA239" s="67">
        <f t="shared" si="112"/>
        <v>0</v>
      </c>
      <c r="AB239" s="67"/>
      <c r="AC239" s="67"/>
      <c r="AD239" s="4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row>
    <row r="240" spans="1:54">
      <c r="A240" s="69" t="s">
        <v>30</v>
      </c>
      <c r="B240" s="52" t="s">
        <v>357</v>
      </c>
      <c r="C240" s="65" t="s">
        <v>482</v>
      </c>
      <c r="D240" s="66"/>
      <c r="E240" s="46">
        <f t="shared" si="95"/>
        <v>0</v>
      </c>
      <c r="F240" s="67">
        <f t="shared" si="150"/>
        <v>0</v>
      </c>
      <c r="G240" s="67">
        <f t="shared" si="165"/>
        <v>0</v>
      </c>
      <c r="H240" s="67">
        <f t="shared" si="151"/>
        <v>0</v>
      </c>
      <c r="I240" s="67">
        <f t="shared" si="152"/>
        <v>0</v>
      </c>
      <c r="J240" s="67">
        <f t="shared" si="153"/>
        <v>0</v>
      </c>
      <c r="K240" s="67">
        <f t="shared" si="154"/>
        <v>0</v>
      </c>
      <c r="L240" s="67">
        <f t="shared" si="155"/>
        <v>0</v>
      </c>
      <c r="M240" s="67">
        <f t="shared" si="156"/>
        <v>0</v>
      </c>
      <c r="N240" s="67">
        <f t="shared" si="157"/>
        <v>0</v>
      </c>
      <c r="O240" s="67">
        <f t="shared" si="158"/>
        <v>0</v>
      </c>
      <c r="P240" s="67">
        <f t="shared" si="159"/>
        <v>0</v>
      </c>
      <c r="Q240" s="67">
        <f t="shared" si="160"/>
        <v>0</v>
      </c>
      <c r="R240" s="67"/>
      <c r="S240" s="67"/>
      <c r="T240" s="67">
        <f t="shared" si="129"/>
        <v>0</v>
      </c>
      <c r="U240" s="67">
        <f t="shared" si="161"/>
        <v>0</v>
      </c>
      <c r="V240" s="67">
        <f t="shared" si="162"/>
        <v>0</v>
      </c>
      <c r="W240" s="67">
        <f t="shared" si="163"/>
        <v>0</v>
      </c>
      <c r="X240" s="67">
        <f t="shared" si="164"/>
        <v>0</v>
      </c>
      <c r="Y240" s="67">
        <f t="shared" si="147"/>
        <v>0</v>
      </c>
      <c r="Z240" s="67"/>
      <c r="AA240" s="67">
        <f t="shared" si="112"/>
        <v>0</v>
      </c>
      <c r="AB240" s="67"/>
      <c r="AC240" s="67"/>
      <c r="AD240" s="4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row>
    <row r="241" spans="1:54">
      <c r="A241" s="69" t="s">
        <v>30</v>
      </c>
      <c r="B241" s="52" t="s">
        <v>358</v>
      </c>
      <c r="C241" s="65" t="s">
        <v>482</v>
      </c>
      <c r="D241" s="66"/>
      <c r="E241" s="46">
        <f t="shared" si="95"/>
        <v>0</v>
      </c>
      <c r="F241" s="67">
        <f t="shared" si="150"/>
        <v>0</v>
      </c>
      <c r="G241" s="67">
        <f t="shared" si="165"/>
        <v>0</v>
      </c>
      <c r="H241" s="67">
        <f t="shared" si="151"/>
        <v>0</v>
      </c>
      <c r="I241" s="67">
        <f t="shared" si="152"/>
        <v>0</v>
      </c>
      <c r="J241" s="67">
        <f t="shared" si="153"/>
        <v>0</v>
      </c>
      <c r="K241" s="67">
        <f t="shared" si="154"/>
        <v>0</v>
      </c>
      <c r="L241" s="67">
        <f t="shared" si="155"/>
        <v>0</v>
      </c>
      <c r="M241" s="67">
        <f t="shared" si="156"/>
        <v>0</v>
      </c>
      <c r="N241" s="67">
        <f t="shared" si="157"/>
        <v>0</v>
      </c>
      <c r="O241" s="67">
        <f t="shared" si="158"/>
        <v>0</v>
      </c>
      <c r="P241" s="67">
        <f t="shared" si="159"/>
        <v>0</v>
      </c>
      <c r="Q241" s="67">
        <f t="shared" si="160"/>
        <v>0</v>
      </c>
      <c r="R241" s="67"/>
      <c r="S241" s="67"/>
      <c r="T241" s="67">
        <f t="shared" si="129"/>
        <v>0</v>
      </c>
      <c r="U241" s="67">
        <f t="shared" si="161"/>
        <v>0</v>
      </c>
      <c r="V241" s="67">
        <f t="shared" si="162"/>
        <v>0</v>
      </c>
      <c r="W241" s="67">
        <f t="shared" si="163"/>
        <v>0</v>
      </c>
      <c r="X241" s="67">
        <f t="shared" si="164"/>
        <v>0</v>
      </c>
      <c r="Y241" s="67">
        <f t="shared" si="147"/>
        <v>0</v>
      </c>
      <c r="Z241" s="67"/>
      <c r="AA241" s="67">
        <f t="shared" si="112"/>
        <v>0</v>
      </c>
      <c r="AB241" s="67"/>
      <c r="AC241" s="67"/>
      <c r="AD241" s="4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row>
    <row r="242" spans="1:54">
      <c r="A242" s="69" t="s">
        <v>30</v>
      </c>
      <c r="B242" s="52" t="s">
        <v>359</v>
      </c>
      <c r="C242" s="65" t="s">
        <v>482</v>
      </c>
      <c r="D242" s="66"/>
      <c r="E242" s="46">
        <f t="shared" si="95"/>
        <v>0</v>
      </c>
      <c r="F242" s="67">
        <f t="shared" si="150"/>
        <v>0</v>
      </c>
      <c r="G242" s="67">
        <f t="shared" si="165"/>
        <v>0</v>
      </c>
      <c r="H242" s="67">
        <f t="shared" si="151"/>
        <v>0</v>
      </c>
      <c r="I242" s="67">
        <f t="shared" si="152"/>
        <v>0</v>
      </c>
      <c r="J242" s="67">
        <f t="shared" si="153"/>
        <v>0</v>
      </c>
      <c r="K242" s="67">
        <f t="shared" si="154"/>
        <v>0</v>
      </c>
      <c r="L242" s="67">
        <f t="shared" si="155"/>
        <v>0</v>
      </c>
      <c r="M242" s="67">
        <f t="shared" si="156"/>
        <v>0</v>
      </c>
      <c r="N242" s="67">
        <f t="shared" si="157"/>
        <v>0</v>
      </c>
      <c r="O242" s="67">
        <f t="shared" si="158"/>
        <v>0</v>
      </c>
      <c r="P242" s="67">
        <f t="shared" si="159"/>
        <v>0</v>
      </c>
      <c r="Q242" s="67">
        <f t="shared" si="160"/>
        <v>0</v>
      </c>
      <c r="R242" s="67"/>
      <c r="S242" s="67"/>
      <c r="T242" s="67">
        <f t="shared" si="129"/>
        <v>0</v>
      </c>
      <c r="U242" s="67">
        <f t="shared" si="161"/>
        <v>0</v>
      </c>
      <c r="V242" s="67">
        <f t="shared" si="162"/>
        <v>0</v>
      </c>
      <c r="W242" s="67">
        <f t="shared" si="163"/>
        <v>0</v>
      </c>
      <c r="X242" s="67">
        <f t="shared" si="164"/>
        <v>0</v>
      </c>
      <c r="Y242" s="67">
        <f t="shared" si="147"/>
        <v>0</v>
      </c>
      <c r="Z242" s="67"/>
      <c r="AA242" s="67">
        <f t="shared" si="112"/>
        <v>0</v>
      </c>
      <c r="AB242" s="67"/>
      <c r="AC242" s="67"/>
      <c r="AD242" s="4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row>
    <row r="243" spans="1:54">
      <c r="A243" s="69" t="s">
        <v>30</v>
      </c>
      <c r="B243" s="52" t="s">
        <v>360</v>
      </c>
      <c r="C243" s="65" t="s">
        <v>482</v>
      </c>
      <c r="D243" s="66"/>
      <c r="E243" s="46">
        <f t="shared" si="95"/>
        <v>0</v>
      </c>
      <c r="F243" s="67">
        <f t="shared" si="150"/>
        <v>0</v>
      </c>
      <c r="G243" s="67">
        <f t="shared" si="165"/>
        <v>0</v>
      </c>
      <c r="H243" s="67">
        <f t="shared" si="151"/>
        <v>0</v>
      </c>
      <c r="I243" s="67">
        <f t="shared" si="152"/>
        <v>0</v>
      </c>
      <c r="J243" s="67">
        <f t="shared" si="153"/>
        <v>0</v>
      </c>
      <c r="K243" s="67">
        <f t="shared" si="154"/>
        <v>0</v>
      </c>
      <c r="L243" s="67">
        <f t="shared" si="155"/>
        <v>0</v>
      </c>
      <c r="M243" s="67">
        <f t="shared" si="156"/>
        <v>0</v>
      </c>
      <c r="N243" s="67">
        <f t="shared" si="157"/>
        <v>0</v>
      </c>
      <c r="O243" s="67">
        <f t="shared" si="158"/>
        <v>0</v>
      </c>
      <c r="P243" s="67">
        <f t="shared" si="159"/>
        <v>0</v>
      </c>
      <c r="Q243" s="67">
        <f t="shared" si="160"/>
        <v>0</v>
      </c>
      <c r="R243" s="67"/>
      <c r="S243" s="67"/>
      <c r="T243" s="67">
        <f t="shared" si="129"/>
        <v>0</v>
      </c>
      <c r="U243" s="67">
        <f t="shared" si="161"/>
        <v>0</v>
      </c>
      <c r="V243" s="67">
        <f t="shared" si="162"/>
        <v>0</v>
      </c>
      <c r="W243" s="67">
        <f t="shared" si="163"/>
        <v>0</v>
      </c>
      <c r="X243" s="67">
        <f t="shared" si="164"/>
        <v>0</v>
      </c>
      <c r="Y243" s="67">
        <f t="shared" si="147"/>
        <v>0</v>
      </c>
      <c r="Z243" s="67"/>
      <c r="AA243" s="67">
        <f t="shared" si="112"/>
        <v>0</v>
      </c>
      <c r="AB243" s="67"/>
      <c r="AC243" s="67"/>
      <c r="AD243" s="4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row>
    <row r="244" spans="1:54">
      <c r="A244" s="69" t="s">
        <v>30</v>
      </c>
      <c r="B244" s="52" t="s">
        <v>361</v>
      </c>
      <c r="C244" s="65" t="s">
        <v>482</v>
      </c>
      <c r="D244" s="66"/>
      <c r="E244" s="46">
        <f t="shared" si="95"/>
        <v>0</v>
      </c>
      <c r="F244" s="67">
        <f t="shared" si="150"/>
        <v>0</v>
      </c>
      <c r="G244" s="67">
        <f t="shared" si="165"/>
        <v>0</v>
      </c>
      <c r="H244" s="67">
        <f t="shared" si="151"/>
        <v>0</v>
      </c>
      <c r="I244" s="67">
        <f t="shared" si="152"/>
        <v>0</v>
      </c>
      <c r="J244" s="67">
        <f t="shared" si="153"/>
        <v>0</v>
      </c>
      <c r="K244" s="67">
        <f t="shared" si="154"/>
        <v>0</v>
      </c>
      <c r="L244" s="67">
        <f t="shared" si="155"/>
        <v>0</v>
      </c>
      <c r="M244" s="67">
        <f t="shared" si="156"/>
        <v>0</v>
      </c>
      <c r="N244" s="67">
        <f t="shared" si="157"/>
        <v>0</v>
      </c>
      <c r="O244" s="67">
        <f t="shared" si="158"/>
        <v>0</v>
      </c>
      <c r="P244" s="67">
        <f t="shared" si="159"/>
        <v>0</v>
      </c>
      <c r="Q244" s="67">
        <f t="shared" si="160"/>
        <v>0</v>
      </c>
      <c r="R244" s="67"/>
      <c r="S244" s="67"/>
      <c r="T244" s="67">
        <f t="shared" si="129"/>
        <v>0</v>
      </c>
      <c r="U244" s="67">
        <f t="shared" si="161"/>
        <v>0</v>
      </c>
      <c r="V244" s="67">
        <f t="shared" si="162"/>
        <v>0</v>
      </c>
      <c r="W244" s="67">
        <f t="shared" si="163"/>
        <v>0</v>
      </c>
      <c r="X244" s="67">
        <f t="shared" si="164"/>
        <v>0</v>
      </c>
      <c r="Y244" s="67">
        <f t="shared" si="147"/>
        <v>0</v>
      </c>
      <c r="Z244" s="67"/>
      <c r="AA244" s="67">
        <f t="shared" si="112"/>
        <v>0</v>
      </c>
      <c r="AB244" s="67"/>
      <c r="AC244" s="67"/>
      <c r="AD244" s="4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row>
    <row r="245" spans="1:54">
      <c r="A245" s="69" t="s">
        <v>30</v>
      </c>
      <c r="B245" s="52" t="s">
        <v>362</v>
      </c>
      <c r="C245" s="65" t="s">
        <v>482</v>
      </c>
      <c r="D245" s="66"/>
      <c r="E245" s="46">
        <f t="shared" si="95"/>
        <v>0</v>
      </c>
      <c r="F245" s="67">
        <f t="shared" si="150"/>
        <v>0</v>
      </c>
      <c r="G245" s="67">
        <f t="shared" si="165"/>
        <v>0</v>
      </c>
      <c r="H245" s="67">
        <f t="shared" si="151"/>
        <v>0</v>
      </c>
      <c r="I245" s="67">
        <f t="shared" si="152"/>
        <v>0</v>
      </c>
      <c r="J245" s="67">
        <f t="shared" si="153"/>
        <v>0</v>
      </c>
      <c r="K245" s="67">
        <f t="shared" si="154"/>
        <v>0</v>
      </c>
      <c r="L245" s="67">
        <f t="shared" si="155"/>
        <v>0</v>
      </c>
      <c r="M245" s="67">
        <f t="shared" si="156"/>
        <v>0</v>
      </c>
      <c r="N245" s="67">
        <f t="shared" si="157"/>
        <v>0</v>
      </c>
      <c r="O245" s="67">
        <f t="shared" si="158"/>
        <v>0</v>
      </c>
      <c r="P245" s="67">
        <f t="shared" si="159"/>
        <v>0</v>
      </c>
      <c r="Q245" s="67">
        <f t="shared" si="160"/>
        <v>0</v>
      </c>
      <c r="R245" s="67"/>
      <c r="S245" s="67"/>
      <c r="T245" s="67">
        <f t="shared" si="129"/>
        <v>0</v>
      </c>
      <c r="U245" s="67">
        <f t="shared" si="161"/>
        <v>0</v>
      </c>
      <c r="V245" s="67">
        <f t="shared" si="162"/>
        <v>0</v>
      </c>
      <c r="W245" s="67">
        <f t="shared" si="163"/>
        <v>0</v>
      </c>
      <c r="X245" s="67">
        <f t="shared" si="164"/>
        <v>0</v>
      </c>
      <c r="Y245" s="67">
        <f t="shared" si="147"/>
        <v>0</v>
      </c>
      <c r="Z245" s="67"/>
      <c r="AA245" s="67">
        <f t="shared" si="112"/>
        <v>0</v>
      </c>
      <c r="AB245" s="67"/>
      <c r="AC245" s="67"/>
      <c r="AD245" s="4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row>
    <row r="246" spans="1:54" ht="25.5">
      <c r="A246" s="76">
        <v>54</v>
      </c>
      <c r="B246" s="52" t="s">
        <v>363</v>
      </c>
      <c r="C246" s="65"/>
      <c r="D246" s="66"/>
      <c r="E246" s="46">
        <f t="shared" si="95"/>
        <v>0</v>
      </c>
      <c r="F246" s="67">
        <f t="shared" ref="F246" si="166">F247+F248</f>
        <v>0</v>
      </c>
      <c r="G246" s="67">
        <f t="shared" si="165"/>
        <v>0</v>
      </c>
      <c r="H246" s="67">
        <f>H247+H248</f>
        <v>0</v>
      </c>
      <c r="I246" s="67">
        <f t="shared" ref="I246:Q246" si="167">I247+I248</f>
        <v>0</v>
      </c>
      <c r="J246" s="67">
        <f t="shared" si="167"/>
        <v>0</v>
      </c>
      <c r="K246" s="67">
        <f t="shared" si="167"/>
        <v>0</v>
      </c>
      <c r="L246" s="67">
        <f t="shared" si="167"/>
        <v>0</v>
      </c>
      <c r="M246" s="67">
        <f t="shared" si="167"/>
        <v>0</v>
      </c>
      <c r="N246" s="67">
        <f t="shared" si="167"/>
        <v>0</v>
      </c>
      <c r="O246" s="67">
        <f t="shared" si="167"/>
        <v>0</v>
      </c>
      <c r="P246" s="67">
        <f t="shared" si="167"/>
        <v>0</v>
      </c>
      <c r="Q246" s="67">
        <f t="shared" si="167"/>
        <v>0</v>
      </c>
      <c r="R246" s="67"/>
      <c r="S246" s="67"/>
      <c r="T246" s="67">
        <f t="shared" si="129"/>
        <v>0</v>
      </c>
      <c r="U246" s="67">
        <f>U247+U248</f>
        <v>0</v>
      </c>
      <c r="V246" s="67">
        <f>V247+V248</f>
        <v>0</v>
      </c>
      <c r="W246" s="67">
        <f>W247+W248</f>
        <v>0</v>
      </c>
      <c r="X246" s="67">
        <f>X247+X248</f>
        <v>0</v>
      </c>
      <c r="Y246" s="67">
        <f t="shared" si="147"/>
        <v>0</v>
      </c>
      <c r="Z246" s="67"/>
      <c r="AA246" s="67">
        <f t="shared" si="112"/>
        <v>0</v>
      </c>
      <c r="AB246" s="67"/>
      <c r="AC246" s="67"/>
      <c r="AD246" s="4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row>
    <row r="247" spans="1:54" ht="25.5">
      <c r="A247" s="69" t="s">
        <v>30</v>
      </c>
      <c r="B247" s="52" t="s">
        <v>364</v>
      </c>
      <c r="C247" s="65" t="s">
        <v>482</v>
      </c>
      <c r="D247" s="66"/>
      <c r="E247" s="46">
        <f t="shared" si="95"/>
        <v>0</v>
      </c>
      <c r="F247" s="67">
        <f>IF($C247="820",$D247,)</f>
        <v>0</v>
      </c>
      <c r="G247" s="67">
        <f t="shared" si="165"/>
        <v>0</v>
      </c>
      <c r="H247" s="67">
        <f>IF($C247="864",$D247,)</f>
        <v>0</v>
      </c>
      <c r="I247" s="67">
        <f>IF($C247="867",$D247,)</f>
        <v>0</v>
      </c>
      <c r="J247" s="67">
        <f>IF($C247="861",$D247,)</f>
        <v>0</v>
      </c>
      <c r="K247" s="67">
        <f>IF($C247="862",$D247,)</f>
        <v>0</v>
      </c>
      <c r="L247" s="67">
        <f>IF($C247="865",$D247,)</f>
        <v>0</v>
      </c>
      <c r="M247" s="67">
        <f>IF($C247="868",$D247,)</f>
        <v>0</v>
      </c>
      <c r="N247" s="67">
        <f>IF($C247="869",$D247,)</f>
        <v>0</v>
      </c>
      <c r="O247" s="67">
        <f>IF($C247="871",$D247,)</f>
        <v>0</v>
      </c>
      <c r="P247" s="67">
        <f>IF($C247="874",$D247,)</f>
        <v>0</v>
      </c>
      <c r="Q247" s="67">
        <f>IF($C247="873",$D247,)</f>
        <v>0</v>
      </c>
      <c r="R247" s="67"/>
      <c r="S247" s="67"/>
      <c r="T247" s="67">
        <f t="shared" si="129"/>
        <v>0</v>
      </c>
      <c r="U247" s="67">
        <f>IF($C247="877",$D247,)</f>
        <v>0</v>
      </c>
      <c r="V247" s="67">
        <f>IF($C247="875",$D247,)</f>
        <v>0</v>
      </c>
      <c r="W247" s="67">
        <f>IF($C247="872",$D247,)</f>
        <v>0</v>
      </c>
      <c r="X247" s="67">
        <f>IF($C247="909",$D247,)</f>
        <v>0</v>
      </c>
      <c r="Y247" s="67">
        <f t="shared" si="147"/>
        <v>0</v>
      </c>
      <c r="Z247" s="67"/>
      <c r="AA247" s="67">
        <f t="shared" si="112"/>
        <v>0</v>
      </c>
      <c r="AB247" s="67"/>
      <c r="AC247" s="67"/>
      <c r="AD247" s="4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row>
    <row r="248" spans="1:54">
      <c r="A248" s="69" t="s">
        <v>30</v>
      </c>
      <c r="B248" s="52" t="s">
        <v>365</v>
      </c>
      <c r="C248" s="65" t="s">
        <v>482</v>
      </c>
      <c r="D248" s="66"/>
      <c r="E248" s="46">
        <f t="shared" si="95"/>
        <v>0</v>
      </c>
      <c r="F248" s="67">
        <f>IF($C248="820",$D248,)</f>
        <v>0</v>
      </c>
      <c r="G248" s="67">
        <f t="shared" si="165"/>
        <v>0</v>
      </c>
      <c r="H248" s="67">
        <f>IF($C248="864",$D248,)</f>
        <v>0</v>
      </c>
      <c r="I248" s="67">
        <f>IF($C248="867",$D248,)</f>
        <v>0</v>
      </c>
      <c r="J248" s="67">
        <f>IF($C248="861",$D248,)</f>
        <v>0</v>
      </c>
      <c r="K248" s="67">
        <f>IF($C248="862",$D248,)</f>
        <v>0</v>
      </c>
      <c r="L248" s="67">
        <f>IF($C248="865",$D248,)</f>
        <v>0</v>
      </c>
      <c r="M248" s="67">
        <f>IF($C248="868",$D248,)</f>
        <v>0</v>
      </c>
      <c r="N248" s="67">
        <f>IF($C248="869",$D248,)</f>
        <v>0</v>
      </c>
      <c r="O248" s="67">
        <f>IF($C248="871",$D248,)</f>
        <v>0</v>
      </c>
      <c r="P248" s="67">
        <f>IF($C248="874",$D248,)</f>
        <v>0</v>
      </c>
      <c r="Q248" s="67">
        <f>IF($C248="873",$D248,)</f>
        <v>0</v>
      </c>
      <c r="R248" s="67"/>
      <c r="S248" s="67"/>
      <c r="T248" s="67">
        <f t="shared" si="129"/>
        <v>0</v>
      </c>
      <c r="U248" s="67">
        <f>IF($C248="877",$D248,)</f>
        <v>0</v>
      </c>
      <c r="V248" s="67">
        <f>IF($C248="875",$D248,)</f>
        <v>0</v>
      </c>
      <c r="W248" s="67">
        <f>IF($C248="872",$D248,)</f>
        <v>0</v>
      </c>
      <c r="X248" s="67">
        <f>IF($C248="909",$D248,)</f>
        <v>0</v>
      </c>
      <c r="Y248" s="67">
        <f t="shared" si="147"/>
        <v>0</v>
      </c>
      <c r="Z248" s="67"/>
      <c r="AA248" s="67">
        <f t="shared" si="112"/>
        <v>0</v>
      </c>
      <c r="AB248" s="67"/>
      <c r="AC248" s="67"/>
      <c r="AD248" s="4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row>
    <row r="249" spans="1:54" ht="25.5">
      <c r="A249" s="69">
        <v>55</v>
      </c>
      <c r="B249" s="52" t="s">
        <v>366</v>
      </c>
      <c r="C249" s="65" t="s">
        <v>494</v>
      </c>
      <c r="D249" s="66"/>
      <c r="E249" s="46">
        <f t="shared" si="95"/>
        <v>0</v>
      </c>
      <c r="F249" s="67">
        <f>IF($C249="820",$D249,)</f>
        <v>0</v>
      </c>
      <c r="G249" s="67">
        <f t="shared" si="165"/>
        <v>0</v>
      </c>
      <c r="H249" s="67">
        <f>IF($C249="864",$D249,)</f>
        <v>0</v>
      </c>
      <c r="I249" s="67">
        <f>IF($C249="867",$D249,)</f>
        <v>0</v>
      </c>
      <c r="J249" s="67">
        <f>IF($C249="861",$D249,)</f>
        <v>0</v>
      </c>
      <c r="K249" s="67">
        <f>IF($C249="862",$D249,)</f>
        <v>0</v>
      </c>
      <c r="L249" s="67">
        <f>IF($C249="865",$D249,)</f>
        <v>0</v>
      </c>
      <c r="M249" s="67">
        <f>IF($C249="868",$D249,)</f>
        <v>0</v>
      </c>
      <c r="N249" s="67">
        <f>IF($C249="869",$D249,)</f>
        <v>0</v>
      </c>
      <c r="O249" s="67">
        <f>IF($C249="871",$D249,)</f>
        <v>0</v>
      </c>
      <c r="P249" s="67">
        <f>IF($C249="874",$D249,)</f>
        <v>0</v>
      </c>
      <c r="Q249" s="67">
        <f>IF($C249="873",$D249,)</f>
        <v>0</v>
      </c>
      <c r="R249" s="67"/>
      <c r="S249" s="67"/>
      <c r="T249" s="67">
        <f t="shared" si="129"/>
        <v>0</v>
      </c>
      <c r="U249" s="67">
        <f>IF($C249="877",$D249,)</f>
        <v>0</v>
      </c>
      <c r="V249" s="67">
        <f>IF($C249="875",$D249,)</f>
        <v>0</v>
      </c>
      <c r="W249" s="67">
        <f>IF($C249="872",$D249,)</f>
        <v>0</v>
      </c>
      <c r="X249" s="67">
        <f>IF($C249="909",$D249,)</f>
        <v>0</v>
      </c>
      <c r="Y249" s="67">
        <f t="shared" si="147"/>
        <v>0</v>
      </c>
      <c r="Z249" s="67"/>
      <c r="AA249" s="67"/>
      <c r="AB249" s="67"/>
      <c r="AC249" s="67"/>
      <c r="AD249" s="4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row>
    <row r="250" spans="1:54" s="81" customFormat="1" ht="25.5">
      <c r="A250" s="79" t="s">
        <v>33</v>
      </c>
      <c r="B250" s="59" t="s">
        <v>495</v>
      </c>
      <c r="C250" s="80" t="s">
        <v>482</v>
      </c>
      <c r="D250" s="61"/>
      <c r="E250" s="46">
        <f t="shared" si="95"/>
        <v>0</v>
      </c>
      <c r="F250" s="62">
        <f>IF($C250="820",$D250,)</f>
        <v>0</v>
      </c>
      <c r="G250" s="62">
        <f t="shared" si="165"/>
        <v>0</v>
      </c>
      <c r="H250" s="62">
        <f>IF($C250="864",$D250,)</f>
        <v>0</v>
      </c>
      <c r="I250" s="62">
        <f>IF($C250="867",$D250,)</f>
        <v>0</v>
      </c>
      <c r="J250" s="62">
        <f>IF($C250="861",$D250,)</f>
        <v>0</v>
      </c>
      <c r="K250" s="62">
        <f>IF($C250="862",$D250,)</f>
        <v>0</v>
      </c>
      <c r="L250" s="62">
        <f>IF($C250="865",$D250,)</f>
        <v>0</v>
      </c>
      <c r="M250" s="62">
        <f>IF($C250="868",$D250,)</f>
        <v>0</v>
      </c>
      <c r="N250" s="62">
        <f>IF($C250="869",$D250,)</f>
        <v>0</v>
      </c>
      <c r="O250" s="62">
        <f>IF($C250="871",$D250,)</f>
        <v>0</v>
      </c>
      <c r="P250" s="62">
        <f>IF($C250="874",$D250,)</f>
        <v>0</v>
      </c>
      <c r="Q250" s="62">
        <f>IF($C250="873",$D250,)</f>
        <v>0</v>
      </c>
      <c r="R250" s="62"/>
      <c r="S250" s="62"/>
      <c r="T250" s="62">
        <f t="shared" si="129"/>
        <v>0</v>
      </c>
      <c r="U250" s="62">
        <f>IF($C250="877",$D250,)</f>
        <v>0</v>
      </c>
      <c r="V250" s="62">
        <f>IF($C250="875",$D250,)</f>
        <v>0</v>
      </c>
      <c r="W250" s="62">
        <f>IF($C250="872",$D250,)</f>
        <v>0</v>
      </c>
      <c r="X250" s="62">
        <f>IF($C250="909",$D250,)</f>
        <v>0</v>
      </c>
      <c r="Y250" s="62">
        <f t="shared" si="147"/>
        <v>0</v>
      </c>
      <c r="Z250" s="62"/>
      <c r="AA250" s="62">
        <f t="shared" si="112"/>
        <v>0</v>
      </c>
      <c r="AB250" s="62"/>
      <c r="AC250" s="62"/>
      <c r="AD250" s="47"/>
      <c r="AE250" s="62"/>
      <c r="AF250" s="62"/>
      <c r="AG250" s="62"/>
      <c r="AH250" s="62"/>
      <c r="AI250" s="62"/>
      <c r="AJ250" s="62"/>
      <c r="AK250" s="62"/>
      <c r="AL250" s="62"/>
      <c r="AM250" s="62"/>
      <c r="AN250" s="62"/>
      <c r="AO250" s="62"/>
      <c r="AP250" s="62"/>
      <c r="AQ250" s="62"/>
      <c r="AR250" s="62"/>
      <c r="AS250" s="62"/>
      <c r="AT250" s="62"/>
      <c r="AU250" s="62"/>
      <c r="AV250" s="62"/>
      <c r="AW250" s="62"/>
      <c r="AX250" s="62"/>
      <c r="AY250" s="62"/>
      <c r="AZ250" s="62"/>
      <c r="BA250" s="62"/>
      <c r="BB250" s="62"/>
    </row>
    <row r="251" spans="1:54" ht="25.5">
      <c r="A251" s="69" t="s">
        <v>367</v>
      </c>
      <c r="B251" s="64" t="s">
        <v>496</v>
      </c>
      <c r="C251" s="65" t="s">
        <v>482</v>
      </c>
      <c r="D251" s="66"/>
      <c r="E251" s="46">
        <f t="shared" si="95"/>
        <v>0</v>
      </c>
      <c r="F251" s="67">
        <f t="shared" ref="F251:F267" si="168">IF($C251="820",$D251,)</f>
        <v>0</v>
      </c>
      <c r="G251" s="67">
        <f t="shared" si="165"/>
        <v>0</v>
      </c>
      <c r="H251" s="67">
        <f t="shared" ref="H251:H267" si="169">IF($C251="864",$D251,)</f>
        <v>0</v>
      </c>
      <c r="I251" s="67">
        <f t="shared" ref="I251:I267" si="170">IF($C251="867",$D251,)</f>
        <v>0</v>
      </c>
      <c r="J251" s="67">
        <f t="shared" ref="J251:J267" si="171">IF($C251="861",$D251,)</f>
        <v>0</v>
      </c>
      <c r="K251" s="67">
        <f t="shared" ref="K251:K267" si="172">IF($C251="862",$D251,)</f>
        <v>0</v>
      </c>
      <c r="L251" s="67">
        <f t="shared" ref="L251:L267" si="173">IF($C251="865",$D251,)</f>
        <v>0</v>
      </c>
      <c r="M251" s="67">
        <f t="shared" ref="M251:M267" si="174">IF($C251="868",$D251,)</f>
        <v>0</v>
      </c>
      <c r="N251" s="67">
        <f t="shared" ref="N251:N267" si="175">IF($C251="869",$D251,)</f>
        <v>0</v>
      </c>
      <c r="O251" s="67">
        <f t="shared" ref="O251:O267" si="176">IF($C251="871",$D251,)</f>
        <v>0</v>
      </c>
      <c r="P251" s="67">
        <f t="shared" ref="P251:P267" si="177">IF($C251="874",$D251,)</f>
        <v>0</v>
      </c>
      <c r="Q251" s="67">
        <f t="shared" ref="Q251:Q267" si="178">IF($C251="873",$D251,)</f>
        <v>0</v>
      </c>
      <c r="R251" s="67"/>
      <c r="S251" s="67"/>
      <c r="T251" s="67">
        <f t="shared" si="129"/>
        <v>0</v>
      </c>
      <c r="U251" s="67">
        <f t="shared" ref="U251:U267" si="179">IF($C251="877",$D251,)</f>
        <v>0</v>
      </c>
      <c r="V251" s="67">
        <f t="shared" ref="V251:V267" si="180">IF($C251="875",$D251,)</f>
        <v>0</v>
      </c>
      <c r="W251" s="67">
        <f t="shared" ref="W251:W267" si="181">IF($C251="872",$D251,)</f>
        <v>0</v>
      </c>
      <c r="X251" s="67">
        <f t="shared" ref="X251:X267" si="182">IF($C251="909",$D251,)</f>
        <v>0</v>
      </c>
      <c r="Y251" s="67">
        <f t="shared" si="147"/>
        <v>0</v>
      </c>
      <c r="Z251" s="67"/>
      <c r="AA251" s="67"/>
      <c r="AB251" s="67"/>
      <c r="AC251" s="67"/>
      <c r="AD251" s="4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row>
    <row r="252" spans="1:54" ht="25.5">
      <c r="A252" s="69" t="s">
        <v>368</v>
      </c>
      <c r="B252" s="64" t="s">
        <v>497</v>
      </c>
      <c r="C252" s="65" t="s">
        <v>482</v>
      </c>
      <c r="D252" s="66"/>
      <c r="E252" s="46">
        <f t="shared" si="95"/>
        <v>0</v>
      </c>
      <c r="F252" s="67">
        <f t="shared" si="168"/>
        <v>0</v>
      </c>
      <c r="G252" s="67">
        <f t="shared" si="165"/>
        <v>0</v>
      </c>
      <c r="H252" s="67">
        <f t="shared" si="169"/>
        <v>0</v>
      </c>
      <c r="I252" s="67">
        <f t="shared" si="170"/>
        <v>0</v>
      </c>
      <c r="J252" s="67">
        <f t="shared" si="171"/>
        <v>0</v>
      </c>
      <c r="K252" s="67">
        <f t="shared" si="172"/>
        <v>0</v>
      </c>
      <c r="L252" s="67">
        <f t="shared" si="173"/>
        <v>0</v>
      </c>
      <c r="M252" s="67">
        <f t="shared" si="174"/>
        <v>0</v>
      </c>
      <c r="N252" s="67">
        <f t="shared" si="175"/>
        <v>0</v>
      </c>
      <c r="O252" s="67">
        <f t="shared" si="176"/>
        <v>0</v>
      </c>
      <c r="P252" s="67">
        <f t="shared" si="177"/>
        <v>0</v>
      </c>
      <c r="Q252" s="67">
        <f t="shared" si="178"/>
        <v>0</v>
      </c>
      <c r="R252" s="67"/>
      <c r="S252" s="67"/>
      <c r="T252" s="67">
        <f t="shared" si="129"/>
        <v>0</v>
      </c>
      <c r="U252" s="67">
        <f t="shared" si="179"/>
        <v>0</v>
      </c>
      <c r="V252" s="67">
        <f t="shared" si="180"/>
        <v>0</v>
      </c>
      <c r="W252" s="67">
        <f t="shared" si="181"/>
        <v>0</v>
      </c>
      <c r="X252" s="67">
        <f t="shared" si="182"/>
        <v>0</v>
      </c>
      <c r="Y252" s="67">
        <f t="shared" si="147"/>
        <v>0</v>
      </c>
      <c r="Z252" s="67"/>
      <c r="AA252" s="67"/>
      <c r="AB252" s="67"/>
      <c r="AC252" s="67"/>
      <c r="AD252" s="4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row>
    <row r="253" spans="1:54" ht="25.5">
      <c r="A253" s="69" t="s">
        <v>369</v>
      </c>
      <c r="B253" s="64" t="s">
        <v>498</v>
      </c>
      <c r="C253" s="65" t="s">
        <v>482</v>
      </c>
      <c r="D253" s="66"/>
      <c r="E253" s="46">
        <f t="shared" si="95"/>
        <v>0</v>
      </c>
      <c r="F253" s="67">
        <f t="shared" si="168"/>
        <v>0</v>
      </c>
      <c r="G253" s="67">
        <f t="shared" si="165"/>
        <v>0</v>
      </c>
      <c r="H253" s="67">
        <f t="shared" si="169"/>
        <v>0</v>
      </c>
      <c r="I253" s="67">
        <f t="shared" si="170"/>
        <v>0</v>
      </c>
      <c r="J253" s="67">
        <f t="shared" si="171"/>
        <v>0</v>
      </c>
      <c r="K253" s="67">
        <f t="shared" si="172"/>
        <v>0</v>
      </c>
      <c r="L253" s="67">
        <f t="shared" si="173"/>
        <v>0</v>
      </c>
      <c r="M253" s="67">
        <f t="shared" si="174"/>
        <v>0</v>
      </c>
      <c r="N253" s="67">
        <f t="shared" si="175"/>
        <v>0</v>
      </c>
      <c r="O253" s="67">
        <f t="shared" si="176"/>
        <v>0</v>
      </c>
      <c r="P253" s="67">
        <f t="shared" si="177"/>
        <v>0</v>
      </c>
      <c r="Q253" s="67">
        <f t="shared" si="178"/>
        <v>0</v>
      </c>
      <c r="R253" s="67"/>
      <c r="S253" s="67"/>
      <c r="T253" s="67">
        <f t="shared" si="129"/>
        <v>0</v>
      </c>
      <c r="U253" s="67">
        <f t="shared" si="179"/>
        <v>0</v>
      </c>
      <c r="V253" s="67">
        <f t="shared" si="180"/>
        <v>0</v>
      </c>
      <c r="W253" s="67">
        <f t="shared" si="181"/>
        <v>0</v>
      </c>
      <c r="X253" s="67">
        <f t="shared" si="182"/>
        <v>0</v>
      </c>
      <c r="Y253" s="67">
        <f t="shared" si="147"/>
        <v>0</v>
      </c>
      <c r="Z253" s="67"/>
      <c r="AA253" s="67"/>
      <c r="AB253" s="67"/>
      <c r="AC253" s="67"/>
      <c r="AD253" s="4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row>
    <row r="254" spans="1:54">
      <c r="A254" s="69" t="s">
        <v>370</v>
      </c>
      <c r="B254" s="64" t="s">
        <v>499</v>
      </c>
      <c r="C254" s="65" t="s">
        <v>482</v>
      </c>
      <c r="D254" s="66"/>
      <c r="E254" s="46">
        <f t="shared" si="95"/>
        <v>0</v>
      </c>
      <c r="F254" s="67">
        <f t="shared" si="168"/>
        <v>0</v>
      </c>
      <c r="G254" s="67">
        <f t="shared" si="165"/>
        <v>0</v>
      </c>
      <c r="H254" s="67">
        <f t="shared" si="169"/>
        <v>0</v>
      </c>
      <c r="I254" s="67">
        <f t="shared" si="170"/>
        <v>0</v>
      </c>
      <c r="J254" s="67">
        <f t="shared" si="171"/>
        <v>0</v>
      </c>
      <c r="K254" s="67">
        <f t="shared" si="172"/>
        <v>0</v>
      </c>
      <c r="L254" s="67">
        <f t="shared" si="173"/>
        <v>0</v>
      </c>
      <c r="M254" s="67">
        <f t="shared" si="174"/>
        <v>0</v>
      </c>
      <c r="N254" s="67">
        <f t="shared" si="175"/>
        <v>0</v>
      </c>
      <c r="O254" s="67">
        <f t="shared" si="176"/>
        <v>0</v>
      </c>
      <c r="P254" s="67">
        <f t="shared" si="177"/>
        <v>0</v>
      </c>
      <c r="Q254" s="67">
        <f t="shared" si="178"/>
        <v>0</v>
      </c>
      <c r="R254" s="67"/>
      <c r="S254" s="67"/>
      <c r="T254" s="67">
        <f t="shared" si="129"/>
        <v>0</v>
      </c>
      <c r="U254" s="67">
        <f t="shared" si="179"/>
        <v>0</v>
      </c>
      <c r="V254" s="67">
        <f t="shared" si="180"/>
        <v>0</v>
      </c>
      <c r="W254" s="67">
        <f t="shared" si="181"/>
        <v>0</v>
      </c>
      <c r="X254" s="67">
        <f t="shared" si="182"/>
        <v>0</v>
      </c>
      <c r="Y254" s="67">
        <f t="shared" si="147"/>
        <v>0</v>
      </c>
      <c r="Z254" s="67"/>
      <c r="AA254" s="67"/>
      <c r="AB254" s="67"/>
      <c r="AC254" s="67"/>
      <c r="AD254" s="4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row>
    <row r="255" spans="1:54">
      <c r="A255" s="69" t="s">
        <v>371</v>
      </c>
      <c r="B255" s="64" t="s">
        <v>500</v>
      </c>
      <c r="C255" s="65" t="s">
        <v>482</v>
      </c>
      <c r="D255" s="66"/>
      <c r="E255" s="46">
        <f t="shared" si="95"/>
        <v>0</v>
      </c>
      <c r="F255" s="67">
        <f t="shared" si="168"/>
        <v>0</v>
      </c>
      <c r="G255" s="67">
        <f t="shared" si="165"/>
        <v>0</v>
      </c>
      <c r="H255" s="67">
        <f t="shared" si="169"/>
        <v>0</v>
      </c>
      <c r="I255" s="67">
        <f t="shared" si="170"/>
        <v>0</v>
      </c>
      <c r="J255" s="67">
        <f t="shared" si="171"/>
        <v>0</v>
      </c>
      <c r="K255" s="67">
        <f t="shared" si="172"/>
        <v>0</v>
      </c>
      <c r="L255" s="67">
        <f t="shared" si="173"/>
        <v>0</v>
      </c>
      <c r="M255" s="67">
        <f t="shared" si="174"/>
        <v>0</v>
      </c>
      <c r="N255" s="67">
        <f t="shared" si="175"/>
        <v>0</v>
      </c>
      <c r="O255" s="67">
        <f t="shared" si="176"/>
        <v>0</v>
      </c>
      <c r="P255" s="67">
        <f t="shared" si="177"/>
        <v>0</v>
      </c>
      <c r="Q255" s="67">
        <f t="shared" si="178"/>
        <v>0</v>
      </c>
      <c r="R255" s="67"/>
      <c r="S255" s="67"/>
      <c r="T255" s="67">
        <f t="shared" si="129"/>
        <v>0</v>
      </c>
      <c r="U255" s="67">
        <f t="shared" si="179"/>
        <v>0</v>
      </c>
      <c r="V255" s="67">
        <f t="shared" si="180"/>
        <v>0</v>
      </c>
      <c r="W255" s="67">
        <f t="shared" si="181"/>
        <v>0</v>
      </c>
      <c r="X255" s="67">
        <f t="shared" si="182"/>
        <v>0</v>
      </c>
      <c r="Y255" s="67">
        <f t="shared" si="147"/>
        <v>0</v>
      </c>
      <c r="Z255" s="67"/>
      <c r="AA255" s="67"/>
      <c r="AB255" s="67"/>
      <c r="AC255" s="67"/>
      <c r="AD255" s="4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row>
    <row r="256" spans="1:54">
      <c r="A256" s="69" t="s">
        <v>372</v>
      </c>
      <c r="B256" s="64" t="s">
        <v>247</v>
      </c>
      <c r="C256" s="65" t="s">
        <v>482</v>
      </c>
      <c r="D256" s="66"/>
      <c r="E256" s="46">
        <f t="shared" si="95"/>
        <v>0</v>
      </c>
      <c r="F256" s="67">
        <f t="shared" si="168"/>
        <v>0</v>
      </c>
      <c r="G256" s="67">
        <f t="shared" si="165"/>
        <v>0</v>
      </c>
      <c r="H256" s="67">
        <f t="shared" si="169"/>
        <v>0</v>
      </c>
      <c r="I256" s="67">
        <f t="shared" si="170"/>
        <v>0</v>
      </c>
      <c r="J256" s="67">
        <f t="shared" si="171"/>
        <v>0</v>
      </c>
      <c r="K256" s="67">
        <f t="shared" si="172"/>
        <v>0</v>
      </c>
      <c r="L256" s="67">
        <f t="shared" si="173"/>
        <v>0</v>
      </c>
      <c r="M256" s="67">
        <f t="shared" si="174"/>
        <v>0</v>
      </c>
      <c r="N256" s="67">
        <f t="shared" si="175"/>
        <v>0</v>
      </c>
      <c r="O256" s="67">
        <f t="shared" si="176"/>
        <v>0</v>
      </c>
      <c r="P256" s="67">
        <f t="shared" si="177"/>
        <v>0</v>
      </c>
      <c r="Q256" s="67">
        <f t="shared" si="178"/>
        <v>0</v>
      </c>
      <c r="R256" s="67"/>
      <c r="S256" s="67"/>
      <c r="T256" s="67">
        <f t="shared" si="129"/>
        <v>0</v>
      </c>
      <c r="U256" s="67">
        <f t="shared" si="179"/>
        <v>0</v>
      </c>
      <c r="V256" s="67">
        <f t="shared" si="180"/>
        <v>0</v>
      </c>
      <c r="W256" s="67">
        <f t="shared" si="181"/>
        <v>0</v>
      </c>
      <c r="X256" s="67">
        <f t="shared" si="182"/>
        <v>0</v>
      </c>
      <c r="Y256" s="67">
        <f t="shared" si="147"/>
        <v>0</v>
      </c>
      <c r="Z256" s="67"/>
      <c r="AA256" s="67"/>
      <c r="AB256" s="67"/>
      <c r="AC256" s="67"/>
      <c r="AD256" s="4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row>
    <row r="257" spans="1:54" ht="25.5">
      <c r="A257" s="69" t="s">
        <v>373</v>
      </c>
      <c r="B257" s="64" t="s">
        <v>501</v>
      </c>
      <c r="C257" s="65" t="s">
        <v>482</v>
      </c>
      <c r="D257" s="66"/>
      <c r="E257" s="46">
        <f t="shared" si="95"/>
        <v>0</v>
      </c>
      <c r="F257" s="67">
        <f t="shared" si="168"/>
        <v>0</v>
      </c>
      <c r="G257" s="67">
        <f t="shared" si="165"/>
        <v>0</v>
      </c>
      <c r="H257" s="67">
        <f t="shared" si="169"/>
        <v>0</v>
      </c>
      <c r="I257" s="67">
        <f t="shared" si="170"/>
        <v>0</v>
      </c>
      <c r="J257" s="67">
        <f t="shared" si="171"/>
        <v>0</v>
      </c>
      <c r="K257" s="67">
        <f t="shared" si="172"/>
        <v>0</v>
      </c>
      <c r="L257" s="67">
        <f t="shared" si="173"/>
        <v>0</v>
      </c>
      <c r="M257" s="67">
        <f t="shared" si="174"/>
        <v>0</v>
      </c>
      <c r="N257" s="67">
        <f t="shared" si="175"/>
        <v>0</v>
      </c>
      <c r="O257" s="67">
        <f t="shared" si="176"/>
        <v>0</v>
      </c>
      <c r="P257" s="67">
        <f t="shared" si="177"/>
        <v>0</v>
      </c>
      <c r="Q257" s="67">
        <f t="shared" si="178"/>
        <v>0</v>
      </c>
      <c r="R257" s="67"/>
      <c r="S257" s="67"/>
      <c r="T257" s="67">
        <f t="shared" si="129"/>
        <v>0</v>
      </c>
      <c r="U257" s="67">
        <f t="shared" si="179"/>
        <v>0</v>
      </c>
      <c r="V257" s="67">
        <f t="shared" si="180"/>
        <v>0</v>
      </c>
      <c r="W257" s="67">
        <f t="shared" si="181"/>
        <v>0</v>
      </c>
      <c r="X257" s="67">
        <f t="shared" si="182"/>
        <v>0</v>
      </c>
      <c r="Y257" s="67">
        <f t="shared" si="147"/>
        <v>0</v>
      </c>
      <c r="Z257" s="67"/>
      <c r="AA257" s="67"/>
      <c r="AB257" s="67"/>
      <c r="AC257" s="67"/>
      <c r="AD257" s="4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row>
    <row r="258" spans="1:54" ht="25.5">
      <c r="A258" s="69" t="s">
        <v>379</v>
      </c>
      <c r="B258" s="64" t="s">
        <v>502</v>
      </c>
      <c r="C258" s="65" t="s">
        <v>482</v>
      </c>
      <c r="D258" s="66"/>
      <c r="E258" s="46">
        <f t="shared" si="95"/>
        <v>0</v>
      </c>
      <c r="F258" s="67">
        <f t="shared" si="168"/>
        <v>0</v>
      </c>
      <c r="G258" s="67">
        <f t="shared" si="165"/>
        <v>0</v>
      </c>
      <c r="H258" s="67">
        <f t="shared" si="169"/>
        <v>0</v>
      </c>
      <c r="I258" s="67">
        <f t="shared" si="170"/>
        <v>0</v>
      </c>
      <c r="J258" s="67">
        <f t="shared" si="171"/>
        <v>0</v>
      </c>
      <c r="K258" s="67">
        <f t="shared" si="172"/>
        <v>0</v>
      </c>
      <c r="L258" s="67">
        <f t="shared" si="173"/>
        <v>0</v>
      </c>
      <c r="M258" s="67">
        <f t="shared" si="174"/>
        <v>0</v>
      </c>
      <c r="N258" s="67">
        <f t="shared" si="175"/>
        <v>0</v>
      </c>
      <c r="O258" s="67">
        <f t="shared" si="176"/>
        <v>0</v>
      </c>
      <c r="P258" s="67">
        <f t="shared" si="177"/>
        <v>0</v>
      </c>
      <c r="Q258" s="67">
        <f t="shared" si="178"/>
        <v>0</v>
      </c>
      <c r="R258" s="67"/>
      <c r="S258" s="67"/>
      <c r="T258" s="67">
        <f t="shared" si="129"/>
        <v>0</v>
      </c>
      <c r="U258" s="67">
        <f t="shared" si="179"/>
        <v>0</v>
      </c>
      <c r="V258" s="67">
        <f t="shared" si="180"/>
        <v>0</v>
      </c>
      <c r="W258" s="67">
        <f t="shared" si="181"/>
        <v>0</v>
      </c>
      <c r="X258" s="67">
        <f t="shared" si="182"/>
        <v>0</v>
      </c>
      <c r="Y258" s="67">
        <f t="shared" si="147"/>
        <v>0</v>
      </c>
      <c r="Z258" s="67"/>
      <c r="AA258" s="67"/>
      <c r="AB258" s="67"/>
      <c r="AC258" s="67"/>
      <c r="AD258" s="4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row>
    <row r="259" spans="1:54">
      <c r="A259" s="69" t="s">
        <v>383</v>
      </c>
      <c r="B259" s="64" t="s">
        <v>503</v>
      </c>
      <c r="C259" s="65" t="s">
        <v>482</v>
      </c>
      <c r="D259" s="66"/>
      <c r="E259" s="46">
        <f t="shared" si="95"/>
        <v>0</v>
      </c>
      <c r="F259" s="67">
        <f t="shared" si="168"/>
        <v>0</v>
      </c>
      <c r="G259" s="67">
        <f t="shared" si="165"/>
        <v>0</v>
      </c>
      <c r="H259" s="67">
        <f t="shared" si="169"/>
        <v>0</v>
      </c>
      <c r="I259" s="67">
        <f t="shared" si="170"/>
        <v>0</v>
      </c>
      <c r="J259" s="67">
        <f t="shared" si="171"/>
        <v>0</v>
      </c>
      <c r="K259" s="67">
        <f t="shared" si="172"/>
        <v>0</v>
      </c>
      <c r="L259" s="67">
        <f t="shared" si="173"/>
        <v>0</v>
      </c>
      <c r="M259" s="67">
        <f t="shared" si="174"/>
        <v>0</v>
      </c>
      <c r="N259" s="67">
        <f t="shared" si="175"/>
        <v>0</v>
      </c>
      <c r="O259" s="67">
        <f t="shared" si="176"/>
        <v>0</v>
      </c>
      <c r="P259" s="67">
        <f t="shared" si="177"/>
        <v>0</v>
      </c>
      <c r="Q259" s="67">
        <f t="shared" si="178"/>
        <v>0</v>
      </c>
      <c r="R259" s="67"/>
      <c r="S259" s="67"/>
      <c r="T259" s="67">
        <f t="shared" si="129"/>
        <v>0</v>
      </c>
      <c r="U259" s="67">
        <f t="shared" si="179"/>
        <v>0</v>
      </c>
      <c r="V259" s="67">
        <f t="shared" si="180"/>
        <v>0</v>
      </c>
      <c r="W259" s="67">
        <f t="shared" si="181"/>
        <v>0</v>
      </c>
      <c r="X259" s="67">
        <f t="shared" si="182"/>
        <v>0</v>
      </c>
      <c r="Y259" s="67">
        <f t="shared" si="147"/>
        <v>0</v>
      </c>
      <c r="Z259" s="67"/>
      <c r="AA259" s="67"/>
      <c r="AB259" s="67"/>
      <c r="AC259" s="67"/>
      <c r="AD259" s="4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row>
    <row r="260" spans="1:54" ht="25.5">
      <c r="A260" s="69" t="s">
        <v>387</v>
      </c>
      <c r="B260" s="64" t="s">
        <v>504</v>
      </c>
      <c r="C260" s="65" t="s">
        <v>482</v>
      </c>
      <c r="D260" s="66"/>
      <c r="E260" s="46">
        <f t="shared" si="95"/>
        <v>0</v>
      </c>
      <c r="F260" s="67">
        <f t="shared" si="168"/>
        <v>0</v>
      </c>
      <c r="G260" s="67">
        <f t="shared" si="165"/>
        <v>0</v>
      </c>
      <c r="H260" s="67">
        <f t="shared" si="169"/>
        <v>0</v>
      </c>
      <c r="I260" s="67">
        <f t="shared" si="170"/>
        <v>0</v>
      </c>
      <c r="J260" s="67">
        <f t="shared" si="171"/>
        <v>0</v>
      </c>
      <c r="K260" s="67">
        <f t="shared" si="172"/>
        <v>0</v>
      </c>
      <c r="L260" s="67">
        <f t="shared" si="173"/>
        <v>0</v>
      </c>
      <c r="M260" s="67">
        <f t="shared" si="174"/>
        <v>0</v>
      </c>
      <c r="N260" s="67">
        <f t="shared" si="175"/>
        <v>0</v>
      </c>
      <c r="O260" s="67">
        <f t="shared" si="176"/>
        <v>0</v>
      </c>
      <c r="P260" s="67">
        <f t="shared" si="177"/>
        <v>0</v>
      </c>
      <c r="Q260" s="67">
        <f t="shared" si="178"/>
        <v>0</v>
      </c>
      <c r="R260" s="67"/>
      <c r="S260" s="67"/>
      <c r="T260" s="67">
        <f t="shared" si="129"/>
        <v>0</v>
      </c>
      <c r="U260" s="67">
        <f t="shared" si="179"/>
        <v>0</v>
      </c>
      <c r="V260" s="67">
        <f t="shared" si="180"/>
        <v>0</v>
      </c>
      <c r="W260" s="67">
        <f t="shared" si="181"/>
        <v>0</v>
      </c>
      <c r="X260" s="67">
        <f t="shared" si="182"/>
        <v>0</v>
      </c>
      <c r="Y260" s="67">
        <f t="shared" si="147"/>
        <v>0</v>
      </c>
      <c r="Z260" s="67"/>
      <c r="AA260" s="67"/>
      <c r="AB260" s="67"/>
      <c r="AC260" s="67"/>
      <c r="AD260" s="4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row>
    <row r="261" spans="1:54">
      <c r="A261" s="69" t="s">
        <v>388</v>
      </c>
      <c r="B261" s="64" t="s">
        <v>505</v>
      </c>
      <c r="C261" s="65" t="s">
        <v>482</v>
      </c>
      <c r="D261" s="66"/>
      <c r="E261" s="46">
        <f t="shared" si="95"/>
        <v>0</v>
      </c>
      <c r="F261" s="67">
        <f t="shared" si="168"/>
        <v>0</v>
      </c>
      <c r="G261" s="67">
        <f t="shared" si="165"/>
        <v>0</v>
      </c>
      <c r="H261" s="67">
        <f t="shared" si="169"/>
        <v>0</v>
      </c>
      <c r="I261" s="67">
        <f t="shared" si="170"/>
        <v>0</v>
      </c>
      <c r="J261" s="67">
        <f t="shared" si="171"/>
        <v>0</v>
      </c>
      <c r="K261" s="67">
        <f t="shared" si="172"/>
        <v>0</v>
      </c>
      <c r="L261" s="67">
        <f t="shared" si="173"/>
        <v>0</v>
      </c>
      <c r="M261" s="67">
        <f t="shared" si="174"/>
        <v>0</v>
      </c>
      <c r="N261" s="67">
        <f t="shared" si="175"/>
        <v>0</v>
      </c>
      <c r="O261" s="67">
        <f t="shared" si="176"/>
        <v>0</v>
      </c>
      <c r="P261" s="67">
        <f t="shared" si="177"/>
        <v>0</v>
      </c>
      <c r="Q261" s="67">
        <f t="shared" si="178"/>
        <v>0</v>
      </c>
      <c r="R261" s="67"/>
      <c r="S261" s="67"/>
      <c r="T261" s="67">
        <f t="shared" si="129"/>
        <v>0</v>
      </c>
      <c r="U261" s="67">
        <f t="shared" si="179"/>
        <v>0</v>
      </c>
      <c r="V261" s="67">
        <f t="shared" si="180"/>
        <v>0</v>
      </c>
      <c r="W261" s="67">
        <f t="shared" si="181"/>
        <v>0</v>
      </c>
      <c r="X261" s="67">
        <f t="shared" si="182"/>
        <v>0</v>
      </c>
      <c r="Y261" s="67">
        <f t="shared" si="147"/>
        <v>0</v>
      </c>
      <c r="Z261" s="67"/>
      <c r="AA261" s="67"/>
      <c r="AB261" s="67"/>
      <c r="AC261" s="67"/>
      <c r="AD261" s="4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row>
    <row r="262" spans="1:54">
      <c r="A262" s="69" t="s">
        <v>389</v>
      </c>
      <c r="B262" s="64" t="s">
        <v>506</v>
      </c>
      <c r="C262" s="65" t="s">
        <v>482</v>
      </c>
      <c r="D262" s="66"/>
      <c r="E262" s="46">
        <f t="shared" si="95"/>
        <v>0</v>
      </c>
      <c r="F262" s="67">
        <f t="shared" si="168"/>
        <v>0</v>
      </c>
      <c r="G262" s="67">
        <f t="shared" si="165"/>
        <v>0</v>
      </c>
      <c r="H262" s="67">
        <f t="shared" si="169"/>
        <v>0</v>
      </c>
      <c r="I262" s="67">
        <f t="shared" si="170"/>
        <v>0</v>
      </c>
      <c r="J262" s="67">
        <f t="shared" si="171"/>
        <v>0</v>
      </c>
      <c r="K262" s="67">
        <f t="shared" si="172"/>
        <v>0</v>
      </c>
      <c r="L262" s="67">
        <f t="shared" si="173"/>
        <v>0</v>
      </c>
      <c r="M262" s="67">
        <f t="shared" si="174"/>
        <v>0</v>
      </c>
      <c r="N262" s="67">
        <f t="shared" si="175"/>
        <v>0</v>
      </c>
      <c r="O262" s="67">
        <f t="shared" si="176"/>
        <v>0</v>
      </c>
      <c r="P262" s="67">
        <f t="shared" si="177"/>
        <v>0</v>
      </c>
      <c r="Q262" s="67">
        <f t="shared" si="178"/>
        <v>0</v>
      </c>
      <c r="R262" s="67"/>
      <c r="S262" s="67"/>
      <c r="T262" s="67">
        <f t="shared" si="129"/>
        <v>0</v>
      </c>
      <c r="U262" s="67">
        <f t="shared" si="179"/>
        <v>0</v>
      </c>
      <c r="V262" s="67">
        <f t="shared" si="180"/>
        <v>0</v>
      </c>
      <c r="W262" s="67">
        <f t="shared" si="181"/>
        <v>0</v>
      </c>
      <c r="X262" s="67">
        <f t="shared" si="182"/>
        <v>0</v>
      </c>
      <c r="Y262" s="67">
        <f t="shared" si="147"/>
        <v>0</v>
      </c>
      <c r="Z262" s="67"/>
      <c r="AA262" s="67"/>
      <c r="AB262" s="67"/>
      <c r="AC262" s="67"/>
      <c r="AD262" s="4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row>
    <row r="263" spans="1:54">
      <c r="A263" s="69" t="s">
        <v>390</v>
      </c>
      <c r="B263" s="64" t="s">
        <v>507</v>
      </c>
      <c r="C263" s="65" t="s">
        <v>482</v>
      </c>
      <c r="D263" s="66"/>
      <c r="E263" s="46">
        <f t="shared" si="95"/>
        <v>0</v>
      </c>
      <c r="F263" s="67">
        <f t="shared" si="168"/>
        <v>0</v>
      </c>
      <c r="G263" s="67">
        <f t="shared" si="165"/>
        <v>0</v>
      </c>
      <c r="H263" s="67">
        <f t="shared" si="169"/>
        <v>0</v>
      </c>
      <c r="I263" s="67">
        <f t="shared" si="170"/>
        <v>0</v>
      </c>
      <c r="J263" s="67">
        <f t="shared" si="171"/>
        <v>0</v>
      </c>
      <c r="K263" s="67">
        <f t="shared" si="172"/>
        <v>0</v>
      </c>
      <c r="L263" s="67">
        <f t="shared" si="173"/>
        <v>0</v>
      </c>
      <c r="M263" s="67">
        <f t="shared" si="174"/>
        <v>0</v>
      </c>
      <c r="N263" s="67">
        <f t="shared" si="175"/>
        <v>0</v>
      </c>
      <c r="O263" s="67">
        <f t="shared" si="176"/>
        <v>0</v>
      </c>
      <c r="P263" s="67">
        <f t="shared" si="177"/>
        <v>0</v>
      </c>
      <c r="Q263" s="67">
        <f t="shared" si="178"/>
        <v>0</v>
      </c>
      <c r="R263" s="67"/>
      <c r="S263" s="67"/>
      <c r="T263" s="67">
        <f t="shared" si="129"/>
        <v>0</v>
      </c>
      <c r="U263" s="67">
        <f t="shared" si="179"/>
        <v>0</v>
      </c>
      <c r="V263" s="67">
        <f t="shared" si="180"/>
        <v>0</v>
      </c>
      <c r="W263" s="67">
        <f t="shared" si="181"/>
        <v>0</v>
      </c>
      <c r="X263" s="67">
        <f t="shared" si="182"/>
        <v>0</v>
      </c>
      <c r="Y263" s="67">
        <f t="shared" si="147"/>
        <v>0</v>
      </c>
      <c r="Z263" s="67"/>
      <c r="AA263" s="67"/>
      <c r="AB263" s="67"/>
      <c r="AC263" s="67"/>
      <c r="AD263" s="4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row>
    <row r="264" spans="1:54">
      <c r="A264" s="69" t="s">
        <v>391</v>
      </c>
      <c r="B264" s="64" t="s">
        <v>508</v>
      </c>
      <c r="C264" s="65" t="s">
        <v>482</v>
      </c>
      <c r="D264" s="66"/>
      <c r="E264" s="46">
        <f t="shared" si="95"/>
        <v>0</v>
      </c>
      <c r="F264" s="67">
        <f t="shared" si="168"/>
        <v>0</v>
      </c>
      <c r="G264" s="67">
        <f t="shared" si="165"/>
        <v>0</v>
      </c>
      <c r="H264" s="67">
        <f t="shared" si="169"/>
        <v>0</v>
      </c>
      <c r="I264" s="67">
        <f t="shared" si="170"/>
        <v>0</v>
      </c>
      <c r="J264" s="67">
        <f t="shared" si="171"/>
        <v>0</v>
      </c>
      <c r="K264" s="67">
        <f t="shared" si="172"/>
        <v>0</v>
      </c>
      <c r="L264" s="67">
        <f t="shared" si="173"/>
        <v>0</v>
      </c>
      <c r="M264" s="67">
        <f t="shared" si="174"/>
        <v>0</v>
      </c>
      <c r="N264" s="67">
        <f t="shared" si="175"/>
        <v>0</v>
      </c>
      <c r="O264" s="67">
        <f t="shared" si="176"/>
        <v>0</v>
      </c>
      <c r="P264" s="67">
        <f t="shared" si="177"/>
        <v>0</v>
      </c>
      <c r="Q264" s="67">
        <f t="shared" si="178"/>
        <v>0</v>
      </c>
      <c r="R264" s="67"/>
      <c r="S264" s="67"/>
      <c r="T264" s="67">
        <f t="shared" si="129"/>
        <v>0</v>
      </c>
      <c r="U264" s="67">
        <f t="shared" si="179"/>
        <v>0</v>
      </c>
      <c r="V264" s="67">
        <f t="shared" si="180"/>
        <v>0</v>
      </c>
      <c r="W264" s="67">
        <f t="shared" si="181"/>
        <v>0</v>
      </c>
      <c r="X264" s="67">
        <f t="shared" si="182"/>
        <v>0</v>
      </c>
      <c r="Y264" s="67">
        <f t="shared" si="147"/>
        <v>0</v>
      </c>
      <c r="Z264" s="67"/>
      <c r="AA264" s="67"/>
      <c r="AB264" s="67"/>
      <c r="AC264" s="67"/>
      <c r="AD264" s="4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row>
    <row r="265" spans="1:54" ht="25.5">
      <c r="A265" s="69" t="s">
        <v>392</v>
      </c>
      <c r="B265" s="64" t="s">
        <v>509</v>
      </c>
      <c r="C265" s="65" t="s">
        <v>482</v>
      </c>
      <c r="D265" s="66"/>
      <c r="E265" s="46">
        <f t="shared" si="95"/>
        <v>0</v>
      </c>
      <c r="F265" s="67">
        <f t="shared" si="168"/>
        <v>0</v>
      </c>
      <c r="G265" s="67">
        <f t="shared" si="165"/>
        <v>0</v>
      </c>
      <c r="H265" s="67">
        <f t="shared" si="169"/>
        <v>0</v>
      </c>
      <c r="I265" s="67">
        <f t="shared" si="170"/>
        <v>0</v>
      </c>
      <c r="J265" s="67">
        <f t="shared" si="171"/>
        <v>0</v>
      </c>
      <c r="K265" s="67">
        <f t="shared" si="172"/>
        <v>0</v>
      </c>
      <c r="L265" s="67">
        <f t="shared" si="173"/>
        <v>0</v>
      </c>
      <c r="M265" s="67">
        <f t="shared" si="174"/>
        <v>0</v>
      </c>
      <c r="N265" s="67">
        <f t="shared" si="175"/>
        <v>0</v>
      </c>
      <c r="O265" s="67">
        <f t="shared" si="176"/>
        <v>0</v>
      </c>
      <c r="P265" s="67">
        <f t="shared" si="177"/>
        <v>0</v>
      </c>
      <c r="Q265" s="67">
        <f t="shared" si="178"/>
        <v>0</v>
      </c>
      <c r="R265" s="67"/>
      <c r="S265" s="67"/>
      <c r="T265" s="67">
        <f t="shared" si="129"/>
        <v>0</v>
      </c>
      <c r="U265" s="67">
        <f t="shared" si="179"/>
        <v>0</v>
      </c>
      <c r="V265" s="67">
        <f t="shared" si="180"/>
        <v>0</v>
      </c>
      <c r="W265" s="67">
        <f t="shared" si="181"/>
        <v>0</v>
      </c>
      <c r="X265" s="67">
        <f t="shared" si="182"/>
        <v>0</v>
      </c>
      <c r="Y265" s="67">
        <f t="shared" si="147"/>
        <v>0</v>
      </c>
      <c r="Z265" s="67"/>
      <c r="AA265" s="67"/>
      <c r="AB265" s="67"/>
      <c r="AC265" s="67"/>
      <c r="AD265" s="4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row>
    <row r="266" spans="1:54">
      <c r="A266" s="69" t="s">
        <v>510</v>
      </c>
      <c r="B266" s="64" t="s">
        <v>323</v>
      </c>
      <c r="C266" s="65" t="s">
        <v>482</v>
      </c>
      <c r="D266" s="66"/>
      <c r="E266" s="46">
        <f t="shared" si="95"/>
        <v>0</v>
      </c>
      <c r="F266" s="67">
        <f t="shared" si="168"/>
        <v>0</v>
      </c>
      <c r="G266" s="67">
        <f t="shared" si="165"/>
        <v>0</v>
      </c>
      <c r="H266" s="67">
        <f t="shared" si="169"/>
        <v>0</v>
      </c>
      <c r="I266" s="67">
        <f t="shared" si="170"/>
        <v>0</v>
      </c>
      <c r="J266" s="67">
        <f t="shared" si="171"/>
        <v>0</v>
      </c>
      <c r="K266" s="67">
        <f t="shared" si="172"/>
        <v>0</v>
      </c>
      <c r="L266" s="67">
        <f t="shared" si="173"/>
        <v>0</v>
      </c>
      <c r="M266" s="67">
        <f t="shared" si="174"/>
        <v>0</v>
      </c>
      <c r="N266" s="67">
        <f t="shared" si="175"/>
        <v>0</v>
      </c>
      <c r="O266" s="67">
        <f t="shared" si="176"/>
        <v>0</v>
      </c>
      <c r="P266" s="67">
        <f t="shared" si="177"/>
        <v>0</v>
      </c>
      <c r="Q266" s="67">
        <f t="shared" si="178"/>
        <v>0</v>
      </c>
      <c r="R266" s="67"/>
      <c r="S266" s="67"/>
      <c r="T266" s="67">
        <f t="shared" si="129"/>
        <v>0</v>
      </c>
      <c r="U266" s="67">
        <f t="shared" si="179"/>
        <v>0</v>
      </c>
      <c r="V266" s="67">
        <f t="shared" si="180"/>
        <v>0</v>
      </c>
      <c r="W266" s="67">
        <f t="shared" si="181"/>
        <v>0</v>
      </c>
      <c r="X266" s="67">
        <f t="shared" si="182"/>
        <v>0</v>
      </c>
      <c r="Y266" s="67">
        <f t="shared" si="147"/>
        <v>0</v>
      </c>
      <c r="Z266" s="67"/>
      <c r="AA266" s="67"/>
      <c r="AB266" s="67"/>
      <c r="AC266" s="67"/>
      <c r="AD266" s="4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row>
    <row r="267" spans="1:54">
      <c r="A267" s="69" t="s">
        <v>511</v>
      </c>
      <c r="B267" s="64" t="s">
        <v>512</v>
      </c>
      <c r="C267" s="65" t="s">
        <v>482</v>
      </c>
      <c r="D267" s="66"/>
      <c r="E267" s="46">
        <f t="shared" si="95"/>
        <v>0</v>
      </c>
      <c r="F267" s="67">
        <f t="shared" si="168"/>
        <v>0</v>
      </c>
      <c r="G267" s="67">
        <f t="shared" si="165"/>
        <v>0</v>
      </c>
      <c r="H267" s="67">
        <f t="shared" si="169"/>
        <v>0</v>
      </c>
      <c r="I267" s="67">
        <f t="shared" si="170"/>
        <v>0</v>
      </c>
      <c r="J267" s="67">
        <f t="shared" si="171"/>
        <v>0</v>
      </c>
      <c r="K267" s="67">
        <f t="shared" si="172"/>
        <v>0</v>
      </c>
      <c r="L267" s="67">
        <f t="shared" si="173"/>
        <v>0</v>
      </c>
      <c r="M267" s="67">
        <f t="shared" si="174"/>
        <v>0</v>
      </c>
      <c r="N267" s="67">
        <f t="shared" si="175"/>
        <v>0</v>
      </c>
      <c r="O267" s="67">
        <f t="shared" si="176"/>
        <v>0</v>
      </c>
      <c r="P267" s="67">
        <f t="shared" si="177"/>
        <v>0</v>
      </c>
      <c r="Q267" s="67">
        <f t="shared" si="178"/>
        <v>0</v>
      </c>
      <c r="R267" s="67"/>
      <c r="S267" s="67"/>
      <c r="T267" s="67">
        <f t="shared" si="129"/>
        <v>0</v>
      </c>
      <c r="U267" s="67">
        <f t="shared" si="179"/>
        <v>0</v>
      </c>
      <c r="V267" s="67">
        <f t="shared" si="180"/>
        <v>0</v>
      </c>
      <c r="W267" s="67">
        <f t="shared" si="181"/>
        <v>0</v>
      </c>
      <c r="X267" s="67">
        <f t="shared" si="182"/>
        <v>0</v>
      </c>
      <c r="Y267" s="67">
        <f t="shared" si="147"/>
        <v>0</v>
      </c>
      <c r="Z267" s="67"/>
      <c r="AA267" s="67"/>
      <c r="AB267" s="67"/>
      <c r="AC267" s="67"/>
      <c r="AD267" s="4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row>
    <row r="268" spans="1:54" s="81" customFormat="1" ht="51">
      <c r="A268" s="79" t="s">
        <v>37</v>
      </c>
      <c r="B268" s="82" t="s">
        <v>513</v>
      </c>
      <c r="C268" s="80" t="s">
        <v>482</v>
      </c>
      <c r="D268" s="61"/>
      <c r="E268" s="46">
        <f t="shared" si="95"/>
        <v>0</v>
      </c>
      <c r="F268" s="62">
        <f>IF($C268="820",$D268,)</f>
        <v>0</v>
      </c>
      <c r="G268" s="62">
        <f t="shared" si="165"/>
        <v>0</v>
      </c>
      <c r="H268" s="62">
        <f>IF($C268="864",$D268,)</f>
        <v>0</v>
      </c>
      <c r="I268" s="62">
        <f>IF($C268="867",$D268,)</f>
        <v>0</v>
      </c>
      <c r="J268" s="62">
        <f>IF($C268="861",$D268,)</f>
        <v>0</v>
      </c>
      <c r="K268" s="62">
        <f>IF($C268="862",$D268,)</f>
        <v>0</v>
      </c>
      <c r="L268" s="62">
        <f>IF($C268="865",$D268,)</f>
        <v>0</v>
      </c>
      <c r="M268" s="62">
        <f>IF($C268="868",$D268,)</f>
        <v>0</v>
      </c>
      <c r="N268" s="62">
        <f>IF($C268="869",$D268,)</f>
        <v>0</v>
      </c>
      <c r="O268" s="62">
        <f>IF($C268="871",$D268,)</f>
        <v>0</v>
      </c>
      <c r="P268" s="62">
        <f>IF($C268="874",$D268,)</f>
        <v>0</v>
      </c>
      <c r="Q268" s="62">
        <f>IF($C268="873",$D268,)</f>
        <v>0</v>
      </c>
      <c r="R268" s="62"/>
      <c r="S268" s="62"/>
      <c r="T268" s="62">
        <f t="shared" si="129"/>
        <v>0</v>
      </c>
      <c r="U268" s="62">
        <f>IF($C268="877",$D268,)</f>
        <v>0</v>
      </c>
      <c r="V268" s="62">
        <f>IF($C268="875",$D268,)</f>
        <v>0</v>
      </c>
      <c r="W268" s="62">
        <f>IF($C268="872",$D268,)</f>
        <v>0</v>
      </c>
      <c r="X268" s="62">
        <f>IF($C268="909",$D268,)</f>
        <v>0</v>
      </c>
      <c r="Y268" s="62">
        <f t="shared" si="147"/>
        <v>0</v>
      </c>
      <c r="Z268" s="62"/>
      <c r="AA268" s="62">
        <f t="shared" si="112"/>
        <v>0</v>
      </c>
      <c r="AB268" s="62"/>
      <c r="AC268" s="62"/>
      <c r="AD268" s="47"/>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62"/>
      <c r="BB268" s="62"/>
    </row>
    <row r="269" spans="1:54" s="81" customFormat="1" ht="25.5">
      <c r="A269" s="79" t="s">
        <v>39</v>
      </c>
      <c r="B269" s="59" t="s">
        <v>514</v>
      </c>
      <c r="C269" s="80"/>
      <c r="D269" s="61">
        <f>D270+D271</f>
        <v>0</v>
      </c>
      <c r="E269" s="46">
        <f t="shared" si="95"/>
        <v>0</v>
      </c>
      <c r="F269" s="62">
        <f>F270+F271</f>
        <v>0</v>
      </c>
      <c r="G269" s="62">
        <f t="shared" si="165"/>
        <v>0</v>
      </c>
      <c r="H269" s="62">
        <f>H270+H271</f>
        <v>0</v>
      </c>
      <c r="I269" s="62">
        <f t="shared" ref="I269:Q269" si="183">I270+I271</f>
        <v>0</v>
      </c>
      <c r="J269" s="62">
        <f t="shared" si="183"/>
        <v>0</v>
      </c>
      <c r="K269" s="62">
        <f t="shared" si="183"/>
        <v>0</v>
      </c>
      <c r="L269" s="62">
        <f t="shared" si="183"/>
        <v>0</v>
      </c>
      <c r="M269" s="62">
        <f t="shared" si="183"/>
        <v>0</v>
      </c>
      <c r="N269" s="62">
        <f t="shared" si="183"/>
        <v>0</v>
      </c>
      <c r="O269" s="62">
        <f t="shared" si="183"/>
        <v>0</v>
      </c>
      <c r="P269" s="62">
        <f t="shared" si="183"/>
        <v>0</v>
      </c>
      <c r="Q269" s="62">
        <f t="shared" si="183"/>
        <v>0</v>
      </c>
      <c r="R269" s="62"/>
      <c r="S269" s="62"/>
      <c r="T269" s="62">
        <f t="shared" si="129"/>
        <v>0</v>
      </c>
      <c r="U269" s="62">
        <f>U270+U271</f>
        <v>0</v>
      </c>
      <c r="V269" s="62">
        <f>V270+V271</f>
        <v>0</v>
      </c>
      <c r="W269" s="62">
        <f>W270+W271</f>
        <v>0</v>
      </c>
      <c r="X269" s="62">
        <f>X270+X271</f>
        <v>0</v>
      </c>
      <c r="Y269" s="62">
        <f t="shared" si="147"/>
        <v>0</v>
      </c>
      <c r="Z269" s="62"/>
      <c r="AA269" s="62">
        <f t="shared" si="112"/>
        <v>0</v>
      </c>
      <c r="AB269" s="62"/>
      <c r="AC269" s="62"/>
      <c r="AD269" s="47"/>
      <c r="AE269" s="62"/>
      <c r="AF269" s="62"/>
      <c r="AG269" s="62"/>
      <c r="AH269" s="62"/>
      <c r="AI269" s="62"/>
      <c r="AJ269" s="62"/>
      <c r="AK269" s="62"/>
      <c r="AL269" s="62"/>
      <c r="AM269" s="62"/>
      <c r="AN269" s="62"/>
      <c r="AO269" s="62"/>
      <c r="AP269" s="62"/>
      <c r="AQ269" s="62"/>
      <c r="AR269" s="62"/>
      <c r="AS269" s="62"/>
      <c r="AT269" s="62"/>
      <c r="AU269" s="62"/>
      <c r="AV269" s="62"/>
      <c r="AW269" s="62"/>
      <c r="AX269" s="62"/>
      <c r="AY269" s="62"/>
      <c r="AZ269" s="62"/>
      <c r="BA269" s="62"/>
      <c r="BB269" s="62"/>
    </row>
    <row r="270" spans="1:54" ht="25.5">
      <c r="A270" s="73" t="s">
        <v>30</v>
      </c>
      <c r="B270" s="83" t="s">
        <v>515</v>
      </c>
      <c r="C270" s="65" t="s">
        <v>487</v>
      </c>
      <c r="D270" s="66"/>
      <c r="E270" s="46">
        <f t="shared" ref="E270:E333" si="184">F270+G270+Y270+Z270+AA270</f>
        <v>0</v>
      </c>
      <c r="F270" s="67">
        <f>IF($C270="820",$D270,)</f>
        <v>0</v>
      </c>
      <c r="G270" s="67">
        <f t="shared" si="165"/>
        <v>0</v>
      </c>
      <c r="H270" s="67">
        <f>IF($C270="864",$D270,)</f>
        <v>0</v>
      </c>
      <c r="I270" s="67">
        <f>IF($C270="867",$D270,)</f>
        <v>0</v>
      </c>
      <c r="J270" s="67">
        <f>IF($C270="861",$D270,)</f>
        <v>0</v>
      </c>
      <c r="K270" s="67">
        <f>IF($C270="862",$D270,)</f>
        <v>0</v>
      </c>
      <c r="L270" s="67">
        <f>IF($C270="865",$D270,)</f>
        <v>0</v>
      </c>
      <c r="M270" s="67">
        <f>IF($C270="868",$D270,)</f>
        <v>0</v>
      </c>
      <c r="N270" s="67">
        <f>IF($C270="869",$D270,)</f>
        <v>0</v>
      </c>
      <c r="O270" s="67">
        <f>IF($C270="871",$D270,)</f>
        <v>0</v>
      </c>
      <c r="P270" s="67">
        <f>IF($C270="874",$D270,)</f>
        <v>0</v>
      </c>
      <c r="Q270" s="67">
        <f>IF($C270="873",$D270,)</f>
        <v>0</v>
      </c>
      <c r="R270" s="67"/>
      <c r="S270" s="67"/>
      <c r="T270" s="67">
        <f t="shared" si="129"/>
        <v>0</v>
      </c>
      <c r="U270" s="67">
        <f>IF($C270="877",$D270,)</f>
        <v>0</v>
      </c>
      <c r="V270" s="67">
        <f>IF($C270="875",$D270,)</f>
        <v>0</v>
      </c>
      <c r="W270" s="67">
        <f>IF($C270="872",$D270,)</f>
        <v>0</v>
      </c>
      <c r="X270" s="67">
        <f>IF($C270="909",$D270,)</f>
        <v>0</v>
      </c>
      <c r="Y270" s="67">
        <f t="shared" si="147"/>
        <v>0</v>
      </c>
      <c r="Z270" s="67"/>
      <c r="AA270" s="67">
        <f t="shared" si="112"/>
        <v>0</v>
      </c>
      <c r="AB270" s="67"/>
      <c r="AC270" s="67"/>
      <c r="AD270" s="4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row>
    <row r="271" spans="1:54" ht="38.25">
      <c r="A271" s="73" t="s">
        <v>30</v>
      </c>
      <c r="B271" s="52" t="s">
        <v>516</v>
      </c>
      <c r="C271" s="65" t="s">
        <v>487</v>
      </c>
      <c r="D271" s="66"/>
      <c r="E271" s="46">
        <f t="shared" si="184"/>
        <v>0</v>
      </c>
      <c r="F271" s="67">
        <f>IF($C271="820",$D271,)</f>
        <v>0</v>
      </c>
      <c r="G271" s="67">
        <f t="shared" si="165"/>
        <v>0</v>
      </c>
      <c r="H271" s="67">
        <f>IF($C271="864",$D271,)</f>
        <v>0</v>
      </c>
      <c r="I271" s="67">
        <f>IF($C271="867",$D271,)</f>
        <v>0</v>
      </c>
      <c r="J271" s="67">
        <f>IF($C271="861",$D271,)</f>
        <v>0</v>
      </c>
      <c r="K271" s="67">
        <f>IF($C271="862",$D271,)</f>
        <v>0</v>
      </c>
      <c r="L271" s="67">
        <f>IF($C271="865",$D271,)</f>
        <v>0</v>
      </c>
      <c r="M271" s="67">
        <f>IF($C271="868",$D271,)</f>
        <v>0</v>
      </c>
      <c r="N271" s="67">
        <f>IF($C271="869",$D271,)</f>
        <v>0</v>
      </c>
      <c r="O271" s="67">
        <f>IF($C271="871",$D271,)</f>
        <v>0</v>
      </c>
      <c r="P271" s="67">
        <f>IF($C271="874",$D271,)</f>
        <v>0</v>
      </c>
      <c r="Q271" s="67">
        <f>IF($C271="873",$D271,)</f>
        <v>0</v>
      </c>
      <c r="R271" s="67"/>
      <c r="S271" s="67"/>
      <c r="T271" s="67">
        <f t="shared" si="129"/>
        <v>0</v>
      </c>
      <c r="U271" s="67">
        <f>IF($C271="877",$D271,)</f>
        <v>0</v>
      </c>
      <c r="V271" s="67">
        <f>IF($C271="875",$D271,)</f>
        <v>0</v>
      </c>
      <c r="W271" s="67">
        <f>IF($C271="872",$D271,)</f>
        <v>0</v>
      </c>
      <c r="X271" s="67">
        <f>IF($C271="909",$D271,)</f>
        <v>0</v>
      </c>
      <c r="Y271" s="67">
        <f t="shared" si="147"/>
        <v>0</v>
      </c>
      <c r="Z271" s="67"/>
      <c r="AA271" s="67">
        <f t="shared" si="112"/>
        <v>0</v>
      </c>
      <c r="AB271" s="67"/>
      <c r="AC271" s="67"/>
      <c r="AD271" s="4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row>
    <row r="272" spans="1:54" s="81" customFormat="1" ht="38.25">
      <c r="A272" s="79" t="s">
        <v>40</v>
      </c>
      <c r="B272" s="59" t="s">
        <v>517</v>
      </c>
      <c r="C272" s="84" t="s">
        <v>483</v>
      </c>
      <c r="D272" s="61"/>
      <c r="E272" s="46">
        <f t="shared" si="184"/>
        <v>0</v>
      </c>
      <c r="F272" s="62">
        <f>IF($C272="820",$D272,)</f>
        <v>0</v>
      </c>
      <c r="G272" s="62">
        <f t="shared" si="165"/>
        <v>0</v>
      </c>
      <c r="H272" s="62">
        <f>IF($C272="864",$D272,)</f>
        <v>0</v>
      </c>
      <c r="I272" s="62">
        <f>IF($C272="867",$D272,)</f>
        <v>0</v>
      </c>
      <c r="J272" s="62">
        <f>IF($C272="861",$D272,)</f>
        <v>0</v>
      </c>
      <c r="K272" s="62">
        <f>IF($C272="862",$D272,)</f>
        <v>0</v>
      </c>
      <c r="L272" s="62">
        <f>IF($C272="865",$D272,)</f>
        <v>0</v>
      </c>
      <c r="M272" s="62">
        <f>IF($C272="868",$D272,)</f>
        <v>0</v>
      </c>
      <c r="N272" s="62">
        <f>IF($C272="869",$D272,)</f>
        <v>0</v>
      </c>
      <c r="O272" s="62">
        <f>IF($C272="871",$D272,)</f>
        <v>0</v>
      </c>
      <c r="P272" s="62">
        <f>IF($C272="874",$D272,)</f>
        <v>0</v>
      </c>
      <c r="Q272" s="62">
        <f>IF($C272="873",$D272,)</f>
        <v>0</v>
      </c>
      <c r="R272" s="62"/>
      <c r="S272" s="62"/>
      <c r="T272" s="62">
        <f t="shared" si="129"/>
        <v>0</v>
      </c>
      <c r="U272" s="62">
        <f>IF($C272="877",$D272,)</f>
        <v>0</v>
      </c>
      <c r="V272" s="62">
        <f>IF($C272="875",$D272,)</f>
        <v>0</v>
      </c>
      <c r="W272" s="62">
        <f>IF($C272="872",$D272,)</f>
        <v>0</v>
      </c>
      <c r="X272" s="62">
        <f>IF($C272="909",$D272,)</f>
        <v>0</v>
      </c>
      <c r="Y272" s="62">
        <f t="shared" si="147"/>
        <v>0</v>
      </c>
      <c r="Z272" s="62"/>
      <c r="AA272" s="62">
        <f t="shared" si="112"/>
        <v>0</v>
      </c>
      <c r="AB272" s="62"/>
      <c r="AC272" s="62"/>
      <c r="AD272" s="47"/>
      <c r="AE272" s="62"/>
      <c r="AF272" s="62"/>
      <c r="AG272" s="62"/>
      <c r="AH272" s="62"/>
      <c r="AI272" s="62"/>
      <c r="AJ272" s="62"/>
      <c r="AK272" s="62"/>
      <c r="AL272" s="62"/>
      <c r="AM272" s="62"/>
      <c r="AN272" s="62"/>
      <c r="AO272" s="62"/>
      <c r="AP272" s="62"/>
      <c r="AQ272" s="62"/>
      <c r="AR272" s="62"/>
      <c r="AS272" s="62"/>
      <c r="AT272" s="62"/>
      <c r="AU272" s="62"/>
      <c r="AV272" s="62"/>
      <c r="AW272" s="62"/>
      <c r="AX272" s="62"/>
      <c r="AY272" s="62"/>
      <c r="AZ272" s="62"/>
      <c r="BA272" s="62"/>
      <c r="BB272" s="62"/>
    </row>
    <row r="273" spans="1:54" s="81" customFormat="1" ht="38.25">
      <c r="A273" s="79" t="s">
        <v>126</v>
      </c>
      <c r="B273" s="85" t="s">
        <v>518</v>
      </c>
      <c r="C273" s="84" t="s">
        <v>482</v>
      </c>
      <c r="D273" s="61"/>
      <c r="E273" s="46">
        <f t="shared" si="184"/>
        <v>0</v>
      </c>
      <c r="F273" s="62">
        <f>IF($C273="820",$D273,)</f>
        <v>0</v>
      </c>
      <c r="G273" s="62">
        <f t="shared" si="165"/>
        <v>0</v>
      </c>
      <c r="H273" s="62">
        <f>IF($C273="864",$D273,)</f>
        <v>0</v>
      </c>
      <c r="I273" s="62">
        <f>IF($C273="867",$D273,)</f>
        <v>0</v>
      </c>
      <c r="J273" s="62">
        <f>IF($C273="861",$D273,)</f>
        <v>0</v>
      </c>
      <c r="K273" s="62">
        <f>IF($C273="862",$D273,)</f>
        <v>0</v>
      </c>
      <c r="L273" s="62">
        <f>IF($C273="865",$D273,)</f>
        <v>0</v>
      </c>
      <c r="M273" s="62">
        <f>IF($C273="868",$D273,)</f>
        <v>0</v>
      </c>
      <c r="N273" s="62">
        <f>IF($C273="869",$D273,)</f>
        <v>0</v>
      </c>
      <c r="O273" s="62">
        <f>IF($C273="871",$D273,)</f>
        <v>0</v>
      </c>
      <c r="P273" s="62">
        <f>IF($C273="874",$D273,)</f>
        <v>0</v>
      </c>
      <c r="Q273" s="62">
        <f>IF($C273="873",$D273,)</f>
        <v>0</v>
      </c>
      <c r="R273" s="62"/>
      <c r="S273" s="62"/>
      <c r="T273" s="62">
        <f t="shared" si="129"/>
        <v>0</v>
      </c>
      <c r="U273" s="62">
        <f>IF($C273="877",$D273,)</f>
        <v>0</v>
      </c>
      <c r="V273" s="62">
        <f>IF($C273="875",$D273,)</f>
        <v>0</v>
      </c>
      <c r="W273" s="62">
        <f>IF($C273="872",$D273,)</f>
        <v>0</v>
      </c>
      <c r="X273" s="62">
        <f>IF($C273="909",$D273,)</f>
        <v>0</v>
      </c>
      <c r="Y273" s="62">
        <f t="shared" si="147"/>
        <v>0</v>
      </c>
      <c r="Z273" s="62"/>
      <c r="AA273" s="62"/>
      <c r="AB273" s="62"/>
      <c r="AC273" s="62"/>
      <c r="AD273" s="47"/>
      <c r="AE273" s="62"/>
      <c r="AF273" s="62"/>
      <c r="AG273" s="62"/>
      <c r="AH273" s="62"/>
      <c r="AI273" s="62"/>
      <c r="AJ273" s="62"/>
      <c r="AK273" s="62"/>
      <c r="AL273" s="62"/>
      <c r="AM273" s="62"/>
      <c r="AN273" s="62"/>
      <c r="AO273" s="62"/>
      <c r="AP273" s="62"/>
      <c r="AQ273" s="62"/>
      <c r="AR273" s="62"/>
      <c r="AS273" s="62"/>
      <c r="AT273" s="62"/>
      <c r="AU273" s="62"/>
      <c r="AV273" s="62"/>
      <c r="AW273" s="62"/>
      <c r="AX273" s="62"/>
      <c r="AY273" s="62"/>
      <c r="AZ273" s="62"/>
      <c r="BA273" s="62"/>
      <c r="BB273" s="62"/>
    </row>
    <row r="274" spans="1:54" s="81" customFormat="1">
      <c r="A274" s="79" t="s">
        <v>159</v>
      </c>
      <c r="B274" s="85" t="s">
        <v>519</v>
      </c>
      <c r="C274" s="86"/>
      <c r="D274" s="61">
        <f>D275+D277+D278+D279+D280+D281+D282+D283+D284+D285+D286+D287+D288</f>
        <v>0</v>
      </c>
      <c r="E274" s="46">
        <f t="shared" si="184"/>
        <v>0</v>
      </c>
      <c r="F274" s="62">
        <f>F275+F277+F278+F279+F289+F290</f>
        <v>0</v>
      </c>
      <c r="G274" s="62">
        <f t="shared" si="165"/>
        <v>0</v>
      </c>
      <c r="H274" s="61">
        <f>H275+H277+H278+H279+H280+H281+H282+H283+H284+H285+H286+H287+H288</f>
        <v>0</v>
      </c>
      <c r="I274" s="61">
        <f t="shared" ref="I274:Y274" si="185">I275+I277+I278+I279+I280+I281+I282+I283+I284+I285+I286+I287+I288</f>
        <v>0</v>
      </c>
      <c r="J274" s="61">
        <f t="shared" si="185"/>
        <v>0</v>
      </c>
      <c r="K274" s="61">
        <f t="shared" si="185"/>
        <v>0</v>
      </c>
      <c r="L274" s="61">
        <f t="shared" si="185"/>
        <v>0</v>
      </c>
      <c r="M274" s="61">
        <f t="shared" si="185"/>
        <v>0</v>
      </c>
      <c r="N274" s="61">
        <f t="shared" si="185"/>
        <v>0</v>
      </c>
      <c r="O274" s="61">
        <f t="shared" si="185"/>
        <v>0</v>
      </c>
      <c r="P274" s="61">
        <f t="shared" si="185"/>
        <v>0</v>
      </c>
      <c r="Q274" s="61">
        <f t="shared" si="185"/>
        <v>0</v>
      </c>
      <c r="R274" s="61">
        <f t="shared" si="185"/>
        <v>0</v>
      </c>
      <c r="S274" s="61">
        <f t="shared" si="185"/>
        <v>0</v>
      </c>
      <c r="T274" s="61">
        <f t="shared" si="185"/>
        <v>0</v>
      </c>
      <c r="U274" s="61">
        <f t="shared" si="185"/>
        <v>0</v>
      </c>
      <c r="V274" s="61">
        <f t="shared" si="185"/>
        <v>0</v>
      </c>
      <c r="W274" s="61">
        <f t="shared" si="185"/>
        <v>0</v>
      </c>
      <c r="X274" s="61">
        <f t="shared" si="185"/>
        <v>0</v>
      </c>
      <c r="Y274" s="61">
        <f t="shared" si="185"/>
        <v>0</v>
      </c>
      <c r="Z274" s="62"/>
      <c r="AA274" s="62">
        <f t="shared" si="112"/>
        <v>0</v>
      </c>
      <c r="AB274" s="62"/>
      <c r="AC274" s="62"/>
      <c r="AD274" s="47"/>
      <c r="AE274" s="62"/>
      <c r="AF274" s="62"/>
      <c r="AG274" s="61"/>
      <c r="AH274" s="61"/>
      <c r="AI274" s="61"/>
      <c r="AJ274" s="61"/>
      <c r="AK274" s="61"/>
      <c r="AL274" s="61"/>
      <c r="AM274" s="61"/>
      <c r="AN274" s="61"/>
      <c r="AO274" s="61"/>
      <c r="AP274" s="61"/>
      <c r="AQ274" s="61"/>
      <c r="AR274" s="61"/>
      <c r="AS274" s="61"/>
      <c r="AT274" s="61"/>
      <c r="AU274" s="61"/>
      <c r="AV274" s="61"/>
      <c r="AW274" s="61"/>
      <c r="AX274" s="61"/>
      <c r="AY274" s="62"/>
      <c r="AZ274" s="62"/>
      <c r="BA274" s="62"/>
      <c r="BB274" s="62"/>
    </row>
    <row r="275" spans="1:54">
      <c r="A275" s="71" t="s">
        <v>367</v>
      </c>
      <c r="B275" s="52" t="s">
        <v>520</v>
      </c>
      <c r="C275" s="65" t="s">
        <v>494</v>
      </c>
      <c r="D275" s="66"/>
      <c r="E275" s="46">
        <f t="shared" si="184"/>
        <v>0</v>
      </c>
      <c r="F275" s="67">
        <f t="shared" ref="F275:F300" si="186">IF($C275="820",$D275,)</f>
        <v>0</v>
      </c>
      <c r="G275" s="67">
        <f t="shared" si="165"/>
        <v>0</v>
      </c>
      <c r="H275" s="67">
        <f t="shared" ref="H275:H300" si="187">IF($C275="864",$D275,)</f>
        <v>0</v>
      </c>
      <c r="I275" s="67">
        <f t="shared" ref="I275:I300" si="188">IF($C275="867",$D275,)</f>
        <v>0</v>
      </c>
      <c r="J275" s="67">
        <f t="shared" ref="J275:J300" si="189">IF($C275="861",$D275,)</f>
        <v>0</v>
      </c>
      <c r="K275" s="67">
        <f t="shared" ref="K275:K300" si="190">IF($C275="862",$D275,)</f>
        <v>0</v>
      </c>
      <c r="L275" s="67">
        <f t="shared" ref="L275:L300" si="191">IF($C275="865",$D275,)</f>
        <v>0</v>
      </c>
      <c r="M275" s="67">
        <f t="shared" ref="M275:M300" si="192">IF($C275="868",$D275,)</f>
        <v>0</v>
      </c>
      <c r="N275" s="67">
        <f t="shared" ref="N275:N300" si="193">IF($C275="869",$D275,)</f>
        <v>0</v>
      </c>
      <c r="O275" s="67">
        <f t="shared" ref="O275:O300" si="194">IF($C275="871",$D275,)</f>
        <v>0</v>
      </c>
      <c r="P275" s="67">
        <f t="shared" ref="P275:P300" si="195">IF($C275="874",$D275,)</f>
        <v>0</v>
      </c>
      <c r="Q275" s="67">
        <f t="shared" ref="Q275:Q300" si="196">IF($C275="873",$D275,)</f>
        <v>0</v>
      </c>
      <c r="R275" s="67"/>
      <c r="S275" s="67"/>
      <c r="T275" s="67">
        <f t="shared" si="129"/>
        <v>0</v>
      </c>
      <c r="U275" s="67">
        <f>IF($C275="877",$D275,)</f>
        <v>0</v>
      </c>
      <c r="V275" s="67">
        <f t="shared" ref="V275:V300" si="197">IF($C275="875",$D275,)</f>
        <v>0</v>
      </c>
      <c r="W275" s="67">
        <f t="shared" ref="W275:W300" si="198">IF($C275="872",$D275,)</f>
        <v>0</v>
      </c>
      <c r="X275" s="67">
        <f t="shared" ref="X275:X300" si="199">IF($C275="909",$D275,)</f>
        <v>0</v>
      </c>
      <c r="Y275" s="67">
        <f t="shared" si="147"/>
        <v>0</v>
      </c>
      <c r="Z275" s="67"/>
      <c r="AA275" s="67">
        <f t="shared" si="112"/>
        <v>0</v>
      </c>
      <c r="AB275" s="67"/>
      <c r="AC275" s="67"/>
      <c r="AD275" s="4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row>
    <row r="276" spans="1:54" ht="63.75" hidden="1" customHeight="1" outlineLevel="1">
      <c r="A276" s="71"/>
      <c r="B276" s="52" t="s">
        <v>521</v>
      </c>
      <c r="C276" s="65" t="s">
        <v>494</v>
      </c>
      <c r="D276" s="66">
        <v>504</v>
      </c>
      <c r="E276" s="46">
        <f t="shared" si="184"/>
        <v>504</v>
      </c>
      <c r="F276" s="67">
        <f t="shared" si="186"/>
        <v>0</v>
      </c>
      <c r="G276" s="67">
        <f t="shared" si="165"/>
        <v>504</v>
      </c>
      <c r="H276" s="67">
        <f t="shared" si="187"/>
        <v>0</v>
      </c>
      <c r="I276" s="67">
        <f t="shared" si="188"/>
        <v>0</v>
      </c>
      <c r="J276" s="67">
        <f t="shared" si="189"/>
        <v>0</v>
      </c>
      <c r="K276" s="67">
        <f t="shared" si="190"/>
        <v>0</v>
      </c>
      <c r="L276" s="67">
        <f t="shared" si="191"/>
        <v>0</v>
      </c>
      <c r="M276" s="67">
        <f t="shared" si="192"/>
        <v>0</v>
      </c>
      <c r="N276" s="67">
        <f t="shared" si="193"/>
        <v>0</v>
      </c>
      <c r="O276" s="67">
        <f t="shared" si="194"/>
        <v>0</v>
      </c>
      <c r="P276" s="67">
        <f t="shared" si="195"/>
        <v>0</v>
      </c>
      <c r="Q276" s="67">
        <f t="shared" si="196"/>
        <v>0</v>
      </c>
      <c r="R276" s="67"/>
      <c r="S276" s="67"/>
      <c r="T276" s="67">
        <f t="shared" si="129"/>
        <v>0</v>
      </c>
      <c r="U276" s="67">
        <f t="shared" ref="U276:U300" si="200">IF($C276="877",$D276,)</f>
        <v>504</v>
      </c>
      <c r="V276" s="67">
        <f t="shared" si="197"/>
        <v>0</v>
      </c>
      <c r="W276" s="67">
        <f t="shared" si="198"/>
        <v>0</v>
      </c>
      <c r="X276" s="67">
        <f t="shared" si="199"/>
        <v>0</v>
      </c>
      <c r="Y276" s="67">
        <f t="shared" si="147"/>
        <v>0</v>
      </c>
      <c r="Z276" s="67"/>
      <c r="AA276" s="67"/>
      <c r="AB276" s="67"/>
      <c r="AC276" s="67"/>
      <c r="AD276" s="4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row>
    <row r="277" spans="1:54" ht="25.5" collapsed="1">
      <c r="A277" s="71" t="s">
        <v>368</v>
      </c>
      <c r="B277" s="52" t="s">
        <v>522</v>
      </c>
      <c r="C277" s="65" t="s">
        <v>494</v>
      </c>
      <c r="D277" s="66"/>
      <c r="E277" s="46">
        <f t="shared" si="184"/>
        <v>0</v>
      </c>
      <c r="F277" s="67">
        <f t="shared" si="186"/>
        <v>0</v>
      </c>
      <c r="G277" s="67">
        <f t="shared" si="165"/>
        <v>0</v>
      </c>
      <c r="H277" s="67">
        <f t="shared" si="187"/>
        <v>0</v>
      </c>
      <c r="I277" s="67">
        <f t="shared" si="188"/>
        <v>0</v>
      </c>
      <c r="J277" s="67">
        <f t="shared" si="189"/>
        <v>0</v>
      </c>
      <c r="K277" s="67">
        <f t="shared" si="190"/>
        <v>0</v>
      </c>
      <c r="L277" s="67">
        <f t="shared" si="191"/>
        <v>0</v>
      </c>
      <c r="M277" s="67">
        <f t="shared" si="192"/>
        <v>0</v>
      </c>
      <c r="N277" s="67">
        <f t="shared" si="193"/>
        <v>0</v>
      </c>
      <c r="O277" s="67">
        <f t="shared" si="194"/>
        <v>0</v>
      </c>
      <c r="P277" s="67">
        <f t="shared" si="195"/>
        <v>0</v>
      </c>
      <c r="Q277" s="67">
        <f t="shared" si="196"/>
        <v>0</v>
      </c>
      <c r="R277" s="67"/>
      <c r="S277" s="67"/>
      <c r="T277" s="67">
        <f t="shared" si="129"/>
        <v>0</v>
      </c>
      <c r="U277" s="67">
        <f t="shared" si="200"/>
        <v>0</v>
      </c>
      <c r="V277" s="67">
        <f t="shared" si="197"/>
        <v>0</v>
      </c>
      <c r="W277" s="67">
        <f t="shared" si="198"/>
        <v>0</v>
      </c>
      <c r="X277" s="67">
        <f t="shared" si="199"/>
        <v>0</v>
      </c>
      <c r="Y277" s="67">
        <f t="shared" si="147"/>
        <v>0</v>
      </c>
      <c r="Z277" s="67"/>
      <c r="AA277" s="67">
        <f t="shared" si="112"/>
        <v>0</v>
      </c>
      <c r="AB277" s="67"/>
      <c r="AC277" s="67"/>
      <c r="AD277" s="4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row>
    <row r="278" spans="1:54">
      <c r="A278" s="71" t="s">
        <v>369</v>
      </c>
      <c r="B278" s="52" t="s">
        <v>523</v>
      </c>
      <c r="C278" s="65" t="s">
        <v>494</v>
      </c>
      <c r="D278" s="66"/>
      <c r="E278" s="46">
        <f t="shared" si="184"/>
        <v>0</v>
      </c>
      <c r="F278" s="67">
        <f t="shared" si="186"/>
        <v>0</v>
      </c>
      <c r="G278" s="67">
        <f t="shared" si="165"/>
        <v>0</v>
      </c>
      <c r="H278" s="67">
        <f t="shared" si="187"/>
        <v>0</v>
      </c>
      <c r="I278" s="67">
        <f t="shared" si="188"/>
        <v>0</v>
      </c>
      <c r="J278" s="67">
        <f t="shared" si="189"/>
        <v>0</v>
      </c>
      <c r="K278" s="67">
        <f t="shared" si="190"/>
        <v>0</v>
      </c>
      <c r="L278" s="67">
        <f t="shared" si="191"/>
        <v>0</v>
      </c>
      <c r="M278" s="67">
        <f t="shared" si="192"/>
        <v>0</v>
      </c>
      <c r="N278" s="67">
        <f t="shared" si="193"/>
        <v>0</v>
      </c>
      <c r="O278" s="67">
        <f t="shared" si="194"/>
        <v>0</v>
      </c>
      <c r="P278" s="67">
        <f t="shared" si="195"/>
        <v>0</v>
      </c>
      <c r="Q278" s="67">
        <f t="shared" si="196"/>
        <v>0</v>
      </c>
      <c r="R278" s="67"/>
      <c r="S278" s="67"/>
      <c r="T278" s="67">
        <f t="shared" si="129"/>
        <v>0</v>
      </c>
      <c r="U278" s="67">
        <f t="shared" si="200"/>
        <v>0</v>
      </c>
      <c r="V278" s="67">
        <f t="shared" si="197"/>
        <v>0</v>
      </c>
      <c r="W278" s="67">
        <f t="shared" si="198"/>
        <v>0</v>
      </c>
      <c r="X278" s="67">
        <f t="shared" si="199"/>
        <v>0</v>
      </c>
      <c r="Y278" s="67">
        <f t="shared" si="147"/>
        <v>0</v>
      </c>
      <c r="Z278" s="67"/>
      <c r="AA278" s="67">
        <f t="shared" si="112"/>
        <v>0</v>
      </c>
      <c r="AB278" s="67"/>
      <c r="AC278" s="67"/>
      <c r="AD278" s="4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row>
    <row r="279" spans="1:54">
      <c r="A279" s="71" t="s">
        <v>370</v>
      </c>
      <c r="B279" s="52" t="s">
        <v>524</v>
      </c>
      <c r="C279" s="65" t="s">
        <v>494</v>
      </c>
      <c r="D279" s="66"/>
      <c r="E279" s="46">
        <f t="shared" si="184"/>
        <v>0</v>
      </c>
      <c r="F279" s="67">
        <f t="shared" si="186"/>
        <v>0</v>
      </c>
      <c r="G279" s="67">
        <f t="shared" si="165"/>
        <v>0</v>
      </c>
      <c r="H279" s="67">
        <f t="shared" si="187"/>
        <v>0</v>
      </c>
      <c r="I279" s="67">
        <f t="shared" si="188"/>
        <v>0</v>
      </c>
      <c r="J279" s="67">
        <f t="shared" si="189"/>
        <v>0</v>
      </c>
      <c r="K279" s="67">
        <f t="shared" si="190"/>
        <v>0</v>
      </c>
      <c r="L279" s="67">
        <f t="shared" si="191"/>
        <v>0</v>
      </c>
      <c r="M279" s="67">
        <f t="shared" si="192"/>
        <v>0</v>
      </c>
      <c r="N279" s="67">
        <f t="shared" si="193"/>
        <v>0</v>
      </c>
      <c r="O279" s="67">
        <f t="shared" si="194"/>
        <v>0</v>
      </c>
      <c r="P279" s="67">
        <f t="shared" si="195"/>
        <v>0</v>
      </c>
      <c r="Q279" s="67">
        <f t="shared" si="196"/>
        <v>0</v>
      </c>
      <c r="R279" s="67"/>
      <c r="S279" s="67"/>
      <c r="T279" s="67">
        <f t="shared" si="129"/>
        <v>0</v>
      </c>
      <c r="U279" s="67">
        <f t="shared" si="200"/>
        <v>0</v>
      </c>
      <c r="V279" s="67">
        <f t="shared" si="197"/>
        <v>0</v>
      </c>
      <c r="W279" s="67">
        <f t="shared" si="198"/>
        <v>0</v>
      </c>
      <c r="X279" s="67">
        <f t="shared" si="199"/>
        <v>0</v>
      </c>
      <c r="Y279" s="67">
        <f t="shared" si="147"/>
        <v>0</v>
      </c>
      <c r="Z279" s="67"/>
      <c r="AA279" s="67">
        <f t="shared" si="112"/>
        <v>0</v>
      </c>
      <c r="AB279" s="67"/>
      <c r="AC279" s="67"/>
      <c r="AD279" s="4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row>
    <row r="280" spans="1:54" ht="25.5">
      <c r="A280" s="71" t="s">
        <v>371</v>
      </c>
      <c r="B280" s="52" t="s">
        <v>525</v>
      </c>
      <c r="C280" s="65" t="s">
        <v>483</v>
      </c>
      <c r="D280" s="66"/>
      <c r="E280" s="46">
        <f t="shared" si="184"/>
        <v>0</v>
      </c>
      <c r="F280" s="67">
        <f t="shared" si="186"/>
        <v>0</v>
      </c>
      <c r="G280" s="67">
        <f t="shared" si="165"/>
        <v>0</v>
      </c>
      <c r="H280" s="67">
        <f t="shared" si="187"/>
        <v>0</v>
      </c>
      <c r="I280" s="67">
        <f t="shared" si="188"/>
        <v>0</v>
      </c>
      <c r="J280" s="67">
        <f t="shared" si="189"/>
        <v>0</v>
      </c>
      <c r="K280" s="67">
        <f t="shared" si="190"/>
        <v>0</v>
      </c>
      <c r="L280" s="67">
        <f t="shared" si="191"/>
        <v>0</v>
      </c>
      <c r="M280" s="67">
        <f t="shared" si="192"/>
        <v>0</v>
      </c>
      <c r="N280" s="67">
        <f t="shared" si="193"/>
        <v>0</v>
      </c>
      <c r="O280" s="67">
        <f t="shared" si="194"/>
        <v>0</v>
      </c>
      <c r="P280" s="67">
        <f t="shared" si="195"/>
        <v>0</v>
      </c>
      <c r="Q280" s="67">
        <f t="shared" si="196"/>
        <v>0</v>
      </c>
      <c r="R280" s="67"/>
      <c r="S280" s="67"/>
      <c r="T280" s="67">
        <f t="shared" si="129"/>
        <v>0</v>
      </c>
      <c r="U280" s="67">
        <f t="shared" si="200"/>
        <v>0</v>
      </c>
      <c r="V280" s="67">
        <f t="shared" si="197"/>
        <v>0</v>
      </c>
      <c r="W280" s="67">
        <f t="shared" si="198"/>
        <v>0</v>
      </c>
      <c r="X280" s="67">
        <f t="shared" si="199"/>
        <v>0</v>
      </c>
      <c r="Y280" s="67">
        <f t="shared" si="147"/>
        <v>0</v>
      </c>
      <c r="Z280" s="67"/>
      <c r="AA280" s="67">
        <f t="shared" si="112"/>
        <v>0</v>
      </c>
      <c r="AB280" s="67"/>
      <c r="AC280" s="67"/>
      <c r="AD280" s="4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row>
    <row r="281" spans="1:54" ht="25.5">
      <c r="A281" s="71" t="s">
        <v>372</v>
      </c>
      <c r="B281" s="52" t="s">
        <v>526</v>
      </c>
      <c r="C281" s="65" t="s">
        <v>483</v>
      </c>
      <c r="D281" s="66"/>
      <c r="E281" s="46">
        <f t="shared" si="184"/>
        <v>0</v>
      </c>
      <c r="F281" s="67">
        <f t="shared" si="186"/>
        <v>0</v>
      </c>
      <c r="G281" s="67">
        <f t="shared" si="165"/>
        <v>0</v>
      </c>
      <c r="H281" s="67">
        <f t="shared" si="187"/>
        <v>0</v>
      </c>
      <c r="I281" s="67">
        <f t="shared" si="188"/>
        <v>0</v>
      </c>
      <c r="J281" s="67">
        <f t="shared" si="189"/>
        <v>0</v>
      </c>
      <c r="K281" s="67">
        <f t="shared" si="190"/>
        <v>0</v>
      </c>
      <c r="L281" s="67">
        <f t="shared" si="191"/>
        <v>0</v>
      </c>
      <c r="M281" s="67">
        <f t="shared" si="192"/>
        <v>0</v>
      </c>
      <c r="N281" s="67">
        <f t="shared" si="193"/>
        <v>0</v>
      </c>
      <c r="O281" s="67">
        <f t="shared" si="194"/>
        <v>0</v>
      </c>
      <c r="P281" s="67">
        <f t="shared" si="195"/>
        <v>0</v>
      </c>
      <c r="Q281" s="67">
        <f t="shared" si="196"/>
        <v>0</v>
      </c>
      <c r="R281" s="67"/>
      <c r="S281" s="67"/>
      <c r="T281" s="67">
        <f t="shared" si="129"/>
        <v>0</v>
      </c>
      <c r="U281" s="67">
        <f t="shared" si="200"/>
        <v>0</v>
      </c>
      <c r="V281" s="67">
        <f t="shared" si="197"/>
        <v>0</v>
      </c>
      <c r="W281" s="67">
        <f t="shared" si="198"/>
        <v>0</v>
      </c>
      <c r="X281" s="67">
        <f t="shared" si="199"/>
        <v>0</v>
      </c>
      <c r="Y281" s="67">
        <f t="shared" si="147"/>
        <v>0</v>
      </c>
      <c r="Z281" s="67"/>
      <c r="AA281" s="67">
        <f t="shared" si="112"/>
        <v>0</v>
      </c>
      <c r="AB281" s="67"/>
      <c r="AC281" s="67"/>
      <c r="AD281" s="4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row>
    <row r="282" spans="1:54" ht="25.5">
      <c r="A282" s="71" t="s">
        <v>373</v>
      </c>
      <c r="B282" s="52" t="s">
        <v>527</v>
      </c>
      <c r="C282" s="65" t="s">
        <v>494</v>
      </c>
      <c r="D282" s="66"/>
      <c r="E282" s="46">
        <f t="shared" si="184"/>
        <v>0</v>
      </c>
      <c r="F282" s="67">
        <f t="shared" si="186"/>
        <v>0</v>
      </c>
      <c r="G282" s="67">
        <f t="shared" si="165"/>
        <v>0</v>
      </c>
      <c r="H282" s="67">
        <f t="shared" si="187"/>
        <v>0</v>
      </c>
      <c r="I282" s="67">
        <f t="shared" si="188"/>
        <v>0</v>
      </c>
      <c r="J282" s="67">
        <f t="shared" si="189"/>
        <v>0</v>
      </c>
      <c r="K282" s="67">
        <f t="shared" si="190"/>
        <v>0</v>
      </c>
      <c r="L282" s="67">
        <f t="shared" si="191"/>
        <v>0</v>
      </c>
      <c r="M282" s="67">
        <f t="shared" si="192"/>
        <v>0</v>
      </c>
      <c r="N282" s="67">
        <f t="shared" si="193"/>
        <v>0</v>
      </c>
      <c r="O282" s="67">
        <f t="shared" si="194"/>
        <v>0</v>
      </c>
      <c r="P282" s="67">
        <f t="shared" si="195"/>
        <v>0</v>
      </c>
      <c r="Q282" s="67">
        <f t="shared" si="196"/>
        <v>0</v>
      </c>
      <c r="R282" s="67"/>
      <c r="S282" s="67"/>
      <c r="T282" s="67">
        <f t="shared" si="129"/>
        <v>0</v>
      </c>
      <c r="U282" s="67">
        <f t="shared" si="200"/>
        <v>0</v>
      </c>
      <c r="V282" s="67">
        <f t="shared" si="197"/>
        <v>0</v>
      </c>
      <c r="W282" s="67">
        <f t="shared" si="198"/>
        <v>0</v>
      </c>
      <c r="X282" s="67">
        <f t="shared" si="199"/>
        <v>0</v>
      </c>
      <c r="Y282" s="67">
        <f t="shared" si="147"/>
        <v>0</v>
      </c>
      <c r="Z282" s="67"/>
      <c r="AA282" s="67">
        <f t="shared" si="112"/>
        <v>0</v>
      </c>
      <c r="AB282" s="67"/>
      <c r="AC282" s="67"/>
      <c r="AD282" s="4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row>
    <row r="283" spans="1:54" ht="51">
      <c r="A283" s="71" t="s">
        <v>379</v>
      </c>
      <c r="B283" s="52" t="s">
        <v>528</v>
      </c>
      <c r="C283" s="65" t="s">
        <v>487</v>
      </c>
      <c r="D283" s="66"/>
      <c r="E283" s="46">
        <f t="shared" si="184"/>
        <v>0</v>
      </c>
      <c r="F283" s="67">
        <f t="shared" si="186"/>
        <v>0</v>
      </c>
      <c r="G283" s="67">
        <f t="shared" si="165"/>
        <v>0</v>
      </c>
      <c r="H283" s="67">
        <f t="shared" si="187"/>
        <v>0</v>
      </c>
      <c r="I283" s="67">
        <f t="shared" si="188"/>
        <v>0</v>
      </c>
      <c r="J283" s="67">
        <f t="shared" si="189"/>
        <v>0</v>
      </c>
      <c r="K283" s="67">
        <f t="shared" si="190"/>
        <v>0</v>
      </c>
      <c r="L283" s="67">
        <f t="shared" si="191"/>
        <v>0</v>
      </c>
      <c r="M283" s="67">
        <f t="shared" si="192"/>
        <v>0</v>
      </c>
      <c r="N283" s="67">
        <f t="shared" si="193"/>
        <v>0</v>
      </c>
      <c r="O283" s="67">
        <f t="shared" si="194"/>
        <v>0</v>
      </c>
      <c r="P283" s="67">
        <f t="shared" si="195"/>
        <v>0</v>
      </c>
      <c r="Q283" s="67">
        <f t="shared" si="196"/>
        <v>0</v>
      </c>
      <c r="R283" s="67"/>
      <c r="S283" s="67"/>
      <c r="T283" s="67">
        <f t="shared" si="129"/>
        <v>0</v>
      </c>
      <c r="U283" s="67">
        <f t="shared" si="200"/>
        <v>0</v>
      </c>
      <c r="V283" s="67">
        <f t="shared" si="197"/>
        <v>0</v>
      </c>
      <c r="W283" s="67">
        <f t="shared" si="198"/>
        <v>0</v>
      </c>
      <c r="X283" s="67">
        <f t="shared" si="199"/>
        <v>0</v>
      </c>
      <c r="Y283" s="67">
        <f t="shared" si="147"/>
        <v>0</v>
      </c>
      <c r="Z283" s="67"/>
      <c r="AA283" s="67"/>
      <c r="AB283" s="67"/>
      <c r="AC283" s="67"/>
      <c r="AD283" s="4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row>
    <row r="284" spans="1:54" ht="38.25">
      <c r="A284" s="71" t="s">
        <v>383</v>
      </c>
      <c r="B284" s="52" t="s">
        <v>529</v>
      </c>
      <c r="C284" s="65" t="s">
        <v>483</v>
      </c>
      <c r="D284" s="66"/>
      <c r="E284" s="46">
        <f t="shared" si="184"/>
        <v>0</v>
      </c>
      <c r="F284" s="67">
        <f t="shared" si="186"/>
        <v>0</v>
      </c>
      <c r="G284" s="67">
        <f t="shared" si="165"/>
        <v>0</v>
      </c>
      <c r="H284" s="67">
        <f t="shared" si="187"/>
        <v>0</v>
      </c>
      <c r="I284" s="67">
        <f t="shared" si="188"/>
        <v>0</v>
      </c>
      <c r="J284" s="67">
        <f t="shared" si="189"/>
        <v>0</v>
      </c>
      <c r="K284" s="67">
        <f t="shared" si="190"/>
        <v>0</v>
      </c>
      <c r="L284" s="67">
        <f t="shared" si="191"/>
        <v>0</v>
      </c>
      <c r="M284" s="67">
        <f t="shared" si="192"/>
        <v>0</v>
      </c>
      <c r="N284" s="67">
        <f t="shared" si="193"/>
        <v>0</v>
      </c>
      <c r="O284" s="67">
        <f t="shared" si="194"/>
        <v>0</v>
      </c>
      <c r="P284" s="67">
        <f t="shared" si="195"/>
        <v>0</v>
      </c>
      <c r="Q284" s="67">
        <f t="shared" si="196"/>
        <v>0</v>
      </c>
      <c r="R284" s="67"/>
      <c r="S284" s="67"/>
      <c r="T284" s="67">
        <f t="shared" si="129"/>
        <v>0</v>
      </c>
      <c r="U284" s="67">
        <f t="shared" si="200"/>
        <v>0</v>
      </c>
      <c r="V284" s="67">
        <f t="shared" si="197"/>
        <v>0</v>
      </c>
      <c r="W284" s="67">
        <f t="shared" si="198"/>
        <v>0</v>
      </c>
      <c r="X284" s="67">
        <f t="shared" si="199"/>
        <v>0</v>
      </c>
      <c r="Y284" s="67">
        <f t="shared" si="147"/>
        <v>0</v>
      </c>
      <c r="Z284" s="67"/>
      <c r="AA284" s="67"/>
      <c r="AB284" s="67"/>
      <c r="AC284" s="67"/>
      <c r="AD284" s="4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row>
    <row r="285" spans="1:54" ht="25.5">
      <c r="A285" s="71" t="s">
        <v>387</v>
      </c>
      <c r="B285" s="52" t="s">
        <v>530</v>
      </c>
      <c r="C285" s="65" t="s">
        <v>483</v>
      </c>
      <c r="D285" s="66"/>
      <c r="E285" s="46">
        <f t="shared" si="184"/>
        <v>0</v>
      </c>
      <c r="F285" s="67">
        <f t="shared" si="186"/>
        <v>0</v>
      </c>
      <c r="G285" s="67">
        <f t="shared" si="165"/>
        <v>0</v>
      </c>
      <c r="H285" s="67">
        <f t="shared" si="187"/>
        <v>0</v>
      </c>
      <c r="I285" s="67">
        <f t="shared" si="188"/>
        <v>0</v>
      </c>
      <c r="J285" s="67">
        <f t="shared" si="189"/>
        <v>0</v>
      </c>
      <c r="K285" s="67">
        <f t="shared" si="190"/>
        <v>0</v>
      </c>
      <c r="L285" s="67">
        <f t="shared" si="191"/>
        <v>0</v>
      </c>
      <c r="M285" s="67">
        <f t="shared" si="192"/>
        <v>0</v>
      </c>
      <c r="N285" s="67">
        <f t="shared" si="193"/>
        <v>0</v>
      </c>
      <c r="O285" s="67">
        <f t="shared" si="194"/>
        <v>0</v>
      </c>
      <c r="P285" s="67">
        <f t="shared" si="195"/>
        <v>0</v>
      </c>
      <c r="Q285" s="67">
        <f t="shared" si="196"/>
        <v>0</v>
      </c>
      <c r="R285" s="67"/>
      <c r="S285" s="67"/>
      <c r="T285" s="67">
        <f t="shared" si="129"/>
        <v>0</v>
      </c>
      <c r="U285" s="67">
        <f t="shared" si="200"/>
        <v>0</v>
      </c>
      <c r="V285" s="67">
        <f t="shared" si="197"/>
        <v>0</v>
      </c>
      <c r="W285" s="67">
        <f t="shared" si="198"/>
        <v>0</v>
      </c>
      <c r="X285" s="67">
        <f t="shared" si="199"/>
        <v>0</v>
      </c>
      <c r="Y285" s="67">
        <f t="shared" si="147"/>
        <v>0</v>
      </c>
      <c r="Z285" s="67"/>
      <c r="AA285" s="67"/>
      <c r="AB285" s="67"/>
      <c r="AC285" s="67"/>
      <c r="AD285" s="4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row>
    <row r="286" spans="1:54" ht="25.5">
      <c r="A286" s="71" t="s">
        <v>388</v>
      </c>
      <c r="B286" s="52" t="s">
        <v>531</v>
      </c>
      <c r="C286" s="65" t="s">
        <v>488</v>
      </c>
      <c r="D286" s="66"/>
      <c r="E286" s="46">
        <f t="shared" si="184"/>
        <v>0</v>
      </c>
      <c r="F286" s="67">
        <f t="shared" si="186"/>
        <v>0</v>
      </c>
      <c r="G286" s="67">
        <f t="shared" si="165"/>
        <v>0</v>
      </c>
      <c r="H286" s="67">
        <f t="shared" si="187"/>
        <v>0</v>
      </c>
      <c r="I286" s="67">
        <f t="shared" si="188"/>
        <v>0</v>
      </c>
      <c r="J286" s="67">
        <f t="shared" si="189"/>
        <v>0</v>
      </c>
      <c r="K286" s="67">
        <f t="shared" si="190"/>
        <v>0</v>
      </c>
      <c r="L286" s="67">
        <f t="shared" si="191"/>
        <v>0</v>
      </c>
      <c r="M286" s="67">
        <f t="shared" si="192"/>
        <v>0</v>
      </c>
      <c r="N286" s="67">
        <f t="shared" si="193"/>
        <v>0</v>
      </c>
      <c r="O286" s="67">
        <f t="shared" si="194"/>
        <v>0</v>
      </c>
      <c r="P286" s="67">
        <f t="shared" si="195"/>
        <v>0</v>
      </c>
      <c r="Q286" s="67">
        <f t="shared" si="196"/>
        <v>0</v>
      </c>
      <c r="R286" s="67"/>
      <c r="S286" s="67"/>
      <c r="T286" s="67">
        <f t="shared" si="129"/>
        <v>0</v>
      </c>
      <c r="U286" s="67">
        <f t="shared" si="200"/>
        <v>0</v>
      </c>
      <c r="V286" s="67">
        <f t="shared" si="197"/>
        <v>0</v>
      </c>
      <c r="W286" s="67">
        <f t="shared" si="198"/>
        <v>0</v>
      </c>
      <c r="X286" s="67">
        <f t="shared" si="199"/>
        <v>0</v>
      </c>
      <c r="Y286" s="67">
        <f t="shared" si="147"/>
        <v>0</v>
      </c>
      <c r="Z286" s="67"/>
      <c r="AA286" s="67"/>
      <c r="AB286" s="67"/>
      <c r="AC286" s="67"/>
      <c r="AD286" s="4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row>
    <row r="287" spans="1:54" ht="25.5">
      <c r="A287" s="71" t="s">
        <v>389</v>
      </c>
      <c r="B287" s="52" t="s">
        <v>532</v>
      </c>
      <c r="C287" s="65" t="s">
        <v>487</v>
      </c>
      <c r="D287" s="66"/>
      <c r="E287" s="46">
        <f t="shared" si="184"/>
        <v>0</v>
      </c>
      <c r="F287" s="67">
        <f t="shared" si="186"/>
        <v>0</v>
      </c>
      <c r="G287" s="67">
        <f t="shared" si="165"/>
        <v>0</v>
      </c>
      <c r="H287" s="67">
        <f t="shared" si="187"/>
        <v>0</v>
      </c>
      <c r="I287" s="67">
        <f t="shared" si="188"/>
        <v>0</v>
      </c>
      <c r="J287" s="67">
        <f t="shared" si="189"/>
        <v>0</v>
      </c>
      <c r="K287" s="67">
        <f t="shared" si="190"/>
        <v>0</v>
      </c>
      <c r="L287" s="67">
        <f t="shared" si="191"/>
        <v>0</v>
      </c>
      <c r="M287" s="67">
        <f t="shared" si="192"/>
        <v>0</v>
      </c>
      <c r="N287" s="67">
        <f t="shared" si="193"/>
        <v>0</v>
      </c>
      <c r="O287" s="67">
        <f t="shared" si="194"/>
        <v>0</v>
      </c>
      <c r="P287" s="67">
        <f t="shared" si="195"/>
        <v>0</v>
      </c>
      <c r="Q287" s="67">
        <f t="shared" si="196"/>
        <v>0</v>
      </c>
      <c r="R287" s="67"/>
      <c r="S287" s="67"/>
      <c r="T287" s="67">
        <f t="shared" si="129"/>
        <v>0</v>
      </c>
      <c r="U287" s="67">
        <f t="shared" si="200"/>
        <v>0</v>
      </c>
      <c r="V287" s="67">
        <f t="shared" si="197"/>
        <v>0</v>
      </c>
      <c r="W287" s="67">
        <f t="shared" si="198"/>
        <v>0</v>
      </c>
      <c r="X287" s="67">
        <f t="shared" si="199"/>
        <v>0</v>
      </c>
      <c r="Y287" s="67">
        <f t="shared" si="147"/>
        <v>0</v>
      </c>
      <c r="Z287" s="67"/>
      <c r="AA287" s="67">
        <f t="shared" si="112"/>
        <v>0</v>
      </c>
      <c r="AB287" s="67"/>
      <c r="AC287" s="67"/>
      <c r="AD287" s="4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row>
    <row r="288" spans="1:54" ht="102">
      <c r="A288" s="71" t="s">
        <v>390</v>
      </c>
      <c r="B288" s="87" t="s">
        <v>533</v>
      </c>
      <c r="C288" s="65" t="s">
        <v>494</v>
      </c>
      <c r="D288" s="66"/>
      <c r="E288" s="46">
        <f t="shared" si="184"/>
        <v>0</v>
      </c>
      <c r="F288" s="67">
        <f t="shared" si="186"/>
        <v>0</v>
      </c>
      <c r="G288" s="67">
        <f t="shared" si="165"/>
        <v>0</v>
      </c>
      <c r="H288" s="67">
        <f t="shared" si="187"/>
        <v>0</v>
      </c>
      <c r="I288" s="67">
        <f t="shared" si="188"/>
        <v>0</v>
      </c>
      <c r="J288" s="67">
        <f t="shared" si="189"/>
        <v>0</v>
      </c>
      <c r="K288" s="67">
        <f t="shared" si="190"/>
        <v>0</v>
      </c>
      <c r="L288" s="67">
        <f t="shared" si="191"/>
        <v>0</v>
      </c>
      <c r="M288" s="67">
        <f t="shared" si="192"/>
        <v>0</v>
      </c>
      <c r="N288" s="67">
        <f t="shared" si="193"/>
        <v>0</v>
      </c>
      <c r="O288" s="67">
        <f t="shared" si="194"/>
        <v>0</v>
      </c>
      <c r="P288" s="67">
        <f t="shared" si="195"/>
        <v>0</v>
      </c>
      <c r="Q288" s="67">
        <f t="shared" si="196"/>
        <v>0</v>
      </c>
      <c r="R288" s="67"/>
      <c r="S288" s="67"/>
      <c r="T288" s="67">
        <f t="shared" si="129"/>
        <v>0</v>
      </c>
      <c r="U288" s="67">
        <f t="shared" si="200"/>
        <v>0</v>
      </c>
      <c r="V288" s="67">
        <f t="shared" si="197"/>
        <v>0</v>
      </c>
      <c r="W288" s="67">
        <f t="shared" si="198"/>
        <v>0</v>
      </c>
      <c r="X288" s="67">
        <f t="shared" si="199"/>
        <v>0</v>
      </c>
      <c r="Y288" s="67">
        <f t="shared" si="147"/>
        <v>0</v>
      </c>
      <c r="Z288" s="67"/>
      <c r="AA288" s="67">
        <f t="shared" si="112"/>
        <v>0</v>
      </c>
      <c r="AB288" s="67"/>
      <c r="AC288" s="67"/>
      <c r="AD288" s="4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row>
    <row r="289" spans="1:54" ht="12.75" hidden="1" customHeight="1" outlineLevel="1">
      <c r="A289" s="71"/>
      <c r="B289" s="52"/>
      <c r="C289" s="65"/>
      <c r="D289" s="66"/>
      <c r="E289" s="46">
        <f t="shared" si="184"/>
        <v>0</v>
      </c>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4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row>
    <row r="290" spans="1:54" ht="12.75" hidden="1" customHeight="1" outlineLevel="1">
      <c r="A290" s="71"/>
      <c r="B290" s="70"/>
      <c r="C290" s="65"/>
      <c r="D290" s="66"/>
      <c r="E290" s="46">
        <f t="shared" si="184"/>
        <v>0</v>
      </c>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4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row>
    <row r="291" spans="1:54" s="81" customFormat="1" ht="20.25" customHeight="1" collapsed="1">
      <c r="A291" s="88" t="s">
        <v>159</v>
      </c>
      <c r="B291" s="82" t="s">
        <v>534</v>
      </c>
      <c r="C291" s="80"/>
      <c r="D291" s="61"/>
      <c r="E291" s="46">
        <f t="shared" si="184"/>
        <v>0</v>
      </c>
      <c r="F291" s="62">
        <f t="shared" si="186"/>
        <v>0</v>
      </c>
      <c r="G291" s="62">
        <f t="shared" si="165"/>
        <v>0</v>
      </c>
      <c r="H291" s="62">
        <f>H292+H293+H294+H295</f>
        <v>0</v>
      </c>
      <c r="I291" s="62">
        <f t="shared" ref="I291:Y291" si="201">I292+I293+I294+I295</f>
        <v>0</v>
      </c>
      <c r="J291" s="62">
        <f t="shared" si="201"/>
        <v>0</v>
      </c>
      <c r="K291" s="62">
        <f t="shared" si="201"/>
        <v>0</v>
      </c>
      <c r="L291" s="62">
        <f>L292+L293+L294+L295</f>
        <v>0</v>
      </c>
      <c r="M291" s="62">
        <f t="shared" si="201"/>
        <v>0</v>
      </c>
      <c r="N291" s="62">
        <f t="shared" si="201"/>
        <v>0</v>
      </c>
      <c r="O291" s="62">
        <f t="shared" si="201"/>
        <v>0</v>
      </c>
      <c r="P291" s="62">
        <f t="shared" si="201"/>
        <v>0</v>
      </c>
      <c r="Q291" s="62">
        <f t="shared" si="201"/>
        <v>0</v>
      </c>
      <c r="R291" s="62">
        <f t="shared" si="201"/>
        <v>0</v>
      </c>
      <c r="S291" s="62">
        <f t="shared" si="201"/>
        <v>0</v>
      </c>
      <c r="T291" s="62">
        <f t="shared" si="201"/>
        <v>0</v>
      </c>
      <c r="U291" s="62">
        <f t="shared" si="201"/>
        <v>0</v>
      </c>
      <c r="V291" s="62">
        <f t="shared" si="201"/>
        <v>0</v>
      </c>
      <c r="W291" s="62">
        <f t="shared" si="201"/>
        <v>0</v>
      </c>
      <c r="X291" s="62">
        <f t="shared" si="201"/>
        <v>0</v>
      </c>
      <c r="Y291" s="62">
        <f t="shared" si="201"/>
        <v>0</v>
      </c>
      <c r="Z291" s="62"/>
      <c r="AA291" s="62">
        <f t="shared" si="112"/>
        <v>0</v>
      </c>
      <c r="AB291" s="62"/>
      <c r="AC291" s="62"/>
      <c r="AD291" s="47"/>
      <c r="AE291" s="62"/>
      <c r="AF291" s="62"/>
      <c r="AG291" s="62"/>
      <c r="AH291" s="62"/>
      <c r="AI291" s="62"/>
      <c r="AJ291" s="62"/>
      <c r="AK291" s="62"/>
      <c r="AL291" s="62"/>
      <c r="AM291" s="62"/>
      <c r="AN291" s="62"/>
      <c r="AO291" s="62"/>
      <c r="AP291" s="62"/>
      <c r="AQ291" s="62"/>
      <c r="AR291" s="62"/>
      <c r="AS291" s="62"/>
      <c r="AT291" s="62"/>
      <c r="AU291" s="62"/>
      <c r="AV291" s="62"/>
      <c r="AW291" s="62"/>
      <c r="AX291" s="62"/>
      <c r="AY291" s="62"/>
      <c r="AZ291" s="62"/>
      <c r="BA291" s="62"/>
      <c r="BB291" s="62"/>
    </row>
    <row r="292" spans="1:54" s="81" customFormat="1" ht="20.25" customHeight="1" outlineLevel="1">
      <c r="A292" s="88"/>
      <c r="B292" s="82" t="s">
        <v>535</v>
      </c>
      <c r="C292" s="80" t="s">
        <v>485</v>
      </c>
      <c r="D292" s="61"/>
      <c r="E292" s="46">
        <f t="shared" si="184"/>
        <v>0</v>
      </c>
      <c r="F292" s="62">
        <f t="shared" si="186"/>
        <v>0</v>
      </c>
      <c r="G292" s="62">
        <f t="shared" si="165"/>
        <v>0</v>
      </c>
      <c r="H292" s="62">
        <f>IF($C292="864",$D292,)</f>
        <v>0</v>
      </c>
      <c r="I292" s="62">
        <f t="shared" si="188"/>
        <v>0</v>
      </c>
      <c r="J292" s="62">
        <f t="shared" si="189"/>
        <v>0</v>
      </c>
      <c r="K292" s="62">
        <f t="shared" si="190"/>
        <v>0</v>
      </c>
      <c r="L292" s="62">
        <f t="shared" si="191"/>
        <v>0</v>
      </c>
      <c r="M292" s="62">
        <f t="shared" si="192"/>
        <v>0</v>
      </c>
      <c r="N292" s="62">
        <f t="shared" si="193"/>
        <v>0</v>
      </c>
      <c r="O292" s="62">
        <f t="shared" si="194"/>
        <v>0</v>
      </c>
      <c r="P292" s="62">
        <f t="shared" si="195"/>
        <v>0</v>
      </c>
      <c r="Q292" s="62">
        <f t="shared" si="196"/>
        <v>0</v>
      </c>
      <c r="R292" s="62"/>
      <c r="S292" s="62"/>
      <c r="T292" s="62">
        <f t="shared" ref="T292:T295" si="202">Q292-R292-S292</f>
        <v>0</v>
      </c>
      <c r="U292" s="62">
        <f t="shared" si="200"/>
        <v>0</v>
      </c>
      <c r="V292" s="62">
        <f t="shared" si="197"/>
        <v>0</v>
      </c>
      <c r="W292" s="62">
        <f t="shared" si="198"/>
        <v>0</v>
      </c>
      <c r="X292" s="62">
        <f t="shared" si="199"/>
        <v>0</v>
      </c>
      <c r="Y292" s="62">
        <f t="shared" si="147"/>
        <v>0</v>
      </c>
      <c r="Z292" s="62"/>
      <c r="AA292" s="62"/>
      <c r="AB292" s="62"/>
      <c r="AC292" s="62"/>
      <c r="AD292" s="47"/>
      <c r="AE292" s="62"/>
      <c r="AF292" s="62"/>
      <c r="AG292" s="62"/>
      <c r="AH292" s="62"/>
      <c r="AI292" s="62"/>
      <c r="AJ292" s="62"/>
      <c r="AK292" s="62"/>
      <c r="AL292" s="62"/>
      <c r="AM292" s="62"/>
      <c r="AN292" s="62"/>
      <c r="AO292" s="62"/>
      <c r="AP292" s="62"/>
      <c r="AQ292" s="62"/>
      <c r="AR292" s="62"/>
      <c r="AS292" s="62"/>
      <c r="AT292" s="62"/>
      <c r="AU292" s="62"/>
      <c r="AV292" s="62"/>
      <c r="AW292" s="62"/>
      <c r="AX292" s="62"/>
      <c r="AY292" s="62"/>
      <c r="AZ292" s="62"/>
      <c r="BA292" s="62"/>
      <c r="BB292" s="62"/>
    </row>
    <row r="293" spans="1:54" s="81" customFormat="1" ht="20.25" customHeight="1" outlineLevel="1">
      <c r="A293" s="88"/>
      <c r="B293" s="82" t="s">
        <v>536</v>
      </c>
      <c r="C293" s="80" t="s">
        <v>490</v>
      </c>
      <c r="D293" s="61"/>
      <c r="E293" s="46">
        <f t="shared" si="184"/>
        <v>0</v>
      </c>
      <c r="F293" s="62">
        <f t="shared" si="186"/>
        <v>0</v>
      </c>
      <c r="G293" s="62">
        <f t="shared" si="165"/>
        <v>0</v>
      </c>
      <c r="H293" s="62">
        <f t="shared" si="187"/>
        <v>0</v>
      </c>
      <c r="I293" s="62">
        <f t="shared" si="188"/>
        <v>0</v>
      </c>
      <c r="J293" s="62">
        <f t="shared" si="189"/>
        <v>0</v>
      </c>
      <c r="K293" s="62">
        <f t="shared" si="190"/>
        <v>0</v>
      </c>
      <c r="L293" s="62">
        <f t="shared" si="191"/>
        <v>0</v>
      </c>
      <c r="M293" s="62">
        <f t="shared" si="192"/>
        <v>0</v>
      </c>
      <c r="N293" s="62">
        <f t="shared" si="193"/>
        <v>0</v>
      </c>
      <c r="O293" s="62">
        <f t="shared" si="194"/>
        <v>0</v>
      </c>
      <c r="P293" s="62">
        <f t="shared" si="195"/>
        <v>0</v>
      </c>
      <c r="Q293" s="62">
        <f t="shared" si="196"/>
        <v>0</v>
      </c>
      <c r="R293" s="62"/>
      <c r="S293" s="62"/>
      <c r="T293" s="62">
        <f t="shared" si="202"/>
        <v>0</v>
      </c>
      <c r="U293" s="62">
        <f t="shared" si="200"/>
        <v>0</v>
      </c>
      <c r="V293" s="62">
        <f t="shared" si="197"/>
        <v>0</v>
      </c>
      <c r="W293" s="62">
        <f t="shared" si="198"/>
        <v>0</v>
      </c>
      <c r="X293" s="62">
        <f t="shared" si="199"/>
        <v>0</v>
      </c>
      <c r="Y293" s="62">
        <f t="shared" si="147"/>
        <v>0</v>
      </c>
      <c r="Z293" s="62"/>
      <c r="AA293" s="62"/>
      <c r="AB293" s="62"/>
      <c r="AC293" s="62"/>
      <c r="AD293" s="47"/>
      <c r="AE293" s="62"/>
      <c r="AF293" s="62"/>
      <c r="AG293" s="62"/>
      <c r="AH293" s="62"/>
      <c r="AI293" s="62"/>
      <c r="AJ293" s="62"/>
      <c r="AK293" s="62"/>
      <c r="AL293" s="62"/>
      <c r="AM293" s="62"/>
      <c r="AN293" s="62"/>
      <c r="AO293" s="62"/>
      <c r="AP293" s="62"/>
      <c r="AQ293" s="62"/>
      <c r="AR293" s="62"/>
      <c r="AS293" s="62"/>
      <c r="AT293" s="62"/>
      <c r="AU293" s="62"/>
      <c r="AV293" s="62"/>
      <c r="AW293" s="62"/>
      <c r="AX293" s="62"/>
      <c r="AY293" s="62"/>
      <c r="AZ293" s="62"/>
      <c r="BA293" s="62"/>
      <c r="BB293" s="62"/>
    </row>
    <row r="294" spans="1:54" s="81" customFormat="1" ht="20.25" customHeight="1" outlineLevel="1">
      <c r="A294" s="88"/>
      <c r="B294" s="89" t="s">
        <v>537</v>
      </c>
      <c r="C294" s="80" t="s">
        <v>486</v>
      </c>
      <c r="D294" s="61"/>
      <c r="E294" s="46">
        <f t="shared" si="184"/>
        <v>0</v>
      </c>
      <c r="F294" s="62">
        <f t="shared" si="186"/>
        <v>0</v>
      </c>
      <c r="G294" s="62">
        <f t="shared" si="165"/>
        <v>0</v>
      </c>
      <c r="H294" s="62">
        <f t="shared" si="187"/>
        <v>0</v>
      </c>
      <c r="I294" s="62">
        <f t="shared" si="188"/>
        <v>0</v>
      </c>
      <c r="J294" s="62">
        <f t="shared" si="189"/>
        <v>0</v>
      </c>
      <c r="K294" s="62">
        <f t="shared" si="190"/>
        <v>0</v>
      </c>
      <c r="L294" s="62">
        <f t="shared" si="191"/>
        <v>0</v>
      </c>
      <c r="M294" s="62">
        <f t="shared" si="192"/>
        <v>0</v>
      </c>
      <c r="N294" s="62">
        <f t="shared" si="193"/>
        <v>0</v>
      </c>
      <c r="O294" s="62">
        <f t="shared" si="194"/>
        <v>0</v>
      </c>
      <c r="P294" s="62">
        <f t="shared" si="195"/>
        <v>0</v>
      </c>
      <c r="Q294" s="62">
        <f t="shared" si="196"/>
        <v>0</v>
      </c>
      <c r="R294" s="62"/>
      <c r="S294" s="62"/>
      <c r="T294" s="62">
        <f t="shared" si="202"/>
        <v>0</v>
      </c>
      <c r="U294" s="62">
        <f t="shared" si="200"/>
        <v>0</v>
      </c>
      <c r="V294" s="62">
        <f t="shared" si="197"/>
        <v>0</v>
      </c>
      <c r="W294" s="62">
        <f t="shared" si="198"/>
        <v>0</v>
      </c>
      <c r="X294" s="62">
        <f t="shared" si="199"/>
        <v>0</v>
      </c>
      <c r="Y294" s="62">
        <f t="shared" si="147"/>
        <v>0</v>
      </c>
      <c r="Z294" s="62"/>
      <c r="AA294" s="62"/>
      <c r="AB294" s="62"/>
      <c r="AC294" s="62"/>
      <c r="AD294" s="47"/>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row>
    <row r="295" spans="1:54" s="81" customFormat="1" ht="20.25" customHeight="1" outlineLevel="1">
      <c r="A295" s="88"/>
      <c r="B295" s="89" t="s">
        <v>538</v>
      </c>
      <c r="C295" s="80" t="s">
        <v>494</v>
      </c>
      <c r="D295" s="61">
        <f>D291-D292-D293-D294</f>
        <v>0</v>
      </c>
      <c r="E295" s="46">
        <f t="shared" si="184"/>
        <v>0</v>
      </c>
      <c r="F295" s="62">
        <f t="shared" si="186"/>
        <v>0</v>
      </c>
      <c r="G295" s="62">
        <f t="shared" si="165"/>
        <v>0</v>
      </c>
      <c r="H295" s="62">
        <f t="shared" si="187"/>
        <v>0</v>
      </c>
      <c r="I295" s="62">
        <f t="shared" si="188"/>
        <v>0</v>
      </c>
      <c r="J295" s="62">
        <f t="shared" si="189"/>
        <v>0</v>
      </c>
      <c r="K295" s="62">
        <f t="shared" si="190"/>
        <v>0</v>
      </c>
      <c r="L295" s="62">
        <f t="shared" si="191"/>
        <v>0</v>
      </c>
      <c r="M295" s="62">
        <f t="shared" si="192"/>
        <v>0</v>
      </c>
      <c r="N295" s="62">
        <f t="shared" si="193"/>
        <v>0</v>
      </c>
      <c r="O295" s="62">
        <f t="shared" si="194"/>
        <v>0</v>
      </c>
      <c r="P295" s="62">
        <f t="shared" si="195"/>
        <v>0</v>
      </c>
      <c r="Q295" s="62">
        <f t="shared" si="196"/>
        <v>0</v>
      </c>
      <c r="R295" s="62"/>
      <c r="S295" s="62"/>
      <c r="T295" s="62">
        <f t="shared" si="202"/>
        <v>0</v>
      </c>
      <c r="U295" s="62">
        <f t="shared" si="200"/>
        <v>0</v>
      </c>
      <c r="V295" s="62">
        <f t="shared" si="197"/>
        <v>0</v>
      </c>
      <c r="W295" s="62">
        <f t="shared" si="198"/>
        <v>0</v>
      </c>
      <c r="X295" s="62">
        <f t="shared" si="199"/>
        <v>0</v>
      </c>
      <c r="Y295" s="62">
        <f t="shared" si="147"/>
        <v>0</v>
      </c>
      <c r="Z295" s="62"/>
      <c r="AA295" s="62"/>
      <c r="AB295" s="62"/>
      <c r="AC295" s="62"/>
      <c r="AD295" s="47"/>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row>
    <row r="296" spans="1:54" s="81" customFormat="1" ht="12.75" customHeight="1" outlineLevel="1">
      <c r="A296" s="79"/>
      <c r="B296" s="82"/>
      <c r="C296" s="80"/>
      <c r="D296" s="61"/>
      <c r="E296" s="46">
        <f t="shared" si="184"/>
        <v>0</v>
      </c>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47"/>
      <c r="AE296" s="62"/>
      <c r="AF296" s="62"/>
      <c r="AG296" s="62"/>
      <c r="AH296" s="62"/>
      <c r="AI296" s="62"/>
      <c r="AJ296" s="62"/>
      <c r="AK296" s="62"/>
      <c r="AL296" s="62"/>
      <c r="AM296" s="62"/>
      <c r="AN296" s="62"/>
      <c r="AO296" s="62"/>
      <c r="AP296" s="62"/>
      <c r="AQ296" s="62"/>
      <c r="AR296" s="62"/>
      <c r="AS296" s="62"/>
      <c r="AT296" s="62"/>
      <c r="AU296" s="62"/>
      <c r="AV296" s="62"/>
      <c r="AW296" s="62"/>
      <c r="AX296" s="62"/>
      <c r="AY296" s="62"/>
      <c r="AZ296" s="62"/>
      <c r="BA296" s="62"/>
      <c r="BB296" s="62"/>
    </row>
    <row r="297" spans="1:54" s="81" customFormat="1">
      <c r="A297" s="79" t="s">
        <v>539</v>
      </c>
      <c r="B297" s="82" t="s">
        <v>540</v>
      </c>
      <c r="C297" s="80"/>
      <c r="D297" s="61"/>
      <c r="E297" s="46">
        <f t="shared" si="184"/>
        <v>0</v>
      </c>
      <c r="F297" s="62">
        <f t="shared" si="186"/>
        <v>0</v>
      </c>
      <c r="G297" s="62">
        <f t="shared" ref="G297" si="203">H297+I297+J297+K297+L297+M297+N297+O297+P297+Q297+U297+V297+W297+X297</f>
        <v>0</v>
      </c>
      <c r="H297" s="62">
        <f t="shared" si="187"/>
        <v>0</v>
      </c>
      <c r="I297" s="62">
        <f t="shared" si="188"/>
        <v>0</v>
      </c>
      <c r="J297" s="62">
        <f t="shared" si="189"/>
        <v>0</v>
      </c>
      <c r="K297" s="62">
        <f t="shared" si="190"/>
        <v>0</v>
      </c>
      <c r="L297" s="62">
        <f t="shared" si="191"/>
        <v>0</v>
      </c>
      <c r="M297" s="62">
        <f t="shared" si="192"/>
        <v>0</v>
      </c>
      <c r="N297" s="62">
        <f t="shared" si="193"/>
        <v>0</v>
      </c>
      <c r="O297" s="62">
        <f t="shared" si="194"/>
        <v>0</v>
      </c>
      <c r="P297" s="62">
        <f t="shared" si="195"/>
        <v>0</v>
      </c>
      <c r="Q297" s="62">
        <f t="shared" si="196"/>
        <v>0</v>
      </c>
      <c r="R297" s="62"/>
      <c r="S297" s="62"/>
      <c r="T297" s="62">
        <f t="shared" si="129"/>
        <v>0</v>
      </c>
      <c r="U297" s="62">
        <f t="shared" si="200"/>
        <v>0</v>
      </c>
      <c r="V297" s="62">
        <f t="shared" si="197"/>
        <v>0</v>
      </c>
      <c r="W297" s="62">
        <f t="shared" si="198"/>
        <v>0</v>
      </c>
      <c r="X297" s="62">
        <f t="shared" si="199"/>
        <v>0</v>
      </c>
      <c r="Y297" s="62"/>
      <c r="Z297" s="62"/>
      <c r="AA297" s="62">
        <f t="shared" ref="AA297:AA309" si="204">AB297+AC297</f>
        <v>0</v>
      </c>
      <c r="AB297" s="62"/>
      <c r="AC297" s="62"/>
      <c r="AD297" s="47"/>
      <c r="AE297" s="62"/>
      <c r="AF297" s="62"/>
      <c r="AG297" s="62"/>
      <c r="AH297" s="62"/>
      <c r="AI297" s="62"/>
      <c r="AJ297" s="62"/>
      <c r="AK297" s="62"/>
      <c r="AL297" s="62"/>
      <c r="AM297" s="62"/>
      <c r="AN297" s="62"/>
      <c r="AO297" s="62"/>
      <c r="AP297" s="62"/>
      <c r="AQ297" s="62"/>
      <c r="AR297" s="62"/>
      <c r="AS297" s="62"/>
      <c r="AT297" s="62"/>
      <c r="AU297" s="62"/>
      <c r="AV297" s="62"/>
      <c r="AW297" s="62"/>
      <c r="AX297" s="62"/>
      <c r="AY297" s="62"/>
      <c r="AZ297" s="62"/>
      <c r="BA297" s="62"/>
      <c r="BB297" s="62"/>
    </row>
    <row r="298" spans="1:54" s="81" customFormat="1">
      <c r="A298" s="79" t="s">
        <v>541</v>
      </c>
      <c r="B298" s="82" t="s">
        <v>542</v>
      </c>
      <c r="C298" s="80" t="s">
        <v>543</v>
      </c>
      <c r="D298" s="61"/>
      <c r="E298" s="46">
        <f t="shared" si="184"/>
        <v>0</v>
      </c>
      <c r="F298" s="62">
        <f t="shared" si="186"/>
        <v>0</v>
      </c>
      <c r="G298" s="62">
        <f t="shared" si="165"/>
        <v>0</v>
      </c>
      <c r="H298" s="62">
        <f t="shared" si="187"/>
        <v>0</v>
      </c>
      <c r="I298" s="62">
        <f t="shared" si="188"/>
        <v>0</v>
      </c>
      <c r="J298" s="62">
        <f t="shared" si="189"/>
        <v>0</v>
      </c>
      <c r="K298" s="62">
        <f t="shared" si="190"/>
        <v>0</v>
      </c>
      <c r="L298" s="62">
        <f t="shared" si="191"/>
        <v>0</v>
      </c>
      <c r="M298" s="62">
        <f t="shared" si="192"/>
        <v>0</v>
      </c>
      <c r="N298" s="62">
        <f t="shared" si="193"/>
        <v>0</v>
      </c>
      <c r="O298" s="62">
        <f t="shared" si="194"/>
        <v>0</v>
      </c>
      <c r="P298" s="62">
        <f t="shared" si="195"/>
        <v>0</v>
      </c>
      <c r="Q298" s="62">
        <f t="shared" si="196"/>
        <v>0</v>
      </c>
      <c r="R298" s="62"/>
      <c r="S298" s="62"/>
      <c r="T298" s="62">
        <f t="shared" si="129"/>
        <v>0</v>
      </c>
      <c r="U298" s="62">
        <f t="shared" si="200"/>
        <v>0</v>
      </c>
      <c r="V298" s="62">
        <f t="shared" si="197"/>
        <v>0</v>
      </c>
      <c r="W298" s="62">
        <f t="shared" si="198"/>
        <v>0</v>
      </c>
      <c r="X298" s="62">
        <f t="shared" si="199"/>
        <v>0</v>
      </c>
      <c r="Y298" s="62">
        <f t="shared" si="147"/>
        <v>0</v>
      </c>
      <c r="Z298" s="62"/>
      <c r="AA298" s="62">
        <f t="shared" si="204"/>
        <v>0</v>
      </c>
      <c r="AB298" s="62"/>
      <c r="AC298" s="62"/>
      <c r="AD298" s="47"/>
      <c r="AE298" s="62"/>
      <c r="AF298" s="62"/>
      <c r="AG298" s="62"/>
      <c r="AH298" s="62"/>
      <c r="AI298" s="62"/>
      <c r="AJ298" s="62"/>
      <c r="AK298" s="62"/>
      <c r="AL298" s="62"/>
      <c r="AM298" s="62"/>
      <c r="AN298" s="62"/>
      <c r="AO298" s="62"/>
      <c r="AP298" s="62"/>
      <c r="AQ298" s="62"/>
      <c r="AR298" s="62"/>
      <c r="AS298" s="62"/>
      <c r="AT298" s="62"/>
      <c r="AU298" s="62"/>
      <c r="AV298" s="62"/>
      <c r="AW298" s="62"/>
      <c r="AX298" s="62"/>
      <c r="AY298" s="62"/>
      <c r="AZ298" s="62"/>
      <c r="BA298" s="62"/>
      <c r="BB298" s="62"/>
    </row>
    <row r="299" spans="1:54" s="81" customFormat="1">
      <c r="A299" s="79" t="s">
        <v>544</v>
      </c>
      <c r="B299" s="82" t="s">
        <v>545</v>
      </c>
      <c r="C299" s="80" t="s">
        <v>546</v>
      </c>
      <c r="D299" s="61"/>
      <c r="E299" s="46">
        <f t="shared" si="184"/>
        <v>0</v>
      </c>
      <c r="F299" s="62">
        <f t="shared" si="186"/>
        <v>0</v>
      </c>
      <c r="G299" s="62">
        <f t="shared" si="165"/>
        <v>0</v>
      </c>
      <c r="H299" s="62">
        <f t="shared" si="187"/>
        <v>0</v>
      </c>
      <c r="I299" s="62">
        <f t="shared" si="188"/>
        <v>0</v>
      </c>
      <c r="J299" s="62">
        <f t="shared" si="189"/>
        <v>0</v>
      </c>
      <c r="K299" s="62">
        <f t="shared" si="190"/>
        <v>0</v>
      </c>
      <c r="L299" s="62">
        <f t="shared" si="191"/>
        <v>0</v>
      </c>
      <c r="M299" s="62">
        <f t="shared" si="192"/>
        <v>0</v>
      </c>
      <c r="N299" s="62">
        <f t="shared" si="193"/>
        <v>0</v>
      </c>
      <c r="O299" s="62">
        <f t="shared" si="194"/>
        <v>0</v>
      </c>
      <c r="P299" s="62">
        <f t="shared" si="195"/>
        <v>0</v>
      </c>
      <c r="Q299" s="62">
        <f t="shared" si="196"/>
        <v>0</v>
      </c>
      <c r="R299" s="62"/>
      <c r="S299" s="62"/>
      <c r="T299" s="62">
        <f t="shared" si="129"/>
        <v>0</v>
      </c>
      <c r="U299" s="62">
        <f t="shared" si="200"/>
        <v>0</v>
      </c>
      <c r="V299" s="62">
        <f t="shared" si="197"/>
        <v>0</v>
      </c>
      <c r="W299" s="62">
        <f t="shared" si="198"/>
        <v>0</v>
      </c>
      <c r="X299" s="62">
        <f t="shared" si="199"/>
        <v>0</v>
      </c>
      <c r="Y299" s="62">
        <f t="shared" si="147"/>
        <v>0</v>
      </c>
      <c r="Z299" s="62"/>
      <c r="AA299" s="62">
        <f t="shared" si="204"/>
        <v>0</v>
      </c>
      <c r="AB299" s="62"/>
      <c r="AC299" s="62"/>
      <c r="AD299" s="47"/>
      <c r="AE299" s="62"/>
      <c r="AF299" s="62"/>
      <c r="AG299" s="62"/>
      <c r="AH299" s="62"/>
      <c r="AI299" s="62"/>
      <c r="AJ299" s="62"/>
      <c r="AK299" s="62"/>
      <c r="AL299" s="62"/>
      <c r="AM299" s="62"/>
      <c r="AN299" s="62"/>
      <c r="AO299" s="62"/>
      <c r="AP299" s="62"/>
      <c r="AQ299" s="62"/>
      <c r="AR299" s="62"/>
      <c r="AS299" s="62"/>
      <c r="AT299" s="62"/>
      <c r="AU299" s="62"/>
      <c r="AV299" s="62"/>
      <c r="AW299" s="62"/>
      <c r="AX299" s="62"/>
      <c r="AY299" s="62"/>
      <c r="AZ299" s="62"/>
      <c r="BA299" s="62"/>
      <c r="BB299" s="62"/>
    </row>
    <row r="300" spans="1:54" s="81" customFormat="1" ht="25.5">
      <c r="A300" s="79" t="s">
        <v>547</v>
      </c>
      <c r="B300" s="82" t="s">
        <v>548</v>
      </c>
      <c r="C300" s="80" t="s">
        <v>549</v>
      </c>
      <c r="D300" s="61"/>
      <c r="E300" s="46">
        <f t="shared" si="184"/>
        <v>0</v>
      </c>
      <c r="F300" s="62">
        <f t="shared" si="186"/>
        <v>0</v>
      </c>
      <c r="G300" s="62">
        <f>H300+I300+J300+K300+L300+M300+N300+O300+P300+Q300+U300+V300+W300+X300</f>
        <v>0</v>
      </c>
      <c r="H300" s="62">
        <f t="shared" si="187"/>
        <v>0</v>
      </c>
      <c r="I300" s="62">
        <f t="shared" si="188"/>
        <v>0</v>
      </c>
      <c r="J300" s="62">
        <f t="shared" si="189"/>
        <v>0</v>
      </c>
      <c r="K300" s="62">
        <f t="shared" si="190"/>
        <v>0</v>
      </c>
      <c r="L300" s="62">
        <f t="shared" si="191"/>
        <v>0</v>
      </c>
      <c r="M300" s="62">
        <f t="shared" si="192"/>
        <v>0</v>
      </c>
      <c r="N300" s="62">
        <f t="shared" si="193"/>
        <v>0</v>
      </c>
      <c r="O300" s="62">
        <f t="shared" si="194"/>
        <v>0</v>
      </c>
      <c r="P300" s="62">
        <f t="shared" si="195"/>
        <v>0</v>
      </c>
      <c r="Q300" s="62">
        <f t="shared" si="196"/>
        <v>0</v>
      </c>
      <c r="R300" s="62"/>
      <c r="S300" s="62"/>
      <c r="T300" s="62">
        <f t="shared" si="129"/>
        <v>0</v>
      </c>
      <c r="U300" s="62">
        <f t="shared" si="200"/>
        <v>0</v>
      </c>
      <c r="V300" s="62">
        <f t="shared" si="197"/>
        <v>0</v>
      </c>
      <c r="W300" s="62">
        <f t="shared" si="198"/>
        <v>0</v>
      </c>
      <c r="X300" s="62">
        <f t="shared" si="199"/>
        <v>0</v>
      </c>
      <c r="Y300" s="62">
        <f>IF(OR($C300="932",$C300="934",$C300="949"),$D300,)</f>
        <v>0</v>
      </c>
      <c r="Z300" s="62"/>
      <c r="AA300" s="62">
        <f t="shared" si="204"/>
        <v>0</v>
      </c>
      <c r="AB300" s="62"/>
      <c r="AC300" s="62"/>
      <c r="AD300" s="47"/>
      <c r="AE300" s="62"/>
      <c r="AF300" s="62"/>
      <c r="AG300" s="62"/>
      <c r="AH300" s="62"/>
      <c r="AI300" s="62"/>
      <c r="AJ300" s="62"/>
      <c r="AK300" s="62"/>
      <c r="AL300" s="62"/>
      <c r="AM300" s="62"/>
      <c r="AN300" s="62"/>
      <c r="AO300" s="62"/>
      <c r="AP300" s="62"/>
      <c r="AQ300" s="62"/>
      <c r="AR300" s="62"/>
      <c r="AS300" s="62"/>
      <c r="AT300" s="62"/>
      <c r="AU300" s="62"/>
      <c r="AV300" s="62"/>
      <c r="AW300" s="62"/>
      <c r="AX300" s="62"/>
      <c r="AY300" s="62"/>
      <c r="AZ300" s="62"/>
      <c r="BA300" s="62"/>
      <c r="BB300" s="62"/>
    </row>
    <row r="301" spans="1:54" ht="72.75" customHeight="1">
      <c r="A301" s="88" t="s">
        <v>24</v>
      </c>
      <c r="B301" s="90" t="s">
        <v>550</v>
      </c>
      <c r="C301" s="80"/>
      <c r="D301" s="61">
        <f>D302+D321+D322+D323</f>
        <v>0</v>
      </c>
      <c r="E301" s="46">
        <f t="shared" si="184"/>
        <v>0</v>
      </c>
      <c r="F301" s="62">
        <f t="shared" ref="F301:AC301" si="205">F302+F321+F322+F323</f>
        <v>0</v>
      </c>
      <c r="G301" s="62">
        <f t="shared" si="205"/>
        <v>0</v>
      </c>
      <c r="H301" s="62">
        <f t="shared" si="205"/>
        <v>0</v>
      </c>
      <c r="I301" s="62">
        <f t="shared" si="205"/>
        <v>0</v>
      </c>
      <c r="J301" s="62">
        <f t="shared" si="205"/>
        <v>0</v>
      </c>
      <c r="K301" s="62">
        <f t="shared" si="205"/>
        <v>0</v>
      </c>
      <c r="L301" s="62">
        <f t="shared" si="205"/>
        <v>0</v>
      </c>
      <c r="M301" s="62">
        <f t="shared" si="205"/>
        <v>0</v>
      </c>
      <c r="N301" s="62">
        <f t="shared" si="205"/>
        <v>0</v>
      </c>
      <c r="O301" s="62">
        <f t="shared" si="205"/>
        <v>0</v>
      </c>
      <c r="P301" s="62">
        <f t="shared" si="205"/>
        <v>0</v>
      </c>
      <c r="Q301" s="62">
        <f t="shared" si="205"/>
        <v>0</v>
      </c>
      <c r="R301" s="62">
        <f t="shared" si="205"/>
        <v>0</v>
      </c>
      <c r="S301" s="62">
        <f t="shared" si="205"/>
        <v>0</v>
      </c>
      <c r="T301" s="62">
        <f t="shared" si="205"/>
        <v>0</v>
      </c>
      <c r="U301" s="62">
        <f t="shared" si="205"/>
        <v>0</v>
      </c>
      <c r="V301" s="62">
        <f t="shared" si="205"/>
        <v>0</v>
      </c>
      <c r="W301" s="62">
        <f t="shared" si="205"/>
        <v>0</v>
      </c>
      <c r="X301" s="62">
        <f t="shared" si="205"/>
        <v>0</v>
      </c>
      <c r="Y301" s="62">
        <f t="shared" si="205"/>
        <v>0</v>
      </c>
      <c r="Z301" s="62">
        <f t="shared" si="205"/>
        <v>0</v>
      </c>
      <c r="AA301" s="62">
        <f t="shared" si="205"/>
        <v>0</v>
      </c>
      <c r="AB301" s="62">
        <f t="shared" si="205"/>
        <v>0</v>
      </c>
      <c r="AC301" s="62">
        <f t="shared" si="205"/>
        <v>0</v>
      </c>
      <c r="AD301" s="47"/>
      <c r="AE301" s="62"/>
      <c r="AF301" s="62"/>
      <c r="AG301" s="62"/>
      <c r="AH301" s="62"/>
      <c r="AI301" s="62"/>
      <c r="AJ301" s="62"/>
      <c r="AK301" s="62"/>
      <c r="AL301" s="62"/>
      <c r="AM301" s="62"/>
      <c r="AN301" s="62"/>
      <c r="AO301" s="62"/>
      <c r="AP301" s="62"/>
      <c r="AQ301" s="62"/>
      <c r="AR301" s="62"/>
      <c r="AS301" s="62"/>
      <c r="AT301" s="62"/>
      <c r="AU301" s="62"/>
      <c r="AV301" s="62"/>
      <c r="AW301" s="62"/>
      <c r="AX301" s="62"/>
      <c r="AY301" s="62"/>
      <c r="AZ301" s="62"/>
      <c r="BA301" s="62"/>
      <c r="BB301" s="62"/>
    </row>
    <row r="302" spans="1:54" s="81" customFormat="1" ht="25.5">
      <c r="A302" s="91" t="s">
        <v>551</v>
      </c>
      <c r="B302" s="82" t="s">
        <v>552</v>
      </c>
      <c r="C302" s="80"/>
      <c r="D302" s="61"/>
      <c r="E302" s="46">
        <f t="shared" si="184"/>
        <v>0</v>
      </c>
      <c r="F302" s="47">
        <f t="shared" ref="F302:AC302" si="206">F303+F310</f>
        <v>0</v>
      </c>
      <c r="G302" s="47">
        <f t="shared" si="206"/>
        <v>0</v>
      </c>
      <c r="H302" s="47">
        <f t="shared" si="206"/>
        <v>0</v>
      </c>
      <c r="I302" s="47">
        <f t="shared" si="206"/>
        <v>0</v>
      </c>
      <c r="J302" s="47">
        <f t="shared" si="206"/>
        <v>0</v>
      </c>
      <c r="K302" s="47">
        <f t="shared" si="206"/>
        <v>0</v>
      </c>
      <c r="L302" s="47">
        <f t="shared" si="206"/>
        <v>0</v>
      </c>
      <c r="M302" s="47">
        <f t="shared" si="206"/>
        <v>0</v>
      </c>
      <c r="N302" s="47">
        <f t="shared" si="206"/>
        <v>0</v>
      </c>
      <c r="O302" s="47">
        <f t="shared" si="206"/>
        <v>0</v>
      </c>
      <c r="P302" s="47">
        <f t="shared" si="206"/>
        <v>0</v>
      </c>
      <c r="Q302" s="47">
        <f t="shared" si="206"/>
        <v>0</v>
      </c>
      <c r="R302" s="47">
        <f t="shared" si="206"/>
        <v>0</v>
      </c>
      <c r="S302" s="47">
        <f t="shared" si="206"/>
        <v>0</v>
      </c>
      <c r="T302" s="47">
        <f t="shared" si="206"/>
        <v>0</v>
      </c>
      <c r="U302" s="47">
        <f t="shared" si="206"/>
        <v>0</v>
      </c>
      <c r="V302" s="47">
        <f t="shared" si="206"/>
        <v>0</v>
      </c>
      <c r="W302" s="47">
        <f t="shared" si="206"/>
        <v>0</v>
      </c>
      <c r="X302" s="47">
        <f t="shared" si="206"/>
        <v>0</v>
      </c>
      <c r="Y302" s="47">
        <f t="shared" si="206"/>
        <v>0</v>
      </c>
      <c r="Z302" s="47">
        <f t="shared" si="206"/>
        <v>0</v>
      </c>
      <c r="AA302" s="47">
        <f t="shared" si="206"/>
        <v>0</v>
      </c>
      <c r="AB302" s="47">
        <f t="shared" si="206"/>
        <v>0</v>
      </c>
      <c r="AC302" s="47">
        <f t="shared" si="206"/>
        <v>0</v>
      </c>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row>
    <row r="303" spans="1:54" s="18" customFormat="1" ht="15">
      <c r="A303" s="48" t="s">
        <v>28</v>
      </c>
      <c r="B303" s="49" t="s">
        <v>553</v>
      </c>
      <c r="C303" s="50"/>
      <c r="D303" s="50"/>
      <c r="E303" s="46">
        <f t="shared" si="184"/>
        <v>0</v>
      </c>
      <c r="F303" s="55">
        <f>SUBTOTAL(9,F304:F309)</f>
        <v>0</v>
      </c>
      <c r="G303" s="55"/>
      <c r="H303" s="55"/>
      <c r="I303" s="55"/>
      <c r="J303" s="55"/>
      <c r="K303" s="55"/>
      <c r="L303" s="55"/>
      <c r="M303" s="55"/>
      <c r="N303" s="55"/>
      <c r="O303" s="55"/>
      <c r="P303" s="55"/>
      <c r="Q303" s="55"/>
      <c r="R303" s="55"/>
      <c r="S303" s="55"/>
      <c r="T303" s="55"/>
      <c r="U303" s="55"/>
      <c r="V303" s="55"/>
      <c r="W303" s="55"/>
      <c r="X303" s="55"/>
      <c r="Y303" s="55"/>
      <c r="Z303" s="55"/>
      <c r="AA303" s="55">
        <f t="shared" si="204"/>
        <v>0</v>
      </c>
      <c r="AB303" s="55">
        <f>SUBTOTAL(9,AB304:AB309)</f>
        <v>0</v>
      </c>
      <c r="AC303" s="55"/>
      <c r="AD303" s="47"/>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row>
    <row r="304" spans="1:54" s="18" customFormat="1" ht="15">
      <c r="A304" s="92">
        <v>1</v>
      </c>
      <c r="B304" s="93" t="s">
        <v>554</v>
      </c>
      <c r="C304" s="53"/>
      <c r="D304" s="53"/>
      <c r="E304" s="46">
        <f t="shared" si="184"/>
        <v>0</v>
      </c>
      <c r="F304" s="54"/>
      <c r="G304" s="54"/>
      <c r="H304" s="54"/>
      <c r="I304" s="54"/>
      <c r="J304" s="54"/>
      <c r="K304" s="54"/>
      <c r="L304" s="54"/>
      <c r="M304" s="54"/>
      <c r="N304" s="54"/>
      <c r="O304" s="54"/>
      <c r="P304" s="54"/>
      <c r="Q304" s="54"/>
      <c r="R304" s="54"/>
      <c r="S304" s="54"/>
      <c r="T304" s="54"/>
      <c r="U304" s="54"/>
      <c r="V304" s="54"/>
      <c r="W304" s="54"/>
      <c r="X304" s="54"/>
      <c r="Y304" s="54"/>
      <c r="Z304" s="54"/>
      <c r="AA304" s="54">
        <f t="shared" si="204"/>
        <v>0</v>
      </c>
      <c r="AB304" s="54"/>
      <c r="AC304" s="54"/>
      <c r="AD304" s="47"/>
      <c r="AE304" s="54"/>
      <c r="AF304" s="54"/>
      <c r="AG304" s="54"/>
      <c r="AH304" s="54"/>
      <c r="AI304" s="54"/>
      <c r="AJ304" s="54"/>
      <c r="AK304" s="54"/>
      <c r="AL304" s="54"/>
      <c r="AM304" s="54"/>
      <c r="AN304" s="54"/>
      <c r="AO304" s="54"/>
      <c r="AP304" s="54"/>
      <c r="AQ304" s="54"/>
      <c r="AR304" s="54"/>
      <c r="AS304" s="54"/>
      <c r="AT304" s="54"/>
      <c r="AU304" s="54"/>
      <c r="AV304" s="54"/>
      <c r="AW304" s="54"/>
      <c r="AX304" s="54"/>
      <c r="AY304" s="54"/>
      <c r="AZ304" s="54"/>
      <c r="BA304" s="54"/>
      <c r="BB304" s="54"/>
    </row>
    <row r="305" spans="1:54" s="18" customFormat="1" ht="15">
      <c r="A305" s="92">
        <v>2</v>
      </c>
      <c r="B305" s="93" t="s">
        <v>555</v>
      </c>
      <c r="C305" s="53"/>
      <c r="D305" s="53"/>
      <c r="E305" s="46">
        <f t="shared" si="184"/>
        <v>0</v>
      </c>
      <c r="F305" s="54"/>
      <c r="G305" s="54"/>
      <c r="H305" s="54"/>
      <c r="I305" s="54"/>
      <c r="J305" s="54"/>
      <c r="K305" s="54"/>
      <c r="L305" s="54"/>
      <c r="M305" s="54"/>
      <c r="N305" s="54"/>
      <c r="O305" s="54"/>
      <c r="P305" s="54"/>
      <c r="Q305" s="54"/>
      <c r="R305" s="54"/>
      <c r="S305" s="54"/>
      <c r="T305" s="54"/>
      <c r="U305" s="54"/>
      <c r="V305" s="54"/>
      <c r="W305" s="54"/>
      <c r="X305" s="54"/>
      <c r="Y305" s="54"/>
      <c r="Z305" s="54"/>
      <c r="AA305" s="54">
        <f t="shared" si="204"/>
        <v>0</v>
      </c>
      <c r="AB305" s="54"/>
      <c r="AC305" s="54"/>
      <c r="AD305" s="47"/>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54"/>
      <c r="BB305" s="54"/>
    </row>
    <row r="306" spans="1:54" s="18" customFormat="1" ht="15">
      <c r="A306" s="92">
        <v>3</v>
      </c>
      <c r="B306" s="93" t="s">
        <v>556</v>
      </c>
      <c r="C306" s="53"/>
      <c r="D306" s="53"/>
      <c r="E306" s="46">
        <f t="shared" si="184"/>
        <v>0</v>
      </c>
      <c r="F306" s="54"/>
      <c r="G306" s="54"/>
      <c r="H306" s="54"/>
      <c r="I306" s="54"/>
      <c r="J306" s="54"/>
      <c r="K306" s="54"/>
      <c r="L306" s="54"/>
      <c r="M306" s="54"/>
      <c r="N306" s="54"/>
      <c r="O306" s="54"/>
      <c r="P306" s="54"/>
      <c r="Q306" s="54"/>
      <c r="R306" s="54"/>
      <c r="S306" s="54"/>
      <c r="T306" s="54"/>
      <c r="U306" s="54"/>
      <c r="V306" s="54"/>
      <c r="W306" s="54"/>
      <c r="X306" s="54"/>
      <c r="Y306" s="54"/>
      <c r="Z306" s="54"/>
      <c r="AA306" s="54">
        <f t="shared" si="204"/>
        <v>0</v>
      </c>
      <c r="AB306" s="54"/>
      <c r="AC306" s="54"/>
      <c r="AD306" s="47"/>
      <c r="AE306" s="54"/>
      <c r="AF306" s="54"/>
      <c r="AG306" s="54"/>
      <c r="AH306" s="54"/>
      <c r="AI306" s="54"/>
      <c r="AJ306" s="54"/>
      <c r="AK306" s="54"/>
      <c r="AL306" s="54"/>
      <c r="AM306" s="54"/>
      <c r="AN306" s="54"/>
      <c r="AO306" s="54"/>
      <c r="AP306" s="54"/>
      <c r="AQ306" s="54"/>
      <c r="AR306" s="54"/>
      <c r="AS306" s="54"/>
      <c r="AT306" s="54"/>
      <c r="AU306" s="54"/>
      <c r="AV306" s="54"/>
      <c r="AW306" s="54"/>
      <c r="AX306" s="54"/>
      <c r="AY306" s="54"/>
      <c r="AZ306" s="54"/>
      <c r="BA306" s="54"/>
      <c r="BB306" s="54"/>
    </row>
    <row r="307" spans="1:54" s="18" customFormat="1" ht="15">
      <c r="A307" s="92">
        <v>4</v>
      </c>
      <c r="B307" s="93" t="s">
        <v>557</v>
      </c>
      <c r="C307" s="53"/>
      <c r="D307" s="53"/>
      <c r="E307" s="46">
        <f t="shared" si="184"/>
        <v>0</v>
      </c>
      <c r="F307" s="54"/>
      <c r="G307" s="54"/>
      <c r="H307" s="54"/>
      <c r="I307" s="54"/>
      <c r="J307" s="54"/>
      <c r="K307" s="54"/>
      <c r="L307" s="54"/>
      <c r="M307" s="54"/>
      <c r="N307" s="54"/>
      <c r="O307" s="54"/>
      <c r="P307" s="54"/>
      <c r="Q307" s="54"/>
      <c r="R307" s="54"/>
      <c r="S307" s="54"/>
      <c r="T307" s="54"/>
      <c r="U307" s="54"/>
      <c r="V307" s="54"/>
      <c r="W307" s="54"/>
      <c r="X307" s="54"/>
      <c r="Y307" s="54"/>
      <c r="Z307" s="54"/>
      <c r="AA307" s="54">
        <f t="shared" si="204"/>
        <v>0</v>
      </c>
      <c r="AB307" s="54"/>
      <c r="AC307" s="54"/>
      <c r="AD307" s="47"/>
      <c r="AE307" s="54"/>
      <c r="AF307" s="54"/>
      <c r="AG307" s="54"/>
      <c r="AH307" s="54"/>
      <c r="AI307" s="54"/>
      <c r="AJ307" s="54"/>
      <c r="AK307" s="54"/>
      <c r="AL307" s="54"/>
      <c r="AM307" s="54"/>
      <c r="AN307" s="54"/>
      <c r="AO307" s="54"/>
      <c r="AP307" s="54"/>
      <c r="AQ307" s="54"/>
      <c r="AR307" s="54"/>
      <c r="AS307" s="54"/>
      <c r="AT307" s="54"/>
      <c r="AU307" s="54"/>
      <c r="AV307" s="54"/>
      <c r="AW307" s="54"/>
      <c r="AX307" s="54"/>
      <c r="AY307" s="54"/>
      <c r="AZ307" s="54"/>
      <c r="BA307" s="54"/>
      <c r="BB307" s="54"/>
    </row>
    <row r="308" spans="1:54" s="18" customFormat="1" ht="16.5" customHeight="1">
      <c r="A308" s="92">
        <v>5</v>
      </c>
      <c r="B308" s="94" t="s">
        <v>558</v>
      </c>
      <c r="C308" s="53"/>
      <c r="D308" s="95"/>
      <c r="E308" s="46">
        <f t="shared" si="184"/>
        <v>0</v>
      </c>
      <c r="F308" s="54"/>
      <c r="G308" s="54"/>
      <c r="H308" s="54"/>
      <c r="I308" s="54"/>
      <c r="J308" s="54"/>
      <c r="K308" s="54"/>
      <c r="L308" s="54"/>
      <c r="M308" s="54"/>
      <c r="N308" s="54"/>
      <c r="O308" s="54"/>
      <c r="P308" s="54"/>
      <c r="Q308" s="54"/>
      <c r="R308" s="54"/>
      <c r="S308" s="54"/>
      <c r="T308" s="54"/>
      <c r="U308" s="54"/>
      <c r="V308" s="54"/>
      <c r="W308" s="54"/>
      <c r="X308" s="54"/>
      <c r="Y308" s="54"/>
      <c r="Z308" s="54"/>
      <c r="AA308" s="54">
        <f t="shared" si="204"/>
        <v>0</v>
      </c>
      <c r="AB308" s="54"/>
      <c r="AC308" s="54"/>
      <c r="AD308" s="47"/>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row>
    <row r="309" spans="1:54" s="18" customFormat="1" ht="15">
      <c r="A309" s="92">
        <v>7</v>
      </c>
      <c r="B309" s="93" t="s">
        <v>559</v>
      </c>
      <c r="C309" s="53"/>
      <c r="D309" s="53"/>
      <c r="E309" s="46">
        <f t="shared" si="184"/>
        <v>0</v>
      </c>
      <c r="F309" s="54"/>
      <c r="G309" s="54"/>
      <c r="H309" s="54"/>
      <c r="I309" s="54"/>
      <c r="J309" s="54"/>
      <c r="K309" s="54"/>
      <c r="L309" s="54"/>
      <c r="M309" s="54"/>
      <c r="N309" s="54"/>
      <c r="O309" s="54"/>
      <c r="P309" s="54"/>
      <c r="Q309" s="54"/>
      <c r="R309" s="54"/>
      <c r="S309" s="54"/>
      <c r="T309" s="54"/>
      <c r="U309" s="54"/>
      <c r="V309" s="54"/>
      <c r="W309" s="54"/>
      <c r="X309" s="54"/>
      <c r="Y309" s="54"/>
      <c r="Z309" s="54"/>
      <c r="AA309" s="54">
        <f t="shared" si="204"/>
        <v>0</v>
      </c>
      <c r="AB309" s="54"/>
      <c r="AC309" s="54"/>
      <c r="AD309" s="47"/>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54"/>
      <c r="BB309" s="54"/>
    </row>
    <row r="310" spans="1:54" s="57" customFormat="1" ht="15" customHeight="1">
      <c r="A310" s="48" t="s">
        <v>33</v>
      </c>
      <c r="B310" s="96" t="s">
        <v>44</v>
      </c>
      <c r="C310" s="50"/>
      <c r="D310" s="97"/>
      <c r="E310" s="46">
        <f t="shared" si="184"/>
        <v>0</v>
      </c>
      <c r="F310" s="47">
        <f t="shared" ref="F310:AC310" si="207">SUM(F311:F320)</f>
        <v>0</v>
      </c>
      <c r="G310" s="47">
        <f t="shared" si="207"/>
        <v>0</v>
      </c>
      <c r="H310" s="47">
        <f t="shared" si="207"/>
        <v>0</v>
      </c>
      <c r="I310" s="47">
        <f t="shared" si="207"/>
        <v>0</v>
      </c>
      <c r="J310" s="47">
        <f t="shared" si="207"/>
        <v>0</v>
      </c>
      <c r="K310" s="47">
        <f t="shared" si="207"/>
        <v>0</v>
      </c>
      <c r="L310" s="47">
        <f t="shared" si="207"/>
        <v>0</v>
      </c>
      <c r="M310" s="47">
        <f t="shared" si="207"/>
        <v>0</v>
      </c>
      <c r="N310" s="47">
        <f t="shared" si="207"/>
        <v>0</v>
      </c>
      <c r="O310" s="47">
        <f t="shared" si="207"/>
        <v>0</v>
      </c>
      <c r="P310" s="47">
        <f t="shared" si="207"/>
        <v>0</v>
      </c>
      <c r="Q310" s="47">
        <f t="shared" si="207"/>
        <v>0</v>
      </c>
      <c r="R310" s="47">
        <f t="shared" si="207"/>
        <v>0</v>
      </c>
      <c r="S310" s="47">
        <f t="shared" si="207"/>
        <v>0</v>
      </c>
      <c r="T310" s="47">
        <f t="shared" si="207"/>
        <v>0</v>
      </c>
      <c r="U310" s="47">
        <f t="shared" si="207"/>
        <v>0</v>
      </c>
      <c r="V310" s="47">
        <f t="shared" si="207"/>
        <v>0</v>
      </c>
      <c r="W310" s="47">
        <f t="shared" si="207"/>
        <v>0</v>
      </c>
      <c r="X310" s="47">
        <f t="shared" si="207"/>
        <v>0</v>
      </c>
      <c r="Y310" s="47">
        <f t="shared" si="207"/>
        <v>0</v>
      </c>
      <c r="Z310" s="47">
        <f t="shared" si="207"/>
        <v>0</v>
      </c>
      <c r="AA310" s="47">
        <f t="shared" si="207"/>
        <v>0</v>
      </c>
      <c r="AB310" s="47">
        <f t="shared" si="207"/>
        <v>0</v>
      </c>
      <c r="AC310" s="47">
        <f t="shared" si="207"/>
        <v>0</v>
      </c>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row>
    <row r="311" spans="1:54" s="18" customFormat="1" ht="18" customHeight="1">
      <c r="A311" s="98">
        <v>1</v>
      </c>
      <c r="B311" s="99" t="s">
        <v>560</v>
      </c>
      <c r="C311" s="100"/>
      <c r="D311" s="100"/>
      <c r="E311" s="46">
        <f t="shared" si="184"/>
        <v>0</v>
      </c>
      <c r="F311" s="101"/>
      <c r="G311" s="101"/>
      <c r="H311" s="101"/>
      <c r="I311" s="101"/>
      <c r="J311" s="101"/>
      <c r="K311" s="101"/>
      <c r="L311" s="101"/>
      <c r="M311" s="101"/>
      <c r="N311" s="101"/>
      <c r="O311" s="101"/>
      <c r="P311" s="101"/>
      <c r="Q311" s="101"/>
      <c r="R311" s="101"/>
      <c r="S311" s="101"/>
      <c r="T311" s="101"/>
      <c r="U311" s="101"/>
      <c r="V311" s="101"/>
      <c r="W311" s="101"/>
      <c r="X311" s="101"/>
      <c r="Y311" s="101"/>
      <c r="Z311" s="101"/>
      <c r="AA311" s="101">
        <f t="shared" ref="AA311:AA366" si="208">AB311+AC311</f>
        <v>0</v>
      </c>
      <c r="AB311" s="101"/>
      <c r="AC311" s="101"/>
      <c r="AD311" s="47"/>
      <c r="AE311" s="101"/>
      <c r="AF311" s="101"/>
      <c r="AG311" s="101"/>
      <c r="AH311" s="101"/>
      <c r="AI311" s="101"/>
      <c r="AJ311" s="101"/>
      <c r="AK311" s="101"/>
      <c r="AL311" s="101"/>
      <c r="AM311" s="101"/>
      <c r="AN311" s="101"/>
      <c r="AO311" s="101"/>
      <c r="AP311" s="101"/>
      <c r="AQ311" s="101"/>
      <c r="AR311" s="101"/>
      <c r="AS311" s="101"/>
      <c r="AT311" s="101"/>
      <c r="AU311" s="101"/>
      <c r="AV311" s="101"/>
      <c r="AW311" s="101"/>
      <c r="AX311" s="101"/>
      <c r="AY311" s="101"/>
      <c r="AZ311" s="101"/>
      <c r="BA311" s="101"/>
      <c r="BB311" s="101"/>
    </row>
    <row r="312" spans="1:54" s="18" customFormat="1" ht="19.5" customHeight="1">
      <c r="A312" s="98">
        <v>2</v>
      </c>
      <c r="B312" s="99" t="s">
        <v>561</v>
      </c>
      <c r="C312" s="100"/>
      <c r="D312" s="100"/>
      <c r="E312" s="46">
        <f t="shared" si="184"/>
        <v>0</v>
      </c>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f t="shared" si="208"/>
        <v>0</v>
      </c>
      <c r="AB312" s="101"/>
      <c r="AC312" s="101"/>
      <c r="AD312" s="47"/>
      <c r="AE312" s="101"/>
      <c r="AF312" s="101"/>
      <c r="AG312" s="101"/>
      <c r="AH312" s="101"/>
      <c r="AI312" s="101"/>
      <c r="AJ312" s="101"/>
      <c r="AK312" s="101"/>
      <c r="AL312" s="101"/>
      <c r="AM312" s="101"/>
      <c r="AN312" s="101"/>
      <c r="AO312" s="101"/>
      <c r="AP312" s="101"/>
      <c r="AQ312" s="101"/>
      <c r="AR312" s="101"/>
      <c r="AS312" s="101"/>
      <c r="AT312" s="101"/>
      <c r="AU312" s="101"/>
      <c r="AV312" s="101"/>
      <c r="AW312" s="101"/>
      <c r="AX312" s="101"/>
      <c r="AY312" s="101"/>
      <c r="AZ312" s="101"/>
      <c r="BA312" s="101"/>
      <c r="BB312" s="101"/>
    </row>
    <row r="313" spans="1:54" s="18" customFormat="1" ht="19.5" customHeight="1">
      <c r="A313" s="98">
        <v>3</v>
      </c>
      <c r="B313" s="99" t="s">
        <v>562</v>
      </c>
      <c r="C313" s="100"/>
      <c r="D313" s="100"/>
      <c r="E313" s="46">
        <f t="shared" si="184"/>
        <v>0</v>
      </c>
      <c r="F313" s="101"/>
      <c r="G313" s="101"/>
      <c r="H313" s="101"/>
      <c r="I313" s="101"/>
      <c r="J313" s="101"/>
      <c r="K313" s="101"/>
      <c r="L313" s="101"/>
      <c r="M313" s="101"/>
      <c r="N313" s="101"/>
      <c r="O313" s="101"/>
      <c r="P313" s="101"/>
      <c r="Q313" s="101"/>
      <c r="R313" s="101"/>
      <c r="S313" s="101"/>
      <c r="T313" s="101"/>
      <c r="U313" s="101"/>
      <c r="V313" s="101"/>
      <c r="W313" s="101"/>
      <c r="X313" s="101"/>
      <c r="Y313" s="101"/>
      <c r="Z313" s="101"/>
      <c r="AA313" s="101">
        <f t="shared" si="208"/>
        <v>0</v>
      </c>
      <c r="AB313" s="101"/>
      <c r="AC313" s="101"/>
      <c r="AD313" s="47"/>
      <c r="AE313" s="101"/>
      <c r="AF313" s="101"/>
      <c r="AG313" s="101"/>
      <c r="AH313" s="101"/>
      <c r="AI313" s="101"/>
      <c r="AJ313" s="101"/>
      <c r="AK313" s="101"/>
      <c r="AL313" s="101"/>
      <c r="AM313" s="101"/>
      <c r="AN313" s="101"/>
      <c r="AO313" s="101"/>
      <c r="AP313" s="101"/>
      <c r="AQ313" s="101"/>
      <c r="AR313" s="101"/>
      <c r="AS313" s="101"/>
      <c r="AT313" s="101"/>
      <c r="AU313" s="101"/>
      <c r="AV313" s="101"/>
      <c r="AW313" s="101"/>
      <c r="AX313" s="101"/>
      <c r="AY313" s="101"/>
      <c r="AZ313" s="101"/>
      <c r="BA313" s="101"/>
      <c r="BB313" s="101"/>
    </row>
    <row r="314" spans="1:54" s="18" customFormat="1" ht="15">
      <c r="A314" s="98">
        <v>4</v>
      </c>
      <c r="B314" s="99" t="s">
        <v>563</v>
      </c>
      <c r="C314" s="100"/>
      <c r="D314" s="100"/>
      <c r="E314" s="46">
        <f t="shared" si="184"/>
        <v>0</v>
      </c>
      <c r="F314" s="101"/>
      <c r="G314" s="101"/>
      <c r="H314" s="101"/>
      <c r="I314" s="101"/>
      <c r="J314" s="101"/>
      <c r="K314" s="101"/>
      <c r="L314" s="101"/>
      <c r="M314" s="101"/>
      <c r="N314" s="101"/>
      <c r="O314" s="101"/>
      <c r="P314" s="101"/>
      <c r="Q314" s="101"/>
      <c r="R314" s="101"/>
      <c r="S314" s="101"/>
      <c r="T314" s="101"/>
      <c r="U314" s="101"/>
      <c r="V314" s="101"/>
      <c r="W314" s="101"/>
      <c r="X314" s="101"/>
      <c r="Y314" s="101"/>
      <c r="Z314" s="101"/>
      <c r="AA314" s="101">
        <f t="shared" si="208"/>
        <v>0</v>
      </c>
      <c r="AB314" s="101"/>
      <c r="AC314" s="101"/>
      <c r="AD314" s="47"/>
      <c r="AE314" s="101"/>
      <c r="AF314" s="101"/>
      <c r="AG314" s="101"/>
      <c r="AH314" s="101"/>
      <c r="AI314" s="101"/>
      <c r="AJ314" s="101"/>
      <c r="AK314" s="101"/>
      <c r="AL314" s="101"/>
      <c r="AM314" s="101"/>
      <c r="AN314" s="101"/>
      <c r="AO314" s="101"/>
      <c r="AP314" s="101"/>
      <c r="AQ314" s="101"/>
      <c r="AR314" s="101"/>
      <c r="AS314" s="101"/>
      <c r="AT314" s="101"/>
      <c r="AU314" s="101"/>
      <c r="AV314" s="101"/>
      <c r="AW314" s="101"/>
      <c r="AX314" s="101"/>
      <c r="AY314" s="101"/>
      <c r="AZ314" s="101"/>
      <c r="BA314" s="101"/>
      <c r="BB314" s="101"/>
    </row>
    <row r="315" spans="1:54" s="18" customFormat="1" ht="15">
      <c r="A315" s="98">
        <v>5</v>
      </c>
      <c r="B315" s="99" t="s">
        <v>564</v>
      </c>
      <c r="C315" s="100"/>
      <c r="D315" s="100"/>
      <c r="E315" s="46">
        <f t="shared" si="184"/>
        <v>0</v>
      </c>
      <c r="F315" s="101"/>
      <c r="G315" s="101"/>
      <c r="H315" s="101"/>
      <c r="I315" s="101"/>
      <c r="J315" s="101"/>
      <c r="K315" s="101"/>
      <c r="L315" s="101"/>
      <c r="M315" s="101"/>
      <c r="N315" s="101"/>
      <c r="O315" s="101"/>
      <c r="P315" s="101"/>
      <c r="Q315" s="101"/>
      <c r="R315" s="101"/>
      <c r="S315" s="101"/>
      <c r="T315" s="101"/>
      <c r="U315" s="101"/>
      <c r="V315" s="101"/>
      <c r="W315" s="101"/>
      <c r="X315" s="101"/>
      <c r="Y315" s="101"/>
      <c r="Z315" s="101"/>
      <c r="AA315" s="101">
        <f t="shared" si="208"/>
        <v>0</v>
      </c>
      <c r="AB315" s="101"/>
      <c r="AC315" s="101"/>
      <c r="AD315" s="47"/>
      <c r="AE315" s="101"/>
      <c r="AF315" s="101"/>
      <c r="AG315" s="101"/>
      <c r="AH315" s="101"/>
      <c r="AI315" s="101"/>
      <c r="AJ315" s="101"/>
      <c r="AK315" s="101"/>
      <c r="AL315" s="101"/>
      <c r="AM315" s="101"/>
      <c r="AN315" s="101"/>
      <c r="AO315" s="101"/>
      <c r="AP315" s="101"/>
      <c r="AQ315" s="101"/>
      <c r="AR315" s="101"/>
      <c r="AS315" s="101"/>
      <c r="AT315" s="101"/>
      <c r="AU315" s="101"/>
      <c r="AV315" s="101"/>
      <c r="AW315" s="101"/>
      <c r="AX315" s="101"/>
      <c r="AY315" s="101"/>
      <c r="AZ315" s="101"/>
      <c r="BA315" s="101"/>
      <c r="BB315" s="101"/>
    </row>
    <row r="316" spans="1:54" s="18" customFormat="1" ht="15">
      <c r="A316" s="98">
        <v>6</v>
      </c>
      <c r="B316" s="99" t="s">
        <v>565</v>
      </c>
      <c r="C316" s="100"/>
      <c r="D316" s="100"/>
      <c r="E316" s="46">
        <f t="shared" si="184"/>
        <v>0</v>
      </c>
      <c r="F316" s="101"/>
      <c r="G316" s="101"/>
      <c r="H316" s="101"/>
      <c r="I316" s="101"/>
      <c r="J316" s="101"/>
      <c r="K316" s="101"/>
      <c r="L316" s="101"/>
      <c r="M316" s="101"/>
      <c r="N316" s="101"/>
      <c r="O316" s="101"/>
      <c r="P316" s="101"/>
      <c r="Q316" s="101"/>
      <c r="R316" s="101"/>
      <c r="S316" s="101"/>
      <c r="T316" s="101"/>
      <c r="U316" s="101"/>
      <c r="V316" s="101"/>
      <c r="W316" s="101"/>
      <c r="X316" s="101"/>
      <c r="Y316" s="101"/>
      <c r="Z316" s="101"/>
      <c r="AA316" s="101">
        <f t="shared" si="208"/>
        <v>0</v>
      </c>
      <c r="AB316" s="101"/>
      <c r="AC316" s="101"/>
      <c r="AD316" s="47"/>
      <c r="AE316" s="101"/>
      <c r="AF316" s="101"/>
      <c r="AG316" s="101"/>
      <c r="AH316" s="101"/>
      <c r="AI316" s="101"/>
      <c r="AJ316" s="101"/>
      <c r="AK316" s="101"/>
      <c r="AL316" s="101"/>
      <c r="AM316" s="101"/>
      <c r="AN316" s="101"/>
      <c r="AO316" s="101"/>
      <c r="AP316" s="101"/>
      <c r="AQ316" s="101"/>
      <c r="AR316" s="101"/>
      <c r="AS316" s="101"/>
      <c r="AT316" s="101"/>
      <c r="AU316" s="101"/>
      <c r="AV316" s="101"/>
      <c r="AW316" s="101"/>
      <c r="AX316" s="101"/>
      <c r="AY316" s="101"/>
      <c r="AZ316" s="101"/>
      <c r="BA316" s="101"/>
      <c r="BB316" s="101"/>
    </row>
    <row r="317" spans="1:54" s="18" customFormat="1" ht="25.5">
      <c r="A317" s="98">
        <v>7</v>
      </c>
      <c r="B317" s="99" t="s">
        <v>504</v>
      </c>
      <c r="C317" s="100"/>
      <c r="D317" s="100"/>
      <c r="E317" s="46">
        <f t="shared" si="184"/>
        <v>0</v>
      </c>
      <c r="F317" s="101"/>
      <c r="G317" s="101"/>
      <c r="H317" s="101"/>
      <c r="I317" s="101"/>
      <c r="J317" s="101"/>
      <c r="K317" s="101"/>
      <c r="L317" s="101"/>
      <c r="M317" s="101"/>
      <c r="N317" s="101"/>
      <c r="O317" s="101"/>
      <c r="P317" s="101"/>
      <c r="Q317" s="101"/>
      <c r="R317" s="101"/>
      <c r="S317" s="101"/>
      <c r="T317" s="101"/>
      <c r="U317" s="101"/>
      <c r="V317" s="101"/>
      <c r="W317" s="101"/>
      <c r="X317" s="101"/>
      <c r="Y317" s="101"/>
      <c r="Z317" s="101"/>
      <c r="AA317" s="101">
        <f t="shared" si="208"/>
        <v>0</v>
      </c>
      <c r="AB317" s="101"/>
      <c r="AC317" s="101"/>
      <c r="AD317" s="47"/>
      <c r="AE317" s="101"/>
      <c r="AF317" s="101"/>
      <c r="AG317" s="101"/>
      <c r="AH317" s="101"/>
      <c r="AI317" s="101"/>
      <c r="AJ317" s="101"/>
      <c r="AK317" s="101"/>
      <c r="AL317" s="101"/>
      <c r="AM317" s="101"/>
      <c r="AN317" s="101"/>
      <c r="AO317" s="101"/>
      <c r="AP317" s="101"/>
      <c r="AQ317" s="101"/>
      <c r="AR317" s="101"/>
      <c r="AS317" s="101"/>
      <c r="AT317" s="101"/>
      <c r="AU317" s="101"/>
      <c r="AV317" s="101"/>
      <c r="AW317" s="101"/>
      <c r="AX317" s="101"/>
      <c r="AY317" s="101"/>
      <c r="AZ317" s="101"/>
      <c r="BA317" s="101"/>
      <c r="BB317" s="101"/>
    </row>
    <row r="318" spans="1:54" s="18" customFormat="1" ht="15">
      <c r="A318" s="98">
        <v>8</v>
      </c>
      <c r="B318" s="99" t="s">
        <v>566</v>
      </c>
      <c r="C318" s="100"/>
      <c r="D318" s="100"/>
      <c r="E318" s="46">
        <f t="shared" si="184"/>
        <v>0</v>
      </c>
      <c r="F318" s="101"/>
      <c r="G318" s="101"/>
      <c r="H318" s="101"/>
      <c r="I318" s="101"/>
      <c r="J318" s="101"/>
      <c r="K318" s="101"/>
      <c r="L318" s="101"/>
      <c r="M318" s="101"/>
      <c r="N318" s="101"/>
      <c r="O318" s="101"/>
      <c r="P318" s="101"/>
      <c r="Q318" s="101"/>
      <c r="R318" s="101"/>
      <c r="S318" s="101"/>
      <c r="T318" s="101"/>
      <c r="U318" s="101"/>
      <c r="V318" s="101"/>
      <c r="W318" s="101"/>
      <c r="X318" s="101"/>
      <c r="Y318" s="101"/>
      <c r="Z318" s="101"/>
      <c r="AA318" s="101">
        <f t="shared" si="208"/>
        <v>0</v>
      </c>
      <c r="AB318" s="101"/>
      <c r="AC318" s="101"/>
      <c r="AD318" s="47"/>
      <c r="AE318" s="101"/>
      <c r="AF318" s="101"/>
      <c r="AG318" s="101"/>
      <c r="AH318" s="101"/>
      <c r="AI318" s="101"/>
      <c r="AJ318" s="101"/>
      <c r="AK318" s="101"/>
      <c r="AL318" s="101"/>
      <c r="AM318" s="101"/>
      <c r="AN318" s="101"/>
      <c r="AO318" s="101"/>
      <c r="AP318" s="101"/>
      <c r="AQ318" s="101"/>
      <c r="AR318" s="101"/>
      <c r="AS318" s="101"/>
      <c r="AT318" s="101"/>
      <c r="AU318" s="101"/>
      <c r="AV318" s="101"/>
      <c r="AW318" s="101"/>
      <c r="AX318" s="101"/>
      <c r="AY318" s="101"/>
      <c r="AZ318" s="101"/>
      <c r="BA318" s="101"/>
      <c r="BB318" s="101"/>
    </row>
    <row r="319" spans="1:54" s="18" customFormat="1" ht="28.5" customHeight="1">
      <c r="A319" s="98">
        <v>9</v>
      </c>
      <c r="B319" s="99" t="s">
        <v>567</v>
      </c>
      <c r="C319" s="100"/>
      <c r="D319" s="100"/>
      <c r="E319" s="46">
        <f t="shared" si="184"/>
        <v>0</v>
      </c>
      <c r="F319" s="101"/>
      <c r="G319" s="101"/>
      <c r="H319" s="101"/>
      <c r="I319" s="101"/>
      <c r="J319" s="101"/>
      <c r="K319" s="101"/>
      <c r="L319" s="101"/>
      <c r="M319" s="101"/>
      <c r="N319" s="101"/>
      <c r="O319" s="101"/>
      <c r="P319" s="101"/>
      <c r="Q319" s="101"/>
      <c r="R319" s="101"/>
      <c r="S319" s="101"/>
      <c r="T319" s="101"/>
      <c r="U319" s="101"/>
      <c r="V319" s="101"/>
      <c r="W319" s="101"/>
      <c r="X319" s="101"/>
      <c r="Y319" s="101"/>
      <c r="Z319" s="101"/>
      <c r="AA319" s="101">
        <f t="shared" si="208"/>
        <v>0</v>
      </c>
      <c r="AB319" s="101"/>
      <c r="AC319" s="101"/>
      <c r="AD319" s="47"/>
      <c r="AE319" s="101"/>
      <c r="AF319" s="101"/>
      <c r="AG319" s="101"/>
      <c r="AH319" s="101"/>
      <c r="AI319" s="101"/>
      <c r="AJ319" s="101"/>
      <c r="AK319" s="101"/>
      <c r="AL319" s="101"/>
      <c r="AM319" s="101"/>
      <c r="AN319" s="101"/>
      <c r="AO319" s="101"/>
      <c r="AP319" s="101"/>
      <c r="AQ319" s="101"/>
      <c r="AR319" s="101"/>
      <c r="AS319" s="101"/>
      <c r="AT319" s="101"/>
      <c r="AU319" s="101"/>
      <c r="AV319" s="101"/>
      <c r="AW319" s="101"/>
      <c r="AX319" s="101"/>
      <c r="AY319" s="101"/>
      <c r="AZ319" s="101"/>
      <c r="BA319" s="101"/>
      <c r="BB319" s="101"/>
    </row>
    <row r="320" spans="1:54" s="18" customFormat="1" ht="15">
      <c r="A320" s="98">
        <v>10</v>
      </c>
      <c r="B320" s="99" t="s">
        <v>306</v>
      </c>
      <c r="C320" s="100"/>
      <c r="D320" s="100"/>
      <c r="E320" s="46">
        <f t="shared" si="184"/>
        <v>0</v>
      </c>
      <c r="F320" s="101"/>
      <c r="G320" s="101"/>
      <c r="H320" s="101"/>
      <c r="I320" s="101"/>
      <c r="J320" s="101"/>
      <c r="K320" s="101"/>
      <c r="L320" s="101"/>
      <c r="M320" s="101"/>
      <c r="N320" s="101"/>
      <c r="O320" s="101"/>
      <c r="P320" s="101"/>
      <c r="Q320" s="101"/>
      <c r="R320" s="101"/>
      <c r="S320" s="101"/>
      <c r="T320" s="101"/>
      <c r="U320" s="101"/>
      <c r="V320" s="101"/>
      <c r="W320" s="101"/>
      <c r="X320" s="101"/>
      <c r="Y320" s="101"/>
      <c r="Z320" s="101"/>
      <c r="AA320" s="101">
        <f t="shared" si="208"/>
        <v>0</v>
      </c>
      <c r="AB320" s="101"/>
      <c r="AC320" s="101"/>
      <c r="AD320" s="102"/>
      <c r="AE320" s="103"/>
      <c r="AF320" s="103"/>
      <c r="AG320" s="103"/>
      <c r="AH320" s="103"/>
      <c r="AI320" s="103"/>
      <c r="AJ320" s="103"/>
      <c r="AK320" s="103"/>
      <c r="AL320" s="103"/>
      <c r="AM320" s="103"/>
      <c r="AN320" s="103"/>
      <c r="AO320" s="103"/>
      <c r="AP320" s="103"/>
      <c r="AQ320" s="103"/>
      <c r="AR320" s="103"/>
      <c r="AS320" s="103"/>
      <c r="AT320" s="103"/>
      <c r="AU320" s="103"/>
      <c r="AV320" s="103"/>
      <c r="AW320" s="103"/>
      <c r="AX320" s="103"/>
      <c r="AY320" s="103"/>
      <c r="AZ320" s="103"/>
      <c r="BA320" s="103"/>
      <c r="BB320" s="103"/>
    </row>
    <row r="321" spans="1:54" s="81" customFormat="1" ht="33" customHeight="1" collapsed="1">
      <c r="A321" s="91" t="s">
        <v>568</v>
      </c>
      <c r="B321" s="104" t="s">
        <v>569</v>
      </c>
      <c r="C321" s="80"/>
      <c r="D321" s="61"/>
      <c r="E321" s="105">
        <f t="shared" si="184"/>
        <v>0</v>
      </c>
      <c r="F321" s="62"/>
      <c r="G321" s="62">
        <f t="shared" ref="G321:G366" si="209">H321+I321+J321+K321+L321+M321+N321+O321+P321+Q321+U321+V321+W321+X321</f>
        <v>0</v>
      </c>
      <c r="H321" s="62"/>
      <c r="I321" s="62"/>
      <c r="J321" s="62"/>
      <c r="K321" s="62"/>
      <c r="L321" s="62"/>
      <c r="M321" s="62"/>
      <c r="N321" s="62"/>
      <c r="O321" s="62"/>
      <c r="P321" s="62"/>
      <c r="Q321" s="62"/>
      <c r="R321" s="62"/>
      <c r="S321" s="62"/>
      <c r="T321" s="62">
        <f t="shared" ref="T321:T366" si="210">Q321-R321-S321</f>
        <v>0</v>
      </c>
      <c r="U321" s="62"/>
      <c r="V321" s="62"/>
      <c r="W321" s="62"/>
      <c r="X321" s="62"/>
      <c r="Y321" s="62">
        <f>IF(OR($C321="932",$C321="934",$C321="949"),$D321,)</f>
        <v>0</v>
      </c>
      <c r="Z321" s="62"/>
      <c r="AA321" s="62">
        <f t="shared" si="208"/>
        <v>0</v>
      </c>
      <c r="AB321" s="62"/>
      <c r="AC321" s="62"/>
      <c r="AD321" s="105">
        <f t="shared" ref="AD321:AD333" si="211">AE321+AF321+AX321+AY321+AZ321</f>
        <v>0</v>
      </c>
      <c r="AE321" s="106"/>
      <c r="AF321" s="106">
        <f t="shared" ref="AF321" si="212">AG321+AH321+AI321+AJ321+AK321+AL321+AM321+AN321+AO321+AP321+AT321+AU321+AV321+AW321</f>
        <v>0</v>
      </c>
      <c r="AG321" s="106"/>
      <c r="AH321" s="106"/>
      <c r="AI321" s="106"/>
      <c r="AJ321" s="106"/>
      <c r="AK321" s="106"/>
      <c r="AL321" s="106"/>
      <c r="AM321" s="106"/>
      <c r="AN321" s="106"/>
      <c r="AO321" s="106"/>
      <c r="AP321" s="106"/>
      <c r="AQ321" s="106"/>
      <c r="AR321" s="106"/>
      <c r="AS321" s="106">
        <f t="shared" ref="AS321" si="213">AP321-AQ321-AR321</f>
        <v>0</v>
      </c>
      <c r="AT321" s="106"/>
      <c r="AU321" s="106"/>
      <c r="AV321" s="106"/>
      <c r="AW321" s="106"/>
      <c r="AX321" s="106">
        <f>IF(OR($C321="932",$C321="934",$C321="949"),$D321,)</f>
        <v>0</v>
      </c>
      <c r="AY321" s="106"/>
      <c r="AZ321" s="106">
        <f t="shared" ref="AZ321" si="214">BA321+BB321</f>
        <v>0</v>
      </c>
      <c r="BA321" s="106"/>
      <c r="BB321" s="106"/>
    </row>
    <row r="322" spans="1:54" s="81" customFormat="1" ht="12.75" customHeight="1" outlineLevel="1">
      <c r="A322" s="91"/>
      <c r="B322" s="82"/>
      <c r="C322" s="80"/>
      <c r="D322" s="61"/>
      <c r="E322" s="41">
        <f t="shared" si="184"/>
        <v>0</v>
      </c>
      <c r="F322" s="62"/>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41">
        <f t="shared" si="211"/>
        <v>0</v>
      </c>
      <c r="AE322" s="62"/>
      <c r="AF322" s="62"/>
      <c r="AG322" s="62"/>
      <c r="AH322" s="62"/>
      <c r="AI322" s="62"/>
      <c r="AJ322" s="62"/>
      <c r="AK322" s="62"/>
      <c r="AL322" s="62"/>
      <c r="AM322" s="62"/>
      <c r="AN322" s="62"/>
      <c r="AO322" s="62"/>
      <c r="AP322" s="62"/>
      <c r="AQ322" s="62"/>
      <c r="AR322" s="62"/>
      <c r="AS322" s="62"/>
      <c r="AT322" s="62"/>
      <c r="AU322" s="62"/>
      <c r="AV322" s="62"/>
      <c r="AW322" s="62"/>
      <c r="AX322" s="62"/>
      <c r="AY322" s="62"/>
      <c r="AZ322" s="62"/>
      <c r="BA322" s="62"/>
      <c r="BB322" s="62"/>
    </row>
    <row r="323" spans="1:54" s="81" customFormat="1" ht="12.75" customHeight="1">
      <c r="A323" s="91" t="s">
        <v>570</v>
      </c>
      <c r="B323" s="82" t="s">
        <v>571</v>
      </c>
      <c r="C323" s="80"/>
      <c r="D323" s="61"/>
      <c r="E323" s="41">
        <f t="shared" si="184"/>
        <v>0</v>
      </c>
      <c r="F323" s="47">
        <f t="shared" ref="F323:AC323" si="215">F324+F325</f>
        <v>0</v>
      </c>
      <c r="G323" s="47">
        <f t="shared" si="215"/>
        <v>0</v>
      </c>
      <c r="H323" s="47">
        <f t="shared" si="215"/>
        <v>0</v>
      </c>
      <c r="I323" s="47">
        <f t="shared" si="215"/>
        <v>0</v>
      </c>
      <c r="J323" s="47">
        <f t="shared" si="215"/>
        <v>0</v>
      </c>
      <c r="K323" s="47">
        <f t="shared" si="215"/>
        <v>0</v>
      </c>
      <c r="L323" s="47">
        <f t="shared" si="215"/>
        <v>0</v>
      </c>
      <c r="M323" s="47">
        <f t="shared" si="215"/>
        <v>0</v>
      </c>
      <c r="N323" s="47">
        <f t="shared" si="215"/>
        <v>0</v>
      </c>
      <c r="O323" s="47">
        <f t="shared" si="215"/>
        <v>0</v>
      </c>
      <c r="P323" s="47">
        <f t="shared" si="215"/>
        <v>0</v>
      </c>
      <c r="Q323" s="47">
        <f t="shared" si="215"/>
        <v>0</v>
      </c>
      <c r="R323" s="47">
        <f t="shared" si="215"/>
        <v>0</v>
      </c>
      <c r="S323" s="47">
        <f t="shared" si="215"/>
        <v>0</v>
      </c>
      <c r="T323" s="47">
        <f t="shared" si="215"/>
        <v>0</v>
      </c>
      <c r="U323" s="47">
        <f t="shared" si="215"/>
        <v>0</v>
      </c>
      <c r="V323" s="47">
        <f t="shared" si="215"/>
        <v>0</v>
      </c>
      <c r="W323" s="47">
        <f t="shared" si="215"/>
        <v>0</v>
      </c>
      <c r="X323" s="47">
        <f t="shared" si="215"/>
        <v>0</v>
      </c>
      <c r="Y323" s="47">
        <f t="shared" si="215"/>
        <v>0</v>
      </c>
      <c r="Z323" s="47">
        <f t="shared" si="215"/>
        <v>0</v>
      </c>
      <c r="AA323" s="47">
        <f t="shared" si="215"/>
        <v>0</v>
      </c>
      <c r="AB323" s="47">
        <f t="shared" si="215"/>
        <v>0</v>
      </c>
      <c r="AC323" s="47">
        <f t="shared" si="215"/>
        <v>0</v>
      </c>
      <c r="AD323" s="41">
        <f t="shared" si="211"/>
        <v>0</v>
      </c>
      <c r="AE323" s="47">
        <f t="shared" ref="AE323:BB323" si="216">AE324+AE325</f>
        <v>0</v>
      </c>
      <c r="AF323" s="47">
        <f t="shared" si="216"/>
        <v>0</v>
      </c>
      <c r="AG323" s="47">
        <f t="shared" si="216"/>
        <v>0</v>
      </c>
      <c r="AH323" s="47">
        <f t="shared" si="216"/>
        <v>0</v>
      </c>
      <c r="AI323" s="47">
        <f t="shared" si="216"/>
        <v>0</v>
      </c>
      <c r="AJ323" s="47">
        <f t="shared" si="216"/>
        <v>0</v>
      </c>
      <c r="AK323" s="47">
        <f t="shared" si="216"/>
        <v>0</v>
      </c>
      <c r="AL323" s="47">
        <f t="shared" si="216"/>
        <v>0</v>
      </c>
      <c r="AM323" s="47">
        <f t="shared" si="216"/>
        <v>0</v>
      </c>
      <c r="AN323" s="47">
        <f t="shared" si="216"/>
        <v>0</v>
      </c>
      <c r="AO323" s="47">
        <f t="shared" si="216"/>
        <v>0</v>
      </c>
      <c r="AP323" s="47">
        <f t="shared" si="216"/>
        <v>0</v>
      </c>
      <c r="AQ323" s="47">
        <f t="shared" si="216"/>
        <v>0</v>
      </c>
      <c r="AR323" s="47">
        <f t="shared" si="216"/>
        <v>0</v>
      </c>
      <c r="AS323" s="47">
        <f t="shared" si="216"/>
        <v>0</v>
      </c>
      <c r="AT323" s="47">
        <f t="shared" si="216"/>
        <v>0</v>
      </c>
      <c r="AU323" s="47">
        <f t="shared" si="216"/>
        <v>0</v>
      </c>
      <c r="AV323" s="47">
        <f t="shared" si="216"/>
        <v>0</v>
      </c>
      <c r="AW323" s="47">
        <f t="shared" si="216"/>
        <v>0</v>
      </c>
      <c r="AX323" s="47">
        <f t="shared" si="216"/>
        <v>0</v>
      </c>
      <c r="AY323" s="47">
        <f t="shared" si="216"/>
        <v>0</v>
      </c>
      <c r="AZ323" s="47">
        <f t="shared" si="216"/>
        <v>0</v>
      </c>
      <c r="BA323" s="47">
        <f t="shared" si="216"/>
        <v>0</v>
      </c>
      <c r="BB323" s="47">
        <f t="shared" si="216"/>
        <v>0</v>
      </c>
    </row>
    <row r="324" spans="1:54" s="81" customFormat="1" ht="38.25" customHeight="1">
      <c r="A324" s="91" t="s">
        <v>28</v>
      </c>
      <c r="B324" s="82" t="s">
        <v>173</v>
      </c>
      <c r="C324" s="80"/>
      <c r="D324" s="61"/>
      <c r="E324" s="41">
        <f t="shared" si="184"/>
        <v>0</v>
      </c>
      <c r="F324" s="62"/>
      <c r="G324" s="62">
        <f t="shared" ref="G324:G362" si="217">H324+I324+J324+K324+L324+M324+N324+O324+P324+Q324+U324+V324+W324+X324</f>
        <v>0</v>
      </c>
      <c r="H324" s="62"/>
      <c r="I324" s="62"/>
      <c r="J324" s="62"/>
      <c r="K324" s="62"/>
      <c r="L324" s="62"/>
      <c r="M324" s="62"/>
      <c r="N324" s="62"/>
      <c r="O324" s="62"/>
      <c r="P324" s="62"/>
      <c r="Q324" s="62"/>
      <c r="R324" s="62"/>
      <c r="S324" s="62"/>
      <c r="T324" s="62"/>
      <c r="U324" s="62"/>
      <c r="V324" s="62"/>
      <c r="W324" s="62"/>
      <c r="X324" s="62"/>
      <c r="Y324" s="62"/>
      <c r="Z324" s="62"/>
      <c r="AA324" s="62">
        <f t="shared" ref="AA324:AA362" si="218">AB324+AC324</f>
        <v>0</v>
      </c>
      <c r="AB324" s="62"/>
      <c r="AC324" s="62"/>
      <c r="AD324" s="41">
        <f t="shared" si="211"/>
        <v>0</v>
      </c>
      <c r="AE324" s="62"/>
      <c r="AF324" s="62">
        <f t="shared" ref="AF324:AF342" si="219">AG324+AH324+AI324+AJ324+AK324+AL324+AM324+AN324+AO324+AP324+AT324+AU324+AV324+AW324</f>
        <v>0</v>
      </c>
      <c r="AG324" s="62"/>
      <c r="AH324" s="62"/>
      <c r="AI324" s="62"/>
      <c r="AJ324" s="62"/>
      <c r="AK324" s="62"/>
      <c r="AL324" s="62"/>
      <c r="AM324" s="62"/>
      <c r="AN324" s="62"/>
      <c r="AO324" s="62"/>
      <c r="AP324" s="62"/>
      <c r="AQ324" s="62"/>
      <c r="AR324" s="62"/>
      <c r="AS324" s="62"/>
      <c r="AT324" s="62"/>
      <c r="AU324" s="62"/>
      <c r="AV324" s="62"/>
      <c r="AW324" s="62"/>
      <c r="AX324" s="62"/>
      <c r="AY324" s="62"/>
      <c r="AZ324" s="62">
        <f t="shared" ref="AZ324:AZ342" si="220">BA324+BB324</f>
        <v>0</v>
      </c>
      <c r="BA324" s="62"/>
      <c r="BB324" s="62"/>
    </row>
    <row r="325" spans="1:54" s="81" customFormat="1" ht="25.5" customHeight="1">
      <c r="A325" s="91" t="s">
        <v>33</v>
      </c>
      <c r="B325" s="82" t="s">
        <v>174</v>
      </c>
      <c r="C325" s="80"/>
      <c r="D325" s="61"/>
      <c r="E325" s="41">
        <f t="shared" si="184"/>
        <v>0</v>
      </c>
      <c r="F325" s="62"/>
      <c r="G325" s="62">
        <f t="shared" si="217"/>
        <v>0</v>
      </c>
      <c r="H325" s="62"/>
      <c r="I325" s="62"/>
      <c r="J325" s="62"/>
      <c r="K325" s="62"/>
      <c r="L325" s="62"/>
      <c r="M325" s="62"/>
      <c r="N325" s="62"/>
      <c r="O325" s="62"/>
      <c r="P325" s="62"/>
      <c r="Q325" s="62"/>
      <c r="R325" s="62"/>
      <c r="S325" s="62"/>
      <c r="T325" s="62"/>
      <c r="U325" s="62"/>
      <c r="V325" s="62"/>
      <c r="W325" s="62"/>
      <c r="X325" s="62"/>
      <c r="Y325" s="62"/>
      <c r="Z325" s="62"/>
      <c r="AA325" s="62">
        <f t="shared" si="218"/>
        <v>0</v>
      </c>
      <c r="AB325" s="62"/>
      <c r="AC325" s="62"/>
      <c r="AD325" s="41">
        <f t="shared" si="211"/>
        <v>0</v>
      </c>
      <c r="AE325" s="62"/>
      <c r="AF325" s="62">
        <f t="shared" si="219"/>
        <v>0</v>
      </c>
      <c r="AG325" s="62"/>
      <c r="AH325" s="62"/>
      <c r="AI325" s="62"/>
      <c r="AJ325" s="62"/>
      <c r="AK325" s="62"/>
      <c r="AL325" s="62"/>
      <c r="AM325" s="62"/>
      <c r="AN325" s="62"/>
      <c r="AO325" s="62"/>
      <c r="AP325" s="62"/>
      <c r="AQ325" s="62"/>
      <c r="AR325" s="62"/>
      <c r="AS325" s="62"/>
      <c r="AT325" s="62"/>
      <c r="AU325" s="62"/>
      <c r="AV325" s="62"/>
      <c r="AW325" s="62"/>
      <c r="AX325" s="62"/>
      <c r="AY325" s="62"/>
      <c r="AZ325" s="62">
        <f t="shared" si="220"/>
        <v>0</v>
      </c>
      <c r="BA325" s="62"/>
      <c r="BB325" s="62"/>
    </row>
    <row r="326" spans="1:54" ht="12.75" customHeight="1">
      <c r="A326" s="107">
        <v>1</v>
      </c>
      <c r="B326" s="70" t="s">
        <v>572</v>
      </c>
      <c r="C326" s="65"/>
      <c r="D326" s="66"/>
      <c r="E326" s="41">
        <f t="shared" si="184"/>
        <v>0</v>
      </c>
      <c r="F326" s="67"/>
      <c r="G326" s="67">
        <f t="shared" si="217"/>
        <v>0</v>
      </c>
      <c r="H326" s="67"/>
      <c r="I326" s="67"/>
      <c r="J326" s="67"/>
      <c r="K326" s="67"/>
      <c r="L326" s="67"/>
      <c r="M326" s="67"/>
      <c r="N326" s="67"/>
      <c r="O326" s="67"/>
      <c r="P326" s="67"/>
      <c r="Q326" s="67"/>
      <c r="R326" s="67"/>
      <c r="S326" s="67"/>
      <c r="T326" s="67"/>
      <c r="U326" s="67"/>
      <c r="V326" s="67"/>
      <c r="W326" s="67"/>
      <c r="X326" s="67"/>
      <c r="Y326" s="67"/>
      <c r="Z326" s="67"/>
      <c r="AA326" s="67">
        <f t="shared" si="218"/>
        <v>0</v>
      </c>
      <c r="AB326" s="67"/>
      <c r="AC326" s="67"/>
      <c r="AD326" s="41">
        <f t="shared" si="211"/>
        <v>0</v>
      </c>
      <c r="AE326" s="67"/>
      <c r="AF326" s="67">
        <f t="shared" si="219"/>
        <v>0</v>
      </c>
      <c r="AG326" s="67"/>
      <c r="AH326" s="67"/>
      <c r="AI326" s="67"/>
      <c r="AJ326" s="67"/>
      <c r="AK326" s="67"/>
      <c r="AL326" s="67"/>
      <c r="AM326" s="67"/>
      <c r="AN326" s="67"/>
      <c r="AO326" s="67"/>
      <c r="AP326" s="67"/>
      <c r="AQ326" s="67"/>
      <c r="AR326" s="67"/>
      <c r="AS326" s="67"/>
      <c r="AT326" s="67"/>
      <c r="AU326" s="67"/>
      <c r="AV326" s="67"/>
      <c r="AW326" s="67"/>
      <c r="AX326" s="67"/>
      <c r="AY326" s="67"/>
      <c r="AZ326" s="67">
        <f t="shared" si="220"/>
        <v>0</v>
      </c>
      <c r="BA326" s="67"/>
      <c r="BB326" s="67"/>
    </row>
    <row r="327" spans="1:54" ht="25.5" customHeight="1">
      <c r="A327" s="107">
        <v>2</v>
      </c>
      <c r="B327" s="70" t="s">
        <v>336</v>
      </c>
      <c r="C327" s="65"/>
      <c r="D327" s="66"/>
      <c r="E327" s="41">
        <f t="shared" si="184"/>
        <v>0</v>
      </c>
      <c r="F327" s="67"/>
      <c r="G327" s="67">
        <f t="shared" si="217"/>
        <v>0</v>
      </c>
      <c r="H327" s="67"/>
      <c r="I327" s="67"/>
      <c r="J327" s="67"/>
      <c r="K327" s="67"/>
      <c r="L327" s="67"/>
      <c r="M327" s="67"/>
      <c r="N327" s="67"/>
      <c r="O327" s="67"/>
      <c r="P327" s="67"/>
      <c r="Q327" s="67"/>
      <c r="R327" s="67"/>
      <c r="S327" s="67"/>
      <c r="T327" s="67"/>
      <c r="U327" s="67"/>
      <c r="V327" s="67"/>
      <c r="W327" s="67"/>
      <c r="X327" s="67"/>
      <c r="Y327" s="67"/>
      <c r="Z327" s="67"/>
      <c r="AA327" s="67">
        <f t="shared" si="218"/>
        <v>0</v>
      </c>
      <c r="AB327" s="67"/>
      <c r="AC327" s="67"/>
      <c r="AD327" s="41">
        <f t="shared" si="211"/>
        <v>0</v>
      </c>
      <c r="AE327" s="67"/>
      <c r="AF327" s="67">
        <f t="shared" si="219"/>
        <v>0</v>
      </c>
      <c r="AG327" s="67"/>
      <c r="AH327" s="67"/>
      <c r="AI327" s="67"/>
      <c r="AJ327" s="67"/>
      <c r="AK327" s="67"/>
      <c r="AL327" s="67"/>
      <c r="AM327" s="67"/>
      <c r="AN327" s="67"/>
      <c r="AO327" s="67"/>
      <c r="AP327" s="67"/>
      <c r="AQ327" s="67"/>
      <c r="AR327" s="67"/>
      <c r="AS327" s="67"/>
      <c r="AT327" s="67"/>
      <c r="AU327" s="67"/>
      <c r="AV327" s="67"/>
      <c r="AW327" s="67"/>
      <c r="AX327" s="67"/>
      <c r="AY327" s="67"/>
      <c r="AZ327" s="67">
        <f t="shared" si="220"/>
        <v>0</v>
      </c>
      <c r="BA327" s="67"/>
      <c r="BB327" s="67"/>
    </row>
    <row r="328" spans="1:54" ht="15" customHeight="1">
      <c r="A328" s="107">
        <v>3</v>
      </c>
      <c r="B328" s="108" t="s">
        <v>573</v>
      </c>
      <c r="C328" s="65"/>
      <c r="D328" s="66"/>
      <c r="E328" s="41">
        <f t="shared" si="184"/>
        <v>0</v>
      </c>
      <c r="F328" s="67"/>
      <c r="G328" s="67">
        <f t="shared" si="217"/>
        <v>0</v>
      </c>
      <c r="H328" s="67"/>
      <c r="I328" s="67"/>
      <c r="J328" s="67"/>
      <c r="K328" s="67"/>
      <c r="L328" s="67"/>
      <c r="M328" s="67"/>
      <c r="N328" s="67"/>
      <c r="O328" s="67"/>
      <c r="P328" s="67"/>
      <c r="Q328" s="67"/>
      <c r="R328" s="67"/>
      <c r="S328" s="67"/>
      <c r="T328" s="67"/>
      <c r="U328" s="67"/>
      <c r="V328" s="67"/>
      <c r="W328" s="67"/>
      <c r="X328" s="67"/>
      <c r="Y328" s="67"/>
      <c r="Z328" s="67"/>
      <c r="AA328" s="67">
        <f t="shared" si="218"/>
        <v>0</v>
      </c>
      <c r="AB328" s="67"/>
      <c r="AC328" s="67"/>
      <c r="AD328" s="41">
        <f t="shared" si="211"/>
        <v>0</v>
      </c>
      <c r="AE328" s="67"/>
      <c r="AF328" s="67">
        <f t="shared" si="219"/>
        <v>0</v>
      </c>
      <c r="AG328" s="67"/>
      <c r="AH328" s="67"/>
      <c r="AI328" s="67"/>
      <c r="AJ328" s="67"/>
      <c r="AK328" s="67"/>
      <c r="AL328" s="67"/>
      <c r="AM328" s="67"/>
      <c r="AN328" s="67"/>
      <c r="AO328" s="67"/>
      <c r="AP328" s="67"/>
      <c r="AQ328" s="67"/>
      <c r="AR328" s="67"/>
      <c r="AS328" s="67"/>
      <c r="AT328" s="67"/>
      <c r="AU328" s="67"/>
      <c r="AV328" s="67"/>
      <c r="AW328" s="67"/>
      <c r="AX328" s="67"/>
      <c r="AY328" s="67"/>
      <c r="AZ328" s="67">
        <f t="shared" si="220"/>
        <v>0</v>
      </c>
      <c r="BA328" s="67"/>
      <c r="BB328" s="67"/>
    </row>
    <row r="329" spans="1:54" ht="16.5" customHeight="1">
      <c r="A329" s="107">
        <v>4</v>
      </c>
      <c r="B329" s="70" t="s">
        <v>574</v>
      </c>
      <c r="C329" s="65"/>
      <c r="D329" s="66"/>
      <c r="E329" s="41">
        <f t="shared" si="184"/>
        <v>0</v>
      </c>
      <c r="F329" s="67"/>
      <c r="G329" s="67">
        <f t="shared" si="217"/>
        <v>0</v>
      </c>
      <c r="H329" s="67"/>
      <c r="I329" s="67"/>
      <c r="J329" s="67"/>
      <c r="K329" s="67"/>
      <c r="L329" s="67"/>
      <c r="M329" s="67"/>
      <c r="N329" s="67"/>
      <c r="O329" s="67"/>
      <c r="P329" s="67"/>
      <c r="Q329" s="67"/>
      <c r="R329" s="67"/>
      <c r="S329" s="67"/>
      <c r="T329" s="67"/>
      <c r="U329" s="67"/>
      <c r="V329" s="67"/>
      <c r="W329" s="67"/>
      <c r="X329" s="67"/>
      <c r="Y329" s="67"/>
      <c r="Z329" s="67"/>
      <c r="AA329" s="67">
        <f t="shared" si="218"/>
        <v>0</v>
      </c>
      <c r="AB329" s="67"/>
      <c r="AC329" s="67"/>
      <c r="AD329" s="41">
        <f t="shared" si="211"/>
        <v>0</v>
      </c>
      <c r="AE329" s="67"/>
      <c r="AF329" s="67">
        <f t="shared" si="219"/>
        <v>0</v>
      </c>
      <c r="AG329" s="67"/>
      <c r="AH329" s="67"/>
      <c r="AI329" s="67"/>
      <c r="AJ329" s="67"/>
      <c r="AK329" s="67"/>
      <c r="AL329" s="67"/>
      <c r="AM329" s="67"/>
      <c r="AN329" s="67"/>
      <c r="AO329" s="67"/>
      <c r="AP329" s="67"/>
      <c r="AQ329" s="67"/>
      <c r="AR329" s="67"/>
      <c r="AS329" s="67"/>
      <c r="AT329" s="67"/>
      <c r="AU329" s="67"/>
      <c r="AV329" s="67"/>
      <c r="AW329" s="67"/>
      <c r="AX329" s="67"/>
      <c r="AY329" s="67"/>
      <c r="AZ329" s="67">
        <f t="shared" si="220"/>
        <v>0</v>
      </c>
      <c r="BA329" s="67"/>
      <c r="BB329" s="67"/>
    </row>
    <row r="330" spans="1:54" ht="38.25" customHeight="1">
      <c r="A330" s="107">
        <v>5</v>
      </c>
      <c r="B330" s="70" t="s">
        <v>324</v>
      </c>
      <c r="C330" s="65"/>
      <c r="D330" s="66"/>
      <c r="E330" s="41">
        <f t="shared" si="184"/>
        <v>0</v>
      </c>
      <c r="F330" s="67"/>
      <c r="G330" s="67">
        <f t="shared" si="217"/>
        <v>0</v>
      </c>
      <c r="H330" s="67"/>
      <c r="I330" s="67"/>
      <c r="J330" s="67"/>
      <c r="K330" s="67"/>
      <c r="L330" s="67"/>
      <c r="M330" s="67"/>
      <c r="N330" s="67"/>
      <c r="O330" s="67"/>
      <c r="P330" s="67"/>
      <c r="Q330" s="67"/>
      <c r="R330" s="67"/>
      <c r="S330" s="67"/>
      <c r="T330" s="67"/>
      <c r="U330" s="67"/>
      <c r="V330" s="67"/>
      <c r="W330" s="67"/>
      <c r="X330" s="67"/>
      <c r="Y330" s="67"/>
      <c r="Z330" s="67"/>
      <c r="AA330" s="67">
        <f t="shared" si="218"/>
        <v>0</v>
      </c>
      <c r="AB330" s="67"/>
      <c r="AC330" s="67"/>
      <c r="AD330" s="41">
        <f t="shared" si="211"/>
        <v>0</v>
      </c>
      <c r="AE330" s="67"/>
      <c r="AF330" s="67">
        <f t="shared" si="219"/>
        <v>0</v>
      </c>
      <c r="AG330" s="67"/>
      <c r="AH330" s="67"/>
      <c r="AI330" s="67"/>
      <c r="AJ330" s="67"/>
      <c r="AK330" s="67"/>
      <c r="AL330" s="67"/>
      <c r="AM330" s="67"/>
      <c r="AN330" s="67"/>
      <c r="AO330" s="67"/>
      <c r="AP330" s="67"/>
      <c r="AQ330" s="67"/>
      <c r="AR330" s="67"/>
      <c r="AS330" s="67"/>
      <c r="AT330" s="67"/>
      <c r="AU330" s="67"/>
      <c r="AV330" s="67"/>
      <c r="AW330" s="67"/>
      <c r="AX330" s="67"/>
      <c r="AY330" s="67"/>
      <c r="AZ330" s="67">
        <f t="shared" si="220"/>
        <v>0</v>
      </c>
      <c r="BA330" s="67"/>
      <c r="BB330" s="67"/>
    </row>
    <row r="331" spans="1:54" ht="25.5" customHeight="1">
      <c r="A331" s="107">
        <v>6</v>
      </c>
      <c r="B331" s="70" t="s">
        <v>299</v>
      </c>
      <c r="C331" s="65"/>
      <c r="D331" s="66"/>
      <c r="E331" s="41">
        <f t="shared" si="184"/>
        <v>0</v>
      </c>
      <c r="F331" s="67"/>
      <c r="G331" s="67">
        <f t="shared" si="217"/>
        <v>0</v>
      </c>
      <c r="H331" s="67"/>
      <c r="I331" s="67"/>
      <c r="J331" s="67"/>
      <c r="K331" s="67"/>
      <c r="L331" s="67"/>
      <c r="M331" s="67"/>
      <c r="N331" s="67"/>
      <c r="O331" s="67"/>
      <c r="P331" s="67"/>
      <c r="Q331" s="67"/>
      <c r="R331" s="67"/>
      <c r="S331" s="67"/>
      <c r="T331" s="67"/>
      <c r="U331" s="67"/>
      <c r="V331" s="67"/>
      <c r="W331" s="67"/>
      <c r="X331" s="67"/>
      <c r="Y331" s="67"/>
      <c r="Z331" s="67"/>
      <c r="AA331" s="67">
        <f t="shared" si="218"/>
        <v>0</v>
      </c>
      <c r="AB331" s="67"/>
      <c r="AC331" s="67"/>
      <c r="AD331" s="41">
        <f t="shared" si="211"/>
        <v>0</v>
      </c>
      <c r="AE331" s="67"/>
      <c r="AF331" s="67">
        <f t="shared" si="219"/>
        <v>0</v>
      </c>
      <c r="AG331" s="67"/>
      <c r="AH331" s="67"/>
      <c r="AI331" s="67"/>
      <c r="AJ331" s="67"/>
      <c r="AK331" s="67"/>
      <c r="AL331" s="67"/>
      <c r="AM331" s="67"/>
      <c r="AN331" s="67"/>
      <c r="AO331" s="67"/>
      <c r="AP331" s="67"/>
      <c r="AQ331" s="67"/>
      <c r="AR331" s="67"/>
      <c r="AS331" s="67"/>
      <c r="AT331" s="67"/>
      <c r="AU331" s="67"/>
      <c r="AV331" s="67"/>
      <c r="AW331" s="67"/>
      <c r="AX331" s="67"/>
      <c r="AY331" s="67"/>
      <c r="AZ331" s="67">
        <f t="shared" si="220"/>
        <v>0</v>
      </c>
      <c r="BA331" s="67"/>
      <c r="BB331" s="67"/>
    </row>
    <row r="332" spans="1:54" ht="12.75" customHeight="1">
      <c r="A332" s="107">
        <v>7</v>
      </c>
      <c r="B332" s="70" t="s">
        <v>361</v>
      </c>
      <c r="C332" s="65"/>
      <c r="D332" s="66"/>
      <c r="E332" s="41">
        <f t="shared" si="184"/>
        <v>0</v>
      </c>
      <c r="F332" s="67"/>
      <c r="G332" s="67">
        <f t="shared" si="217"/>
        <v>0</v>
      </c>
      <c r="H332" s="67"/>
      <c r="I332" s="67"/>
      <c r="J332" s="67"/>
      <c r="K332" s="67"/>
      <c r="L332" s="67"/>
      <c r="M332" s="67"/>
      <c r="N332" s="67"/>
      <c r="O332" s="67"/>
      <c r="P332" s="67"/>
      <c r="Q332" s="67"/>
      <c r="R332" s="67"/>
      <c r="S332" s="67"/>
      <c r="T332" s="67"/>
      <c r="U332" s="67"/>
      <c r="V332" s="67"/>
      <c r="W332" s="67"/>
      <c r="X332" s="67"/>
      <c r="Y332" s="67"/>
      <c r="Z332" s="67"/>
      <c r="AA332" s="67">
        <f t="shared" si="218"/>
        <v>0</v>
      </c>
      <c r="AB332" s="67"/>
      <c r="AC332" s="67"/>
      <c r="AD332" s="41">
        <f t="shared" si="211"/>
        <v>0</v>
      </c>
      <c r="AE332" s="67"/>
      <c r="AF332" s="67">
        <f t="shared" si="219"/>
        <v>0</v>
      </c>
      <c r="AG332" s="67"/>
      <c r="AH332" s="67"/>
      <c r="AI332" s="67"/>
      <c r="AJ332" s="67"/>
      <c r="AK332" s="67"/>
      <c r="AL332" s="67"/>
      <c r="AM332" s="67"/>
      <c r="AN332" s="67"/>
      <c r="AO332" s="67"/>
      <c r="AP332" s="67"/>
      <c r="AQ332" s="67"/>
      <c r="AR332" s="67"/>
      <c r="AS332" s="67"/>
      <c r="AT332" s="67"/>
      <c r="AU332" s="67"/>
      <c r="AV332" s="67"/>
      <c r="AW332" s="67"/>
      <c r="AX332" s="67"/>
      <c r="AY332" s="67"/>
      <c r="AZ332" s="67">
        <f t="shared" si="220"/>
        <v>0</v>
      </c>
      <c r="BA332" s="67"/>
      <c r="BB332" s="67"/>
    </row>
    <row r="333" spans="1:54" ht="25.5" customHeight="1">
      <c r="A333" s="107">
        <v>8</v>
      </c>
      <c r="B333" s="70" t="s">
        <v>565</v>
      </c>
      <c r="C333" s="65"/>
      <c r="D333" s="66"/>
      <c r="E333" s="41">
        <f t="shared" si="184"/>
        <v>0</v>
      </c>
      <c r="F333" s="67"/>
      <c r="G333" s="67">
        <f t="shared" si="217"/>
        <v>0</v>
      </c>
      <c r="H333" s="67"/>
      <c r="I333" s="67"/>
      <c r="J333" s="67"/>
      <c r="K333" s="67"/>
      <c r="L333" s="67"/>
      <c r="M333" s="67"/>
      <c r="N333" s="67"/>
      <c r="O333" s="67"/>
      <c r="P333" s="67"/>
      <c r="Q333" s="67"/>
      <c r="R333" s="67"/>
      <c r="S333" s="67"/>
      <c r="T333" s="67"/>
      <c r="U333" s="67"/>
      <c r="V333" s="67"/>
      <c r="W333" s="67"/>
      <c r="X333" s="67"/>
      <c r="Y333" s="67"/>
      <c r="Z333" s="67"/>
      <c r="AA333" s="67">
        <f t="shared" si="218"/>
        <v>0</v>
      </c>
      <c r="AB333" s="67"/>
      <c r="AC333" s="67"/>
      <c r="AD333" s="41">
        <f t="shared" si="211"/>
        <v>0</v>
      </c>
      <c r="AE333" s="67"/>
      <c r="AF333" s="67">
        <f t="shared" si="219"/>
        <v>0</v>
      </c>
      <c r="AG333" s="67"/>
      <c r="AH333" s="67"/>
      <c r="AI333" s="67"/>
      <c r="AJ333" s="67"/>
      <c r="AK333" s="67"/>
      <c r="AL333" s="67"/>
      <c r="AM333" s="67"/>
      <c r="AN333" s="67"/>
      <c r="AO333" s="67"/>
      <c r="AP333" s="67"/>
      <c r="AQ333" s="67"/>
      <c r="AR333" s="67"/>
      <c r="AS333" s="67"/>
      <c r="AT333" s="67"/>
      <c r="AU333" s="67"/>
      <c r="AV333" s="67"/>
      <c r="AW333" s="67"/>
      <c r="AX333" s="67"/>
      <c r="AY333" s="67"/>
      <c r="AZ333" s="67">
        <f t="shared" si="220"/>
        <v>0</v>
      </c>
      <c r="BA333" s="67"/>
      <c r="BB333" s="67"/>
    </row>
    <row r="334" spans="1:54" ht="38.25" customHeight="1">
      <c r="A334" s="107">
        <v>9</v>
      </c>
      <c r="B334" s="70" t="s">
        <v>306</v>
      </c>
      <c r="C334" s="65"/>
      <c r="D334" s="66"/>
      <c r="E334" s="41">
        <f t="shared" ref="E334:E366" si="221">F334+G334+Y334+Z334+AA334</f>
        <v>0</v>
      </c>
      <c r="F334" s="67"/>
      <c r="G334" s="67">
        <f t="shared" si="217"/>
        <v>0</v>
      </c>
      <c r="H334" s="67"/>
      <c r="I334" s="67"/>
      <c r="J334" s="67"/>
      <c r="K334" s="67"/>
      <c r="L334" s="67"/>
      <c r="M334" s="67"/>
      <c r="N334" s="67"/>
      <c r="O334" s="67"/>
      <c r="P334" s="67"/>
      <c r="Q334" s="67"/>
      <c r="R334" s="67"/>
      <c r="S334" s="67"/>
      <c r="T334" s="67"/>
      <c r="U334" s="67"/>
      <c r="V334" s="67"/>
      <c r="W334" s="67"/>
      <c r="X334" s="67"/>
      <c r="Y334" s="67"/>
      <c r="Z334" s="67"/>
      <c r="AA334" s="67">
        <f t="shared" si="218"/>
        <v>0</v>
      </c>
      <c r="AB334" s="67"/>
      <c r="AC334" s="67"/>
      <c r="AD334" s="41">
        <f t="shared" ref="AD334:AD366" si="222">AE334+AF334+AX334+AY334+AZ334</f>
        <v>0</v>
      </c>
      <c r="AE334" s="67"/>
      <c r="AF334" s="67">
        <f t="shared" si="219"/>
        <v>0</v>
      </c>
      <c r="AG334" s="67"/>
      <c r="AH334" s="67"/>
      <c r="AI334" s="67"/>
      <c r="AJ334" s="67"/>
      <c r="AK334" s="67"/>
      <c r="AL334" s="67"/>
      <c r="AM334" s="67"/>
      <c r="AN334" s="67"/>
      <c r="AO334" s="67"/>
      <c r="AP334" s="67"/>
      <c r="AQ334" s="67"/>
      <c r="AR334" s="67"/>
      <c r="AS334" s="67"/>
      <c r="AT334" s="67"/>
      <c r="AU334" s="67"/>
      <c r="AV334" s="67"/>
      <c r="AW334" s="67"/>
      <c r="AX334" s="67"/>
      <c r="AY334" s="67"/>
      <c r="AZ334" s="67">
        <f t="shared" si="220"/>
        <v>0</v>
      </c>
      <c r="BA334" s="67"/>
      <c r="BB334" s="67"/>
    </row>
    <row r="335" spans="1:54" ht="25.5" customHeight="1">
      <c r="A335" s="107">
        <v>10</v>
      </c>
      <c r="B335" s="109" t="s">
        <v>575</v>
      </c>
      <c r="C335" s="65"/>
      <c r="D335" s="66"/>
      <c r="E335" s="41">
        <f t="shared" si="221"/>
        <v>0</v>
      </c>
      <c r="F335" s="67"/>
      <c r="G335" s="67">
        <f t="shared" si="217"/>
        <v>0</v>
      </c>
      <c r="H335" s="67"/>
      <c r="I335" s="67"/>
      <c r="J335" s="67"/>
      <c r="K335" s="67"/>
      <c r="L335" s="67"/>
      <c r="M335" s="67"/>
      <c r="N335" s="67"/>
      <c r="O335" s="67"/>
      <c r="P335" s="67"/>
      <c r="Q335" s="67"/>
      <c r="R335" s="67"/>
      <c r="S335" s="67"/>
      <c r="T335" s="67"/>
      <c r="U335" s="67"/>
      <c r="V335" s="67"/>
      <c r="W335" s="67"/>
      <c r="X335" s="67"/>
      <c r="Y335" s="67"/>
      <c r="Z335" s="67"/>
      <c r="AA335" s="67">
        <f t="shared" si="218"/>
        <v>0</v>
      </c>
      <c r="AB335" s="67"/>
      <c r="AC335" s="67"/>
      <c r="AD335" s="41">
        <f t="shared" si="222"/>
        <v>0</v>
      </c>
      <c r="AE335" s="67"/>
      <c r="AF335" s="67">
        <f t="shared" si="219"/>
        <v>0</v>
      </c>
      <c r="AG335" s="67"/>
      <c r="AH335" s="67"/>
      <c r="AI335" s="67"/>
      <c r="AJ335" s="67"/>
      <c r="AK335" s="67"/>
      <c r="AL335" s="67"/>
      <c r="AM335" s="67"/>
      <c r="AN335" s="67"/>
      <c r="AO335" s="67"/>
      <c r="AP335" s="67"/>
      <c r="AQ335" s="67"/>
      <c r="AR335" s="67"/>
      <c r="AS335" s="67"/>
      <c r="AT335" s="67"/>
      <c r="AU335" s="67"/>
      <c r="AV335" s="67"/>
      <c r="AW335" s="67"/>
      <c r="AX335" s="67"/>
      <c r="AY335" s="67"/>
      <c r="AZ335" s="67">
        <f t="shared" si="220"/>
        <v>0</v>
      </c>
      <c r="BA335" s="67"/>
      <c r="BB335" s="67"/>
    </row>
    <row r="336" spans="1:54" ht="25.5" customHeight="1">
      <c r="A336" s="107">
        <v>11</v>
      </c>
      <c r="B336" s="109" t="s">
        <v>576</v>
      </c>
      <c r="C336" s="65"/>
      <c r="D336" s="66"/>
      <c r="E336" s="41">
        <f t="shared" si="221"/>
        <v>0</v>
      </c>
      <c r="F336" s="67"/>
      <c r="G336" s="67">
        <f t="shared" si="217"/>
        <v>0</v>
      </c>
      <c r="H336" s="67"/>
      <c r="I336" s="67"/>
      <c r="J336" s="67"/>
      <c r="K336" s="67"/>
      <c r="L336" s="67"/>
      <c r="M336" s="67"/>
      <c r="N336" s="67"/>
      <c r="O336" s="67"/>
      <c r="P336" s="67"/>
      <c r="Q336" s="67"/>
      <c r="R336" s="67"/>
      <c r="S336" s="67"/>
      <c r="T336" s="67"/>
      <c r="U336" s="67"/>
      <c r="V336" s="67"/>
      <c r="W336" s="67"/>
      <c r="X336" s="67"/>
      <c r="Y336" s="67"/>
      <c r="Z336" s="67"/>
      <c r="AA336" s="67">
        <f t="shared" si="218"/>
        <v>0</v>
      </c>
      <c r="AB336" s="67"/>
      <c r="AC336" s="67"/>
      <c r="AD336" s="41">
        <f t="shared" si="222"/>
        <v>0</v>
      </c>
      <c r="AE336" s="67"/>
      <c r="AF336" s="67">
        <f t="shared" si="219"/>
        <v>0</v>
      </c>
      <c r="AG336" s="67"/>
      <c r="AH336" s="67"/>
      <c r="AI336" s="67"/>
      <c r="AJ336" s="67"/>
      <c r="AK336" s="67"/>
      <c r="AL336" s="67"/>
      <c r="AM336" s="67"/>
      <c r="AN336" s="67"/>
      <c r="AO336" s="67"/>
      <c r="AP336" s="67"/>
      <c r="AQ336" s="67"/>
      <c r="AR336" s="67"/>
      <c r="AS336" s="67"/>
      <c r="AT336" s="67"/>
      <c r="AU336" s="67"/>
      <c r="AV336" s="67"/>
      <c r="AW336" s="67"/>
      <c r="AX336" s="67"/>
      <c r="AY336" s="67"/>
      <c r="AZ336" s="67">
        <f t="shared" si="220"/>
        <v>0</v>
      </c>
      <c r="BA336" s="67"/>
      <c r="BB336" s="67"/>
    </row>
    <row r="337" spans="1:54" ht="25.5" customHeight="1">
      <c r="A337" s="107">
        <v>12</v>
      </c>
      <c r="B337" s="109" t="s">
        <v>577</v>
      </c>
      <c r="C337" s="65"/>
      <c r="D337" s="66"/>
      <c r="E337" s="41">
        <f t="shared" si="221"/>
        <v>0</v>
      </c>
      <c r="F337" s="67"/>
      <c r="G337" s="67">
        <f t="shared" si="217"/>
        <v>0</v>
      </c>
      <c r="H337" s="67"/>
      <c r="I337" s="67"/>
      <c r="J337" s="67"/>
      <c r="K337" s="67"/>
      <c r="L337" s="67"/>
      <c r="M337" s="67"/>
      <c r="N337" s="67"/>
      <c r="O337" s="67"/>
      <c r="P337" s="67"/>
      <c r="Q337" s="67"/>
      <c r="R337" s="67"/>
      <c r="S337" s="67"/>
      <c r="T337" s="67"/>
      <c r="U337" s="67"/>
      <c r="V337" s="67"/>
      <c r="W337" s="67"/>
      <c r="X337" s="67"/>
      <c r="Y337" s="67"/>
      <c r="Z337" s="67"/>
      <c r="AA337" s="67">
        <f t="shared" si="218"/>
        <v>0</v>
      </c>
      <c r="AB337" s="67"/>
      <c r="AC337" s="67"/>
      <c r="AD337" s="41">
        <f t="shared" si="222"/>
        <v>0</v>
      </c>
      <c r="AE337" s="67"/>
      <c r="AF337" s="67">
        <f t="shared" si="219"/>
        <v>0</v>
      </c>
      <c r="AG337" s="67"/>
      <c r="AH337" s="67"/>
      <c r="AI337" s="67"/>
      <c r="AJ337" s="67"/>
      <c r="AK337" s="67"/>
      <c r="AL337" s="67"/>
      <c r="AM337" s="67"/>
      <c r="AN337" s="67"/>
      <c r="AO337" s="67"/>
      <c r="AP337" s="67"/>
      <c r="AQ337" s="67"/>
      <c r="AR337" s="67"/>
      <c r="AS337" s="67"/>
      <c r="AT337" s="67"/>
      <c r="AU337" s="67"/>
      <c r="AV337" s="67"/>
      <c r="AW337" s="67"/>
      <c r="AX337" s="67"/>
      <c r="AY337" s="67"/>
      <c r="AZ337" s="67">
        <f t="shared" si="220"/>
        <v>0</v>
      </c>
      <c r="BA337" s="67"/>
      <c r="BB337" s="67"/>
    </row>
    <row r="338" spans="1:54" ht="12.75" customHeight="1">
      <c r="A338" s="107">
        <v>13</v>
      </c>
      <c r="B338" s="109" t="s">
        <v>578</v>
      </c>
      <c r="C338" s="65"/>
      <c r="D338" s="66"/>
      <c r="E338" s="41">
        <f t="shared" si="221"/>
        <v>0</v>
      </c>
      <c r="F338" s="67"/>
      <c r="G338" s="67">
        <f t="shared" si="217"/>
        <v>0</v>
      </c>
      <c r="H338" s="67"/>
      <c r="I338" s="67"/>
      <c r="J338" s="67"/>
      <c r="K338" s="67"/>
      <c r="L338" s="67"/>
      <c r="M338" s="67"/>
      <c r="N338" s="67"/>
      <c r="O338" s="67"/>
      <c r="P338" s="67"/>
      <c r="Q338" s="67"/>
      <c r="R338" s="67"/>
      <c r="S338" s="67"/>
      <c r="T338" s="67"/>
      <c r="U338" s="67"/>
      <c r="V338" s="67"/>
      <c r="W338" s="67"/>
      <c r="X338" s="67"/>
      <c r="Y338" s="67"/>
      <c r="Z338" s="67"/>
      <c r="AA338" s="67">
        <f t="shared" si="218"/>
        <v>0</v>
      </c>
      <c r="AB338" s="67"/>
      <c r="AC338" s="67"/>
      <c r="AD338" s="41">
        <f t="shared" si="222"/>
        <v>0</v>
      </c>
      <c r="AE338" s="67"/>
      <c r="AF338" s="67">
        <f t="shared" si="219"/>
        <v>0</v>
      </c>
      <c r="AG338" s="67"/>
      <c r="AH338" s="67"/>
      <c r="AI338" s="67"/>
      <c r="AJ338" s="67"/>
      <c r="AK338" s="67"/>
      <c r="AL338" s="67"/>
      <c r="AM338" s="67"/>
      <c r="AN338" s="67"/>
      <c r="AO338" s="67"/>
      <c r="AP338" s="67"/>
      <c r="AQ338" s="67"/>
      <c r="AR338" s="67"/>
      <c r="AS338" s="67"/>
      <c r="AT338" s="67"/>
      <c r="AU338" s="67"/>
      <c r="AV338" s="67"/>
      <c r="AW338" s="67"/>
      <c r="AX338" s="67"/>
      <c r="AY338" s="67"/>
      <c r="AZ338" s="67">
        <f t="shared" si="220"/>
        <v>0</v>
      </c>
      <c r="BA338" s="67"/>
      <c r="BB338" s="67"/>
    </row>
    <row r="339" spans="1:54" ht="15" customHeight="1">
      <c r="A339" s="107">
        <v>14</v>
      </c>
      <c r="B339" s="109" t="s">
        <v>579</v>
      </c>
      <c r="C339" s="65"/>
      <c r="D339" s="66"/>
      <c r="E339" s="41">
        <f t="shared" si="221"/>
        <v>0</v>
      </c>
      <c r="F339" s="67"/>
      <c r="G339" s="67">
        <f t="shared" si="217"/>
        <v>0</v>
      </c>
      <c r="H339" s="67"/>
      <c r="I339" s="67"/>
      <c r="J339" s="67"/>
      <c r="K339" s="67"/>
      <c r="L339" s="67"/>
      <c r="M339" s="67"/>
      <c r="N339" s="67"/>
      <c r="O339" s="67"/>
      <c r="P339" s="67"/>
      <c r="Q339" s="67"/>
      <c r="R339" s="67"/>
      <c r="S339" s="67"/>
      <c r="T339" s="67"/>
      <c r="U339" s="67"/>
      <c r="V339" s="67"/>
      <c r="W339" s="67"/>
      <c r="X339" s="67"/>
      <c r="Y339" s="67"/>
      <c r="Z339" s="67"/>
      <c r="AA339" s="67">
        <f t="shared" si="218"/>
        <v>0</v>
      </c>
      <c r="AB339" s="67"/>
      <c r="AC339" s="67"/>
      <c r="AD339" s="41">
        <f t="shared" si="222"/>
        <v>0</v>
      </c>
      <c r="AE339" s="67"/>
      <c r="AF339" s="67">
        <f t="shared" si="219"/>
        <v>0</v>
      </c>
      <c r="AG339" s="67"/>
      <c r="AH339" s="67"/>
      <c r="AI339" s="67"/>
      <c r="AJ339" s="67"/>
      <c r="AK339" s="67"/>
      <c r="AL339" s="67"/>
      <c r="AM339" s="67"/>
      <c r="AN339" s="67"/>
      <c r="AO339" s="67"/>
      <c r="AP339" s="67"/>
      <c r="AQ339" s="67"/>
      <c r="AR339" s="67"/>
      <c r="AS339" s="67"/>
      <c r="AT339" s="67"/>
      <c r="AU339" s="67"/>
      <c r="AV339" s="67"/>
      <c r="AW339" s="67"/>
      <c r="AX339" s="67"/>
      <c r="AY339" s="67"/>
      <c r="AZ339" s="67">
        <f t="shared" si="220"/>
        <v>0</v>
      </c>
      <c r="BA339" s="67"/>
      <c r="BB339" s="67"/>
    </row>
    <row r="340" spans="1:54" ht="12.75" customHeight="1">
      <c r="A340" s="107">
        <v>15</v>
      </c>
      <c r="B340" s="109" t="s">
        <v>580</v>
      </c>
      <c r="C340" s="65"/>
      <c r="D340" s="66"/>
      <c r="E340" s="41">
        <f t="shared" si="221"/>
        <v>0</v>
      </c>
      <c r="F340" s="67"/>
      <c r="G340" s="67">
        <f t="shared" si="217"/>
        <v>0</v>
      </c>
      <c r="H340" s="67"/>
      <c r="I340" s="67"/>
      <c r="J340" s="67"/>
      <c r="K340" s="67"/>
      <c r="L340" s="67"/>
      <c r="M340" s="67"/>
      <c r="N340" s="67"/>
      <c r="O340" s="67"/>
      <c r="P340" s="67"/>
      <c r="Q340" s="67"/>
      <c r="R340" s="67"/>
      <c r="S340" s="67"/>
      <c r="T340" s="67"/>
      <c r="U340" s="67"/>
      <c r="V340" s="67"/>
      <c r="W340" s="67"/>
      <c r="X340" s="67"/>
      <c r="Y340" s="67"/>
      <c r="Z340" s="67"/>
      <c r="AA340" s="67">
        <f t="shared" si="218"/>
        <v>0</v>
      </c>
      <c r="AB340" s="67"/>
      <c r="AC340" s="67"/>
      <c r="AD340" s="41">
        <f t="shared" si="222"/>
        <v>0</v>
      </c>
      <c r="AE340" s="67"/>
      <c r="AF340" s="67">
        <f t="shared" si="219"/>
        <v>0</v>
      </c>
      <c r="AG340" s="67"/>
      <c r="AH340" s="67"/>
      <c r="AI340" s="67"/>
      <c r="AJ340" s="67"/>
      <c r="AK340" s="67"/>
      <c r="AL340" s="67"/>
      <c r="AM340" s="67"/>
      <c r="AN340" s="67"/>
      <c r="AO340" s="67"/>
      <c r="AP340" s="67"/>
      <c r="AQ340" s="67"/>
      <c r="AR340" s="67"/>
      <c r="AS340" s="67"/>
      <c r="AT340" s="67"/>
      <c r="AU340" s="67"/>
      <c r="AV340" s="67"/>
      <c r="AW340" s="67"/>
      <c r="AX340" s="67"/>
      <c r="AY340" s="67"/>
      <c r="AZ340" s="67">
        <f t="shared" si="220"/>
        <v>0</v>
      </c>
      <c r="BA340" s="67"/>
      <c r="BB340" s="67"/>
    </row>
    <row r="341" spans="1:54" ht="38.25" customHeight="1">
      <c r="A341" s="107">
        <v>16</v>
      </c>
      <c r="B341" s="109" t="s">
        <v>581</v>
      </c>
      <c r="C341" s="65"/>
      <c r="D341" s="66"/>
      <c r="E341" s="41">
        <f t="shared" si="221"/>
        <v>0</v>
      </c>
      <c r="F341" s="67"/>
      <c r="G341" s="67">
        <f t="shared" si="217"/>
        <v>0</v>
      </c>
      <c r="H341" s="67"/>
      <c r="I341" s="67"/>
      <c r="J341" s="67"/>
      <c r="K341" s="67"/>
      <c r="L341" s="67"/>
      <c r="M341" s="67"/>
      <c r="N341" s="67"/>
      <c r="O341" s="67"/>
      <c r="P341" s="67"/>
      <c r="Q341" s="67"/>
      <c r="R341" s="67"/>
      <c r="S341" s="67"/>
      <c r="T341" s="67"/>
      <c r="U341" s="67"/>
      <c r="V341" s="67"/>
      <c r="W341" s="67"/>
      <c r="X341" s="67"/>
      <c r="Y341" s="67"/>
      <c r="Z341" s="67"/>
      <c r="AA341" s="67">
        <f t="shared" si="218"/>
        <v>0</v>
      </c>
      <c r="AB341" s="67"/>
      <c r="AC341" s="67"/>
      <c r="AD341" s="41">
        <f t="shared" si="222"/>
        <v>0</v>
      </c>
      <c r="AE341" s="67"/>
      <c r="AF341" s="67">
        <f t="shared" si="219"/>
        <v>0</v>
      </c>
      <c r="AG341" s="67"/>
      <c r="AH341" s="67"/>
      <c r="AI341" s="67"/>
      <c r="AJ341" s="67"/>
      <c r="AK341" s="67"/>
      <c r="AL341" s="67"/>
      <c r="AM341" s="67"/>
      <c r="AN341" s="67"/>
      <c r="AO341" s="67"/>
      <c r="AP341" s="67"/>
      <c r="AQ341" s="67"/>
      <c r="AR341" s="67"/>
      <c r="AS341" s="67"/>
      <c r="AT341" s="67"/>
      <c r="AU341" s="67"/>
      <c r="AV341" s="67"/>
      <c r="AW341" s="67"/>
      <c r="AX341" s="67"/>
      <c r="AY341" s="67"/>
      <c r="AZ341" s="67">
        <f t="shared" si="220"/>
        <v>0</v>
      </c>
      <c r="BA341" s="67"/>
      <c r="BB341" s="67"/>
    </row>
    <row r="342" spans="1:54" ht="12.75" customHeight="1">
      <c r="A342" s="107">
        <v>17</v>
      </c>
      <c r="B342" s="109" t="s">
        <v>582</v>
      </c>
      <c r="C342" s="65"/>
      <c r="D342" s="66"/>
      <c r="E342" s="41">
        <f t="shared" si="221"/>
        <v>0</v>
      </c>
      <c r="F342" s="67"/>
      <c r="G342" s="67">
        <f t="shared" si="217"/>
        <v>0</v>
      </c>
      <c r="H342" s="67"/>
      <c r="I342" s="67"/>
      <c r="J342" s="67"/>
      <c r="K342" s="67"/>
      <c r="L342" s="67"/>
      <c r="M342" s="67"/>
      <c r="N342" s="67"/>
      <c r="O342" s="67"/>
      <c r="P342" s="67"/>
      <c r="Q342" s="67"/>
      <c r="R342" s="67"/>
      <c r="S342" s="67"/>
      <c r="T342" s="67"/>
      <c r="U342" s="67"/>
      <c r="V342" s="67"/>
      <c r="W342" s="67"/>
      <c r="X342" s="67"/>
      <c r="Y342" s="67"/>
      <c r="Z342" s="67"/>
      <c r="AA342" s="67">
        <f t="shared" si="218"/>
        <v>0</v>
      </c>
      <c r="AB342" s="67"/>
      <c r="AC342" s="67"/>
      <c r="AD342" s="41">
        <f t="shared" si="222"/>
        <v>0</v>
      </c>
      <c r="AE342" s="67"/>
      <c r="AF342" s="67">
        <f t="shared" si="219"/>
        <v>0</v>
      </c>
      <c r="AG342" s="67"/>
      <c r="AH342" s="67"/>
      <c r="AI342" s="67"/>
      <c r="AJ342" s="67"/>
      <c r="AK342" s="67"/>
      <c r="AL342" s="67"/>
      <c r="AM342" s="67"/>
      <c r="AN342" s="67"/>
      <c r="AO342" s="67"/>
      <c r="AP342" s="67"/>
      <c r="AQ342" s="67"/>
      <c r="AR342" s="67"/>
      <c r="AS342" s="67"/>
      <c r="AT342" s="67"/>
      <c r="AU342" s="67"/>
      <c r="AV342" s="67"/>
      <c r="AW342" s="67"/>
      <c r="AX342" s="67"/>
      <c r="AY342" s="67"/>
      <c r="AZ342" s="67">
        <f t="shared" si="220"/>
        <v>0</v>
      </c>
      <c r="BA342" s="67"/>
      <c r="BB342" s="67"/>
    </row>
    <row r="343" spans="1:54" ht="38.25" customHeight="1">
      <c r="A343" s="107">
        <v>18</v>
      </c>
      <c r="B343" s="109" t="s">
        <v>583</v>
      </c>
      <c r="C343" s="65"/>
      <c r="D343" s="66"/>
      <c r="E343" s="41">
        <f t="shared" si="221"/>
        <v>0</v>
      </c>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41">
        <f t="shared" si="222"/>
        <v>0</v>
      </c>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row>
    <row r="344" spans="1:54" ht="25.5" customHeight="1">
      <c r="A344" s="107">
        <v>19</v>
      </c>
      <c r="B344" s="70" t="s">
        <v>450</v>
      </c>
      <c r="C344" s="65"/>
      <c r="D344" s="66"/>
      <c r="E344" s="41">
        <f t="shared" si="221"/>
        <v>0</v>
      </c>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41">
        <f t="shared" si="222"/>
        <v>0</v>
      </c>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row>
    <row r="345" spans="1:54" ht="12.75" customHeight="1">
      <c r="A345" s="107">
        <v>20</v>
      </c>
      <c r="B345" s="70" t="s">
        <v>323</v>
      </c>
      <c r="C345" s="65"/>
      <c r="D345" s="66"/>
      <c r="E345" s="41">
        <f t="shared" si="221"/>
        <v>0</v>
      </c>
      <c r="F345" s="67"/>
      <c r="G345" s="67">
        <f t="shared" si="217"/>
        <v>0</v>
      </c>
      <c r="H345" s="67"/>
      <c r="I345" s="67"/>
      <c r="J345" s="67"/>
      <c r="K345" s="67"/>
      <c r="L345" s="67"/>
      <c r="M345" s="67"/>
      <c r="N345" s="67"/>
      <c r="O345" s="67"/>
      <c r="P345" s="67"/>
      <c r="Q345" s="67"/>
      <c r="R345" s="67"/>
      <c r="S345" s="67"/>
      <c r="T345" s="67"/>
      <c r="U345" s="67"/>
      <c r="V345" s="67"/>
      <c r="W345" s="67"/>
      <c r="X345" s="67"/>
      <c r="Y345" s="67"/>
      <c r="Z345" s="67"/>
      <c r="AA345" s="67">
        <f t="shared" si="218"/>
        <v>0</v>
      </c>
      <c r="AB345" s="67"/>
      <c r="AC345" s="67"/>
      <c r="AD345" s="41">
        <f t="shared" si="222"/>
        <v>0</v>
      </c>
      <c r="AE345" s="67"/>
      <c r="AF345" s="67">
        <f t="shared" ref="AF345:AF346" si="223">AG345+AH345+AI345+AJ345+AK345+AL345+AM345+AN345+AO345+AP345+AT345+AU345+AV345+AW345</f>
        <v>0</v>
      </c>
      <c r="AG345" s="67"/>
      <c r="AH345" s="67"/>
      <c r="AI345" s="67"/>
      <c r="AJ345" s="67"/>
      <c r="AK345" s="67"/>
      <c r="AL345" s="67"/>
      <c r="AM345" s="67"/>
      <c r="AN345" s="67"/>
      <c r="AO345" s="67"/>
      <c r="AP345" s="67"/>
      <c r="AQ345" s="67"/>
      <c r="AR345" s="67"/>
      <c r="AS345" s="67"/>
      <c r="AT345" s="67"/>
      <c r="AU345" s="67"/>
      <c r="AV345" s="67"/>
      <c r="AW345" s="67"/>
      <c r="AX345" s="67"/>
      <c r="AY345" s="67"/>
      <c r="AZ345" s="67">
        <f t="shared" ref="AZ345:AZ346" si="224">BA345+BB345</f>
        <v>0</v>
      </c>
      <c r="BA345" s="67"/>
      <c r="BB345" s="67"/>
    </row>
    <row r="346" spans="1:54" ht="25.5" customHeight="1">
      <c r="A346" s="107">
        <v>21</v>
      </c>
      <c r="B346" s="70" t="s">
        <v>584</v>
      </c>
      <c r="C346" s="65"/>
      <c r="D346" s="66"/>
      <c r="E346" s="41">
        <f t="shared" si="221"/>
        <v>0</v>
      </c>
      <c r="F346" s="67"/>
      <c r="G346" s="67">
        <f t="shared" si="217"/>
        <v>0</v>
      </c>
      <c r="H346" s="67"/>
      <c r="I346" s="67"/>
      <c r="J346" s="67"/>
      <c r="K346" s="67"/>
      <c r="L346" s="67"/>
      <c r="M346" s="67"/>
      <c r="N346" s="67"/>
      <c r="O346" s="67"/>
      <c r="P346" s="67"/>
      <c r="Q346" s="67"/>
      <c r="R346" s="67"/>
      <c r="S346" s="67"/>
      <c r="T346" s="67"/>
      <c r="U346" s="67"/>
      <c r="V346" s="67"/>
      <c r="W346" s="67"/>
      <c r="X346" s="67"/>
      <c r="Y346" s="67"/>
      <c r="Z346" s="67"/>
      <c r="AA346" s="67">
        <f t="shared" si="218"/>
        <v>0</v>
      </c>
      <c r="AB346" s="67"/>
      <c r="AC346" s="67"/>
      <c r="AD346" s="41">
        <f t="shared" si="222"/>
        <v>0</v>
      </c>
      <c r="AE346" s="67"/>
      <c r="AF346" s="67">
        <f t="shared" si="223"/>
        <v>0</v>
      </c>
      <c r="AG346" s="67"/>
      <c r="AH346" s="67"/>
      <c r="AI346" s="67"/>
      <c r="AJ346" s="67"/>
      <c r="AK346" s="67"/>
      <c r="AL346" s="67"/>
      <c r="AM346" s="67"/>
      <c r="AN346" s="67"/>
      <c r="AO346" s="67"/>
      <c r="AP346" s="67"/>
      <c r="AQ346" s="67"/>
      <c r="AR346" s="67"/>
      <c r="AS346" s="67"/>
      <c r="AT346" s="67"/>
      <c r="AU346" s="67"/>
      <c r="AV346" s="67"/>
      <c r="AW346" s="67"/>
      <c r="AX346" s="67"/>
      <c r="AY346" s="67"/>
      <c r="AZ346" s="67">
        <f t="shared" si="224"/>
        <v>0</v>
      </c>
      <c r="BA346" s="67"/>
      <c r="BB346" s="67"/>
    </row>
    <row r="347" spans="1:54" ht="38.25" customHeight="1">
      <c r="A347" s="107">
        <v>22</v>
      </c>
      <c r="B347" s="70" t="s">
        <v>585</v>
      </c>
      <c r="C347" s="65"/>
      <c r="D347" s="66"/>
      <c r="E347" s="41">
        <f t="shared" si="221"/>
        <v>0</v>
      </c>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41">
        <f t="shared" si="222"/>
        <v>0</v>
      </c>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row>
    <row r="348" spans="1:54" ht="25.5" customHeight="1">
      <c r="A348" s="107">
        <v>23</v>
      </c>
      <c r="B348" s="70" t="s">
        <v>586</v>
      </c>
      <c r="C348" s="65"/>
      <c r="D348" s="66"/>
      <c r="E348" s="41">
        <f t="shared" si="221"/>
        <v>0</v>
      </c>
      <c r="F348" s="67"/>
      <c r="G348" s="67">
        <f t="shared" si="217"/>
        <v>0</v>
      </c>
      <c r="H348" s="67"/>
      <c r="I348" s="67"/>
      <c r="J348" s="67"/>
      <c r="K348" s="67"/>
      <c r="L348" s="67"/>
      <c r="M348" s="67"/>
      <c r="N348" s="67"/>
      <c r="O348" s="67"/>
      <c r="P348" s="67"/>
      <c r="Q348" s="67"/>
      <c r="R348" s="67"/>
      <c r="S348" s="67"/>
      <c r="T348" s="67"/>
      <c r="U348" s="67"/>
      <c r="V348" s="67"/>
      <c r="W348" s="67"/>
      <c r="X348" s="67"/>
      <c r="Y348" s="67"/>
      <c r="Z348" s="67"/>
      <c r="AA348" s="67">
        <f t="shared" si="218"/>
        <v>0</v>
      </c>
      <c r="AB348" s="67"/>
      <c r="AC348" s="67"/>
      <c r="AD348" s="41">
        <f t="shared" si="222"/>
        <v>0</v>
      </c>
      <c r="AE348" s="67"/>
      <c r="AF348" s="67">
        <f t="shared" ref="AF348:AF353" si="225">AG348+AH348+AI348+AJ348+AK348+AL348+AM348+AN348+AO348+AP348+AT348+AU348+AV348+AW348</f>
        <v>0</v>
      </c>
      <c r="AG348" s="67"/>
      <c r="AH348" s="67"/>
      <c r="AI348" s="67"/>
      <c r="AJ348" s="67"/>
      <c r="AK348" s="67"/>
      <c r="AL348" s="67"/>
      <c r="AM348" s="67"/>
      <c r="AN348" s="67"/>
      <c r="AO348" s="67"/>
      <c r="AP348" s="67"/>
      <c r="AQ348" s="67"/>
      <c r="AR348" s="67"/>
      <c r="AS348" s="67"/>
      <c r="AT348" s="67"/>
      <c r="AU348" s="67"/>
      <c r="AV348" s="67"/>
      <c r="AW348" s="67"/>
      <c r="AX348" s="67"/>
      <c r="AY348" s="67"/>
      <c r="AZ348" s="67">
        <f t="shared" ref="AZ348:AZ353" si="226">BA348+BB348</f>
        <v>0</v>
      </c>
      <c r="BA348" s="67"/>
      <c r="BB348" s="67"/>
    </row>
    <row r="349" spans="1:54" ht="25.5" customHeight="1">
      <c r="A349" s="107">
        <v>24</v>
      </c>
      <c r="B349" s="70" t="s">
        <v>504</v>
      </c>
      <c r="C349" s="65"/>
      <c r="D349" s="66"/>
      <c r="E349" s="41">
        <f t="shared" si="221"/>
        <v>0</v>
      </c>
      <c r="F349" s="67"/>
      <c r="G349" s="67">
        <f t="shared" si="217"/>
        <v>0</v>
      </c>
      <c r="H349" s="67"/>
      <c r="I349" s="67"/>
      <c r="J349" s="67"/>
      <c r="K349" s="67"/>
      <c r="L349" s="67"/>
      <c r="M349" s="67"/>
      <c r="N349" s="67"/>
      <c r="O349" s="67"/>
      <c r="P349" s="67"/>
      <c r="Q349" s="67"/>
      <c r="R349" s="67"/>
      <c r="S349" s="67"/>
      <c r="T349" s="67"/>
      <c r="U349" s="67"/>
      <c r="V349" s="67"/>
      <c r="W349" s="67"/>
      <c r="X349" s="67"/>
      <c r="Y349" s="67"/>
      <c r="Z349" s="67"/>
      <c r="AA349" s="67">
        <f t="shared" si="218"/>
        <v>0</v>
      </c>
      <c r="AB349" s="67"/>
      <c r="AC349" s="67"/>
      <c r="AD349" s="41">
        <f t="shared" si="222"/>
        <v>0</v>
      </c>
      <c r="AE349" s="67"/>
      <c r="AF349" s="67">
        <f t="shared" si="225"/>
        <v>0</v>
      </c>
      <c r="AG349" s="67"/>
      <c r="AH349" s="67"/>
      <c r="AI349" s="67"/>
      <c r="AJ349" s="67"/>
      <c r="AK349" s="67"/>
      <c r="AL349" s="67"/>
      <c r="AM349" s="67"/>
      <c r="AN349" s="67"/>
      <c r="AO349" s="67"/>
      <c r="AP349" s="67"/>
      <c r="AQ349" s="67"/>
      <c r="AR349" s="67"/>
      <c r="AS349" s="67"/>
      <c r="AT349" s="67"/>
      <c r="AU349" s="67"/>
      <c r="AV349" s="67"/>
      <c r="AW349" s="67"/>
      <c r="AX349" s="67"/>
      <c r="AY349" s="67"/>
      <c r="AZ349" s="67">
        <f t="shared" si="226"/>
        <v>0</v>
      </c>
      <c r="BA349" s="67"/>
      <c r="BB349" s="67"/>
    </row>
    <row r="350" spans="1:54" ht="25.5" customHeight="1">
      <c r="A350" s="107">
        <v>25</v>
      </c>
      <c r="B350" s="70" t="s">
        <v>587</v>
      </c>
      <c r="C350" s="65"/>
      <c r="D350" s="66"/>
      <c r="E350" s="41">
        <f t="shared" si="221"/>
        <v>0</v>
      </c>
      <c r="F350" s="67"/>
      <c r="G350" s="67">
        <f t="shared" si="217"/>
        <v>0</v>
      </c>
      <c r="H350" s="67"/>
      <c r="I350" s="67"/>
      <c r="J350" s="67"/>
      <c r="K350" s="67"/>
      <c r="L350" s="67"/>
      <c r="M350" s="67"/>
      <c r="N350" s="67"/>
      <c r="O350" s="67"/>
      <c r="P350" s="67"/>
      <c r="Q350" s="67"/>
      <c r="R350" s="67"/>
      <c r="S350" s="67"/>
      <c r="T350" s="67"/>
      <c r="U350" s="67"/>
      <c r="V350" s="67"/>
      <c r="W350" s="67"/>
      <c r="X350" s="67"/>
      <c r="Y350" s="67"/>
      <c r="Z350" s="67"/>
      <c r="AA350" s="67">
        <f t="shared" si="218"/>
        <v>0</v>
      </c>
      <c r="AB350" s="67"/>
      <c r="AC350" s="67"/>
      <c r="AD350" s="41">
        <f t="shared" si="222"/>
        <v>0</v>
      </c>
      <c r="AE350" s="67"/>
      <c r="AF350" s="67">
        <f t="shared" si="225"/>
        <v>0</v>
      </c>
      <c r="AG350" s="67"/>
      <c r="AH350" s="67"/>
      <c r="AI350" s="67"/>
      <c r="AJ350" s="67"/>
      <c r="AK350" s="67"/>
      <c r="AL350" s="67"/>
      <c r="AM350" s="67"/>
      <c r="AN350" s="67"/>
      <c r="AO350" s="67"/>
      <c r="AP350" s="67"/>
      <c r="AQ350" s="67"/>
      <c r="AR350" s="67"/>
      <c r="AS350" s="67"/>
      <c r="AT350" s="67"/>
      <c r="AU350" s="67"/>
      <c r="AV350" s="67"/>
      <c r="AW350" s="67"/>
      <c r="AX350" s="67"/>
      <c r="AY350" s="67"/>
      <c r="AZ350" s="67">
        <f t="shared" si="226"/>
        <v>0</v>
      </c>
      <c r="BA350" s="67"/>
      <c r="BB350" s="67"/>
    </row>
    <row r="351" spans="1:54" ht="51" customHeight="1">
      <c r="A351" s="107">
        <v>26</v>
      </c>
      <c r="B351" s="70" t="s">
        <v>564</v>
      </c>
      <c r="C351" s="65"/>
      <c r="D351" s="66"/>
      <c r="E351" s="41">
        <f t="shared" si="221"/>
        <v>0</v>
      </c>
      <c r="F351" s="67"/>
      <c r="G351" s="67">
        <f t="shared" si="217"/>
        <v>0</v>
      </c>
      <c r="H351" s="67"/>
      <c r="I351" s="67"/>
      <c r="J351" s="67"/>
      <c r="K351" s="67"/>
      <c r="L351" s="67"/>
      <c r="M351" s="67"/>
      <c r="N351" s="67"/>
      <c r="O351" s="67"/>
      <c r="P351" s="67"/>
      <c r="Q351" s="67"/>
      <c r="R351" s="67"/>
      <c r="S351" s="67"/>
      <c r="T351" s="67"/>
      <c r="U351" s="67"/>
      <c r="V351" s="67"/>
      <c r="W351" s="67"/>
      <c r="X351" s="67"/>
      <c r="Y351" s="67"/>
      <c r="Z351" s="67"/>
      <c r="AA351" s="67">
        <f t="shared" si="218"/>
        <v>0</v>
      </c>
      <c r="AB351" s="67"/>
      <c r="AC351" s="67"/>
      <c r="AD351" s="41">
        <f t="shared" si="222"/>
        <v>0</v>
      </c>
      <c r="AE351" s="67"/>
      <c r="AF351" s="67">
        <f t="shared" si="225"/>
        <v>0</v>
      </c>
      <c r="AG351" s="67"/>
      <c r="AH351" s="67"/>
      <c r="AI351" s="67"/>
      <c r="AJ351" s="67"/>
      <c r="AK351" s="67"/>
      <c r="AL351" s="67"/>
      <c r="AM351" s="67"/>
      <c r="AN351" s="67"/>
      <c r="AO351" s="67"/>
      <c r="AP351" s="67"/>
      <c r="AQ351" s="67"/>
      <c r="AR351" s="67"/>
      <c r="AS351" s="67"/>
      <c r="AT351" s="67"/>
      <c r="AU351" s="67"/>
      <c r="AV351" s="67"/>
      <c r="AW351" s="67"/>
      <c r="AX351" s="67"/>
      <c r="AY351" s="67"/>
      <c r="AZ351" s="67">
        <f t="shared" si="226"/>
        <v>0</v>
      </c>
      <c r="BA351" s="67"/>
      <c r="BB351" s="67"/>
    </row>
    <row r="352" spans="1:54" ht="25.5" customHeight="1">
      <c r="A352" s="107">
        <v>27</v>
      </c>
      <c r="B352" s="108" t="s">
        <v>588</v>
      </c>
      <c r="C352" s="65"/>
      <c r="D352" s="66"/>
      <c r="E352" s="41">
        <f t="shared" si="221"/>
        <v>0</v>
      </c>
      <c r="F352" s="67"/>
      <c r="G352" s="67">
        <f t="shared" si="217"/>
        <v>0</v>
      </c>
      <c r="H352" s="67"/>
      <c r="I352" s="67"/>
      <c r="J352" s="67"/>
      <c r="K352" s="67"/>
      <c r="L352" s="67"/>
      <c r="M352" s="67"/>
      <c r="N352" s="67"/>
      <c r="O352" s="67"/>
      <c r="P352" s="67"/>
      <c r="Q352" s="67"/>
      <c r="R352" s="67"/>
      <c r="S352" s="67"/>
      <c r="T352" s="67"/>
      <c r="U352" s="67"/>
      <c r="V352" s="67"/>
      <c r="W352" s="67"/>
      <c r="X352" s="67"/>
      <c r="Y352" s="67"/>
      <c r="Z352" s="67"/>
      <c r="AA352" s="67">
        <f t="shared" si="218"/>
        <v>0</v>
      </c>
      <c r="AB352" s="67"/>
      <c r="AC352" s="67"/>
      <c r="AD352" s="41">
        <f t="shared" si="222"/>
        <v>0</v>
      </c>
      <c r="AE352" s="67"/>
      <c r="AF352" s="67">
        <f t="shared" si="225"/>
        <v>0</v>
      </c>
      <c r="AG352" s="67"/>
      <c r="AH352" s="67"/>
      <c r="AI352" s="67"/>
      <c r="AJ352" s="67"/>
      <c r="AK352" s="67"/>
      <c r="AL352" s="67"/>
      <c r="AM352" s="67"/>
      <c r="AN352" s="67"/>
      <c r="AO352" s="67"/>
      <c r="AP352" s="67"/>
      <c r="AQ352" s="67"/>
      <c r="AR352" s="67"/>
      <c r="AS352" s="67"/>
      <c r="AT352" s="67"/>
      <c r="AU352" s="67"/>
      <c r="AV352" s="67"/>
      <c r="AW352" s="67"/>
      <c r="AX352" s="67"/>
      <c r="AY352" s="67"/>
      <c r="AZ352" s="67">
        <f t="shared" si="226"/>
        <v>0</v>
      </c>
      <c r="BA352" s="67"/>
      <c r="BB352" s="67"/>
    </row>
    <row r="353" spans="1:54" ht="25.5" customHeight="1">
      <c r="A353" s="107">
        <v>28</v>
      </c>
      <c r="B353" s="70" t="s">
        <v>589</v>
      </c>
      <c r="C353" s="65"/>
      <c r="D353" s="66"/>
      <c r="E353" s="41">
        <f t="shared" si="221"/>
        <v>0</v>
      </c>
      <c r="F353" s="67"/>
      <c r="G353" s="67">
        <f t="shared" si="217"/>
        <v>0</v>
      </c>
      <c r="H353" s="67"/>
      <c r="I353" s="67"/>
      <c r="J353" s="67"/>
      <c r="K353" s="67"/>
      <c r="L353" s="67"/>
      <c r="M353" s="67"/>
      <c r="N353" s="67"/>
      <c r="O353" s="67"/>
      <c r="P353" s="67"/>
      <c r="Q353" s="67"/>
      <c r="R353" s="67"/>
      <c r="S353" s="67"/>
      <c r="T353" s="67"/>
      <c r="U353" s="67"/>
      <c r="V353" s="67"/>
      <c r="W353" s="67"/>
      <c r="X353" s="67"/>
      <c r="Y353" s="67"/>
      <c r="Z353" s="67"/>
      <c r="AA353" s="67">
        <f t="shared" si="218"/>
        <v>0</v>
      </c>
      <c r="AB353" s="67"/>
      <c r="AC353" s="67"/>
      <c r="AD353" s="41">
        <f t="shared" si="222"/>
        <v>0</v>
      </c>
      <c r="AE353" s="67"/>
      <c r="AF353" s="67">
        <f t="shared" si="225"/>
        <v>0</v>
      </c>
      <c r="AG353" s="67"/>
      <c r="AH353" s="67"/>
      <c r="AI353" s="67"/>
      <c r="AJ353" s="67"/>
      <c r="AK353" s="67"/>
      <c r="AL353" s="67"/>
      <c r="AM353" s="67"/>
      <c r="AN353" s="67"/>
      <c r="AO353" s="67"/>
      <c r="AP353" s="67"/>
      <c r="AQ353" s="67"/>
      <c r="AR353" s="67"/>
      <c r="AS353" s="67"/>
      <c r="AT353" s="67"/>
      <c r="AU353" s="67"/>
      <c r="AV353" s="67"/>
      <c r="AW353" s="67"/>
      <c r="AX353" s="67"/>
      <c r="AY353" s="67"/>
      <c r="AZ353" s="67">
        <f t="shared" si="226"/>
        <v>0</v>
      </c>
      <c r="BA353" s="67"/>
      <c r="BB353" s="67"/>
    </row>
    <row r="354" spans="1:54" ht="25.5" customHeight="1">
      <c r="A354" s="107">
        <v>29</v>
      </c>
      <c r="B354" s="70" t="s">
        <v>500</v>
      </c>
      <c r="C354" s="65"/>
      <c r="D354" s="66"/>
      <c r="E354" s="41">
        <f t="shared" si="221"/>
        <v>0</v>
      </c>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41">
        <f t="shared" si="222"/>
        <v>0</v>
      </c>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row>
    <row r="355" spans="1:54" ht="38.25" customHeight="1">
      <c r="A355" s="107">
        <v>30</v>
      </c>
      <c r="B355" s="70" t="s">
        <v>590</v>
      </c>
      <c r="C355" s="65"/>
      <c r="D355" s="66"/>
      <c r="E355" s="41">
        <f t="shared" si="221"/>
        <v>0</v>
      </c>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41">
        <f t="shared" si="222"/>
        <v>0</v>
      </c>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row>
    <row r="356" spans="1:54" ht="25.5" customHeight="1">
      <c r="A356" s="107">
        <v>31</v>
      </c>
      <c r="B356" s="70" t="s">
        <v>248</v>
      </c>
      <c r="C356" s="65"/>
      <c r="D356" s="66"/>
      <c r="E356" s="41">
        <f t="shared" si="221"/>
        <v>0</v>
      </c>
      <c r="F356" s="67"/>
      <c r="G356" s="67">
        <f t="shared" si="217"/>
        <v>0</v>
      </c>
      <c r="H356" s="67"/>
      <c r="I356" s="67"/>
      <c r="J356" s="67"/>
      <c r="K356" s="67"/>
      <c r="L356" s="67"/>
      <c r="M356" s="67"/>
      <c r="N356" s="67"/>
      <c r="O356" s="67"/>
      <c r="P356" s="67"/>
      <c r="Q356" s="67"/>
      <c r="R356" s="67"/>
      <c r="S356" s="67"/>
      <c r="T356" s="67"/>
      <c r="U356" s="67"/>
      <c r="V356" s="67"/>
      <c r="W356" s="67"/>
      <c r="X356" s="67"/>
      <c r="Y356" s="67"/>
      <c r="Z356" s="67"/>
      <c r="AA356" s="67">
        <f t="shared" si="218"/>
        <v>0</v>
      </c>
      <c r="AB356" s="67"/>
      <c r="AC356" s="67"/>
      <c r="AD356" s="41">
        <f t="shared" si="222"/>
        <v>0</v>
      </c>
      <c r="AE356" s="67"/>
      <c r="AF356" s="67">
        <f t="shared" ref="AF356:AF362" si="227">AG356+AH356+AI356+AJ356+AK356+AL356+AM356+AN356+AO356+AP356+AT356+AU356+AV356+AW356</f>
        <v>0</v>
      </c>
      <c r="AG356" s="67"/>
      <c r="AH356" s="67"/>
      <c r="AI356" s="67"/>
      <c r="AJ356" s="67"/>
      <c r="AK356" s="67"/>
      <c r="AL356" s="67"/>
      <c r="AM356" s="67"/>
      <c r="AN356" s="67"/>
      <c r="AO356" s="67"/>
      <c r="AP356" s="67"/>
      <c r="AQ356" s="67"/>
      <c r="AR356" s="67"/>
      <c r="AS356" s="67"/>
      <c r="AT356" s="67"/>
      <c r="AU356" s="67"/>
      <c r="AV356" s="67"/>
      <c r="AW356" s="67"/>
      <c r="AX356" s="67"/>
      <c r="AY356" s="67"/>
      <c r="AZ356" s="67">
        <f t="shared" ref="AZ356:AZ362" si="228">BA356+BB356</f>
        <v>0</v>
      </c>
      <c r="BA356" s="67"/>
      <c r="BB356" s="67"/>
    </row>
    <row r="357" spans="1:54" ht="25.5" customHeight="1">
      <c r="A357" s="107">
        <v>32</v>
      </c>
      <c r="B357" s="70" t="s">
        <v>591</v>
      </c>
      <c r="C357" s="65"/>
      <c r="D357" s="66"/>
      <c r="E357" s="41">
        <f t="shared" si="221"/>
        <v>0</v>
      </c>
      <c r="F357" s="67"/>
      <c r="G357" s="67">
        <f t="shared" si="217"/>
        <v>0</v>
      </c>
      <c r="H357" s="67"/>
      <c r="I357" s="67"/>
      <c r="J357" s="67"/>
      <c r="K357" s="67"/>
      <c r="L357" s="67"/>
      <c r="M357" s="67"/>
      <c r="N357" s="67"/>
      <c r="O357" s="67"/>
      <c r="P357" s="67"/>
      <c r="Q357" s="67"/>
      <c r="R357" s="67"/>
      <c r="S357" s="67"/>
      <c r="T357" s="67"/>
      <c r="U357" s="67"/>
      <c r="V357" s="67"/>
      <c r="W357" s="67"/>
      <c r="X357" s="67"/>
      <c r="Y357" s="67"/>
      <c r="Z357" s="67"/>
      <c r="AA357" s="67">
        <f t="shared" si="218"/>
        <v>0</v>
      </c>
      <c r="AB357" s="67"/>
      <c r="AC357" s="67"/>
      <c r="AD357" s="41">
        <f t="shared" si="222"/>
        <v>0</v>
      </c>
      <c r="AE357" s="67"/>
      <c r="AF357" s="67">
        <f t="shared" si="227"/>
        <v>0</v>
      </c>
      <c r="AG357" s="67"/>
      <c r="AH357" s="67"/>
      <c r="AI357" s="67"/>
      <c r="AJ357" s="67"/>
      <c r="AK357" s="67"/>
      <c r="AL357" s="67"/>
      <c r="AM357" s="67"/>
      <c r="AN357" s="67"/>
      <c r="AO357" s="67"/>
      <c r="AP357" s="67"/>
      <c r="AQ357" s="67"/>
      <c r="AR357" s="67"/>
      <c r="AS357" s="67"/>
      <c r="AT357" s="67"/>
      <c r="AU357" s="67"/>
      <c r="AV357" s="67"/>
      <c r="AW357" s="67"/>
      <c r="AX357" s="67"/>
      <c r="AY357" s="67"/>
      <c r="AZ357" s="67">
        <f t="shared" si="228"/>
        <v>0</v>
      </c>
      <c r="BA357" s="67"/>
      <c r="BB357" s="67"/>
    </row>
    <row r="358" spans="1:54" ht="25.5" customHeight="1">
      <c r="A358" s="107">
        <v>33</v>
      </c>
      <c r="B358" s="70" t="s">
        <v>592</v>
      </c>
      <c r="C358" s="65"/>
      <c r="D358" s="66"/>
      <c r="E358" s="41">
        <f t="shared" si="221"/>
        <v>0</v>
      </c>
      <c r="F358" s="67"/>
      <c r="G358" s="67">
        <f t="shared" si="217"/>
        <v>0</v>
      </c>
      <c r="H358" s="67"/>
      <c r="I358" s="67"/>
      <c r="J358" s="67"/>
      <c r="K358" s="67"/>
      <c r="L358" s="67"/>
      <c r="M358" s="67"/>
      <c r="N358" s="67"/>
      <c r="O358" s="67"/>
      <c r="P358" s="67"/>
      <c r="Q358" s="67"/>
      <c r="R358" s="67"/>
      <c r="S358" s="67"/>
      <c r="T358" s="67"/>
      <c r="U358" s="67"/>
      <c r="V358" s="67"/>
      <c r="W358" s="67"/>
      <c r="X358" s="67"/>
      <c r="Y358" s="67"/>
      <c r="Z358" s="67"/>
      <c r="AA358" s="67">
        <f t="shared" si="218"/>
        <v>0</v>
      </c>
      <c r="AB358" s="67"/>
      <c r="AC358" s="67"/>
      <c r="AD358" s="41">
        <f t="shared" si="222"/>
        <v>0</v>
      </c>
      <c r="AE358" s="67"/>
      <c r="AF358" s="67">
        <f t="shared" si="227"/>
        <v>0</v>
      </c>
      <c r="AG358" s="67"/>
      <c r="AH358" s="67"/>
      <c r="AI358" s="67"/>
      <c r="AJ358" s="67"/>
      <c r="AK358" s="67"/>
      <c r="AL358" s="67"/>
      <c r="AM358" s="67"/>
      <c r="AN358" s="67"/>
      <c r="AO358" s="67"/>
      <c r="AP358" s="67"/>
      <c r="AQ358" s="67"/>
      <c r="AR358" s="67"/>
      <c r="AS358" s="67"/>
      <c r="AT358" s="67"/>
      <c r="AU358" s="67"/>
      <c r="AV358" s="67"/>
      <c r="AW358" s="67"/>
      <c r="AX358" s="67"/>
      <c r="AY358" s="67"/>
      <c r="AZ358" s="67">
        <f t="shared" si="228"/>
        <v>0</v>
      </c>
      <c r="BA358" s="67"/>
      <c r="BB358" s="67"/>
    </row>
    <row r="359" spans="1:54" ht="25.5" customHeight="1">
      <c r="A359" s="107">
        <v>34</v>
      </c>
      <c r="B359" s="70" t="s">
        <v>593</v>
      </c>
      <c r="C359" s="65"/>
      <c r="D359" s="66"/>
      <c r="E359" s="41">
        <f t="shared" si="221"/>
        <v>0</v>
      </c>
      <c r="F359" s="67"/>
      <c r="G359" s="67">
        <f t="shared" si="217"/>
        <v>0</v>
      </c>
      <c r="H359" s="67"/>
      <c r="I359" s="67"/>
      <c r="J359" s="67"/>
      <c r="K359" s="67"/>
      <c r="L359" s="67"/>
      <c r="M359" s="67"/>
      <c r="N359" s="67"/>
      <c r="O359" s="67"/>
      <c r="P359" s="67"/>
      <c r="Q359" s="67"/>
      <c r="R359" s="67"/>
      <c r="S359" s="67"/>
      <c r="T359" s="67"/>
      <c r="U359" s="67"/>
      <c r="V359" s="67"/>
      <c r="W359" s="67"/>
      <c r="X359" s="67"/>
      <c r="Y359" s="67"/>
      <c r="Z359" s="67"/>
      <c r="AA359" s="67">
        <f t="shared" si="218"/>
        <v>0</v>
      </c>
      <c r="AB359" s="67"/>
      <c r="AC359" s="67"/>
      <c r="AD359" s="41">
        <f t="shared" si="222"/>
        <v>0</v>
      </c>
      <c r="AE359" s="67"/>
      <c r="AF359" s="67">
        <f t="shared" si="227"/>
        <v>0</v>
      </c>
      <c r="AG359" s="67"/>
      <c r="AH359" s="67"/>
      <c r="AI359" s="67"/>
      <c r="AJ359" s="67"/>
      <c r="AK359" s="67"/>
      <c r="AL359" s="67"/>
      <c r="AM359" s="67"/>
      <c r="AN359" s="67"/>
      <c r="AO359" s="67"/>
      <c r="AP359" s="67"/>
      <c r="AQ359" s="67"/>
      <c r="AR359" s="67"/>
      <c r="AS359" s="67"/>
      <c r="AT359" s="67"/>
      <c r="AU359" s="67"/>
      <c r="AV359" s="67"/>
      <c r="AW359" s="67"/>
      <c r="AX359" s="67"/>
      <c r="AY359" s="67"/>
      <c r="AZ359" s="67">
        <f t="shared" si="228"/>
        <v>0</v>
      </c>
      <c r="BA359" s="67"/>
      <c r="BB359" s="67"/>
    </row>
    <row r="360" spans="1:54" ht="38.25" customHeight="1">
      <c r="A360" s="107">
        <v>35</v>
      </c>
      <c r="B360" s="70" t="s">
        <v>594</v>
      </c>
      <c r="C360" s="65"/>
      <c r="D360" s="66"/>
      <c r="E360" s="41">
        <f t="shared" si="221"/>
        <v>0</v>
      </c>
      <c r="F360" s="67"/>
      <c r="G360" s="67">
        <f t="shared" si="217"/>
        <v>0</v>
      </c>
      <c r="H360" s="67"/>
      <c r="I360" s="67"/>
      <c r="J360" s="67"/>
      <c r="K360" s="67"/>
      <c r="L360" s="67"/>
      <c r="M360" s="67"/>
      <c r="N360" s="67"/>
      <c r="O360" s="67"/>
      <c r="P360" s="67"/>
      <c r="Q360" s="67"/>
      <c r="R360" s="67"/>
      <c r="S360" s="67"/>
      <c r="T360" s="67"/>
      <c r="U360" s="67"/>
      <c r="V360" s="67"/>
      <c r="W360" s="67"/>
      <c r="X360" s="67"/>
      <c r="Y360" s="67"/>
      <c r="Z360" s="67"/>
      <c r="AA360" s="67">
        <f t="shared" si="218"/>
        <v>0</v>
      </c>
      <c r="AB360" s="67"/>
      <c r="AC360" s="67"/>
      <c r="AD360" s="41">
        <f t="shared" si="222"/>
        <v>0</v>
      </c>
      <c r="AE360" s="67"/>
      <c r="AF360" s="67">
        <f t="shared" si="227"/>
        <v>0</v>
      </c>
      <c r="AG360" s="67"/>
      <c r="AH360" s="67"/>
      <c r="AI360" s="67"/>
      <c r="AJ360" s="67"/>
      <c r="AK360" s="67"/>
      <c r="AL360" s="67"/>
      <c r="AM360" s="67"/>
      <c r="AN360" s="67"/>
      <c r="AO360" s="67"/>
      <c r="AP360" s="67"/>
      <c r="AQ360" s="67"/>
      <c r="AR360" s="67"/>
      <c r="AS360" s="67"/>
      <c r="AT360" s="67"/>
      <c r="AU360" s="67"/>
      <c r="AV360" s="67"/>
      <c r="AW360" s="67"/>
      <c r="AX360" s="67"/>
      <c r="AY360" s="67"/>
      <c r="AZ360" s="67">
        <f t="shared" si="228"/>
        <v>0</v>
      </c>
      <c r="BA360" s="67"/>
      <c r="BB360" s="67"/>
    </row>
    <row r="361" spans="1:54" ht="12.75" customHeight="1">
      <c r="A361" s="107">
        <v>36</v>
      </c>
      <c r="B361" s="70" t="s">
        <v>595</v>
      </c>
      <c r="C361" s="65"/>
      <c r="D361" s="66"/>
      <c r="E361" s="41">
        <f t="shared" si="221"/>
        <v>0</v>
      </c>
      <c r="F361" s="67"/>
      <c r="G361" s="67">
        <f t="shared" si="217"/>
        <v>0</v>
      </c>
      <c r="H361" s="67"/>
      <c r="I361" s="67"/>
      <c r="J361" s="67"/>
      <c r="K361" s="67"/>
      <c r="L361" s="67"/>
      <c r="M361" s="67"/>
      <c r="N361" s="67"/>
      <c r="O361" s="67"/>
      <c r="P361" s="67"/>
      <c r="Q361" s="67"/>
      <c r="R361" s="67"/>
      <c r="S361" s="67"/>
      <c r="T361" s="67"/>
      <c r="U361" s="67"/>
      <c r="V361" s="67"/>
      <c r="W361" s="67"/>
      <c r="X361" s="67"/>
      <c r="Y361" s="67"/>
      <c r="Z361" s="67"/>
      <c r="AA361" s="67">
        <f t="shared" si="218"/>
        <v>0</v>
      </c>
      <c r="AB361" s="67"/>
      <c r="AC361" s="67"/>
      <c r="AD361" s="41">
        <f t="shared" si="222"/>
        <v>0</v>
      </c>
      <c r="AE361" s="67"/>
      <c r="AF361" s="67">
        <f t="shared" si="227"/>
        <v>0</v>
      </c>
      <c r="AG361" s="67"/>
      <c r="AH361" s="67"/>
      <c r="AI361" s="67"/>
      <c r="AJ361" s="67"/>
      <c r="AK361" s="67"/>
      <c r="AL361" s="67"/>
      <c r="AM361" s="67"/>
      <c r="AN361" s="67"/>
      <c r="AO361" s="67"/>
      <c r="AP361" s="67"/>
      <c r="AQ361" s="67"/>
      <c r="AR361" s="67"/>
      <c r="AS361" s="67"/>
      <c r="AT361" s="67"/>
      <c r="AU361" s="67"/>
      <c r="AV361" s="67"/>
      <c r="AW361" s="67"/>
      <c r="AX361" s="67"/>
      <c r="AY361" s="67"/>
      <c r="AZ361" s="67">
        <f t="shared" si="228"/>
        <v>0</v>
      </c>
      <c r="BA361" s="67"/>
      <c r="BB361" s="67"/>
    </row>
    <row r="362" spans="1:54" ht="15" customHeight="1">
      <c r="A362" s="107">
        <v>37</v>
      </c>
      <c r="B362" s="70" t="s">
        <v>596</v>
      </c>
      <c r="C362" s="65"/>
      <c r="D362" s="66"/>
      <c r="E362" s="41">
        <f t="shared" si="221"/>
        <v>0</v>
      </c>
      <c r="F362" s="67"/>
      <c r="G362" s="67">
        <f t="shared" si="217"/>
        <v>0</v>
      </c>
      <c r="H362" s="67"/>
      <c r="I362" s="67"/>
      <c r="J362" s="67"/>
      <c r="K362" s="67"/>
      <c r="L362" s="67"/>
      <c r="M362" s="67"/>
      <c r="N362" s="67"/>
      <c r="O362" s="67"/>
      <c r="P362" s="67"/>
      <c r="Q362" s="67"/>
      <c r="R362" s="67"/>
      <c r="S362" s="67"/>
      <c r="T362" s="67"/>
      <c r="U362" s="67"/>
      <c r="V362" s="67"/>
      <c r="W362" s="67"/>
      <c r="X362" s="67"/>
      <c r="Y362" s="67"/>
      <c r="Z362" s="67"/>
      <c r="AA362" s="67">
        <f t="shared" si="218"/>
        <v>0</v>
      </c>
      <c r="AB362" s="67"/>
      <c r="AC362" s="67"/>
      <c r="AD362" s="41">
        <f t="shared" si="222"/>
        <v>0</v>
      </c>
      <c r="AE362" s="67"/>
      <c r="AF362" s="67">
        <f t="shared" si="227"/>
        <v>0</v>
      </c>
      <c r="AG362" s="67"/>
      <c r="AH362" s="67"/>
      <c r="AI362" s="67"/>
      <c r="AJ362" s="67"/>
      <c r="AK362" s="67"/>
      <c r="AL362" s="67"/>
      <c r="AM362" s="67"/>
      <c r="AN362" s="67"/>
      <c r="AO362" s="67"/>
      <c r="AP362" s="67"/>
      <c r="AQ362" s="67"/>
      <c r="AR362" s="67"/>
      <c r="AS362" s="67"/>
      <c r="AT362" s="67"/>
      <c r="AU362" s="67"/>
      <c r="AV362" s="67"/>
      <c r="AW362" s="67"/>
      <c r="AX362" s="67"/>
      <c r="AY362" s="67"/>
      <c r="AZ362" s="67">
        <f t="shared" si="228"/>
        <v>0</v>
      </c>
      <c r="BA362" s="67"/>
      <c r="BB362" s="67"/>
    </row>
    <row r="363" spans="1:54" ht="25.5" customHeight="1">
      <c r="A363" s="107">
        <v>38</v>
      </c>
      <c r="B363" s="70" t="s">
        <v>597</v>
      </c>
      <c r="C363" s="65"/>
      <c r="D363" s="66"/>
      <c r="E363" s="41">
        <f t="shared" si="221"/>
        <v>0</v>
      </c>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41">
        <f t="shared" si="222"/>
        <v>0</v>
      </c>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row>
    <row r="364" spans="1:54" ht="15" customHeight="1">
      <c r="A364" s="107">
        <v>39</v>
      </c>
      <c r="B364" s="70" t="s">
        <v>246</v>
      </c>
      <c r="C364" s="65"/>
      <c r="D364" s="66"/>
      <c r="E364" s="41">
        <f t="shared" si="221"/>
        <v>0</v>
      </c>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41">
        <f t="shared" si="222"/>
        <v>0</v>
      </c>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row>
    <row r="365" spans="1:54" ht="15" customHeight="1">
      <c r="A365" s="107">
        <v>40</v>
      </c>
      <c r="B365" s="70" t="s">
        <v>598</v>
      </c>
      <c r="C365" s="65"/>
      <c r="D365" s="66"/>
      <c r="E365" s="41">
        <f t="shared" si="221"/>
        <v>0</v>
      </c>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41">
        <f t="shared" si="222"/>
        <v>0</v>
      </c>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row>
    <row r="366" spans="1:54" ht="32.25" customHeight="1">
      <c r="A366" s="88" t="s">
        <v>51</v>
      </c>
      <c r="B366" s="82" t="s">
        <v>129</v>
      </c>
      <c r="C366" s="80"/>
      <c r="D366" s="61"/>
      <c r="E366" s="41">
        <f t="shared" si="221"/>
        <v>0</v>
      </c>
      <c r="F366" s="67"/>
      <c r="G366" s="67">
        <f t="shared" si="209"/>
        <v>0</v>
      </c>
      <c r="H366" s="67"/>
      <c r="I366" s="67"/>
      <c r="J366" s="67"/>
      <c r="K366" s="67"/>
      <c r="L366" s="67"/>
      <c r="M366" s="67"/>
      <c r="N366" s="67"/>
      <c r="O366" s="67"/>
      <c r="P366" s="67"/>
      <c r="Q366" s="67"/>
      <c r="R366" s="67"/>
      <c r="S366" s="67"/>
      <c r="T366" s="67">
        <f t="shared" si="210"/>
        <v>0</v>
      </c>
      <c r="U366" s="67"/>
      <c r="V366" s="67"/>
      <c r="W366" s="67"/>
      <c r="X366" s="67"/>
      <c r="Y366" s="67">
        <f>IF(OR($C366="932",$C366="934",$C366="949"),$D366,)</f>
        <v>0</v>
      </c>
      <c r="Z366" s="67"/>
      <c r="AA366" s="67">
        <f t="shared" si="208"/>
        <v>0</v>
      </c>
      <c r="AB366" s="67"/>
      <c r="AC366" s="67"/>
      <c r="AD366" s="41">
        <f t="shared" si="222"/>
        <v>0</v>
      </c>
      <c r="AE366" s="67"/>
      <c r="AF366" s="67">
        <f t="shared" ref="AF366" si="229">AG366+AH366+AI366+AJ366+AK366+AL366+AM366+AN366+AO366+AP366+AT366+AU366+AV366+AW366</f>
        <v>0</v>
      </c>
      <c r="AG366" s="67"/>
      <c r="AH366" s="67"/>
      <c r="AI366" s="67"/>
      <c r="AJ366" s="67"/>
      <c r="AK366" s="67"/>
      <c r="AL366" s="67"/>
      <c r="AM366" s="67"/>
      <c r="AN366" s="67"/>
      <c r="AO366" s="67"/>
      <c r="AP366" s="67"/>
      <c r="AQ366" s="67"/>
      <c r="AR366" s="67"/>
      <c r="AS366" s="67">
        <f t="shared" ref="AS366" si="230">AP366-AQ366-AR366</f>
        <v>0</v>
      </c>
      <c r="AT366" s="67"/>
      <c r="AU366" s="67"/>
      <c r="AV366" s="67"/>
      <c r="AW366" s="67"/>
      <c r="AX366" s="67">
        <f>IF(OR($C366="932",$C366="934",$C366="949"),$D366,)</f>
        <v>0</v>
      </c>
      <c r="AY366" s="67"/>
      <c r="AZ366" s="67">
        <f t="shared" ref="AZ366" si="231">BA366+BB366</f>
        <v>0</v>
      </c>
      <c r="BA366" s="67"/>
      <c r="BB366" s="67"/>
    </row>
    <row r="367" spans="1:54">
      <c r="A367" s="110"/>
      <c r="B367" s="111"/>
      <c r="C367" s="112"/>
      <c r="D367" s="113"/>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4"/>
      <c r="AY367" s="114"/>
      <c r="AZ367" s="114"/>
      <c r="BA367" s="114"/>
      <c r="BB367" s="114"/>
    </row>
  </sheetData>
  <mergeCells count="65">
    <mergeCell ref="A7:A11"/>
    <mergeCell ref="B7:B11"/>
    <mergeCell ref="M9:M11"/>
    <mergeCell ref="N9:N11"/>
    <mergeCell ref="O9:O11"/>
    <mergeCell ref="C6:C11"/>
    <mergeCell ref="D6:AC6"/>
    <mergeCell ref="D8:D11"/>
    <mergeCell ref="E8:E11"/>
    <mergeCell ref="F8:F11"/>
    <mergeCell ref="G8:G11"/>
    <mergeCell ref="AA10:AA11"/>
    <mergeCell ref="E7:AC7"/>
    <mergeCell ref="P9:P11"/>
    <mergeCell ref="Q9:Q11"/>
    <mergeCell ref="H8:X8"/>
    <mergeCell ref="H9:H11"/>
    <mergeCell ref="I9:I11"/>
    <mergeCell ref="J9:J11"/>
    <mergeCell ref="K9:K11"/>
    <mergeCell ref="L9:L11"/>
    <mergeCell ref="R10:R11"/>
    <mergeCell ref="S10:S11"/>
    <mergeCell ref="T10:T11"/>
    <mergeCell ref="R9:T9"/>
    <mergeCell ref="U9:U11"/>
    <mergeCell ref="W9:W11"/>
    <mergeCell ref="V9:V11"/>
    <mergeCell ref="AB10:AB11"/>
    <mergeCell ref="AC10:AC11"/>
    <mergeCell ref="X9:X11"/>
    <mergeCell ref="Y8:Y11"/>
    <mergeCell ref="Z8:Z11"/>
    <mergeCell ref="AA8:AC9"/>
    <mergeCell ref="AZ8:BB9"/>
    <mergeCell ref="AZ10:AZ11"/>
    <mergeCell ref="BA10:BA11"/>
    <mergeCell ref="BB10:BB11"/>
    <mergeCell ref="AT9:AT11"/>
    <mergeCell ref="AG8:AW8"/>
    <mergeCell ref="AX8:AX11"/>
    <mergeCell ref="AY8:AY11"/>
    <mergeCell ref="AK9:AK11"/>
    <mergeCell ref="AL9:AL11"/>
    <mergeCell ref="AM9:AM11"/>
    <mergeCell ref="AN9:AN11"/>
    <mergeCell ref="AG9:AG11"/>
    <mergeCell ref="AH9:AH11"/>
    <mergeCell ref="AI9:AI11"/>
    <mergeCell ref="A3:BB3"/>
    <mergeCell ref="A4:BB4"/>
    <mergeCell ref="AJ9:AJ11"/>
    <mergeCell ref="AQ9:AS9"/>
    <mergeCell ref="AU9:AU11"/>
    <mergeCell ref="AV9:AV11"/>
    <mergeCell ref="AW9:AW11"/>
    <mergeCell ref="AQ10:AQ11"/>
    <mergeCell ref="AR10:AR11"/>
    <mergeCell ref="AS10:AS11"/>
    <mergeCell ref="AO9:AO11"/>
    <mergeCell ref="AP9:AP11"/>
    <mergeCell ref="AD7:BB7"/>
    <mergeCell ref="AD8:AD11"/>
    <mergeCell ref="AE8:AE11"/>
    <mergeCell ref="AF8:AF11"/>
  </mergeCells>
  <printOptions horizontalCentered="1"/>
  <pageMargins left="0" right="0" top="0.47244094488188981" bottom="0.51" header="0.31496062992125984" footer="0"/>
  <pageSetup paperSize="9" orientation="landscape" r:id="rId1"/>
  <headerFooter>
    <oddFooter>&amp;R&amp;P/&amp;N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17</vt:i4>
      </vt:variant>
    </vt:vector>
  </HeadingPairs>
  <TitlesOfParts>
    <vt:vector size="32" baseType="lpstr">
      <vt:lpstr>Thu nội địa</vt:lpstr>
      <vt:lpstr>Tong hop phan cong</vt:lpstr>
      <vt:lpstr>Bieu 48</vt:lpstr>
      <vt:lpstr>Bieu 50_</vt:lpstr>
      <vt:lpstr>Bieu 51_</vt:lpstr>
      <vt:lpstr>bieu 52_</vt:lpstr>
      <vt:lpstr>bieu 53_</vt:lpstr>
      <vt:lpstr>Bieu 54_</vt:lpstr>
      <vt:lpstr>Bieu 54</vt:lpstr>
      <vt:lpstr>Bieu 58</vt:lpstr>
      <vt:lpstr>Bieu 59</vt:lpstr>
      <vt:lpstr>Bieu 61_Hien</vt:lpstr>
      <vt:lpstr>Bieu 61</vt:lpstr>
      <vt:lpstr>Biêu 63</vt:lpstr>
      <vt:lpstr>Biêu 64</vt:lpstr>
      <vt:lpstr>'Bieu 48'!chuong_phuluc_48_name</vt:lpstr>
      <vt:lpstr>'Bieu 50_'!chuong_phuluc_50_name</vt:lpstr>
      <vt:lpstr>'Bieu 51_'!chuong_phuluc_51_name</vt:lpstr>
      <vt:lpstr>'bieu 52_'!chuong_phuluc_52_name</vt:lpstr>
      <vt:lpstr>'bieu 53_'!chuong_phuluc_53_name</vt:lpstr>
      <vt:lpstr>'Bieu 58'!chuong_phuluc_58_name</vt:lpstr>
      <vt:lpstr>'Bieu 59'!chuong_phuluc_59_name</vt:lpstr>
      <vt:lpstr>'Bieu 51_'!Print_Area</vt:lpstr>
      <vt:lpstr>'bieu 52_'!Print_Area</vt:lpstr>
      <vt:lpstr>'bieu 53_'!Print_Area</vt:lpstr>
      <vt:lpstr>'Bieu 54_'!Print_Area</vt:lpstr>
      <vt:lpstr>'Bieu 58'!Print_Area</vt:lpstr>
      <vt:lpstr>'Bieu 61'!Print_Area</vt:lpstr>
      <vt:lpstr>'Bieu 61_Hien'!Print_Area</vt:lpstr>
      <vt:lpstr>'Bieu 48'!Print_Titles</vt:lpstr>
      <vt:lpstr>'bieu 53_'!Print_Titles</vt:lpstr>
      <vt:lpstr>'Bieu 54'!Print_Titles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2022-11-10T07:25:29Z</dcterms:modified>
</cp:coreProperties>
</file>