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C:\Users\levtrung\AppData\Local\Temp\VNPT Plugin\"/>
    </mc:Choice>
  </mc:AlternateContent>
  <xr:revisionPtr revIDLastSave="0" documentId="13_ncr:1_{97028B9F-7474-4EA2-A42E-0F430F611D28}" xr6:coauthVersionLast="45" xr6:coauthVersionMax="45" xr10:uidLastSave="{00000000-0000-0000-0000-000000000000}"/>
  <bookViews>
    <workbookView xWindow="-110" yWindow="-110" windowWidth="19420" windowHeight="10420" tabRatio="903" firstSheet="1" activeTab="1" xr2:uid="{00000000-000D-0000-FFFF-FFFF00000000}"/>
  </bookViews>
  <sheets>
    <sheet name="Tong hop phan cong" sheetId="15" state="hidden" r:id="rId1"/>
    <sheet name="Bieu 48" sheetId="4" r:id="rId2"/>
    <sheet name="Bieu 50" sheetId="5" r:id="rId3"/>
    <sheet name="Bieu 51_NS_DT" sheetId="27" r:id="rId4"/>
    <sheet name="bieu 52_NS_DT" sheetId="17" r:id="rId5"/>
    <sheet name="bieu 53_NS_DT" sheetId="18" r:id="rId6"/>
    <sheet name="Bieu 54_NS_DT" sheetId="36" r:id="rId7"/>
    <sheet name="Bieu 58 " sheetId="30" r:id="rId8"/>
    <sheet name="Bieu 59" sheetId="31" r:id="rId9"/>
    <sheet name="Bieu 61" sheetId="34" r:id="rId10"/>
    <sheet name="Bieu 61_lay sl" sheetId="22" state="hidden" r:id="rId11"/>
    <sheet name="Bieu 45_QT 2019_28-6" sheetId="25" state="hidden" r:id="rId12"/>
    <sheet name="60" sheetId="26" state="hidden" r:id="rId13"/>
    <sheet name="62" sheetId="28" state="hidden" r:id="rId14"/>
  </sheets>
  <externalReferences>
    <externalReference r:id="rId15"/>
    <externalReference r:id="rId16"/>
    <externalReference r:id="rId17"/>
    <externalReference r:id="rId18"/>
    <externalReference r:id="rId19"/>
    <externalReference r:id="rId20"/>
  </externalReferences>
  <definedNames>
    <definedName name="_________a1" localSheetId="3" hidden="1">{"'Sheet1'!$L$16"}</definedName>
    <definedName name="_________a1" localSheetId="4" hidden="1">{"'Sheet1'!$L$16"}</definedName>
    <definedName name="_________a1" localSheetId="5" hidden="1">{"'Sheet1'!$L$16"}</definedName>
    <definedName name="_________a1" localSheetId="6" hidden="1">{"'Sheet1'!$L$16"}</definedName>
    <definedName name="_________a1" localSheetId="7" hidden="1">{"'Sheet1'!$L$16"}</definedName>
    <definedName name="_________a1" localSheetId="8" hidden="1">{"'Sheet1'!$L$16"}</definedName>
    <definedName name="_________a1" localSheetId="9" hidden="1">{"'Sheet1'!$L$16"}</definedName>
    <definedName name="_________a1" localSheetId="10" hidden="1">{"'Sheet1'!$L$16"}</definedName>
    <definedName name="_________a1" hidden="1">{"'Sheet1'!$L$16"}</definedName>
    <definedName name="_________PA3" localSheetId="3" hidden="1">{"'Sheet1'!$L$16"}</definedName>
    <definedName name="_________PA3" localSheetId="4" hidden="1">{"'Sheet1'!$L$16"}</definedName>
    <definedName name="_________PA3" localSheetId="5" hidden="1">{"'Sheet1'!$L$16"}</definedName>
    <definedName name="_________PA3" localSheetId="6" hidden="1">{"'Sheet1'!$L$16"}</definedName>
    <definedName name="_________PA3" localSheetId="7" hidden="1">{"'Sheet1'!$L$16"}</definedName>
    <definedName name="_________PA3" localSheetId="8" hidden="1">{"'Sheet1'!$L$16"}</definedName>
    <definedName name="_________PA3" localSheetId="9" hidden="1">{"'Sheet1'!$L$16"}</definedName>
    <definedName name="_________PA3" localSheetId="10" hidden="1">{"'Sheet1'!$L$16"}</definedName>
    <definedName name="_________PA3" hidden="1">{"'Sheet1'!$L$16"}</definedName>
    <definedName name="_______a1" localSheetId="3" hidden="1">{"'Sheet1'!$L$16"}</definedName>
    <definedName name="_______a1" localSheetId="4" hidden="1">{"'Sheet1'!$L$16"}</definedName>
    <definedName name="_______a1" localSheetId="5" hidden="1">{"'Sheet1'!$L$16"}</definedName>
    <definedName name="_______a1" localSheetId="6" hidden="1">{"'Sheet1'!$L$16"}</definedName>
    <definedName name="_______a1" localSheetId="7" hidden="1">{"'Sheet1'!$L$16"}</definedName>
    <definedName name="_______a1" localSheetId="8" hidden="1">{"'Sheet1'!$L$16"}</definedName>
    <definedName name="_______a1" localSheetId="9" hidden="1">{"'Sheet1'!$L$16"}</definedName>
    <definedName name="_______a1" localSheetId="10" hidden="1">{"'Sheet1'!$L$16"}</definedName>
    <definedName name="_______a1" hidden="1">{"'Sheet1'!$L$16"}</definedName>
    <definedName name="_______PA3" localSheetId="3" hidden="1">{"'Sheet1'!$L$16"}</definedName>
    <definedName name="_______PA3" localSheetId="4" hidden="1">{"'Sheet1'!$L$16"}</definedName>
    <definedName name="_______PA3" localSheetId="5" hidden="1">{"'Sheet1'!$L$16"}</definedName>
    <definedName name="_______PA3" localSheetId="6" hidden="1">{"'Sheet1'!$L$16"}</definedName>
    <definedName name="_______PA3" localSheetId="7" hidden="1">{"'Sheet1'!$L$16"}</definedName>
    <definedName name="_______PA3" localSheetId="8" hidden="1">{"'Sheet1'!$L$16"}</definedName>
    <definedName name="_______PA3" localSheetId="9" hidden="1">{"'Sheet1'!$L$16"}</definedName>
    <definedName name="_______PA3" localSheetId="10" hidden="1">{"'Sheet1'!$L$16"}</definedName>
    <definedName name="_______PA3" hidden="1">{"'Sheet1'!$L$16"}</definedName>
    <definedName name="______a1" localSheetId="3" hidden="1">{"'Sheet1'!$L$16"}</definedName>
    <definedName name="______a1" localSheetId="4" hidden="1">{"'Sheet1'!$L$16"}</definedName>
    <definedName name="______a1" localSheetId="5" hidden="1">{"'Sheet1'!$L$16"}</definedName>
    <definedName name="______a1" localSheetId="6" hidden="1">{"'Sheet1'!$L$16"}</definedName>
    <definedName name="______a1" localSheetId="7" hidden="1">{"'Sheet1'!$L$16"}</definedName>
    <definedName name="______a1" localSheetId="8" hidden="1">{"'Sheet1'!$L$16"}</definedName>
    <definedName name="______a1" localSheetId="9" hidden="1">{"'Sheet1'!$L$16"}</definedName>
    <definedName name="______a1" localSheetId="10" hidden="1">{"'Sheet1'!$L$16"}</definedName>
    <definedName name="______a1" hidden="1">{"'Sheet1'!$L$16"}</definedName>
    <definedName name="______h1" localSheetId="3" hidden="1">{"'Sheet1'!$L$16"}</definedName>
    <definedName name="______h1" localSheetId="4" hidden="1">{"'Sheet1'!$L$16"}</definedName>
    <definedName name="______h1" localSheetId="5" hidden="1">{"'Sheet1'!$L$16"}</definedName>
    <definedName name="______h1" localSheetId="6" hidden="1">{"'Sheet1'!$L$16"}</definedName>
    <definedName name="______h1" localSheetId="7" hidden="1">{"'Sheet1'!$L$16"}</definedName>
    <definedName name="______h1" localSheetId="8" hidden="1">{"'Sheet1'!$L$16"}</definedName>
    <definedName name="______h1" localSheetId="9" hidden="1">{"'Sheet1'!$L$16"}</definedName>
    <definedName name="______h1" localSheetId="10" hidden="1">{"'Sheet1'!$L$16"}</definedName>
    <definedName name="______h1" hidden="1">{"'Sheet1'!$L$16"}</definedName>
    <definedName name="______h10" localSheetId="3" hidden="1">{#N/A,#N/A,FALSE,"Chi tiÆt"}</definedName>
    <definedName name="______h10" localSheetId="4" hidden="1">{#N/A,#N/A,FALSE,"Chi tiÆt"}</definedName>
    <definedName name="______h10" localSheetId="5" hidden="1">{#N/A,#N/A,FALSE,"Chi tiÆt"}</definedName>
    <definedName name="______h10" localSheetId="6" hidden="1">{#N/A,#N/A,FALSE,"Chi tiÆt"}</definedName>
    <definedName name="______h10" localSheetId="7" hidden="1">{#N/A,#N/A,FALSE,"Chi tiÆt"}</definedName>
    <definedName name="______h10" localSheetId="8" hidden="1">{#N/A,#N/A,FALSE,"Chi tiÆt"}</definedName>
    <definedName name="______h10" localSheetId="9" hidden="1">{#N/A,#N/A,FALSE,"Chi tiÆt"}</definedName>
    <definedName name="______h10" localSheetId="10" hidden="1">{#N/A,#N/A,FALSE,"Chi tiÆt"}</definedName>
    <definedName name="______h10" hidden="1">{#N/A,#N/A,FALSE,"Chi tiÆt"}</definedName>
    <definedName name="______h2" localSheetId="3" hidden="1">{"'Sheet1'!$L$16"}</definedName>
    <definedName name="______h2" localSheetId="4" hidden="1">{"'Sheet1'!$L$16"}</definedName>
    <definedName name="______h2" localSheetId="5" hidden="1">{"'Sheet1'!$L$16"}</definedName>
    <definedName name="______h2" localSheetId="6" hidden="1">{"'Sheet1'!$L$16"}</definedName>
    <definedName name="______h2" localSheetId="7" hidden="1">{"'Sheet1'!$L$16"}</definedName>
    <definedName name="______h2" localSheetId="8" hidden="1">{"'Sheet1'!$L$16"}</definedName>
    <definedName name="______h2" localSheetId="9" hidden="1">{"'Sheet1'!$L$16"}</definedName>
    <definedName name="______h2" localSheetId="10" hidden="1">{"'Sheet1'!$L$16"}</definedName>
    <definedName name="______h2" hidden="1">{"'Sheet1'!$L$16"}</definedName>
    <definedName name="______h3" localSheetId="3" hidden="1">{"'Sheet1'!$L$16"}</definedName>
    <definedName name="______h3" localSheetId="4" hidden="1">{"'Sheet1'!$L$16"}</definedName>
    <definedName name="______h3" localSheetId="5" hidden="1">{"'Sheet1'!$L$16"}</definedName>
    <definedName name="______h3" localSheetId="6" hidden="1">{"'Sheet1'!$L$16"}</definedName>
    <definedName name="______h3" localSheetId="7" hidden="1">{"'Sheet1'!$L$16"}</definedName>
    <definedName name="______h3" localSheetId="8" hidden="1">{"'Sheet1'!$L$16"}</definedName>
    <definedName name="______h3" localSheetId="9" hidden="1">{"'Sheet1'!$L$16"}</definedName>
    <definedName name="______h3" localSheetId="10" hidden="1">{"'Sheet1'!$L$16"}</definedName>
    <definedName name="______h3" hidden="1">{"'Sheet1'!$L$16"}</definedName>
    <definedName name="______h5" localSheetId="3" hidden="1">{"'Sheet1'!$L$16"}</definedName>
    <definedName name="______h5" localSheetId="4" hidden="1">{"'Sheet1'!$L$16"}</definedName>
    <definedName name="______h5" localSheetId="5" hidden="1">{"'Sheet1'!$L$16"}</definedName>
    <definedName name="______h5" localSheetId="6" hidden="1">{"'Sheet1'!$L$16"}</definedName>
    <definedName name="______h5" localSheetId="7" hidden="1">{"'Sheet1'!$L$16"}</definedName>
    <definedName name="______h5" localSheetId="8" hidden="1">{"'Sheet1'!$L$16"}</definedName>
    <definedName name="______h5" localSheetId="9" hidden="1">{"'Sheet1'!$L$16"}</definedName>
    <definedName name="______h5" localSheetId="10" hidden="1">{"'Sheet1'!$L$16"}</definedName>
    <definedName name="______h5" hidden="1">{"'Sheet1'!$L$16"}</definedName>
    <definedName name="______h6" localSheetId="3" hidden="1">{"'Sheet1'!$L$16"}</definedName>
    <definedName name="______h6" localSheetId="4" hidden="1">{"'Sheet1'!$L$16"}</definedName>
    <definedName name="______h6" localSheetId="5" hidden="1">{"'Sheet1'!$L$16"}</definedName>
    <definedName name="______h6" localSheetId="6" hidden="1">{"'Sheet1'!$L$16"}</definedName>
    <definedName name="______h6" localSheetId="7" hidden="1">{"'Sheet1'!$L$16"}</definedName>
    <definedName name="______h6" localSheetId="8" hidden="1">{"'Sheet1'!$L$16"}</definedName>
    <definedName name="______h6" localSheetId="9" hidden="1">{"'Sheet1'!$L$16"}</definedName>
    <definedName name="______h6" localSheetId="10" hidden="1">{"'Sheet1'!$L$16"}</definedName>
    <definedName name="______h6" hidden="1">{"'Sheet1'!$L$16"}</definedName>
    <definedName name="______h7" localSheetId="3" hidden="1">{"'Sheet1'!$L$16"}</definedName>
    <definedName name="______h7" localSheetId="4" hidden="1">{"'Sheet1'!$L$16"}</definedName>
    <definedName name="______h7" localSheetId="5" hidden="1">{"'Sheet1'!$L$16"}</definedName>
    <definedName name="______h7" localSheetId="6" hidden="1">{"'Sheet1'!$L$16"}</definedName>
    <definedName name="______h7" localSheetId="7" hidden="1">{"'Sheet1'!$L$16"}</definedName>
    <definedName name="______h7" localSheetId="8" hidden="1">{"'Sheet1'!$L$16"}</definedName>
    <definedName name="______h7" localSheetId="9" hidden="1">{"'Sheet1'!$L$16"}</definedName>
    <definedName name="______h7" localSheetId="10" hidden="1">{"'Sheet1'!$L$16"}</definedName>
    <definedName name="______h7" hidden="1">{"'Sheet1'!$L$16"}</definedName>
    <definedName name="______h8" localSheetId="3" hidden="1">{"'Sheet1'!$L$16"}</definedName>
    <definedName name="______h8" localSheetId="4" hidden="1">{"'Sheet1'!$L$16"}</definedName>
    <definedName name="______h8" localSheetId="5" hidden="1">{"'Sheet1'!$L$16"}</definedName>
    <definedName name="______h8" localSheetId="6" hidden="1">{"'Sheet1'!$L$16"}</definedName>
    <definedName name="______h8" localSheetId="7" hidden="1">{"'Sheet1'!$L$16"}</definedName>
    <definedName name="______h8" localSheetId="8" hidden="1">{"'Sheet1'!$L$16"}</definedName>
    <definedName name="______h8" localSheetId="9" hidden="1">{"'Sheet1'!$L$16"}</definedName>
    <definedName name="______h8" localSheetId="10" hidden="1">{"'Sheet1'!$L$16"}</definedName>
    <definedName name="______h8" hidden="1">{"'Sheet1'!$L$16"}</definedName>
    <definedName name="______h9" localSheetId="3" hidden="1">{"'Sheet1'!$L$16"}</definedName>
    <definedName name="______h9" localSheetId="4" hidden="1">{"'Sheet1'!$L$16"}</definedName>
    <definedName name="______h9" localSheetId="5" hidden="1">{"'Sheet1'!$L$16"}</definedName>
    <definedName name="______h9" localSheetId="6" hidden="1">{"'Sheet1'!$L$16"}</definedName>
    <definedName name="______h9" localSheetId="7" hidden="1">{"'Sheet1'!$L$16"}</definedName>
    <definedName name="______h9" localSheetId="8" hidden="1">{"'Sheet1'!$L$16"}</definedName>
    <definedName name="______h9" localSheetId="9" hidden="1">{"'Sheet1'!$L$16"}</definedName>
    <definedName name="______h9" localSheetId="10" hidden="1">{"'Sheet1'!$L$16"}</definedName>
    <definedName name="______h9" hidden="1">{"'Sheet1'!$L$16"}</definedName>
    <definedName name="______NSO2" localSheetId="3" hidden="1">{"'Sheet1'!$L$16"}</definedName>
    <definedName name="______NSO2" localSheetId="4" hidden="1">{"'Sheet1'!$L$16"}</definedName>
    <definedName name="______NSO2" localSheetId="5" hidden="1">{"'Sheet1'!$L$16"}</definedName>
    <definedName name="______NSO2" localSheetId="6" hidden="1">{"'Sheet1'!$L$16"}</definedName>
    <definedName name="______NSO2" localSheetId="7" hidden="1">{"'Sheet1'!$L$16"}</definedName>
    <definedName name="______NSO2" localSheetId="8" hidden="1">{"'Sheet1'!$L$16"}</definedName>
    <definedName name="______NSO2" localSheetId="9" hidden="1">{"'Sheet1'!$L$16"}</definedName>
    <definedName name="______NSO2" localSheetId="10" hidden="1">{"'Sheet1'!$L$16"}</definedName>
    <definedName name="______NSO2" hidden="1">{"'Sheet1'!$L$16"}</definedName>
    <definedName name="______PA3" localSheetId="3" hidden="1">{"'Sheet1'!$L$16"}</definedName>
    <definedName name="______PA3" localSheetId="4" hidden="1">{"'Sheet1'!$L$16"}</definedName>
    <definedName name="______PA3" localSheetId="5" hidden="1">{"'Sheet1'!$L$16"}</definedName>
    <definedName name="______PA3" localSheetId="6" hidden="1">{"'Sheet1'!$L$16"}</definedName>
    <definedName name="______PA3" localSheetId="7" hidden="1">{"'Sheet1'!$L$16"}</definedName>
    <definedName name="______PA3" localSheetId="8" hidden="1">{"'Sheet1'!$L$16"}</definedName>
    <definedName name="______PA3" localSheetId="9" hidden="1">{"'Sheet1'!$L$16"}</definedName>
    <definedName name="______PA3" localSheetId="10" hidden="1">{"'Sheet1'!$L$16"}</definedName>
    <definedName name="______PA3" hidden="1">{"'Sheet1'!$L$16"}</definedName>
    <definedName name="______vl2" localSheetId="3" hidden="1">{"'Sheet1'!$L$16"}</definedName>
    <definedName name="______vl2" localSheetId="4" hidden="1">{"'Sheet1'!$L$16"}</definedName>
    <definedName name="______vl2" localSheetId="5" hidden="1">{"'Sheet1'!$L$16"}</definedName>
    <definedName name="______vl2" localSheetId="6" hidden="1">{"'Sheet1'!$L$16"}</definedName>
    <definedName name="______vl2" localSheetId="7" hidden="1">{"'Sheet1'!$L$16"}</definedName>
    <definedName name="______vl2" localSheetId="8" hidden="1">{"'Sheet1'!$L$16"}</definedName>
    <definedName name="______vl2" localSheetId="9" hidden="1">{"'Sheet1'!$L$16"}</definedName>
    <definedName name="______vl2" localSheetId="10" hidden="1">{"'Sheet1'!$L$16"}</definedName>
    <definedName name="______vl2" hidden="1">{"'Sheet1'!$L$16"}</definedName>
    <definedName name="_____a1" localSheetId="3" hidden="1">{"'Sheet1'!$L$16"}</definedName>
    <definedName name="_____a1" localSheetId="4" hidden="1">{"'Sheet1'!$L$16"}</definedName>
    <definedName name="_____a1" localSheetId="5" hidden="1">{"'Sheet1'!$L$16"}</definedName>
    <definedName name="_____a1" localSheetId="6" hidden="1">{"'Sheet1'!$L$16"}</definedName>
    <definedName name="_____a1" localSheetId="7" hidden="1">{"'Sheet1'!$L$16"}</definedName>
    <definedName name="_____a1" localSheetId="8" hidden="1">{"'Sheet1'!$L$16"}</definedName>
    <definedName name="_____a1" localSheetId="9" hidden="1">{"'Sheet1'!$L$16"}</definedName>
    <definedName name="_____a1" localSheetId="10" hidden="1">{"'Sheet1'!$L$16"}</definedName>
    <definedName name="_____a1" hidden="1">{"'Sheet1'!$L$16"}</definedName>
    <definedName name="_____h1" localSheetId="3" hidden="1">{"'Sheet1'!$L$16"}</definedName>
    <definedName name="_____h1" localSheetId="4" hidden="1">{"'Sheet1'!$L$16"}</definedName>
    <definedName name="_____h1" localSheetId="5" hidden="1">{"'Sheet1'!$L$16"}</definedName>
    <definedName name="_____h1" localSheetId="6" hidden="1">{"'Sheet1'!$L$16"}</definedName>
    <definedName name="_____h1" localSheetId="7" hidden="1">{"'Sheet1'!$L$16"}</definedName>
    <definedName name="_____h1" localSheetId="8" hidden="1">{"'Sheet1'!$L$16"}</definedName>
    <definedName name="_____h1" localSheetId="9" hidden="1">{"'Sheet1'!$L$16"}</definedName>
    <definedName name="_____h1" localSheetId="10" hidden="1">{"'Sheet1'!$L$16"}</definedName>
    <definedName name="_____h1" hidden="1">{"'Sheet1'!$L$16"}</definedName>
    <definedName name="_____h10" localSheetId="3" hidden="1">{#N/A,#N/A,FALSE,"Chi tiÆt"}</definedName>
    <definedName name="_____h10" localSheetId="4" hidden="1">{#N/A,#N/A,FALSE,"Chi tiÆt"}</definedName>
    <definedName name="_____h10" localSheetId="5" hidden="1">{#N/A,#N/A,FALSE,"Chi tiÆt"}</definedName>
    <definedName name="_____h10" localSheetId="6" hidden="1">{#N/A,#N/A,FALSE,"Chi tiÆt"}</definedName>
    <definedName name="_____h10" localSheetId="7" hidden="1">{#N/A,#N/A,FALSE,"Chi tiÆt"}</definedName>
    <definedName name="_____h10" localSheetId="8" hidden="1">{#N/A,#N/A,FALSE,"Chi tiÆt"}</definedName>
    <definedName name="_____h10" localSheetId="9" hidden="1">{#N/A,#N/A,FALSE,"Chi tiÆt"}</definedName>
    <definedName name="_____h10" localSheetId="10" hidden="1">{#N/A,#N/A,FALSE,"Chi tiÆt"}</definedName>
    <definedName name="_____h10" hidden="1">{#N/A,#N/A,FALSE,"Chi tiÆt"}</definedName>
    <definedName name="_____h2" localSheetId="3" hidden="1">{"'Sheet1'!$L$16"}</definedName>
    <definedName name="_____h2" localSheetId="4" hidden="1">{"'Sheet1'!$L$16"}</definedName>
    <definedName name="_____h2" localSheetId="5" hidden="1">{"'Sheet1'!$L$16"}</definedName>
    <definedName name="_____h2" localSheetId="6" hidden="1">{"'Sheet1'!$L$16"}</definedName>
    <definedName name="_____h2" localSheetId="7" hidden="1">{"'Sheet1'!$L$16"}</definedName>
    <definedName name="_____h2" localSheetId="8" hidden="1">{"'Sheet1'!$L$16"}</definedName>
    <definedName name="_____h2" localSheetId="9" hidden="1">{"'Sheet1'!$L$16"}</definedName>
    <definedName name="_____h2" localSheetId="10" hidden="1">{"'Sheet1'!$L$16"}</definedName>
    <definedName name="_____h2" hidden="1">{"'Sheet1'!$L$16"}</definedName>
    <definedName name="_____h3" localSheetId="3" hidden="1">{"'Sheet1'!$L$16"}</definedName>
    <definedName name="_____h3" localSheetId="4" hidden="1">{"'Sheet1'!$L$16"}</definedName>
    <definedName name="_____h3" localSheetId="5" hidden="1">{"'Sheet1'!$L$16"}</definedName>
    <definedName name="_____h3" localSheetId="6" hidden="1">{"'Sheet1'!$L$16"}</definedName>
    <definedName name="_____h3" localSheetId="7" hidden="1">{"'Sheet1'!$L$16"}</definedName>
    <definedName name="_____h3" localSheetId="8" hidden="1">{"'Sheet1'!$L$16"}</definedName>
    <definedName name="_____h3" localSheetId="9" hidden="1">{"'Sheet1'!$L$16"}</definedName>
    <definedName name="_____h3" localSheetId="10" hidden="1">{"'Sheet1'!$L$16"}</definedName>
    <definedName name="_____h3" hidden="1">{"'Sheet1'!$L$16"}</definedName>
    <definedName name="_____h5" localSheetId="3" hidden="1">{"'Sheet1'!$L$16"}</definedName>
    <definedName name="_____h5" localSheetId="4" hidden="1">{"'Sheet1'!$L$16"}</definedName>
    <definedName name="_____h5" localSheetId="5" hidden="1">{"'Sheet1'!$L$16"}</definedName>
    <definedName name="_____h5" localSheetId="6" hidden="1">{"'Sheet1'!$L$16"}</definedName>
    <definedName name="_____h5" localSheetId="7" hidden="1">{"'Sheet1'!$L$16"}</definedName>
    <definedName name="_____h5" localSheetId="8" hidden="1">{"'Sheet1'!$L$16"}</definedName>
    <definedName name="_____h5" localSheetId="9" hidden="1">{"'Sheet1'!$L$16"}</definedName>
    <definedName name="_____h5" localSheetId="10" hidden="1">{"'Sheet1'!$L$16"}</definedName>
    <definedName name="_____h5" hidden="1">{"'Sheet1'!$L$16"}</definedName>
    <definedName name="_____h6" localSheetId="3" hidden="1">{"'Sheet1'!$L$16"}</definedName>
    <definedName name="_____h6" localSheetId="4" hidden="1">{"'Sheet1'!$L$16"}</definedName>
    <definedName name="_____h6" localSheetId="5" hidden="1">{"'Sheet1'!$L$16"}</definedName>
    <definedName name="_____h6" localSheetId="6" hidden="1">{"'Sheet1'!$L$16"}</definedName>
    <definedName name="_____h6" localSheetId="7" hidden="1">{"'Sheet1'!$L$16"}</definedName>
    <definedName name="_____h6" localSheetId="8" hidden="1">{"'Sheet1'!$L$16"}</definedName>
    <definedName name="_____h6" localSheetId="9" hidden="1">{"'Sheet1'!$L$16"}</definedName>
    <definedName name="_____h6" localSheetId="10" hidden="1">{"'Sheet1'!$L$16"}</definedName>
    <definedName name="_____h6" hidden="1">{"'Sheet1'!$L$16"}</definedName>
    <definedName name="_____h7" localSheetId="3" hidden="1">{"'Sheet1'!$L$16"}</definedName>
    <definedName name="_____h7" localSheetId="4" hidden="1">{"'Sheet1'!$L$16"}</definedName>
    <definedName name="_____h7" localSheetId="5" hidden="1">{"'Sheet1'!$L$16"}</definedName>
    <definedName name="_____h7" localSheetId="6" hidden="1">{"'Sheet1'!$L$16"}</definedName>
    <definedName name="_____h7" localSheetId="7" hidden="1">{"'Sheet1'!$L$16"}</definedName>
    <definedName name="_____h7" localSheetId="8" hidden="1">{"'Sheet1'!$L$16"}</definedName>
    <definedName name="_____h7" localSheetId="9" hidden="1">{"'Sheet1'!$L$16"}</definedName>
    <definedName name="_____h7" localSheetId="10" hidden="1">{"'Sheet1'!$L$16"}</definedName>
    <definedName name="_____h7" hidden="1">{"'Sheet1'!$L$16"}</definedName>
    <definedName name="_____h8" localSheetId="3" hidden="1">{"'Sheet1'!$L$16"}</definedName>
    <definedName name="_____h8" localSheetId="4" hidden="1">{"'Sheet1'!$L$16"}</definedName>
    <definedName name="_____h8" localSheetId="5" hidden="1">{"'Sheet1'!$L$16"}</definedName>
    <definedName name="_____h8" localSheetId="6" hidden="1">{"'Sheet1'!$L$16"}</definedName>
    <definedName name="_____h8" localSheetId="7" hidden="1">{"'Sheet1'!$L$16"}</definedName>
    <definedName name="_____h8" localSheetId="8" hidden="1">{"'Sheet1'!$L$16"}</definedName>
    <definedName name="_____h8" localSheetId="9" hidden="1">{"'Sheet1'!$L$16"}</definedName>
    <definedName name="_____h8" localSheetId="10" hidden="1">{"'Sheet1'!$L$16"}</definedName>
    <definedName name="_____h8" hidden="1">{"'Sheet1'!$L$16"}</definedName>
    <definedName name="_____h9" localSheetId="3" hidden="1">{"'Sheet1'!$L$16"}</definedName>
    <definedName name="_____h9" localSheetId="4" hidden="1">{"'Sheet1'!$L$16"}</definedName>
    <definedName name="_____h9" localSheetId="5" hidden="1">{"'Sheet1'!$L$16"}</definedName>
    <definedName name="_____h9" localSheetId="6" hidden="1">{"'Sheet1'!$L$16"}</definedName>
    <definedName name="_____h9" localSheetId="7" hidden="1">{"'Sheet1'!$L$16"}</definedName>
    <definedName name="_____h9" localSheetId="8" hidden="1">{"'Sheet1'!$L$16"}</definedName>
    <definedName name="_____h9" localSheetId="9" hidden="1">{"'Sheet1'!$L$16"}</definedName>
    <definedName name="_____h9" localSheetId="10" hidden="1">{"'Sheet1'!$L$16"}</definedName>
    <definedName name="_____h9" hidden="1">{"'Sheet1'!$L$16"}</definedName>
    <definedName name="_____NSO2" localSheetId="3" hidden="1">{"'Sheet1'!$L$16"}</definedName>
    <definedName name="_____NSO2" localSheetId="4" hidden="1">{"'Sheet1'!$L$16"}</definedName>
    <definedName name="_____NSO2" localSheetId="5" hidden="1">{"'Sheet1'!$L$16"}</definedName>
    <definedName name="_____NSO2" localSheetId="6" hidden="1">{"'Sheet1'!$L$16"}</definedName>
    <definedName name="_____NSO2" localSheetId="7" hidden="1">{"'Sheet1'!$L$16"}</definedName>
    <definedName name="_____NSO2" localSheetId="8" hidden="1">{"'Sheet1'!$L$16"}</definedName>
    <definedName name="_____NSO2" localSheetId="9" hidden="1">{"'Sheet1'!$L$16"}</definedName>
    <definedName name="_____NSO2" localSheetId="10" hidden="1">{"'Sheet1'!$L$16"}</definedName>
    <definedName name="_____NSO2" hidden="1">{"'Sheet1'!$L$16"}</definedName>
    <definedName name="_____PA3" localSheetId="3" hidden="1">{"'Sheet1'!$L$16"}</definedName>
    <definedName name="_____PA3" localSheetId="4" hidden="1">{"'Sheet1'!$L$16"}</definedName>
    <definedName name="_____PA3" localSheetId="5" hidden="1">{"'Sheet1'!$L$16"}</definedName>
    <definedName name="_____PA3" localSheetId="6" hidden="1">{"'Sheet1'!$L$16"}</definedName>
    <definedName name="_____PA3" localSheetId="7" hidden="1">{"'Sheet1'!$L$16"}</definedName>
    <definedName name="_____PA3" localSheetId="8" hidden="1">{"'Sheet1'!$L$16"}</definedName>
    <definedName name="_____PA3" localSheetId="9" hidden="1">{"'Sheet1'!$L$16"}</definedName>
    <definedName name="_____PA3" localSheetId="10" hidden="1">{"'Sheet1'!$L$16"}</definedName>
    <definedName name="_____PA3" hidden="1">{"'Sheet1'!$L$16"}</definedName>
    <definedName name="_____vl2" localSheetId="3" hidden="1">{"'Sheet1'!$L$16"}</definedName>
    <definedName name="_____vl2" localSheetId="4" hidden="1">{"'Sheet1'!$L$16"}</definedName>
    <definedName name="_____vl2" localSheetId="5" hidden="1">{"'Sheet1'!$L$16"}</definedName>
    <definedName name="_____vl2" localSheetId="6" hidden="1">{"'Sheet1'!$L$16"}</definedName>
    <definedName name="_____vl2" localSheetId="7" hidden="1">{"'Sheet1'!$L$16"}</definedName>
    <definedName name="_____vl2" localSheetId="8" hidden="1">{"'Sheet1'!$L$16"}</definedName>
    <definedName name="_____vl2" localSheetId="9" hidden="1">{"'Sheet1'!$L$16"}</definedName>
    <definedName name="_____vl2" localSheetId="10" hidden="1">{"'Sheet1'!$L$16"}</definedName>
    <definedName name="_____vl2" hidden="1">{"'Sheet1'!$L$16"}</definedName>
    <definedName name="____ban2" localSheetId="3" hidden="1">{"'Sheet1'!$L$16"}</definedName>
    <definedName name="____ban2" localSheetId="4" hidden="1">{"'Sheet1'!$L$16"}</definedName>
    <definedName name="____ban2" localSheetId="5" hidden="1">{"'Sheet1'!$L$16"}</definedName>
    <definedName name="____ban2" localSheetId="6" hidden="1">{"'Sheet1'!$L$16"}</definedName>
    <definedName name="____ban2" localSheetId="7" hidden="1">{"'Sheet1'!$L$16"}</definedName>
    <definedName name="____ban2" localSheetId="8" hidden="1">{"'Sheet1'!$L$16"}</definedName>
    <definedName name="____ban2" localSheetId="9" hidden="1">{"'Sheet1'!$L$16"}</definedName>
    <definedName name="____ban2" localSheetId="10" hidden="1">{"'Sheet1'!$L$16"}</definedName>
    <definedName name="____ban2" hidden="1">{"'Sheet1'!$L$16"}</definedName>
    <definedName name="____cep1" localSheetId="3" hidden="1">{"'Sheet1'!$L$16"}</definedName>
    <definedName name="____cep1" localSheetId="4" hidden="1">{"'Sheet1'!$L$16"}</definedName>
    <definedName name="____cep1" localSheetId="5" hidden="1">{"'Sheet1'!$L$16"}</definedName>
    <definedName name="____cep1" localSheetId="6" hidden="1">{"'Sheet1'!$L$16"}</definedName>
    <definedName name="____cep1" localSheetId="7" hidden="1">{"'Sheet1'!$L$16"}</definedName>
    <definedName name="____cep1" localSheetId="8" hidden="1">{"'Sheet1'!$L$16"}</definedName>
    <definedName name="____cep1" localSheetId="9" hidden="1">{"'Sheet1'!$L$16"}</definedName>
    <definedName name="____cep1" localSheetId="10" hidden="1">{"'Sheet1'!$L$16"}</definedName>
    <definedName name="____cep1" hidden="1">{"'Sheet1'!$L$16"}</definedName>
    <definedName name="____Coc39" localSheetId="3" hidden="1">{"'Sheet1'!$L$16"}</definedName>
    <definedName name="____Coc39" localSheetId="4" hidden="1">{"'Sheet1'!$L$16"}</definedName>
    <definedName name="____Coc39" localSheetId="5" hidden="1">{"'Sheet1'!$L$16"}</definedName>
    <definedName name="____Coc39" localSheetId="6" hidden="1">{"'Sheet1'!$L$16"}</definedName>
    <definedName name="____Coc39" localSheetId="7" hidden="1">{"'Sheet1'!$L$16"}</definedName>
    <definedName name="____Coc39" localSheetId="8" hidden="1">{"'Sheet1'!$L$16"}</definedName>
    <definedName name="____Coc39" localSheetId="9" hidden="1">{"'Sheet1'!$L$16"}</definedName>
    <definedName name="____Coc39" localSheetId="10" hidden="1">{"'Sheet1'!$L$16"}</definedName>
    <definedName name="____Coc39" hidden="1">{"'Sheet1'!$L$16"}</definedName>
    <definedName name="____Goi8" localSheetId="3" hidden="1">{"'Sheet1'!$L$16"}</definedName>
    <definedName name="____Goi8" localSheetId="4" hidden="1">{"'Sheet1'!$L$16"}</definedName>
    <definedName name="____Goi8" localSheetId="5" hidden="1">{"'Sheet1'!$L$16"}</definedName>
    <definedName name="____Goi8" localSheetId="6" hidden="1">{"'Sheet1'!$L$16"}</definedName>
    <definedName name="____Goi8" localSheetId="7" hidden="1">{"'Sheet1'!$L$16"}</definedName>
    <definedName name="____Goi8" localSheetId="8" hidden="1">{"'Sheet1'!$L$16"}</definedName>
    <definedName name="____Goi8" localSheetId="9" hidden="1">{"'Sheet1'!$L$16"}</definedName>
    <definedName name="____Goi8" localSheetId="10" hidden="1">{"'Sheet1'!$L$16"}</definedName>
    <definedName name="____Goi8" hidden="1">{"'Sheet1'!$L$16"}</definedName>
    <definedName name="____h1" localSheetId="3" hidden="1">{"'Sheet1'!$L$16"}</definedName>
    <definedName name="____h1" localSheetId="4" hidden="1">{"'Sheet1'!$L$16"}</definedName>
    <definedName name="____h1" localSheetId="5" hidden="1">{"'Sheet1'!$L$16"}</definedName>
    <definedName name="____h1" localSheetId="6" hidden="1">{"'Sheet1'!$L$16"}</definedName>
    <definedName name="____h1" localSheetId="7" hidden="1">{"'Sheet1'!$L$16"}</definedName>
    <definedName name="____h1" localSheetId="8" hidden="1">{"'Sheet1'!$L$16"}</definedName>
    <definedName name="____h1" localSheetId="9" hidden="1">{"'Sheet1'!$L$16"}</definedName>
    <definedName name="____h1" localSheetId="10" hidden="1">{"'Sheet1'!$L$16"}</definedName>
    <definedName name="____h1" hidden="1">{"'Sheet1'!$L$16"}</definedName>
    <definedName name="____h10" localSheetId="3" hidden="1">{#N/A,#N/A,FALSE,"Chi tiÆt"}</definedName>
    <definedName name="____h10" localSheetId="4" hidden="1">{#N/A,#N/A,FALSE,"Chi tiÆt"}</definedName>
    <definedName name="____h10" localSheetId="5" hidden="1">{#N/A,#N/A,FALSE,"Chi tiÆt"}</definedName>
    <definedName name="____h10" localSheetId="6" hidden="1">{#N/A,#N/A,FALSE,"Chi tiÆt"}</definedName>
    <definedName name="____h10" localSheetId="7" hidden="1">{#N/A,#N/A,FALSE,"Chi tiÆt"}</definedName>
    <definedName name="____h10" localSheetId="8" hidden="1">{#N/A,#N/A,FALSE,"Chi tiÆt"}</definedName>
    <definedName name="____h10" localSheetId="9" hidden="1">{#N/A,#N/A,FALSE,"Chi tiÆt"}</definedName>
    <definedName name="____h10" localSheetId="10" hidden="1">{#N/A,#N/A,FALSE,"Chi tiÆt"}</definedName>
    <definedName name="____h10" hidden="1">{#N/A,#N/A,FALSE,"Chi tiÆt"}</definedName>
    <definedName name="____h2" localSheetId="3" hidden="1">{"'Sheet1'!$L$16"}</definedName>
    <definedName name="____h2" localSheetId="4" hidden="1">{"'Sheet1'!$L$16"}</definedName>
    <definedName name="____h2" localSheetId="5" hidden="1">{"'Sheet1'!$L$16"}</definedName>
    <definedName name="____h2" localSheetId="6" hidden="1">{"'Sheet1'!$L$16"}</definedName>
    <definedName name="____h2" localSheetId="7" hidden="1">{"'Sheet1'!$L$16"}</definedName>
    <definedName name="____h2" localSheetId="8" hidden="1">{"'Sheet1'!$L$16"}</definedName>
    <definedName name="____h2" localSheetId="9" hidden="1">{"'Sheet1'!$L$16"}</definedName>
    <definedName name="____h2" localSheetId="10" hidden="1">{"'Sheet1'!$L$16"}</definedName>
    <definedName name="____h2" hidden="1">{"'Sheet1'!$L$16"}</definedName>
    <definedName name="____h3" localSheetId="3" hidden="1">{"'Sheet1'!$L$16"}</definedName>
    <definedName name="____h3" localSheetId="4" hidden="1">{"'Sheet1'!$L$16"}</definedName>
    <definedName name="____h3" localSheetId="5" hidden="1">{"'Sheet1'!$L$16"}</definedName>
    <definedName name="____h3" localSheetId="6" hidden="1">{"'Sheet1'!$L$16"}</definedName>
    <definedName name="____h3" localSheetId="7" hidden="1">{"'Sheet1'!$L$16"}</definedName>
    <definedName name="____h3" localSheetId="8" hidden="1">{"'Sheet1'!$L$16"}</definedName>
    <definedName name="____h3" localSheetId="9" hidden="1">{"'Sheet1'!$L$16"}</definedName>
    <definedName name="____h3" localSheetId="10" hidden="1">{"'Sheet1'!$L$16"}</definedName>
    <definedName name="____h3" hidden="1">{"'Sheet1'!$L$16"}</definedName>
    <definedName name="____h5" localSheetId="3" hidden="1">{"'Sheet1'!$L$16"}</definedName>
    <definedName name="____h5" localSheetId="4" hidden="1">{"'Sheet1'!$L$16"}</definedName>
    <definedName name="____h5" localSheetId="5" hidden="1">{"'Sheet1'!$L$16"}</definedName>
    <definedName name="____h5" localSheetId="6" hidden="1">{"'Sheet1'!$L$16"}</definedName>
    <definedName name="____h5" localSheetId="7" hidden="1">{"'Sheet1'!$L$16"}</definedName>
    <definedName name="____h5" localSheetId="8" hidden="1">{"'Sheet1'!$L$16"}</definedName>
    <definedName name="____h5" localSheetId="9" hidden="1">{"'Sheet1'!$L$16"}</definedName>
    <definedName name="____h5" localSheetId="10" hidden="1">{"'Sheet1'!$L$16"}</definedName>
    <definedName name="____h5" hidden="1">{"'Sheet1'!$L$16"}</definedName>
    <definedName name="____h6" localSheetId="3" hidden="1">{"'Sheet1'!$L$16"}</definedName>
    <definedName name="____h6" localSheetId="4" hidden="1">{"'Sheet1'!$L$16"}</definedName>
    <definedName name="____h6" localSheetId="5" hidden="1">{"'Sheet1'!$L$16"}</definedName>
    <definedName name="____h6" localSheetId="6" hidden="1">{"'Sheet1'!$L$16"}</definedName>
    <definedName name="____h6" localSheetId="7" hidden="1">{"'Sheet1'!$L$16"}</definedName>
    <definedName name="____h6" localSheetId="8" hidden="1">{"'Sheet1'!$L$16"}</definedName>
    <definedName name="____h6" localSheetId="9" hidden="1">{"'Sheet1'!$L$16"}</definedName>
    <definedName name="____h6" localSheetId="10" hidden="1">{"'Sheet1'!$L$16"}</definedName>
    <definedName name="____h6" hidden="1">{"'Sheet1'!$L$16"}</definedName>
    <definedName name="____h7" localSheetId="3" hidden="1">{"'Sheet1'!$L$16"}</definedName>
    <definedName name="____h7" localSheetId="4" hidden="1">{"'Sheet1'!$L$16"}</definedName>
    <definedName name="____h7" localSheetId="5" hidden="1">{"'Sheet1'!$L$16"}</definedName>
    <definedName name="____h7" localSheetId="6" hidden="1">{"'Sheet1'!$L$16"}</definedName>
    <definedName name="____h7" localSheetId="7" hidden="1">{"'Sheet1'!$L$16"}</definedName>
    <definedName name="____h7" localSheetId="8" hidden="1">{"'Sheet1'!$L$16"}</definedName>
    <definedName name="____h7" localSheetId="9" hidden="1">{"'Sheet1'!$L$16"}</definedName>
    <definedName name="____h7" localSheetId="10" hidden="1">{"'Sheet1'!$L$16"}</definedName>
    <definedName name="____h7" hidden="1">{"'Sheet1'!$L$16"}</definedName>
    <definedName name="____h8" localSheetId="3" hidden="1">{"'Sheet1'!$L$16"}</definedName>
    <definedName name="____h8" localSheetId="4" hidden="1">{"'Sheet1'!$L$16"}</definedName>
    <definedName name="____h8" localSheetId="5" hidden="1">{"'Sheet1'!$L$16"}</definedName>
    <definedName name="____h8" localSheetId="6" hidden="1">{"'Sheet1'!$L$16"}</definedName>
    <definedName name="____h8" localSheetId="7" hidden="1">{"'Sheet1'!$L$16"}</definedName>
    <definedName name="____h8" localSheetId="8" hidden="1">{"'Sheet1'!$L$16"}</definedName>
    <definedName name="____h8" localSheetId="9" hidden="1">{"'Sheet1'!$L$16"}</definedName>
    <definedName name="____h8" localSheetId="10" hidden="1">{"'Sheet1'!$L$16"}</definedName>
    <definedName name="____h8" hidden="1">{"'Sheet1'!$L$16"}</definedName>
    <definedName name="____h9" localSheetId="3" hidden="1">{"'Sheet1'!$L$16"}</definedName>
    <definedName name="____h9" localSheetId="4" hidden="1">{"'Sheet1'!$L$16"}</definedName>
    <definedName name="____h9" localSheetId="5" hidden="1">{"'Sheet1'!$L$16"}</definedName>
    <definedName name="____h9" localSheetId="6" hidden="1">{"'Sheet1'!$L$16"}</definedName>
    <definedName name="____h9" localSheetId="7" hidden="1">{"'Sheet1'!$L$16"}</definedName>
    <definedName name="____h9" localSheetId="8" hidden="1">{"'Sheet1'!$L$16"}</definedName>
    <definedName name="____h9" localSheetId="9" hidden="1">{"'Sheet1'!$L$16"}</definedName>
    <definedName name="____h9" localSheetId="10" hidden="1">{"'Sheet1'!$L$16"}</definedName>
    <definedName name="____h9" hidden="1">{"'Sheet1'!$L$16"}</definedName>
    <definedName name="____HUY1" localSheetId="3" hidden="1">{"'Sheet1'!$L$16"}</definedName>
    <definedName name="____HUY1" localSheetId="4" hidden="1">{"'Sheet1'!$L$16"}</definedName>
    <definedName name="____HUY1" localSheetId="5" hidden="1">{"'Sheet1'!$L$16"}</definedName>
    <definedName name="____HUY1" localSheetId="6" hidden="1">{"'Sheet1'!$L$16"}</definedName>
    <definedName name="____HUY1" localSheetId="7" hidden="1">{"'Sheet1'!$L$16"}</definedName>
    <definedName name="____HUY1" localSheetId="8" hidden="1">{"'Sheet1'!$L$16"}</definedName>
    <definedName name="____HUY1" localSheetId="9" hidden="1">{"'Sheet1'!$L$16"}</definedName>
    <definedName name="____HUY1" localSheetId="10" hidden="1">{"'Sheet1'!$L$16"}</definedName>
    <definedName name="____HUY1" hidden="1">{"'Sheet1'!$L$16"}</definedName>
    <definedName name="____HUY2" localSheetId="3" hidden="1">{"'Sheet1'!$L$16"}</definedName>
    <definedName name="____HUY2" localSheetId="4" hidden="1">{"'Sheet1'!$L$16"}</definedName>
    <definedName name="____HUY2" localSheetId="5" hidden="1">{"'Sheet1'!$L$16"}</definedName>
    <definedName name="____HUY2" localSheetId="6" hidden="1">{"'Sheet1'!$L$16"}</definedName>
    <definedName name="____HUY2" localSheetId="7" hidden="1">{"'Sheet1'!$L$16"}</definedName>
    <definedName name="____HUY2" localSheetId="8" hidden="1">{"'Sheet1'!$L$16"}</definedName>
    <definedName name="____HUY2" localSheetId="9" hidden="1">{"'Sheet1'!$L$16"}</definedName>
    <definedName name="____HUY2" localSheetId="10" hidden="1">{"'Sheet1'!$L$16"}</definedName>
    <definedName name="____HUY2" hidden="1">{"'Sheet1'!$L$16"}</definedName>
    <definedName name="____Lan1" localSheetId="3" hidden="1">{"'Sheet1'!$L$16"}</definedName>
    <definedName name="____Lan1" localSheetId="4" hidden="1">{"'Sheet1'!$L$16"}</definedName>
    <definedName name="____Lan1" localSheetId="5" hidden="1">{"'Sheet1'!$L$16"}</definedName>
    <definedName name="____Lan1" localSheetId="6" hidden="1">{"'Sheet1'!$L$16"}</definedName>
    <definedName name="____Lan1" localSheetId="7" hidden="1">{"'Sheet1'!$L$16"}</definedName>
    <definedName name="____Lan1" localSheetId="8" hidden="1">{"'Sheet1'!$L$16"}</definedName>
    <definedName name="____Lan1" localSheetId="9" hidden="1">{"'Sheet1'!$L$16"}</definedName>
    <definedName name="____Lan1" localSheetId="10" hidden="1">{"'Sheet1'!$L$16"}</definedName>
    <definedName name="____Lan1" hidden="1">{"'Sheet1'!$L$16"}</definedName>
    <definedName name="____LAN3" localSheetId="3" hidden="1">{"'Sheet1'!$L$16"}</definedName>
    <definedName name="____LAN3" localSheetId="4" hidden="1">{"'Sheet1'!$L$16"}</definedName>
    <definedName name="____LAN3" localSheetId="5" hidden="1">{"'Sheet1'!$L$16"}</definedName>
    <definedName name="____LAN3" localSheetId="6" hidden="1">{"'Sheet1'!$L$16"}</definedName>
    <definedName name="____LAN3" localSheetId="7" hidden="1">{"'Sheet1'!$L$16"}</definedName>
    <definedName name="____LAN3" localSheetId="8" hidden="1">{"'Sheet1'!$L$16"}</definedName>
    <definedName name="____LAN3" localSheetId="9" hidden="1">{"'Sheet1'!$L$16"}</definedName>
    <definedName name="____LAN3" localSheetId="10" hidden="1">{"'Sheet1'!$L$16"}</definedName>
    <definedName name="____LAN3" hidden="1">{"'Sheet1'!$L$16"}</definedName>
    <definedName name="____lk2" localSheetId="3" hidden="1">{"'Sheet1'!$L$16"}</definedName>
    <definedName name="____lk2" localSheetId="4" hidden="1">{"'Sheet1'!$L$16"}</definedName>
    <definedName name="____lk2" localSheetId="5" hidden="1">{"'Sheet1'!$L$16"}</definedName>
    <definedName name="____lk2" localSheetId="6" hidden="1">{"'Sheet1'!$L$16"}</definedName>
    <definedName name="____lk2" localSheetId="7" hidden="1">{"'Sheet1'!$L$16"}</definedName>
    <definedName name="____lk2" localSheetId="8" hidden="1">{"'Sheet1'!$L$16"}</definedName>
    <definedName name="____lk2" localSheetId="9" hidden="1">{"'Sheet1'!$L$16"}</definedName>
    <definedName name="____lk2" localSheetId="10" hidden="1">{"'Sheet1'!$L$16"}</definedName>
    <definedName name="____lk2" hidden="1">{"'Sheet1'!$L$16"}</definedName>
    <definedName name="____NSO2" localSheetId="3" hidden="1">{"'Sheet1'!$L$16"}</definedName>
    <definedName name="____NSO2" localSheetId="4" hidden="1">{"'Sheet1'!$L$16"}</definedName>
    <definedName name="____NSO2" localSheetId="5" hidden="1">{"'Sheet1'!$L$16"}</definedName>
    <definedName name="____NSO2" localSheetId="6" hidden="1">{"'Sheet1'!$L$16"}</definedName>
    <definedName name="____NSO2" localSheetId="7" hidden="1">{"'Sheet1'!$L$16"}</definedName>
    <definedName name="____NSO2" localSheetId="8" hidden="1">{"'Sheet1'!$L$16"}</definedName>
    <definedName name="____NSO2" localSheetId="9" hidden="1">{"'Sheet1'!$L$16"}</definedName>
    <definedName name="____NSO2" localSheetId="10" hidden="1">{"'Sheet1'!$L$16"}</definedName>
    <definedName name="____NSO2" hidden="1">{"'Sheet1'!$L$16"}</definedName>
    <definedName name="____PA3" localSheetId="3" hidden="1">{"'Sheet1'!$L$16"}</definedName>
    <definedName name="____PA3" localSheetId="4" hidden="1">{"'Sheet1'!$L$16"}</definedName>
    <definedName name="____PA3" localSheetId="5" hidden="1">{"'Sheet1'!$L$16"}</definedName>
    <definedName name="____PA3" localSheetId="6" hidden="1">{"'Sheet1'!$L$16"}</definedName>
    <definedName name="____PA3" localSheetId="7" hidden="1">{"'Sheet1'!$L$16"}</definedName>
    <definedName name="____PA3" localSheetId="8" hidden="1">{"'Sheet1'!$L$16"}</definedName>
    <definedName name="____PA3" localSheetId="9" hidden="1">{"'Sheet1'!$L$16"}</definedName>
    <definedName name="____PA3" localSheetId="10" hidden="1">{"'Sheet1'!$L$16"}</definedName>
    <definedName name="____PA3" hidden="1">{"'Sheet1'!$L$16"}</definedName>
    <definedName name="____Pl2" localSheetId="3" hidden="1">{"'Sheet1'!$L$16"}</definedName>
    <definedName name="____Pl2" localSheetId="4" hidden="1">{"'Sheet1'!$L$16"}</definedName>
    <definedName name="____Pl2" localSheetId="5" hidden="1">{"'Sheet1'!$L$16"}</definedName>
    <definedName name="____Pl2" localSheetId="6" hidden="1">{"'Sheet1'!$L$16"}</definedName>
    <definedName name="____Pl2" localSheetId="7" hidden="1">{"'Sheet1'!$L$16"}</definedName>
    <definedName name="____Pl2" localSheetId="8" hidden="1">{"'Sheet1'!$L$16"}</definedName>
    <definedName name="____Pl2" localSheetId="9" hidden="1">{"'Sheet1'!$L$16"}</definedName>
    <definedName name="____Pl2" localSheetId="10" hidden="1">{"'Sheet1'!$L$16"}</definedName>
    <definedName name="____Pl2" hidden="1">{"'Sheet1'!$L$16"}</definedName>
    <definedName name="____tt3" localSheetId="3" hidden="1">{"'Sheet1'!$L$16"}</definedName>
    <definedName name="____tt3" localSheetId="4" hidden="1">{"'Sheet1'!$L$16"}</definedName>
    <definedName name="____tt3" localSheetId="5" hidden="1">{"'Sheet1'!$L$16"}</definedName>
    <definedName name="____tt3" localSheetId="6" hidden="1">{"'Sheet1'!$L$16"}</definedName>
    <definedName name="____tt3" localSheetId="7" hidden="1">{"'Sheet1'!$L$16"}</definedName>
    <definedName name="____tt3" localSheetId="8" hidden="1">{"'Sheet1'!$L$16"}</definedName>
    <definedName name="____tt3" localSheetId="9" hidden="1">{"'Sheet1'!$L$16"}</definedName>
    <definedName name="____tt3" localSheetId="10" hidden="1">{"'Sheet1'!$L$16"}</definedName>
    <definedName name="____tt3" hidden="1">{"'Sheet1'!$L$16"}</definedName>
    <definedName name="____TT31" localSheetId="3" hidden="1">{"'Sheet1'!$L$16"}</definedName>
    <definedName name="____TT31" localSheetId="4" hidden="1">{"'Sheet1'!$L$16"}</definedName>
    <definedName name="____TT31" localSheetId="5" hidden="1">{"'Sheet1'!$L$16"}</definedName>
    <definedName name="____TT31" localSheetId="6" hidden="1">{"'Sheet1'!$L$16"}</definedName>
    <definedName name="____TT31" localSheetId="7" hidden="1">{"'Sheet1'!$L$16"}</definedName>
    <definedName name="____TT31" localSheetId="8" hidden="1">{"'Sheet1'!$L$16"}</definedName>
    <definedName name="____TT31" localSheetId="9" hidden="1">{"'Sheet1'!$L$16"}</definedName>
    <definedName name="____TT31" localSheetId="10" hidden="1">{"'Sheet1'!$L$16"}</definedName>
    <definedName name="____TT31" hidden="1">{"'Sheet1'!$L$16"}</definedName>
    <definedName name="____Tru21" localSheetId="3" hidden="1">{"'Sheet1'!$L$16"}</definedName>
    <definedName name="____Tru21" localSheetId="4" hidden="1">{"'Sheet1'!$L$16"}</definedName>
    <definedName name="____Tru21" localSheetId="5" hidden="1">{"'Sheet1'!$L$16"}</definedName>
    <definedName name="____Tru21" localSheetId="6" hidden="1">{"'Sheet1'!$L$16"}</definedName>
    <definedName name="____Tru21" localSheetId="7" hidden="1">{"'Sheet1'!$L$16"}</definedName>
    <definedName name="____Tru21" localSheetId="8" hidden="1">{"'Sheet1'!$L$16"}</definedName>
    <definedName name="____Tru21" localSheetId="9" hidden="1">{"'Sheet1'!$L$16"}</definedName>
    <definedName name="____Tru21" localSheetId="10" hidden="1">{"'Sheet1'!$L$16"}</definedName>
    <definedName name="____Tru21" hidden="1">{"'Sheet1'!$L$16"}</definedName>
    <definedName name="____vl2" localSheetId="3" hidden="1">{"'Sheet1'!$L$16"}</definedName>
    <definedName name="____vl2" localSheetId="4" hidden="1">{"'Sheet1'!$L$16"}</definedName>
    <definedName name="____vl2" localSheetId="5" hidden="1">{"'Sheet1'!$L$16"}</definedName>
    <definedName name="____vl2" localSheetId="6" hidden="1">{"'Sheet1'!$L$16"}</definedName>
    <definedName name="____vl2" localSheetId="7" hidden="1">{"'Sheet1'!$L$16"}</definedName>
    <definedName name="____vl2" localSheetId="8" hidden="1">{"'Sheet1'!$L$16"}</definedName>
    <definedName name="____vl2" localSheetId="9" hidden="1">{"'Sheet1'!$L$16"}</definedName>
    <definedName name="____vl2" localSheetId="10" hidden="1">{"'Sheet1'!$L$16"}</definedName>
    <definedName name="____vl2" hidden="1">{"'Sheet1'!$L$16"}</definedName>
    <definedName name="____VM2" localSheetId="3" hidden="1">{"'Sheet1'!$L$16"}</definedName>
    <definedName name="____VM2" localSheetId="4" hidden="1">{"'Sheet1'!$L$16"}</definedName>
    <definedName name="____VM2" localSheetId="5" hidden="1">{"'Sheet1'!$L$16"}</definedName>
    <definedName name="____VM2" localSheetId="6" hidden="1">{"'Sheet1'!$L$16"}</definedName>
    <definedName name="____VM2" localSheetId="7" hidden="1">{"'Sheet1'!$L$16"}</definedName>
    <definedName name="____VM2" localSheetId="8" hidden="1">{"'Sheet1'!$L$16"}</definedName>
    <definedName name="____VM2" localSheetId="9" hidden="1">{"'Sheet1'!$L$16"}</definedName>
    <definedName name="____VM2" localSheetId="10" hidden="1">{"'Sheet1'!$L$16"}</definedName>
    <definedName name="____VM2" hidden="1">{"'Sheet1'!$L$16"}</definedName>
    <definedName name="___a1" localSheetId="3" hidden="1">{"'Sheet1'!$L$16"}</definedName>
    <definedName name="___a1" localSheetId="4" hidden="1">{"'Sheet1'!$L$16"}</definedName>
    <definedName name="___a1" localSheetId="5" hidden="1">{"'Sheet1'!$L$16"}</definedName>
    <definedName name="___a1" localSheetId="6" hidden="1">{"'Sheet1'!$L$16"}</definedName>
    <definedName name="___a1" localSheetId="7" hidden="1">{"'Sheet1'!$L$16"}</definedName>
    <definedName name="___a1" localSheetId="8" hidden="1">{"'Sheet1'!$L$16"}</definedName>
    <definedName name="___a1" localSheetId="9" hidden="1">{"'Sheet1'!$L$16"}</definedName>
    <definedName name="___a1" localSheetId="10" hidden="1">{"'Sheet1'!$L$16"}</definedName>
    <definedName name="___a1" hidden="1">{"'Sheet1'!$L$16"}</definedName>
    <definedName name="___ban2" localSheetId="3" hidden="1">{"'Sheet1'!$L$16"}</definedName>
    <definedName name="___ban2" localSheetId="4" hidden="1">{"'Sheet1'!$L$16"}</definedName>
    <definedName name="___ban2" localSheetId="5" hidden="1">{"'Sheet1'!$L$16"}</definedName>
    <definedName name="___ban2" localSheetId="6" hidden="1">{"'Sheet1'!$L$16"}</definedName>
    <definedName name="___ban2" localSheetId="7" hidden="1">{"'Sheet1'!$L$16"}</definedName>
    <definedName name="___ban2" localSheetId="8" hidden="1">{"'Sheet1'!$L$16"}</definedName>
    <definedName name="___ban2" localSheetId="9" hidden="1">{"'Sheet1'!$L$16"}</definedName>
    <definedName name="___ban2" localSheetId="10" hidden="1">{"'Sheet1'!$L$16"}</definedName>
    <definedName name="___ban2" hidden="1">{"'Sheet1'!$L$16"}</definedName>
    <definedName name="___cep1" localSheetId="3" hidden="1">{"'Sheet1'!$L$16"}</definedName>
    <definedName name="___cep1" localSheetId="4" hidden="1">{"'Sheet1'!$L$16"}</definedName>
    <definedName name="___cep1" localSheetId="5" hidden="1">{"'Sheet1'!$L$16"}</definedName>
    <definedName name="___cep1" localSheetId="6" hidden="1">{"'Sheet1'!$L$16"}</definedName>
    <definedName name="___cep1" localSheetId="7" hidden="1">{"'Sheet1'!$L$16"}</definedName>
    <definedName name="___cep1" localSheetId="8" hidden="1">{"'Sheet1'!$L$16"}</definedName>
    <definedName name="___cep1" localSheetId="9" hidden="1">{"'Sheet1'!$L$16"}</definedName>
    <definedName name="___cep1" localSheetId="10" hidden="1">{"'Sheet1'!$L$16"}</definedName>
    <definedName name="___cep1" hidden="1">{"'Sheet1'!$L$16"}</definedName>
    <definedName name="___Coc39" localSheetId="3" hidden="1">{"'Sheet1'!$L$16"}</definedName>
    <definedName name="___Coc39" localSheetId="4" hidden="1">{"'Sheet1'!$L$16"}</definedName>
    <definedName name="___Coc39" localSheetId="5" hidden="1">{"'Sheet1'!$L$16"}</definedName>
    <definedName name="___Coc39" localSheetId="6" hidden="1">{"'Sheet1'!$L$16"}</definedName>
    <definedName name="___Coc39" localSheetId="7" hidden="1">{"'Sheet1'!$L$16"}</definedName>
    <definedName name="___Coc39" localSheetId="8" hidden="1">{"'Sheet1'!$L$16"}</definedName>
    <definedName name="___Coc39" localSheetId="9" hidden="1">{"'Sheet1'!$L$16"}</definedName>
    <definedName name="___Coc39" localSheetId="10" hidden="1">{"'Sheet1'!$L$16"}</definedName>
    <definedName name="___Coc39" hidden="1">{"'Sheet1'!$L$16"}</definedName>
    <definedName name="___Goi8" localSheetId="3" hidden="1">{"'Sheet1'!$L$16"}</definedName>
    <definedName name="___Goi8" localSheetId="4" hidden="1">{"'Sheet1'!$L$16"}</definedName>
    <definedName name="___Goi8" localSheetId="5" hidden="1">{"'Sheet1'!$L$16"}</definedName>
    <definedName name="___Goi8" localSheetId="6" hidden="1">{"'Sheet1'!$L$16"}</definedName>
    <definedName name="___Goi8" localSheetId="7" hidden="1">{"'Sheet1'!$L$16"}</definedName>
    <definedName name="___Goi8" localSheetId="8" hidden="1">{"'Sheet1'!$L$16"}</definedName>
    <definedName name="___Goi8" localSheetId="9" hidden="1">{"'Sheet1'!$L$16"}</definedName>
    <definedName name="___Goi8" localSheetId="10" hidden="1">{"'Sheet1'!$L$16"}</definedName>
    <definedName name="___Goi8" hidden="1">{"'Sheet1'!$L$16"}</definedName>
    <definedName name="___h1" localSheetId="3" hidden="1">{"'Sheet1'!$L$16"}</definedName>
    <definedName name="___h1" localSheetId="4" hidden="1">{"'Sheet1'!$L$16"}</definedName>
    <definedName name="___h1" localSheetId="5" hidden="1">{"'Sheet1'!$L$16"}</definedName>
    <definedName name="___h1" localSheetId="6" hidden="1">{"'Sheet1'!$L$16"}</definedName>
    <definedName name="___h1" localSheetId="7" hidden="1">{"'Sheet1'!$L$16"}</definedName>
    <definedName name="___h1" localSheetId="8" hidden="1">{"'Sheet1'!$L$16"}</definedName>
    <definedName name="___h1" localSheetId="9" hidden="1">{"'Sheet1'!$L$16"}</definedName>
    <definedName name="___h1" localSheetId="10" hidden="1">{"'Sheet1'!$L$16"}</definedName>
    <definedName name="___h1" hidden="1">{"'Sheet1'!$L$16"}</definedName>
    <definedName name="___h10" localSheetId="3" hidden="1">{#N/A,#N/A,FALSE,"Chi tiÆt"}</definedName>
    <definedName name="___h10" localSheetId="4" hidden="1">{#N/A,#N/A,FALSE,"Chi tiÆt"}</definedName>
    <definedName name="___h10" localSheetId="5" hidden="1">{#N/A,#N/A,FALSE,"Chi tiÆt"}</definedName>
    <definedName name="___h10" localSheetId="6" hidden="1">{#N/A,#N/A,FALSE,"Chi tiÆt"}</definedName>
    <definedName name="___h10" localSheetId="7" hidden="1">{#N/A,#N/A,FALSE,"Chi tiÆt"}</definedName>
    <definedName name="___h10" localSheetId="8" hidden="1">{#N/A,#N/A,FALSE,"Chi tiÆt"}</definedName>
    <definedName name="___h10" localSheetId="9" hidden="1">{#N/A,#N/A,FALSE,"Chi tiÆt"}</definedName>
    <definedName name="___h10" localSheetId="10" hidden="1">{#N/A,#N/A,FALSE,"Chi tiÆt"}</definedName>
    <definedName name="___h10" hidden="1">{#N/A,#N/A,FALSE,"Chi tiÆt"}</definedName>
    <definedName name="___h2" localSheetId="3" hidden="1">{"'Sheet1'!$L$16"}</definedName>
    <definedName name="___h2" localSheetId="4" hidden="1">{"'Sheet1'!$L$16"}</definedName>
    <definedName name="___h2" localSheetId="5" hidden="1">{"'Sheet1'!$L$16"}</definedName>
    <definedName name="___h2" localSheetId="6" hidden="1">{"'Sheet1'!$L$16"}</definedName>
    <definedName name="___h2" localSheetId="7" hidden="1">{"'Sheet1'!$L$16"}</definedName>
    <definedName name="___h2" localSheetId="8" hidden="1">{"'Sheet1'!$L$16"}</definedName>
    <definedName name="___h2" localSheetId="9" hidden="1">{"'Sheet1'!$L$16"}</definedName>
    <definedName name="___h2" localSheetId="10" hidden="1">{"'Sheet1'!$L$16"}</definedName>
    <definedName name="___h2" hidden="1">{"'Sheet1'!$L$16"}</definedName>
    <definedName name="___h3" localSheetId="3" hidden="1">{"'Sheet1'!$L$16"}</definedName>
    <definedName name="___h3" localSheetId="4" hidden="1">{"'Sheet1'!$L$16"}</definedName>
    <definedName name="___h3" localSheetId="5" hidden="1">{"'Sheet1'!$L$16"}</definedName>
    <definedName name="___h3" localSheetId="6" hidden="1">{"'Sheet1'!$L$16"}</definedName>
    <definedName name="___h3" localSheetId="7" hidden="1">{"'Sheet1'!$L$16"}</definedName>
    <definedName name="___h3" localSheetId="8" hidden="1">{"'Sheet1'!$L$16"}</definedName>
    <definedName name="___h3" localSheetId="9" hidden="1">{"'Sheet1'!$L$16"}</definedName>
    <definedName name="___h3" localSheetId="10" hidden="1">{"'Sheet1'!$L$16"}</definedName>
    <definedName name="___h3" hidden="1">{"'Sheet1'!$L$16"}</definedName>
    <definedName name="___h5" localSheetId="3" hidden="1">{"'Sheet1'!$L$16"}</definedName>
    <definedName name="___h5" localSheetId="4" hidden="1">{"'Sheet1'!$L$16"}</definedName>
    <definedName name="___h5" localSheetId="5" hidden="1">{"'Sheet1'!$L$16"}</definedName>
    <definedName name="___h5" localSheetId="6" hidden="1">{"'Sheet1'!$L$16"}</definedName>
    <definedName name="___h5" localSheetId="7" hidden="1">{"'Sheet1'!$L$16"}</definedName>
    <definedName name="___h5" localSheetId="8" hidden="1">{"'Sheet1'!$L$16"}</definedName>
    <definedName name="___h5" localSheetId="9" hidden="1">{"'Sheet1'!$L$16"}</definedName>
    <definedName name="___h5" localSheetId="10" hidden="1">{"'Sheet1'!$L$16"}</definedName>
    <definedName name="___h5" hidden="1">{"'Sheet1'!$L$16"}</definedName>
    <definedName name="___h6" localSheetId="3" hidden="1">{"'Sheet1'!$L$16"}</definedName>
    <definedName name="___h6" localSheetId="4" hidden="1">{"'Sheet1'!$L$16"}</definedName>
    <definedName name="___h6" localSheetId="5" hidden="1">{"'Sheet1'!$L$16"}</definedName>
    <definedName name="___h6" localSheetId="6" hidden="1">{"'Sheet1'!$L$16"}</definedName>
    <definedName name="___h6" localSheetId="7" hidden="1">{"'Sheet1'!$L$16"}</definedName>
    <definedName name="___h6" localSheetId="8" hidden="1">{"'Sheet1'!$L$16"}</definedName>
    <definedName name="___h6" localSheetId="9" hidden="1">{"'Sheet1'!$L$16"}</definedName>
    <definedName name="___h6" localSheetId="10" hidden="1">{"'Sheet1'!$L$16"}</definedName>
    <definedName name="___h6" hidden="1">{"'Sheet1'!$L$16"}</definedName>
    <definedName name="___h7" localSheetId="3" hidden="1">{"'Sheet1'!$L$16"}</definedName>
    <definedName name="___h7" localSheetId="4" hidden="1">{"'Sheet1'!$L$16"}</definedName>
    <definedName name="___h7" localSheetId="5" hidden="1">{"'Sheet1'!$L$16"}</definedName>
    <definedName name="___h7" localSheetId="6" hidden="1">{"'Sheet1'!$L$16"}</definedName>
    <definedName name="___h7" localSheetId="7" hidden="1">{"'Sheet1'!$L$16"}</definedName>
    <definedName name="___h7" localSheetId="8" hidden="1">{"'Sheet1'!$L$16"}</definedName>
    <definedName name="___h7" localSheetId="9" hidden="1">{"'Sheet1'!$L$16"}</definedName>
    <definedName name="___h7" localSheetId="10" hidden="1">{"'Sheet1'!$L$16"}</definedName>
    <definedName name="___h7" hidden="1">{"'Sheet1'!$L$16"}</definedName>
    <definedName name="___h8" localSheetId="3" hidden="1">{"'Sheet1'!$L$16"}</definedName>
    <definedName name="___h8" localSheetId="4" hidden="1">{"'Sheet1'!$L$16"}</definedName>
    <definedName name="___h8" localSheetId="5" hidden="1">{"'Sheet1'!$L$16"}</definedName>
    <definedName name="___h8" localSheetId="6" hidden="1">{"'Sheet1'!$L$16"}</definedName>
    <definedName name="___h8" localSheetId="7" hidden="1">{"'Sheet1'!$L$16"}</definedName>
    <definedName name="___h8" localSheetId="8" hidden="1">{"'Sheet1'!$L$16"}</definedName>
    <definedName name="___h8" localSheetId="9" hidden="1">{"'Sheet1'!$L$16"}</definedName>
    <definedName name="___h8" localSheetId="10" hidden="1">{"'Sheet1'!$L$16"}</definedName>
    <definedName name="___h8" hidden="1">{"'Sheet1'!$L$16"}</definedName>
    <definedName name="___h9" localSheetId="3" hidden="1">{"'Sheet1'!$L$16"}</definedName>
    <definedName name="___h9" localSheetId="4" hidden="1">{"'Sheet1'!$L$16"}</definedName>
    <definedName name="___h9" localSheetId="5" hidden="1">{"'Sheet1'!$L$16"}</definedName>
    <definedName name="___h9" localSheetId="6" hidden="1">{"'Sheet1'!$L$16"}</definedName>
    <definedName name="___h9" localSheetId="7" hidden="1">{"'Sheet1'!$L$16"}</definedName>
    <definedName name="___h9" localSheetId="8" hidden="1">{"'Sheet1'!$L$16"}</definedName>
    <definedName name="___h9" localSheetId="9" hidden="1">{"'Sheet1'!$L$16"}</definedName>
    <definedName name="___h9" localSheetId="10" hidden="1">{"'Sheet1'!$L$16"}</definedName>
    <definedName name="___h9" hidden="1">{"'Sheet1'!$L$16"}</definedName>
    <definedName name="___HUY1" localSheetId="3" hidden="1">{"'Sheet1'!$L$16"}</definedName>
    <definedName name="___HUY1" localSheetId="4" hidden="1">{"'Sheet1'!$L$16"}</definedName>
    <definedName name="___HUY1" localSheetId="5" hidden="1">{"'Sheet1'!$L$16"}</definedName>
    <definedName name="___HUY1" localSheetId="6" hidden="1">{"'Sheet1'!$L$16"}</definedName>
    <definedName name="___HUY1" localSheetId="7" hidden="1">{"'Sheet1'!$L$16"}</definedName>
    <definedName name="___HUY1" localSheetId="8" hidden="1">{"'Sheet1'!$L$16"}</definedName>
    <definedName name="___HUY1" localSheetId="9" hidden="1">{"'Sheet1'!$L$16"}</definedName>
    <definedName name="___HUY1" localSheetId="10" hidden="1">{"'Sheet1'!$L$16"}</definedName>
    <definedName name="___HUY1" hidden="1">{"'Sheet1'!$L$16"}</definedName>
    <definedName name="___HUY2" localSheetId="3" hidden="1">{"'Sheet1'!$L$16"}</definedName>
    <definedName name="___HUY2" localSheetId="4" hidden="1">{"'Sheet1'!$L$16"}</definedName>
    <definedName name="___HUY2" localSheetId="5" hidden="1">{"'Sheet1'!$L$16"}</definedName>
    <definedName name="___HUY2" localSheetId="6" hidden="1">{"'Sheet1'!$L$16"}</definedName>
    <definedName name="___HUY2" localSheetId="7" hidden="1">{"'Sheet1'!$L$16"}</definedName>
    <definedName name="___HUY2" localSheetId="8" hidden="1">{"'Sheet1'!$L$16"}</definedName>
    <definedName name="___HUY2" localSheetId="9" hidden="1">{"'Sheet1'!$L$16"}</definedName>
    <definedName name="___HUY2" localSheetId="10" hidden="1">{"'Sheet1'!$L$16"}</definedName>
    <definedName name="___HUY2" hidden="1">{"'Sheet1'!$L$16"}</definedName>
    <definedName name="___Lan1" localSheetId="3" hidden="1">{"'Sheet1'!$L$16"}</definedName>
    <definedName name="___Lan1" localSheetId="4" hidden="1">{"'Sheet1'!$L$16"}</definedName>
    <definedName name="___Lan1" localSheetId="5" hidden="1">{"'Sheet1'!$L$16"}</definedName>
    <definedName name="___Lan1" localSheetId="6" hidden="1">{"'Sheet1'!$L$16"}</definedName>
    <definedName name="___Lan1" localSheetId="7" hidden="1">{"'Sheet1'!$L$16"}</definedName>
    <definedName name="___Lan1" localSheetId="8" hidden="1">{"'Sheet1'!$L$16"}</definedName>
    <definedName name="___Lan1" localSheetId="9" hidden="1">{"'Sheet1'!$L$16"}</definedName>
    <definedName name="___Lan1" localSheetId="10" hidden="1">{"'Sheet1'!$L$16"}</definedName>
    <definedName name="___Lan1" hidden="1">{"'Sheet1'!$L$16"}</definedName>
    <definedName name="___LAN3" localSheetId="3" hidden="1">{"'Sheet1'!$L$16"}</definedName>
    <definedName name="___LAN3" localSheetId="4" hidden="1">{"'Sheet1'!$L$16"}</definedName>
    <definedName name="___LAN3" localSheetId="5" hidden="1">{"'Sheet1'!$L$16"}</definedName>
    <definedName name="___LAN3" localSheetId="6" hidden="1">{"'Sheet1'!$L$16"}</definedName>
    <definedName name="___LAN3" localSheetId="7" hidden="1">{"'Sheet1'!$L$16"}</definedName>
    <definedName name="___LAN3" localSheetId="8" hidden="1">{"'Sheet1'!$L$16"}</definedName>
    <definedName name="___LAN3" localSheetId="9" hidden="1">{"'Sheet1'!$L$16"}</definedName>
    <definedName name="___LAN3" localSheetId="10" hidden="1">{"'Sheet1'!$L$16"}</definedName>
    <definedName name="___LAN3" hidden="1">{"'Sheet1'!$L$16"}</definedName>
    <definedName name="___lk2" localSheetId="3" hidden="1">{"'Sheet1'!$L$16"}</definedName>
    <definedName name="___lk2" localSheetId="4" hidden="1">{"'Sheet1'!$L$16"}</definedName>
    <definedName name="___lk2" localSheetId="5" hidden="1">{"'Sheet1'!$L$16"}</definedName>
    <definedName name="___lk2" localSheetId="6" hidden="1">{"'Sheet1'!$L$16"}</definedName>
    <definedName name="___lk2" localSheetId="7" hidden="1">{"'Sheet1'!$L$16"}</definedName>
    <definedName name="___lk2" localSheetId="8" hidden="1">{"'Sheet1'!$L$16"}</definedName>
    <definedName name="___lk2" localSheetId="9" hidden="1">{"'Sheet1'!$L$16"}</definedName>
    <definedName name="___lk2" localSheetId="10" hidden="1">{"'Sheet1'!$L$16"}</definedName>
    <definedName name="___lk2" hidden="1">{"'Sheet1'!$L$16"}</definedName>
    <definedName name="___NSO2" localSheetId="3" hidden="1">{"'Sheet1'!$L$16"}</definedName>
    <definedName name="___NSO2" localSheetId="4" hidden="1">{"'Sheet1'!$L$16"}</definedName>
    <definedName name="___NSO2" localSheetId="5" hidden="1">{"'Sheet1'!$L$16"}</definedName>
    <definedName name="___NSO2" localSheetId="6" hidden="1">{"'Sheet1'!$L$16"}</definedName>
    <definedName name="___NSO2" localSheetId="7" hidden="1">{"'Sheet1'!$L$16"}</definedName>
    <definedName name="___NSO2" localSheetId="8" hidden="1">{"'Sheet1'!$L$16"}</definedName>
    <definedName name="___NSO2" localSheetId="9" hidden="1">{"'Sheet1'!$L$16"}</definedName>
    <definedName name="___NSO2" localSheetId="10" hidden="1">{"'Sheet1'!$L$16"}</definedName>
    <definedName name="___NSO2" hidden="1">{"'Sheet1'!$L$16"}</definedName>
    <definedName name="___PA3" localSheetId="3" hidden="1">{"'Sheet1'!$L$16"}</definedName>
    <definedName name="___PA3" localSheetId="4" hidden="1">{"'Sheet1'!$L$16"}</definedName>
    <definedName name="___PA3" localSheetId="5" hidden="1">{"'Sheet1'!$L$16"}</definedName>
    <definedName name="___PA3" localSheetId="6" hidden="1">{"'Sheet1'!$L$16"}</definedName>
    <definedName name="___PA3" localSheetId="7" hidden="1">{"'Sheet1'!$L$16"}</definedName>
    <definedName name="___PA3" localSheetId="8" hidden="1">{"'Sheet1'!$L$16"}</definedName>
    <definedName name="___PA3" localSheetId="9" hidden="1">{"'Sheet1'!$L$16"}</definedName>
    <definedName name="___PA3" localSheetId="10" hidden="1">{"'Sheet1'!$L$16"}</definedName>
    <definedName name="___PA3" hidden="1">{"'Sheet1'!$L$16"}</definedName>
    <definedName name="___Pl2" localSheetId="3" hidden="1">{"'Sheet1'!$L$16"}</definedName>
    <definedName name="___Pl2" localSheetId="4" hidden="1">{"'Sheet1'!$L$16"}</definedName>
    <definedName name="___Pl2" localSheetId="5" hidden="1">{"'Sheet1'!$L$16"}</definedName>
    <definedName name="___Pl2" localSheetId="6" hidden="1">{"'Sheet1'!$L$16"}</definedName>
    <definedName name="___Pl2" localSheetId="7" hidden="1">{"'Sheet1'!$L$16"}</definedName>
    <definedName name="___Pl2" localSheetId="8" hidden="1">{"'Sheet1'!$L$16"}</definedName>
    <definedName name="___Pl2" localSheetId="9" hidden="1">{"'Sheet1'!$L$16"}</definedName>
    <definedName name="___Pl2" localSheetId="10" hidden="1">{"'Sheet1'!$L$16"}</definedName>
    <definedName name="___Pl2" hidden="1">{"'Sheet1'!$L$16"}</definedName>
    <definedName name="___tt3" localSheetId="3" hidden="1">{"'Sheet1'!$L$16"}</definedName>
    <definedName name="___tt3" localSheetId="4" hidden="1">{"'Sheet1'!$L$16"}</definedName>
    <definedName name="___tt3" localSheetId="5" hidden="1">{"'Sheet1'!$L$16"}</definedName>
    <definedName name="___tt3" localSheetId="6" hidden="1">{"'Sheet1'!$L$16"}</definedName>
    <definedName name="___tt3" localSheetId="7" hidden="1">{"'Sheet1'!$L$16"}</definedName>
    <definedName name="___tt3" localSheetId="8" hidden="1">{"'Sheet1'!$L$16"}</definedName>
    <definedName name="___tt3" localSheetId="9" hidden="1">{"'Sheet1'!$L$16"}</definedName>
    <definedName name="___tt3" localSheetId="10" hidden="1">{"'Sheet1'!$L$16"}</definedName>
    <definedName name="___tt3" hidden="1">{"'Sheet1'!$L$16"}</definedName>
    <definedName name="___TT31" localSheetId="3" hidden="1">{"'Sheet1'!$L$16"}</definedName>
    <definedName name="___TT31" localSheetId="4" hidden="1">{"'Sheet1'!$L$16"}</definedName>
    <definedName name="___TT31" localSheetId="5" hidden="1">{"'Sheet1'!$L$16"}</definedName>
    <definedName name="___TT31" localSheetId="6" hidden="1">{"'Sheet1'!$L$16"}</definedName>
    <definedName name="___TT31" localSheetId="7" hidden="1">{"'Sheet1'!$L$16"}</definedName>
    <definedName name="___TT31" localSheetId="8" hidden="1">{"'Sheet1'!$L$16"}</definedName>
    <definedName name="___TT31" localSheetId="9" hidden="1">{"'Sheet1'!$L$16"}</definedName>
    <definedName name="___TT31" localSheetId="10" hidden="1">{"'Sheet1'!$L$16"}</definedName>
    <definedName name="___TT31" hidden="1">{"'Sheet1'!$L$16"}</definedName>
    <definedName name="___Tru21" localSheetId="3" hidden="1">{"'Sheet1'!$L$16"}</definedName>
    <definedName name="___Tru21" localSheetId="4" hidden="1">{"'Sheet1'!$L$16"}</definedName>
    <definedName name="___Tru21" localSheetId="5" hidden="1">{"'Sheet1'!$L$16"}</definedName>
    <definedName name="___Tru21" localSheetId="6" hidden="1">{"'Sheet1'!$L$16"}</definedName>
    <definedName name="___Tru21" localSheetId="7" hidden="1">{"'Sheet1'!$L$16"}</definedName>
    <definedName name="___Tru21" localSheetId="8" hidden="1">{"'Sheet1'!$L$16"}</definedName>
    <definedName name="___Tru21" localSheetId="9" hidden="1">{"'Sheet1'!$L$16"}</definedName>
    <definedName name="___Tru21" localSheetId="10" hidden="1">{"'Sheet1'!$L$16"}</definedName>
    <definedName name="___Tru21" hidden="1">{"'Sheet1'!$L$16"}</definedName>
    <definedName name="___vl2" localSheetId="3" hidden="1">{"'Sheet1'!$L$16"}</definedName>
    <definedName name="___vl2" localSheetId="4" hidden="1">{"'Sheet1'!$L$16"}</definedName>
    <definedName name="___vl2" localSheetId="5" hidden="1">{"'Sheet1'!$L$16"}</definedName>
    <definedName name="___vl2" localSheetId="6" hidden="1">{"'Sheet1'!$L$16"}</definedName>
    <definedName name="___vl2" localSheetId="7" hidden="1">{"'Sheet1'!$L$16"}</definedName>
    <definedName name="___vl2" localSheetId="8" hidden="1">{"'Sheet1'!$L$16"}</definedName>
    <definedName name="___vl2" localSheetId="9" hidden="1">{"'Sheet1'!$L$16"}</definedName>
    <definedName name="___vl2" localSheetId="10" hidden="1">{"'Sheet1'!$L$16"}</definedName>
    <definedName name="___vl2" hidden="1">{"'Sheet1'!$L$16"}</definedName>
    <definedName name="___VM2" localSheetId="3" hidden="1">{"'Sheet1'!$L$16"}</definedName>
    <definedName name="___VM2" localSheetId="4" hidden="1">{"'Sheet1'!$L$16"}</definedName>
    <definedName name="___VM2" localSheetId="5" hidden="1">{"'Sheet1'!$L$16"}</definedName>
    <definedName name="___VM2" localSheetId="6" hidden="1">{"'Sheet1'!$L$16"}</definedName>
    <definedName name="___VM2" localSheetId="7" hidden="1">{"'Sheet1'!$L$16"}</definedName>
    <definedName name="___VM2" localSheetId="8" hidden="1">{"'Sheet1'!$L$16"}</definedName>
    <definedName name="___VM2" localSheetId="9" hidden="1">{"'Sheet1'!$L$16"}</definedName>
    <definedName name="___VM2" localSheetId="10" hidden="1">{"'Sheet1'!$L$16"}</definedName>
    <definedName name="___VM2" hidden="1">{"'Sheet1'!$L$16"}</definedName>
    <definedName name="__a1" localSheetId="3" hidden="1">{"'Sheet1'!$L$16"}</definedName>
    <definedName name="__a1" localSheetId="4" hidden="1">{"'Sheet1'!$L$16"}</definedName>
    <definedName name="__a1" localSheetId="5" hidden="1">{"'Sheet1'!$L$16"}</definedName>
    <definedName name="__a1" localSheetId="6" hidden="1">{"'Sheet1'!$L$16"}</definedName>
    <definedName name="__a1" localSheetId="7" hidden="1">{"'Sheet1'!$L$16"}</definedName>
    <definedName name="__a1" localSheetId="8" hidden="1">{"'Sheet1'!$L$16"}</definedName>
    <definedName name="__a1" localSheetId="9" hidden="1">{"'Sheet1'!$L$16"}</definedName>
    <definedName name="__a1" localSheetId="10" hidden="1">{"'Sheet1'!$L$16"}</definedName>
    <definedName name="__a1" hidden="1">{"'Sheet1'!$L$16"}</definedName>
    <definedName name="__ban2" localSheetId="3" hidden="1">{"'Sheet1'!$L$16"}</definedName>
    <definedName name="__ban2" localSheetId="4" hidden="1">{"'Sheet1'!$L$16"}</definedName>
    <definedName name="__ban2" localSheetId="5" hidden="1">{"'Sheet1'!$L$16"}</definedName>
    <definedName name="__ban2" localSheetId="6" hidden="1">{"'Sheet1'!$L$16"}</definedName>
    <definedName name="__ban2" localSheetId="7" hidden="1">{"'Sheet1'!$L$16"}</definedName>
    <definedName name="__ban2" localSheetId="8" hidden="1">{"'Sheet1'!$L$16"}</definedName>
    <definedName name="__ban2" localSheetId="9" hidden="1">{"'Sheet1'!$L$16"}</definedName>
    <definedName name="__ban2" localSheetId="10" hidden="1">{"'Sheet1'!$L$16"}</definedName>
    <definedName name="__ban2" hidden="1">{"'Sheet1'!$L$16"}</definedName>
    <definedName name="__cep1" localSheetId="3" hidden="1">{"'Sheet1'!$L$16"}</definedName>
    <definedName name="__cep1" localSheetId="4" hidden="1">{"'Sheet1'!$L$16"}</definedName>
    <definedName name="__cep1" localSheetId="5" hidden="1">{"'Sheet1'!$L$16"}</definedName>
    <definedName name="__cep1" localSheetId="6" hidden="1">{"'Sheet1'!$L$16"}</definedName>
    <definedName name="__cep1" localSheetId="7" hidden="1">{"'Sheet1'!$L$16"}</definedName>
    <definedName name="__cep1" localSheetId="8" hidden="1">{"'Sheet1'!$L$16"}</definedName>
    <definedName name="__cep1" localSheetId="9" hidden="1">{"'Sheet1'!$L$16"}</definedName>
    <definedName name="__cep1" localSheetId="10" hidden="1">{"'Sheet1'!$L$16"}</definedName>
    <definedName name="__cep1" hidden="1">{"'Sheet1'!$L$16"}</definedName>
    <definedName name="__Coc39" localSheetId="3" hidden="1">{"'Sheet1'!$L$16"}</definedName>
    <definedName name="__Coc39" localSheetId="4" hidden="1">{"'Sheet1'!$L$16"}</definedName>
    <definedName name="__Coc39" localSheetId="5" hidden="1">{"'Sheet1'!$L$16"}</definedName>
    <definedName name="__Coc39" localSheetId="6" hidden="1">{"'Sheet1'!$L$16"}</definedName>
    <definedName name="__Coc39" localSheetId="7" hidden="1">{"'Sheet1'!$L$16"}</definedName>
    <definedName name="__Coc39" localSheetId="8" hidden="1">{"'Sheet1'!$L$16"}</definedName>
    <definedName name="__Coc39" localSheetId="9" hidden="1">{"'Sheet1'!$L$16"}</definedName>
    <definedName name="__Coc39" localSheetId="10" hidden="1">{"'Sheet1'!$L$16"}</definedName>
    <definedName name="__Coc39" hidden="1">{"'Sheet1'!$L$16"}</definedName>
    <definedName name="__Goi8" localSheetId="3" hidden="1">{"'Sheet1'!$L$16"}</definedName>
    <definedName name="__Goi8" localSheetId="4" hidden="1">{"'Sheet1'!$L$16"}</definedName>
    <definedName name="__Goi8" localSheetId="5" hidden="1">{"'Sheet1'!$L$16"}</definedName>
    <definedName name="__Goi8" localSheetId="6" hidden="1">{"'Sheet1'!$L$16"}</definedName>
    <definedName name="__Goi8" localSheetId="7" hidden="1">{"'Sheet1'!$L$16"}</definedName>
    <definedName name="__Goi8" localSheetId="8" hidden="1">{"'Sheet1'!$L$16"}</definedName>
    <definedName name="__Goi8" localSheetId="9" hidden="1">{"'Sheet1'!$L$16"}</definedName>
    <definedName name="__Goi8" localSheetId="10" hidden="1">{"'Sheet1'!$L$16"}</definedName>
    <definedName name="__Goi8" hidden="1">{"'Sheet1'!$L$16"}</definedName>
    <definedName name="__h1" localSheetId="3" hidden="1">{"'Sheet1'!$L$16"}</definedName>
    <definedName name="__h1" localSheetId="4" hidden="1">{"'Sheet1'!$L$16"}</definedName>
    <definedName name="__h1" localSheetId="5" hidden="1">{"'Sheet1'!$L$16"}</definedName>
    <definedName name="__h1" localSheetId="6" hidden="1">{"'Sheet1'!$L$16"}</definedName>
    <definedName name="__h1" localSheetId="7" hidden="1">{"'Sheet1'!$L$16"}</definedName>
    <definedName name="__h1" localSheetId="8" hidden="1">{"'Sheet1'!$L$16"}</definedName>
    <definedName name="__h1" localSheetId="9" hidden="1">{"'Sheet1'!$L$16"}</definedName>
    <definedName name="__h1" localSheetId="10" hidden="1">{"'Sheet1'!$L$16"}</definedName>
    <definedName name="__h1" hidden="1">{"'Sheet1'!$L$16"}</definedName>
    <definedName name="__h10" localSheetId="3" hidden="1">{#N/A,#N/A,FALSE,"Chi tiÆt"}</definedName>
    <definedName name="__h10" localSheetId="4" hidden="1">{#N/A,#N/A,FALSE,"Chi tiÆt"}</definedName>
    <definedName name="__h10" localSheetId="5" hidden="1">{#N/A,#N/A,FALSE,"Chi tiÆt"}</definedName>
    <definedName name="__h10" localSheetId="6" hidden="1">{#N/A,#N/A,FALSE,"Chi tiÆt"}</definedName>
    <definedName name="__h10" localSheetId="7" hidden="1">{#N/A,#N/A,FALSE,"Chi tiÆt"}</definedName>
    <definedName name="__h10" localSheetId="8" hidden="1">{#N/A,#N/A,FALSE,"Chi tiÆt"}</definedName>
    <definedName name="__h10" localSheetId="9" hidden="1">{#N/A,#N/A,FALSE,"Chi tiÆt"}</definedName>
    <definedName name="__h10" localSheetId="10" hidden="1">{#N/A,#N/A,FALSE,"Chi tiÆt"}</definedName>
    <definedName name="__h10" hidden="1">{#N/A,#N/A,FALSE,"Chi tiÆt"}</definedName>
    <definedName name="__h2" localSheetId="3" hidden="1">{"'Sheet1'!$L$16"}</definedName>
    <definedName name="__h2" localSheetId="4" hidden="1">{"'Sheet1'!$L$16"}</definedName>
    <definedName name="__h2" localSheetId="5" hidden="1">{"'Sheet1'!$L$16"}</definedName>
    <definedName name="__h2" localSheetId="6" hidden="1">{"'Sheet1'!$L$16"}</definedName>
    <definedName name="__h2" localSheetId="7" hidden="1">{"'Sheet1'!$L$16"}</definedName>
    <definedName name="__h2" localSheetId="8" hidden="1">{"'Sheet1'!$L$16"}</definedName>
    <definedName name="__h2" localSheetId="9" hidden="1">{"'Sheet1'!$L$16"}</definedName>
    <definedName name="__h2" localSheetId="10" hidden="1">{"'Sheet1'!$L$16"}</definedName>
    <definedName name="__h2" hidden="1">{"'Sheet1'!$L$16"}</definedName>
    <definedName name="__h3" localSheetId="3" hidden="1">{"'Sheet1'!$L$16"}</definedName>
    <definedName name="__h3" localSheetId="4" hidden="1">{"'Sheet1'!$L$16"}</definedName>
    <definedName name="__h3" localSheetId="5" hidden="1">{"'Sheet1'!$L$16"}</definedName>
    <definedName name="__h3" localSheetId="6" hidden="1">{"'Sheet1'!$L$16"}</definedName>
    <definedName name="__h3" localSheetId="7" hidden="1">{"'Sheet1'!$L$16"}</definedName>
    <definedName name="__h3" localSheetId="8" hidden="1">{"'Sheet1'!$L$16"}</definedName>
    <definedName name="__h3" localSheetId="9" hidden="1">{"'Sheet1'!$L$16"}</definedName>
    <definedName name="__h3" localSheetId="10" hidden="1">{"'Sheet1'!$L$16"}</definedName>
    <definedName name="__h3" hidden="1">{"'Sheet1'!$L$16"}</definedName>
    <definedName name="__h5" localSheetId="3" hidden="1">{"'Sheet1'!$L$16"}</definedName>
    <definedName name="__h5" localSheetId="4" hidden="1">{"'Sheet1'!$L$16"}</definedName>
    <definedName name="__h5" localSheetId="5" hidden="1">{"'Sheet1'!$L$16"}</definedName>
    <definedName name="__h5" localSheetId="6" hidden="1">{"'Sheet1'!$L$16"}</definedName>
    <definedName name="__h5" localSheetId="7" hidden="1">{"'Sheet1'!$L$16"}</definedName>
    <definedName name="__h5" localSheetId="8" hidden="1">{"'Sheet1'!$L$16"}</definedName>
    <definedName name="__h5" localSheetId="9" hidden="1">{"'Sheet1'!$L$16"}</definedName>
    <definedName name="__h5" localSheetId="10" hidden="1">{"'Sheet1'!$L$16"}</definedName>
    <definedName name="__h5" hidden="1">{"'Sheet1'!$L$16"}</definedName>
    <definedName name="__h6" localSheetId="3" hidden="1">{"'Sheet1'!$L$16"}</definedName>
    <definedName name="__h6" localSheetId="4" hidden="1">{"'Sheet1'!$L$16"}</definedName>
    <definedName name="__h6" localSheetId="5" hidden="1">{"'Sheet1'!$L$16"}</definedName>
    <definedName name="__h6" localSheetId="6" hidden="1">{"'Sheet1'!$L$16"}</definedName>
    <definedName name="__h6" localSheetId="7" hidden="1">{"'Sheet1'!$L$16"}</definedName>
    <definedName name="__h6" localSheetId="8" hidden="1">{"'Sheet1'!$L$16"}</definedName>
    <definedName name="__h6" localSheetId="9" hidden="1">{"'Sheet1'!$L$16"}</definedName>
    <definedName name="__h6" localSheetId="10" hidden="1">{"'Sheet1'!$L$16"}</definedName>
    <definedName name="__h6" hidden="1">{"'Sheet1'!$L$16"}</definedName>
    <definedName name="__h7" localSheetId="3" hidden="1">{"'Sheet1'!$L$16"}</definedName>
    <definedName name="__h7" localSheetId="4" hidden="1">{"'Sheet1'!$L$16"}</definedName>
    <definedName name="__h7" localSheetId="5" hidden="1">{"'Sheet1'!$L$16"}</definedName>
    <definedName name="__h7" localSheetId="6" hidden="1">{"'Sheet1'!$L$16"}</definedName>
    <definedName name="__h7" localSheetId="7" hidden="1">{"'Sheet1'!$L$16"}</definedName>
    <definedName name="__h7" localSheetId="8" hidden="1">{"'Sheet1'!$L$16"}</definedName>
    <definedName name="__h7" localSheetId="9" hidden="1">{"'Sheet1'!$L$16"}</definedName>
    <definedName name="__h7" localSheetId="10" hidden="1">{"'Sheet1'!$L$16"}</definedName>
    <definedName name="__h7" hidden="1">{"'Sheet1'!$L$16"}</definedName>
    <definedName name="__h8" localSheetId="3" hidden="1">{"'Sheet1'!$L$16"}</definedName>
    <definedName name="__h8" localSheetId="4" hidden="1">{"'Sheet1'!$L$16"}</definedName>
    <definedName name="__h8" localSheetId="5" hidden="1">{"'Sheet1'!$L$16"}</definedName>
    <definedName name="__h8" localSheetId="6" hidden="1">{"'Sheet1'!$L$16"}</definedName>
    <definedName name="__h8" localSheetId="7" hidden="1">{"'Sheet1'!$L$16"}</definedName>
    <definedName name="__h8" localSheetId="8" hidden="1">{"'Sheet1'!$L$16"}</definedName>
    <definedName name="__h8" localSheetId="9" hidden="1">{"'Sheet1'!$L$16"}</definedName>
    <definedName name="__h8" localSheetId="10" hidden="1">{"'Sheet1'!$L$16"}</definedName>
    <definedName name="__h8" hidden="1">{"'Sheet1'!$L$16"}</definedName>
    <definedName name="__h9" localSheetId="3" hidden="1">{"'Sheet1'!$L$16"}</definedName>
    <definedName name="__h9" localSheetId="4" hidden="1">{"'Sheet1'!$L$16"}</definedName>
    <definedName name="__h9" localSheetId="5" hidden="1">{"'Sheet1'!$L$16"}</definedName>
    <definedName name="__h9" localSheetId="6" hidden="1">{"'Sheet1'!$L$16"}</definedName>
    <definedName name="__h9" localSheetId="7" hidden="1">{"'Sheet1'!$L$16"}</definedName>
    <definedName name="__h9" localSheetId="8" hidden="1">{"'Sheet1'!$L$16"}</definedName>
    <definedName name="__h9" localSheetId="9" hidden="1">{"'Sheet1'!$L$16"}</definedName>
    <definedName name="__h9" localSheetId="10" hidden="1">{"'Sheet1'!$L$16"}</definedName>
    <definedName name="__h9" hidden="1">{"'Sheet1'!$L$16"}</definedName>
    <definedName name="__HUY1" localSheetId="3" hidden="1">{"'Sheet1'!$L$16"}</definedName>
    <definedName name="__HUY1" localSheetId="4" hidden="1">{"'Sheet1'!$L$16"}</definedName>
    <definedName name="__HUY1" localSheetId="5" hidden="1">{"'Sheet1'!$L$16"}</definedName>
    <definedName name="__HUY1" localSheetId="6" hidden="1">{"'Sheet1'!$L$16"}</definedName>
    <definedName name="__HUY1" localSheetId="7" hidden="1">{"'Sheet1'!$L$16"}</definedName>
    <definedName name="__HUY1" localSheetId="8" hidden="1">{"'Sheet1'!$L$16"}</definedName>
    <definedName name="__HUY1" localSheetId="9" hidden="1">{"'Sheet1'!$L$16"}</definedName>
    <definedName name="__HUY1" localSheetId="10" hidden="1">{"'Sheet1'!$L$16"}</definedName>
    <definedName name="__HUY1" hidden="1">{"'Sheet1'!$L$16"}</definedName>
    <definedName name="__HUY2" localSheetId="3" hidden="1">{"'Sheet1'!$L$16"}</definedName>
    <definedName name="__HUY2" localSheetId="4" hidden="1">{"'Sheet1'!$L$16"}</definedName>
    <definedName name="__HUY2" localSheetId="5" hidden="1">{"'Sheet1'!$L$16"}</definedName>
    <definedName name="__HUY2" localSheetId="6" hidden="1">{"'Sheet1'!$L$16"}</definedName>
    <definedName name="__HUY2" localSheetId="7" hidden="1">{"'Sheet1'!$L$16"}</definedName>
    <definedName name="__HUY2" localSheetId="8" hidden="1">{"'Sheet1'!$L$16"}</definedName>
    <definedName name="__HUY2" localSheetId="9" hidden="1">{"'Sheet1'!$L$16"}</definedName>
    <definedName name="__HUY2" localSheetId="10" hidden="1">{"'Sheet1'!$L$16"}</definedName>
    <definedName name="__HUY2" hidden="1">{"'Sheet1'!$L$16"}</definedName>
    <definedName name="__Lan1" localSheetId="3" hidden="1">{"'Sheet1'!$L$16"}</definedName>
    <definedName name="__Lan1" localSheetId="4" hidden="1">{"'Sheet1'!$L$16"}</definedName>
    <definedName name="__Lan1" localSheetId="5" hidden="1">{"'Sheet1'!$L$16"}</definedName>
    <definedName name="__Lan1" localSheetId="6" hidden="1">{"'Sheet1'!$L$16"}</definedName>
    <definedName name="__Lan1" localSheetId="7" hidden="1">{"'Sheet1'!$L$16"}</definedName>
    <definedName name="__Lan1" localSheetId="8" hidden="1">{"'Sheet1'!$L$16"}</definedName>
    <definedName name="__Lan1" localSheetId="9" hidden="1">{"'Sheet1'!$L$16"}</definedName>
    <definedName name="__Lan1" localSheetId="10" hidden="1">{"'Sheet1'!$L$16"}</definedName>
    <definedName name="__Lan1" hidden="1">{"'Sheet1'!$L$16"}</definedName>
    <definedName name="__LAN3" localSheetId="3" hidden="1">{"'Sheet1'!$L$16"}</definedName>
    <definedName name="__LAN3" localSheetId="4" hidden="1">{"'Sheet1'!$L$16"}</definedName>
    <definedName name="__LAN3" localSheetId="5" hidden="1">{"'Sheet1'!$L$16"}</definedName>
    <definedName name="__LAN3" localSheetId="6" hidden="1">{"'Sheet1'!$L$16"}</definedName>
    <definedName name="__LAN3" localSheetId="7" hidden="1">{"'Sheet1'!$L$16"}</definedName>
    <definedName name="__LAN3" localSheetId="8" hidden="1">{"'Sheet1'!$L$16"}</definedName>
    <definedName name="__LAN3" localSheetId="9" hidden="1">{"'Sheet1'!$L$16"}</definedName>
    <definedName name="__LAN3" localSheetId="10" hidden="1">{"'Sheet1'!$L$16"}</definedName>
    <definedName name="__LAN3" hidden="1">{"'Sheet1'!$L$16"}</definedName>
    <definedName name="__lk2" localSheetId="3" hidden="1">{"'Sheet1'!$L$16"}</definedName>
    <definedName name="__lk2" localSheetId="4" hidden="1">{"'Sheet1'!$L$16"}</definedName>
    <definedName name="__lk2" localSheetId="5" hidden="1">{"'Sheet1'!$L$16"}</definedName>
    <definedName name="__lk2" localSheetId="6" hidden="1">{"'Sheet1'!$L$16"}</definedName>
    <definedName name="__lk2" localSheetId="7" hidden="1">{"'Sheet1'!$L$16"}</definedName>
    <definedName name="__lk2" localSheetId="8" hidden="1">{"'Sheet1'!$L$16"}</definedName>
    <definedName name="__lk2" localSheetId="9" hidden="1">{"'Sheet1'!$L$16"}</definedName>
    <definedName name="__lk2" localSheetId="10" hidden="1">{"'Sheet1'!$L$16"}</definedName>
    <definedName name="__lk2" hidden="1">{"'Sheet1'!$L$16"}</definedName>
    <definedName name="__NSO2" localSheetId="3" hidden="1">{"'Sheet1'!$L$16"}</definedName>
    <definedName name="__NSO2" localSheetId="4" hidden="1">{"'Sheet1'!$L$16"}</definedName>
    <definedName name="__NSO2" localSheetId="5" hidden="1">{"'Sheet1'!$L$16"}</definedName>
    <definedName name="__NSO2" localSheetId="6" hidden="1">{"'Sheet1'!$L$16"}</definedName>
    <definedName name="__NSO2" localSheetId="7" hidden="1">{"'Sheet1'!$L$16"}</definedName>
    <definedName name="__NSO2" localSheetId="8" hidden="1">{"'Sheet1'!$L$16"}</definedName>
    <definedName name="__NSO2" localSheetId="9" hidden="1">{"'Sheet1'!$L$16"}</definedName>
    <definedName name="__NSO2" localSheetId="10" hidden="1">{"'Sheet1'!$L$16"}</definedName>
    <definedName name="__NSO2" hidden="1">{"'Sheet1'!$L$16"}</definedName>
    <definedName name="__PA3" localSheetId="3" hidden="1">{"'Sheet1'!$L$16"}</definedName>
    <definedName name="__PA3" localSheetId="4" hidden="1">{"'Sheet1'!$L$16"}</definedName>
    <definedName name="__PA3" localSheetId="5" hidden="1">{"'Sheet1'!$L$16"}</definedName>
    <definedName name="__PA3" localSheetId="6" hidden="1">{"'Sheet1'!$L$16"}</definedName>
    <definedName name="__PA3" localSheetId="7" hidden="1">{"'Sheet1'!$L$16"}</definedName>
    <definedName name="__PA3" localSheetId="8" hidden="1">{"'Sheet1'!$L$16"}</definedName>
    <definedName name="__PA3" localSheetId="9" hidden="1">{"'Sheet1'!$L$16"}</definedName>
    <definedName name="__PA3" localSheetId="10" hidden="1">{"'Sheet1'!$L$16"}</definedName>
    <definedName name="__PA3" hidden="1">{"'Sheet1'!$L$16"}</definedName>
    <definedName name="__Pl2" localSheetId="3" hidden="1">{"'Sheet1'!$L$16"}</definedName>
    <definedName name="__Pl2" localSheetId="4" hidden="1">{"'Sheet1'!$L$16"}</definedName>
    <definedName name="__Pl2" localSheetId="5" hidden="1">{"'Sheet1'!$L$16"}</definedName>
    <definedName name="__Pl2" localSheetId="6" hidden="1">{"'Sheet1'!$L$16"}</definedName>
    <definedName name="__Pl2" localSheetId="7" hidden="1">{"'Sheet1'!$L$16"}</definedName>
    <definedName name="__Pl2" localSheetId="8" hidden="1">{"'Sheet1'!$L$16"}</definedName>
    <definedName name="__Pl2" localSheetId="9" hidden="1">{"'Sheet1'!$L$16"}</definedName>
    <definedName name="__Pl2" localSheetId="10" hidden="1">{"'Sheet1'!$L$16"}</definedName>
    <definedName name="__Pl2" hidden="1">{"'Sheet1'!$L$16"}</definedName>
    <definedName name="__tt3" localSheetId="3" hidden="1">{"'Sheet1'!$L$16"}</definedName>
    <definedName name="__tt3" localSheetId="4" hidden="1">{"'Sheet1'!$L$16"}</definedName>
    <definedName name="__tt3" localSheetId="5" hidden="1">{"'Sheet1'!$L$16"}</definedName>
    <definedName name="__tt3" localSheetId="6" hidden="1">{"'Sheet1'!$L$16"}</definedName>
    <definedName name="__tt3" localSheetId="7" hidden="1">{"'Sheet1'!$L$16"}</definedName>
    <definedName name="__tt3" localSheetId="8" hidden="1">{"'Sheet1'!$L$16"}</definedName>
    <definedName name="__tt3" localSheetId="9" hidden="1">{"'Sheet1'!$L$16"}</definedName>
    <definedName name="__tt3" localSheetId="10" hidden="1">{"'Sheet1'!$L$16"}</definedName>
    <definedName name="__tt3" hidden="1">{"'Sheet1'!$L$16"}</definedName>
    <definedName name="__TT31" localSheetId="3" hidden="1">{"'Sheet1'!$L$16"}</definedName>
    <definedName name="__TT31" localSheetId="4" hidden="1">{"'Sheet1'!$L$16"}</definedName>
    <definedName name="__TT31" localSheetId="5" hidden="1">{"'Sheet1'!$L$16"}</definedName>
    <definedName name="__TT31" localSheetId="6" hidden="1">{"'Sheet1'!$L$16"}</definedName>
    <definedName name="__TT31" localSheetId="7" hidden="1">{"'Sheet1'!$L$16"}</definedName>
    <definedName name="__TT31" localSheetId="8" hidden="1">{"'Sheet1'!$L$16"}</definedName>
    <definedName name="__TT31" localSheetId="9" hidden="1">{"'Sheet1'!$L$16"}</definedName>
    <definedName name="__TT31" localSheetId="10" hidden="1">{"'Sheet1'!$L$16"}</definedName>
    <definedName name="__TT31" hidden="1">{"'Sheet1'!$L$16"}</definedName>
    <definedName name="__Tru21" localSheetId="3" hidden="1">{"'Sheet1'!$L$16"}</definedName>
    <definedName name="__Tru21" localSheetId="4" hidden="1">{"'Sheet1'!$L$16"}</definedName>
    <definedName name="__Tru21" localSheetId="5" hidden="1">{"'Sheet1'!$L$16"}</definedName>
    <definedName name="__Tru21" localSheetId="6" hidden="1">{"'Sheet1'!$L$16"}</definedName>
    <definedName name="__Tru21" localSheetId="7" hidden="1">{"'Sheet1'!$L$16"}</definedName>
    <definedName name="__Tru21" localSheetId="8" hidden="1">{"'Sheet1'!$L$16"}</definedName>
    <definedName name="__Tru21" localSheetId="9" hidden="1">{"'Sheet1'!$L$16"}</definedName>
    <definedName name="__Tru21" localSheetId="10" hidden="1">{"'Sheet1'!$L$16"}</definedName>
    <definedName name="__Tru21" hidden="1">{"'Sheet1'!$L$16"}</definedName>
    <definedName name="__vl2" localSheetId="3" hidden="1">{"'Sheet1'!$L$16"}</definedName>
    <definedName name="__vl2" localSheetId="4" hidden="1">{"'Sheet1'!$L$16"}</definedName>
    <definedName name="__vl2" localSheetId="5" hidden="1">{"'Sheet1'!$L$16"}</definedName>
    <definedName name="__vl2" localSheetId="6" hidden="1">{"'Sheet1'!$L$16"}</definedName>
    <definedName name="__vl2" localSheetId="7" hidden="1">{"'Sheet1'!$L$16"}</definedName>
    <definedName name="__vl2" localSheetId="8" hidden="1">{"'Sheet1'!$L$16"}</definedName>
    <definedName name="__vl2" localSheetId="9" hidden="1">{"'Sheet1'!$L$16"}</definedName>
    <definedName name="__vl2" localSheetId="10" hidden="1">{"'Sheet1'!$L$16"}</definedName>
    <definedName name="__vl2" hidden="1">{"'Sheet1'!$L$16"}</definedName>
    <definedName name="__VM2" localSheetId="3" hidden="1">{"'Sheet1'!$L$16"}</definedName>
    <definedName name="__VM2" localSheetId="4" hidden="1">{"'Sheet1'!$L$16"}</definedName>
    <definedName name="__VM2" localSheetId="5" hidden="1">{"'Sheet1'!$L$16"}</definedName>
    <definedName name="__VM2" localSheetId="6" hidden="1">{"'Sheet1'!$L$16"}</definedName>
    <definedName name="__VM2" localSheetId="7" hidden="1">{"'Sheet1'!$L$16"}</definedName>
    <definedName name="__VM2" localSheetId="8" hidden="1">{"'Sheet1'!$L$16"}</definedName>
    <definedName name="__VM2" localSheetId="9" hidden="1">{"'Sheet1'!$L$16"}</definedName>
    <definedName name="__VM2" localSheetId="10" hidden="1">{"'Sheet1'!$L$16"}</definedName>
    <definedName name="__VM2" hidden="1">{"'Sheet1'!$L$16"}</definedName>
    <definedName name="_ban2" localSheetId="3" hidden="1">{"'Sheet1'!$L$16"}</definedName>
    <definedName name="_ban2" localSheetId="4" hidden="1">{"'Sheet1'!$L$16"}</definedName>
    <definedName name="_ban2" localSheetId="5" hidden="1">{"'Sheet1'!$L$16"}</definedName>
    <definedName name="_ban2" localSheetId="6" hidden="1">{"'Sheet1'!$L$16"}</definedName>
    <definedName name="_ban2" localSheetId="7" hidden="1">{"'Sheet1'!$L$16"}</definedName>
    <definedName name="_ban2" localSheetId="8" hidden="1">{"'Sheet1'!$L$16"}</definedName>
    <definedName name="_ban2" localSheetId="9" hidden="1">{"'Sheet1'!$L$16"}</definedName>
    <definedName name="_ban2" localSheetId="10" hidden="1">{"'Sheet1'!$L$16"}</definedName>
    <definedName name="_ban2" hidden="1">{"'Sheet1'!$L$16"}</definedName>
    <definedName name="_cep1" localSheetId="3" hidden="1">{"'Sheet1'!$L$16"}</definedName>
    <definedName name="_cep1" localSheetId="4" hidden="1">{"'Sheet1'!$L$16"}</definedName>
    <definedName name="_cep1" localSheetId="5" hidden="1">{"'Sheet1'!$L$16"}</definedName>
    <definedName name="_cep1" localSheetId="6" hidden="1">{"'Sheet1'!$L$16"}</definedName>
    <definedName name="_cep1" localSheetId="7" hidden="1">{"'Sheet1'!$L$16"}</definedName>
    <definedName name="_cep1" localSheetId="8" hidden="1">{"'Sheet1'!$L$16"}</definedName>
    <definedName name="_cep1" localSheetId="9" hidden="1">{"'Sheet1'!$L$16"}</definedName>
    <definedName name="_cep1" localSheetId="10" hidden="1">{"'Sheet1'!$L$16"}</definedName>
    <definedName name="_cep1" hidden="1">{"'Sheet1'!$L$16"}</definedName>
    <definedName name="_Coc39" localSheetId="3" hidden="1">{"'Sheet1'!$L$16"}</definedName>
    <definedName name="_Coc39" localSheetId="4" hidden="1">{"'Sheet1'!$L$16"}</definedName>
    <definedName name="_Coc39" localSheetId="5" hidden="1">{"'Sheet1'!$L$16"}</definedName>
    <definedName name="_Coc39" localSheetId="6" hidden="1">{"'Sheet1'!$L$16"}</definedName>
    <definedName name="_Coc39" localSheetId="7" hidden="1">{"'Sheet1'!$L$16"}</definedName>
    <definedName name="_Coc39" localSheetId="8" hidden="1">{"'Sheet1'!$L$16"}</definedName>
    <definedName name="_Coc39" localSheetId="9" hidden="1">{"'Sheet1'!$L$16"}</definedName>
    <definedName name="_Coc39" localSheetId="10" hidden="1">{"'Sheet1'!$L$16"}</definedName>
    <definedName name="_Coc39" hidden="1">{"'Sheet1'!$L$16"}</definedName>
    <definedName name="_xlnm._FilterDatabase" localSheetId="11" hidden="1">'Bieu 45_QT 2019_28-6'!$A$11:$AN$684</definedName>
    <definedName name="_xlnm._FilterDatabase" localSheetId="6" hidden="1">'Bieu 54_NS_DT'!$A$13:$AE$100</definedName>
    <definedName name="_Goi8" localSheetId="3" hidden="1">{"'Sheet1'!$L$16"}</definedName>
    <definedName name="_Goi8" localSheetId="4" hidden="1">{"'Sheet1'!$L$16"}</definedName>
    <definedName name="_Goi8" localSheetId="5" hidden="1">{"'Sheet1'!$L$16"}</definedName>
    <definedName name="_Goi8" localSheetId="6" hidden="1">{"'Sheet1'!$L$16"}</definedName>
    <definedName name="_Goi8" localSheetId="7" hidden="1">{"'Sheet1'!$L$16"}</definedName>
    <definedName name="_Goi8" localSheetId="8" hidden="1">{"'Sheet1'!$L$16"}</definedName>
    <definedName name="_Goi8" localSheetId="9" hidden="1">{"'Sheet1'!$L$16"}</definedName>
    <definedName name="_Goi8" localSheetId="10" hidden="1">{"'Sheet1'!$L$16"}</definedName>
    <definedName name="_Goi8" hidden="1">{"'Sheet1'!$L$16"}</definedName>
    <definedName name="_h1" localSheetId="3" hidden="1">{"'Sheet1'!$L$16"}</definedName>
    <definedName name="_h1" localSheetId="4" hidden="1">{"'Sheet1'!$L$16"}</definedName>
    <definedName name="_h1" localSheetId="5" hidden="1">{"'Sheet1'!$L$16"}</definedName>
    <definedName name="_h1" localSheetId="6" hidden="1">{"'Sheet1'!$L$16"}</definedName>
    <definedName name="_h1" localSheetId="7" hidden="1">{"'Sheet1'!$L$16"}</definedName>
    <definedName name="_h1" localSheetId="8" hidden="1">{"'Sheet1'!$L$16"}</definedName>
    <definedName name="_h1" localSheetId="9" hidden="1">{"'Sheet1'!$L$16"}</definedName>
    <definedName name="_h1" localSheetId="10" hidden="1">{"'Sheet1'!$L$16"}</definedName>
    <definedName name="_h1" hidden="1">{"'Sheet1'!$L$16"}</definedName>
    <definedName name="_h10" localSheetId="3" hidden="1">{#N/A,#N/A,FALSE,"Chi tiÆt"}</definedName>
    <definedName name="_h10" localSheetId="4" hidden="1">{#N/A,#N/A,FALSE,"Chi tiÆt"}</definedName>
    <definedName name="_h10" localSheetId="5" hidden="1">{#N/A,#N/A,FALSE,"Chi tiÆt"}</definedName>
    <definedName name="_h10" localSheetId="6" hidden="1">{#N/A,#N/A,FALSE,"Chi tiÆt"}</definedName>
    <definedName name="_h10" localSheetId="7" hidden="1">{#N/A,#N/A,FALSE,"Chi tiÆt"}</definedName>
    <definedName name="_h10" localSheetId="8" hidden="1">{#N/A,#N/A,FALSE,"Chi tiÆt"}</definedName>
    <definedName name="_h10" localSheetId="9" hidden="1">{#N/A,#N/A,FALSE,"Chi tiÆt"}</definedName>
    <definedName name="_h10" localSheetId="10" hidden="1">{#N/A,#N/A,FALSE,"Chi tiÆt"}</definedName>
    <definedName name="_h10" hidden="1">{#N/A,#N/A,FALSE,"Chi tiÆt"}</definedName>
    <definedName name="_h2" localSheetId="3" hidden="1">{"'Sheet1'!$L$16"}</definedName>
    <definedName name="_h2" localSheetId="4" hidden="1">{"'Sheet1'!$L$16"}</definedName>
    <definedName name="_h2" localSheetId="5" hidden="1">{"'Sheet1'!$L$16"}</definedName>
    <definedName name="_h2" localSheetId="6" hidden="1">{"'Sheet1'!$L$16"}</definedName>
    <definedName name="_h2" localSheetId="7" hidden="1">{"'Sheet1'!$L$16"}</definedName>
    <definedName name="_h2" localSheetId="8" hidden="1">{"'Sheet1'!$L$16"}</definedName>
    <definedName name="_h2" localSheetId="9" hidden="1">{"'Sheet1'!$L$16"}</definedName>
    <definedName name="_h2" localSheetId="10" hidden="1">{"'Sheet1'!$L$16"}</definedName>
    <definedName name="_h2" hidden="1">{"'Sheet1'!$L$16"}</definedName>
    <definedName name="_h3" localSheetId="3" hidden="1">{"'Sheet1'!$L$16"}</definedName>
    <definedName name="_h3" localSheetId="4" hidden="1">{"'Sheet1'!$L$16"}</definedName>
    <definedName name="_h3" localSheetId="5" hidden="1">{"'Sheet1'!$L$16"}</definedName>
    <definedName name="_h3" localSheetId="6" hidden="1">{"'Sheet1'!$L$16"}</definedName>
    <definedName name="_h3" localSheetId="7" hidden="1">{"'Sheet1'!$L$16"}</definedName>
    <definedName name="_h3" localSheetId="8" hidden="1">{"'Sheet1'!$L$16"}</definedName>
    <definedName name="_h3" localSheetId="9" hidden="1">{"'Sheet1'!$L$16"}</definedName>
    <definedName name="_h3" localSheetId="10" hidden="1">{"'Sheet1'!$L$16"}</definedName>
    <definedName name="_h3" hidden="1">{"'Sheet1'!$L$16"}</definedName>
    <definedName name="_h5" localSheetId="3" hidden="1">{"'Sheet1'!$L$16"}</definedName>
    <definedName name="_h5" localSheetId="4" hidden="1">{"'Sheet1'!$L$16"}</definedName>
    <definedName name="_h5" localSheetId="5" hidden="1">{"'Sheet1'!$L$16"}</definedName>
    <definedName name="_h5" localSheetId="6" hidden="1">{"'Sheet1'!$L$16"}</definedName>
    <definedName name="_h5" localSheetId="7" hidden="1">{"'Sheet1'!$L$16"}</definedName>
    <definedName name="_h5" localSheetId="8" hidden="1">{"'Sheet1'!$L$16"}</definedName>
    <definedName name="_h5" localSheetId="9" hidden="1">{"'Sheet1'!$L$16"}</definedName>
    <definedName name="_h5" localSheetId="10" hidden="1">{"'Sheet1'!$L$16"}</definedName>
    <definedName name="_h5" hidden="1">{"'Sheet1'!$L$16"}</definedName>
    <definedName name="_h6" localSheetId="3" hidden="1">{"'Sheet1'!$L$16"}</definedName>
    <definedName name="_h6" localSheetId="4" hidden="1">{"'Sheet1'!$L$16"}</definedName>
    <definedName name="_h6" localSheetId="5" hidden="1">{"'Sheet1'!$L$16"}</definedName>
    <definedName name="_h6" localSheetId="6" hidden="1">{"'Sheet1'!$L$16"}</definedName>
    <definedName name="_h6" localSheetId="7" hidden="1">{"'Sheet1'!$L$16"}</definedName>
    <definedName name="_h6" localSheetId="8" hidden="1">{"'Sheet1'!$L$16"}</definedName>
    <definedName name="_h6" localSheetId="9" hidden="1">{"'Sheet1'!$L$16"}</definedName>
    <definedName name="_h6" localSheetId="10" hidden="1">{"'Sheet1'!$L$16"}</definedName>
    <definedName name="_h6" hidden="1">{"'Sheet1'!$L$16"}</definedName>
    <definedName name="_h7" localSheetId="3" hidden="1">{"'Sheet1'!$L$16"}</definedName>
    <definedName name="_h7" localSheetId="4" hidden="1">{"'Sheet1'!$L$16"}</definedName>
    <definedName name="_h7" localSheetId="5" hidden="1">{"'Sheet1'!$L$16"}</definedName>
    <definedName name="_h7" localSheetId="6" hidden="1">{"'Sheet1'!$L$16"}</definedName>
    <definedName name="_h7" localSheetId="7" hidden="1">{"'Sheet1'!$L$16"}</definedName>
    <definedName name="_h7" localSheetId="8" hidden="1">{"'Sheet1'!$L$16"}</definedName>
    <definedName name="_h7" localSheetId="9" hidden="1">{"'Sheet1'!$L$16"}</definedName>
    <definedName name="_h7" localSheetId="10" hidden="1">{"'Sheet1'!$L$16"}</definedName>
    <definedName name="_h7" hidden="1">{"'Sheet1'!$L$16"}</definedName>
    <definedName name="_h8" localSheetId="3" hidden="1">{"'Sheet1'!$L$16"}</definedName>
    <definedName name="_h8" localSheetId="4" hidden="1">{"'Sheet1'!$L$16"}</definedName>
    <definedName name="_h8" localSheetId="5" hidden="1">{"'Sheet1'!$L$16"}</definedName>
    <definedName name="_h8" localSheetId="6" hidden="1">{"'Sheet1'!$L$16"}</definedName>
    <definedName name="_h8" localSheetId="7" hidden="1">{"'Sheet1'!$L$16"}</definedName>
    <definedName name="_h8" localSheetId="8" hidden="1">{"'Sheet1'!$L$16"}</definedName>
    <definedName name="_h8" localSheetId="9" hidden="1">{"'Sheet1'!$L$16"}</definedName>
    <definedName name="_h8" localSheetId="10" hidden="1">{"'Sheet1'!$L$16"}</definedName>
    <definedName name="_h8" hidden="1">{"'Sheet1'!$L$16"}</definedName>
    <definedName name="_h9" localSheetId="3" hidden="1">{"'Sheet1'!$L$16"}</definedName>
    <definedName name="_h9" localSheetId="4" hidden="1">{"'Sheet1'!$L$16"}</definedName>
    <definedName name="_h9" localSheetId="5" hidden="1">{"'Sheet1'!$L$16"}</definedName>
    <definedName name="_h9" localSheetId="6" hidden="1">{"'Sheet1'!$L$16"}</definedName>
    <definedName name="_h9" localSheetId="7" hidden="1">{"'Sheet1'!$L$16"}</definedName>
    <definedName name="_h9" localSheetId="8" hidden="1">{"'Sheet1'!$L$16"}</definedName>
    <definedName name="_h9" localSheetId="9" hidden="1">{"'Sheet1'!$L$16"}</definedName>
    <definedName name="_h9" localSheetId="10" hidden="1">{"'Sheet1'!$L$16"}</definedName>
    <definedName name="_h9" hidden="1">{"'Sheet1'!$L$16"}</definedName>
    <definedName name="_HUY1" localSheetId="3" hidden="1">{"'Sheet1'!$L$16"}</definedName>
    <definedName name="_HUY1" localSheetId="4" hidden="1">{"'Sheet1'!$L$16"}</definedName>
    <definedName name="_HUY1" localSheetId="5" hidden="1">{"'Sheet1'!$L$16"}</definedName>
    <definedName name="_HUY1" localSheetId="6" hidden="1">{"'Sheet1'!$L$16"}</definedName>
    <definedName name="_HUY1" localSheetId="7" hidden="1">{"'Sheet1'!$L$16"}</definedName>
    <definedName name="_HUY1" localSheetId="8" hidden="1">{"'Sheet1'!$L$16"}</definedName>
    <definedName name="_HUY1" localSheetId="9" hidden="1">{"'Sheet1'!$L$16"}</definedName>
    <definedName name="_HUY1" localSheetId="10" hidden="1">{"'Sheet1'!$L$16"}</definedName>
    <definedName name="_HUY1" hidden="1">{"'Sheet1'!$L$16"}</definedName>
    <definedName name="_HUY2" localSheetId="3" hidden="1">{"'Sheet1'!$L$16"}</definedName>
    <definedName name="_HUY2" localSheetId="4" hidden="1">{"'Sheet1'!$L$16"}</definedName>
    <definedName name="_HUY2" localSheetId="5" hidden="1">{"'Sheet1'!$L$16"}</definedName>
    <definedName name="_HUY2" localSheetId="6" hidden="1">{"'Sheet1'!$L$16"}</definedName>
    <definedName name="_HUY2" localSheetId="7" hidden="1">{"'Sheet1'!$L$16"}</definedName>
    <definedName name="_HUY2" localSheetId="8" hidden="1">{"'Sheet1'!$L$16"}</definedName>
    <definedName name="_HUY2" localSheetId="9" hidden="1">{"'Sheet1'!$L$16"}</definedName>
    <definedName name="_HUY2" localSheetId="10" hidden="1">{"'Sheet1'!$L$16"}</definedName>
    <definedName name="_HUY2" hidden="1">{"'Sheet1'!$L$16"}</definedName>
    <definedName name="_Key1" localSheetId="9" hidden="1">#REF!</definedName>
    <definedName name="_Key1" hidden="1">#REF!</definedName>
    <definedName name="_Key2" localSheetId="3" hidden="1">#REF!</definedName>
    <definedName name="_Key2" localSheetId="7" hidden="1">#REF!</definedName>
    <definedName name="_Key2" localSheetId="8" hidden="1">#REF!</definedName>
    <definedName name="_Key2" localSheetId="9" hidden="1">#REF!</definedName>
    <definedName name="_Key2" localSheetId="10" hidden="1">#REF!</definedName>
    <definedName name="_Key2" hidden="1">#REF!</definedName>
    <definedName name="_Lan1" localSheetId="3" hidden="1">{"'Sheet1'!$L$16"}</definedName>
    <definedName name="_Lan1" localSheetId="4" hidden="1">{"'Sheet1'!$L$16"}</definedName>
    <definedName name="_Lan1" localSheetId="5" hidden="1">{"'Sheet1'!$L$16"}</definedName>
    <definedName name="_Lan1" localSheetId="6" hidden="1">{"'Sheet1'!$L$16"}</definedName>
    <definedName name="_Lan1" localSheetId="7" hidden="1">{"'Sheet1'!$L$16"}</definedName>
    <definedName name="_Lan1" localSheetId="8" hidden="1">{"'Sheet1'!$L$16"}</definedName>
    <definedName name="_Lan1" localSheetId="9" hidden="1">{"'Sheet1'!$L$16"}</definedName>
    <definedName name="_Lan1" localSheetId="10" hidden="1">{"'Sheet1'!$L$16"}</definedName>
    <definedName name="_Lan1" hidden="1">{"'Sheet1'!$L$16"}</definedName>
    <definedName name="_LAN3" localSheetId="3" hidden="1">{"'Sheet1'!$L$16"}</definedName>
    <definedName name="_LAN3" localSheetId="4" hidden="1">{"'Sheet1'!$L$16"}</definedName>
    <definedName name="_LAN3" localSheetId="5" hidden="1">{"'Sheet1'!$L$16"}</definedName>
    <definedName name="_LAN3" localSheetId="6" hidden="1">{"'Sheet1'!$L$16"}</definedName>
    <definedName name="_LAN3" localSheetId="7" hidden="1">{"'Sheet1'!$L$16"}</definedName>
    <definedName name="_LAN3" localSheetId="8" hidden="1">{"'Sheet1'!$L$16"}</definedName>
    <definedName name="_LAN3" localSheetId="9" hidden="1">{"'Sheet1'!$L$16"}</definedName>
    <definedName name="_LAN3" localSheetId="10" hidden="1">{"'Sheet1'!$L$16"}</definedName>
    <definedName name="_LAN3" hidden="1">{"'Sheet1'!$L$16"}</definedName>
    <definedName name="_lk2" localSheetId="3" hidden="1">{"'Sheet1'!$L$16"}</definedName>
    <definedName name="_lk2" localSheetId="4" hidden="1">{"'Sheet1'!$L$16"}</definedName>
    <definedName name="_lk2" localSheetId="5" hidden="1">{"'Sheet1'!$L$16"}</definedName>
    <definedName name="_lk2" localSheetId="6" hidden="1">{"'Sheet1'!$L$16"}</definedName>
    <definedName name="_lk2" localSheetId="7" hidden="1">{"'Sheet1'!$L$16"}</definedName>
    <definedName name="_lk2" localSheetId="8" hidden="1">{"'Sheet1'!$L$16"}</definedName>
    <definedName name="_lk2" localSheetId="9" hidden="1">{"'Sheet1'!$L$16"}</definedName>
    <definedName name="_lk2" localSheetId="10" hidden="1">{"'Sheet1'!$L$16"}</definedName>
    <definedName name="_lk2" hidden="1">{"'Sheet1'!$L$16"}</definedName>
    <definedName name="_NSO2" localSheetId="3" hidden="1">{"'Sheet1'!$L$16"}</definedName>
    <definedName name="_NSO2" localSheetId="4" hidden="1">{"'Sheet1'!$L$16"}</definedName>
    <definedName name="_NSO2" localSheetId="5" hidden="1">{"'Sheet1'!$L$16"}</definedName>
    <definedName name="_NSO2" localSheetId="6" hidden="1">{"'Sheet1'!$L$16"}</definedName>
    <definedName name="_NSO2" localSheetId="7" hidden="1">{"'Sheet1'!$L$16"}</definedName>
    <definedName name="_NSO2" localSheetId="8" hidden="1">{"'Sheet1'!$L$16"}</definedName>
    <definedName name="_NSO2" localSheetId="9" hidden="1">{"'Sheet1'!$L$16"}</definedName>
    <definedName name="_NSO2" localSheetId="10" hidden="1">{"'Sheet1'!$L$16"}</definedName>
    <definedName name="_NSO2" hidden="1">{"'Sheet1'!$L$16"}</definedName>
    <definedName name="_Order1" hidden="1">255</definedName>
    <definedName name="_Order2" hidden="1">255</definedName>
    <definedName name="_PA3" localSheetId="3" hidden="1">{"'Sheet1'!$L$16"}</definedName>
    <definedName name="_PA3" localSheetId="4" hidden="1">{"'Sheet1'!$L$16"}</definedName>
    <definedName name="_PA3" localSheetId="5" hidden="1">{"'Sheet1'!$L$16"}</definedName>
    <definedName name="_PA3" localSheetId="6" hidden="1">{"'Sheet1'!$L$16"}</definedName>
    <definedName name="_PA3" localSheetId="7" hidden="1">{"'Sheet1'!$L$16"}</definedName>
    <definedName name="_PA3" localSheetId="8" hidden="1">{"'Sheet1'!$L$16"}</definedName>
    <definedName name="_PA3" localSheetId="9" hidden="1">{"'Sheet1'!$L$16"}</definedName>
    <definedName name="_PA3" localSheetId="10" hidden="1">{"'Sheet1'!$L$16"}</definedName>
    <definedName name="_PA3" hidden="1">{"'Sheet1'!$L$16"}</definedName>
    <definedName name="_Pl2" localSheetId="3" hidden="1">{"'Sheet1'!$L$16"}</definedName>
    <definedName name="_Pl2" localSheetId="4" hidden="1">{"'Sheet1'!$L$16"}</definedName>
    <definedName name="_Pl2" localSheetId="5" hidden="1">{"'Sheet1'!$L$16"}</definedName>
    <definedName name="_Pl2" localSheetId="6" hidden="1">{"'Sheet1'!$L$16"}</definedName>
    <definedName name="_Pl2" localSheetId="7" hidden="1">{"'Sheet1'!$L$16"}</definedName>
    <definedName name="_Pl2" localSheetId="8" hidden="1">{"'Sheet1'!$L$16"}</definedName>
    <definedName name="_Pl2" localSheetId="9" hidden="1">{"'Sheet1'!$L$16"}</definedName>
    <definedName name="_Pl2" localSheetId="10" hidden="1">{"'Sheet1'!$L$16"}</definedName>
    <definedName name="_Pl2" hidden="1">{"'Sheet1'!$L$16"}</definedName>
    <definedName name="_Sort" localSheetId="9" hidden="1">#REF!</definedName>
    <definedName name="_Sort" hidden="1">#REF!</definedName>
    <definedName name="_tt3" localSheetId="3" hidden="1">{"'Sheet1'!$L$16"}</definedName>
    <definedName name="_tt3" localSheetId="4" hidden="1">{"'Sheet1'!$L$16"}</definedName>
    <definedName name="_tt3" localSheetId="5" hidden="1">{"'Sheet1'!$L$16"}</definedName>
    <definedName name="_tt3" localSheetId="6" hidden="1">{"'Sheet1'!$L$16"}</definedName>
    <definedName name="_tt3" localSheetId="7" hidden="1">{"'Sheet1'!$L$16"}</definedName>
    <definedName name="_tt3" localSheetId="8" hidden="1">{"'Sheet1'!$L$16"}</definedName>
    <definedName name="_tt3" localSheetId="9" hidden="1">{"'Sheet1'!$L$16"}</definedName>
    <definedName name="_tt3" localSheetId="10" hidden="1">{"'Sheet1'!$L$16"}</definedName>
    <definedName name="_tt3" hidden="1">{"'Sheet1'!$L$16"}</definedName>
    <definedName name="_TT31" localSheetId="3" hidden="1">{"'Sheet1'!$L$16"}</definedName>
    <definedName name="_TT31" localSheetId="4" hidden="1">{"'Sheet1'!$L$16"}</definedName>
    <definedName name="_TT31" localSheetId="5" hidden="1">{"'Sheet1'!$L$16"}</definedName>
    <definedName name="_TT31" localSheetId="6" hidden="1">{"'Sheet1'!$L$16"}</definedName>
    <definedName name="_TT31" localSheetId="7" hidden="1">{"'Sheet1'!$L$16"}</definedName>
    <definedName name="_TT31" localSheetId="8" hidden="1">{"'Sheet1'!$L$16"}</definedName>
    <definedName name="_TT31" localSheetId="9" hidden="1">{"'Sheet1'!$L$16"}</definedName>
    <definedName name="_TT31" localSheetId="10" hidden="1">{"'Sheet1'!$L$16"}</definedName>
    <definedName name="_TT31" hidden="1">{"'Sheet1'!$L$16"}</definedName>
    <definedName name="_Tru21" localSheetId="3" hidden="1">{"'Sheet1'!$L$16"}</definedName>
    <definedName name="_Tru21" localSheetId="4" hidden="1">{"'Sheet1'!$L$16"}</definedName>
    <definedName name="_Tru21" localSheetId="5" hidden="1">{"'Sheet1'!$L$16"}</definedName>
    <definedName name="_Tru21" localSheetId="6" hidden="1">{"'Sheet1'!$L$16"}</definedName>
    <definedName name="_Tru21" localSheetId="7" hidden="1">{"'Sheet1'!$L$16"}</definedName>
    <definedName name="_Tru21" localSheetId="8" hidden="1">{"'Sheet1'!$L$16"}</definedName>
    <definedName name="_Tru21" localSheetId="9" hidden="1">{"'Sheet1'!$L$16"}</definedName>
    <definedName name="_Tru21" localSheetId="10" hidden="1">{"'Sheet1'!$L$16"}</definedName>
    <definedName name="_Tru21" hidden="1">{"'Sheet1'!$L$16"}</definedName>
    <definedName name="_vl2" localSheetId="3" hidden="1">{"'Sheet1'!$L$16"}</definedName>
    <definedName name="_vl2" localSheetId="4" hidden="1">{"'Sheet1'!$L$16"}</definedName>
    <definedName name="_vl2" localSheetId="5" hidden="1">{"'Sheet1'!$L$16"}</definedName>
    <definedName name="_vl2" localSheetId="6" hidden="1">{"'Sheet1'!$L$16"}</definedName>
    <definedName name="_vl2" localSheetId="7" hidden="1">{"'Sheet1'!$L$16"}</definedName>
    <definedName name="_vl2" localSheetId="8" hidden="1">{"'Sheet1'!$L$16"}</definedName>
    <definedName name="_vl2" localSheetId="9" hidden="1">{"'Sheet1'!$L$16"}</definedName>
    <definedName name="_vl2" localSheetId="10" hidden="1">{"'Sheet1'!$L$16"}</definedName>
    <definedName name="_vl2" hidden="1">{"'Sheet1'!$L$16"}</definedName>
    <definedName name="_VM2" localSheetId="3" hidden="1">{"'Sheet1'!$L$16"}</definedName>
    <definedName name="_VM2" localSheetId="4" hidden="1">{"'Sheet1'!$L$16"}</definedName>
    <definedName name="_VM2" localSheetId="5" hidden="1">{"'Sheet1'!$L$16"}</definedName>
    <definedName name="_VM2" localSheetId="6" hidden="1">{"'Sheet1'!$L$16"}</definedName>
    <definedName name="_VM2" localSheetId="7" hidden="1">{"'Sheet1'!$L$16"}</definedName>
    <definedName name="_VM2" localSheetId="8" hidden="1">{"'Sheet1'!$L$16"}</definedName>
    <definedName name="_VM2" localSheetId="9" hidden="1">{"'Sheet1'!$L$16"}</definedName>
    <definedName name="_VM2" localSheetId="10" hidden="1">{"'Sheet1'!$L$16"}</definedName>
    <definedName name="_VM2" hidden="1">{"'Sheet1'!$L$16"}</definedName>
    <definedName name="AccessDatabase" hidden="1">"C:\My Documents\LeBinh\Xls\VP Cong ty\FORM.mdb"</definedName>
    <definedName name="ADADADD" localSheetId="3" hidden="1">{"'Sheet1'!$L$16"}</definedName>
    <definedName name="ADADADD" localSheetId="4" hidden="1">{"'Sheet1'!$L$16"}</definedName>
    <definedName name="ADADADD" localSheetId="5" hidden="1">{"'Sheet1'!$L$16"}</definedName>
    <definedName name="ADADADD" localSheetId="6" hidden="1">{"'Sheet1'!$L$16"}</definedName>
    <definedName name="ADADADD" localSheetId="7" hidden="1">{"'Sheet1'!$L$16"}</definedName>
    <definedName name="ADADADD" localSheetId="8" hidden="1">{"'Sheet1'!$L$16"}</definedName>
    <definedName name="ADADADD" localSheetId="9" hidden="1">{"'Sheet1'!$L$16"}</definedName>
    <definedName name="ADADADD" localSheetId="10" hidden="1">{"'Sheet1'!$L$16"}</definedName>
    <definedName name="ADADADD" hidden="1">{"'Sheet1'!$L$16"}</definedName>
    <definedName name="anscount" hidden="1">6</definedName>
    <definedName name="ATGT" localSheetId="3" hidden="1">{"'Sheet1'!$L$16"}</definedName>
    <definedName name="ATGT" localSheetId="4" hidden="1">{"'Sheet1'!$L$16"}</definedName>
    <definedName name="ATGT" localSheetId="5" hidden="1">{"'Sheet1'!$L$16"}</definedName>
    <definedName name="ATGT" localSheetId="6" hidden="1">{"'Sheet1'!$L$16"}</definedName>
    <definedName name="ATGT" localSheetId="7" hidden="1">{"'Sheet1'!$L$16"}</definedName>
    <definedName name="ATGT" localSheetId="8" hidden="1">{"'Sheet1'!$L$16"}</definedName>
    <definedName name="ATGT" localSheetId="9" hidden="1">{"'Sheet1'!$L$16"}</definedName>
    <definedName name="ATGT" localSheetId="10" hidden="1">{"'Sheet1'!$L$16"}</definedName>
    <definedName name="ATGT" hidden="1">{"'Sheet1'!$L$16"}</definedName>
    <definedName name="â" localSheetId="3" hidden="1">{"'Sheet1'!$L$16"}</definedName>
    <definedName name="â" localSheetId="4" hidden="1">{"'Sheet1'!$L$16"}</definedName>
    <definedName name="â" localSheetId="5" hidden="1">{"'Sheet1'!$L$16"}</definedName>
    <definedName name="â" localSheetId="6" hidden="1">{"'Sheet1'!$L$16"}</definedName>
    <definedName name="â" localSheetId="7" hidden="1">{"'Sheet1'!$L$16"}</definedName>
    <definedName name="â" localSheetId="8" hidden="1">{"'Sheet1'!$L$16"}</definedName>
    <definedName name="â" localSheetId="9" hidden="1">{"'Sheet1'!$L$16"}</definedName>
    <definedName name="â" localSheetId="10" hidden="1">{"'Sheet1'!$L$16"}</definedName>
    <definedName name="â" hidden="1">{"'Sheet1'!$L$16"}</definedName>
    <definedName name="b" localSheetId="3" hidden="1">{"'Sheet1'!$L$16"}</definedName>
    <definedName name="b" localSheetId="4" hidden="1">{"'Sheet1'!$L$16"}</definedName>
    <definedName name="b" localSheetId="5" hidden="1">{"'Sheet1'!$L$16"}</definedName>
    <definedName name="b" localSheetId="6" hidden="1">{"'Sheet1'!$L$16"}</definedName>
    <definedName name="b" localSheetId="7" hidden="1">{"'Sheet1'!$L$16"}</definedName>
    <definedName name="b" localSheetId="8" hidden="1">{"'Sheet1'!$L$16"}</definedName>
    <definedName name="b" localSheetId="9" hidden="1">{"'Sheet1'!$L$16"}</definedName>
    <definedName name="b" localSheetId="10" hidden="1">{"'Sheet1'!$L$16"}</definedName>
    <definedName name="b" hidden="1">{"'Sheet1'!$L$16"}</definedName>
    <definedName name="BCBo" localSheetId="3" hidden="1">{"'Sheet1'!$L$16"}</definedName>
    <definedName name="BCBo" localSheetId="4" hidden="1">{"'Sheet1'!$L$16"}</definedName>
    <definedName name="BCBo" localSheetId="5" hidden="1">{"'Sheet1'!$L$16"}</definedName>
    <definedName name="BCBo" localSheetId="6" hidden="1">{"'Sheet1'!$L$16"}</definedName>
    <definedName name="BCBo" localSheetId="7" hidden="1">{"'Sheet1'!$L$16"}</definedName>
    <definedName name="BCBo" localSheetId="8" hidden="1">{"'Sheet1'!$L$16"}</definedName>
    <definedName name="BCBo" localSheetId="9" hidden="1">{"'Sheet1'!$L$16"}</definedName>
    <definedName name="BCBo" localSheetId="10" hidden="1">{"'Sheet1'!$L$16"}</definedName>
    <definedName name="BCBo" hidden="1">{"'Sheet1'!$L$16"}</definedName>
    <definedName name="btnm3" localSheetId="3" hidden="1">{"'Sheet1'!$L$16"}</definedName>
    <definedName name="btnm3" localSheetId="4" hidden="1">{"'Sheet1'!$L$16"}</definedName>
    <definedName name="btnm3" localSheetId="5" hidden="1">{"'Sheet1'!$L$16"}</definedName>
    <definedName name="btnm3" localSheetId="6" hidden="1">{"'Sheet1'!$L$16"}</definedName>
    <definedName name="btnm3" localSheetId="7" hidden="1">{"'Sheet1'!$L$16"}</definedName>
    <definedName name="btnm3" localSheetId="8" hidden="1">{"'Sheet1'!$L$16"}</definedName>
    <definedName name="btnm3" localSheetId="9" hidden="1">{"'Sheet1'!$L$16"}</definedName>
    <definedName name="btnm3" localSheetId="10" hidden="1">{"'Sheet1'!$L$16"}</definedName>
    <definedName name="btnm3" hidden="1">{"'Sheet1'!$L$16"}</definedName>
    <definedName name="Coc_60" localSheetId="3" hidden="1">{"'Sheet1'!$L$16"}</definedName>
    <definedName name="Coc_60" localSheetId="4" hidden="1">{"'Sheet1'!$L$16"}</definedName>
    <definedName name="Coc_60" localSheetId="5" hidden="1">{"'Sheet1'!$L$16"}</definedName>
    <definedName name="Coc_60" localSheetId="6" hidden="1">{"'Sheet1'!$L$16"}</definedName>
    <definedName name="Coc_60" localSheetId="7" hidden="1">{"'Sheet1'!$L$16"}</definedName>
    <definedName name="Coc_60" localSheetId="8" hidden="1">{"'Sheet1'!$L$16"}</definedName>
    <definedName name="Coc_60" localSheetId="9" hidden="1">{"'Sheet1'!$L$16"}</definedName>
    <definedName name="Coc_60" localSheetId="10" hidden="1">{"'Sheet1'!$L$16"}</definedName>
    <definedName name="Coc_60" hidden="1">{"'Sheet1'!$L$16"}</definedName>
    <definedName name="Code" localSheetId="9" hidden="1">#REF!</definedName>
    <definedName name="Code" hidden="1">#REF!</definedName>
    <definedName name="CTCT1" localSheetId="3" hidden="1">{"'Sheet1'!$L$16"}</definedName>
    <definedName name="CTCT1" localSheetId="4" hidden="1">{"'Sheet1'!$L$16"}</definedName>
    <definedName name="CTCT1" localSheetId="5" hidden="1">{"'Sheet1'!$L$16"}</definedName>
    <definedName name="CTCT1" localSheetId="6" hidden="1">{"'Sheet1'!$L$16"}</definedName>
    <definedName name="CTCT1" localSheetId="7" hidden="1">{"'Sheet1'!$L$16"}</definedName>
    <definedName name="CTCT1" localSheetId="8" hidden="1">{"'Sheet1'!$L$16"}</definedName>
    <definedName name="CTCT1" localSheetId="9" hidden="1">{"'Sheet1'!$L$16"}</definedName>
    <definedName name="CTCT1" localSheetId="10" hidden="1">{"'Sheet1'!$L$16"}</definedName>
    <definedName name="CTCT1" hidden="1">{"'Sheet1'!$L$16"}</definedName>
    <definedName name="chitietbgiang2" localSheetId="3" hidden="1">{"'Sheet1'!$L$16"}</definedName>
    <definedName name="chitietbgiang2" localSheetId="4" hidden="1">{"'Sheet1'!$L$16"}</definedName>
    <definedName name="chitietbgiang2" localSheetId="5" hidden="1">{"'Sheet1'!$L$16"}</definedName>
    <definedName name="chitietbgiang2" localSheetId="6" hidden="1">{"'Sheet1'!$L$16"}</definedName>
    <definedName name="chitietbgiang2" localSheetId="7" hidden="1">{"'Sheet1'!$L$16"}</definedName>
    <definedName name="chitietbgiang2" localSheetId="8" hidden="1">{"'Sheet1'!$L$16"}</definedName>
    <definedName name="chitietbgiang2" localSheetId="9" hidden="1">{"'Sheet1'!$L$16"}</definedName>
    <definedName name="chitietbgiang2" localSheetId="10" hidden="1">{"'Sheet1'!$L$16"}</definedName>
    <definedName name="chitietbgiang2" hidden="1">{"'Sheet1'!$L$16"}</definedName>
    <definedName name="chuong_phuluc_58_name" localSheetId="7">'Bieu 58 '!$A$2</definedName>
    <definedName name="chuong_phuluc_59_name" localSheetId="8">'Bieu 59'!$A$2</definedName>
    <definedName name="d" localSheetId="3" hidden="1">{"'Sheet1'!$L$16"}</definedName>
    <definedName name="d" localSheetId="4" hidden="1">{"'Sheet1'!$L$16"}</definedName>
    <definedName name="d" localSheetId="5" hidden="1">{"'Sheet1'!$L$16"}</definedName>
    <definedName name="d" localSheetId="6" hidden="1">{"'Sheet1'!$L$16"}</definedName>
    <definedName name="d" localSheetId="7" hidden="1">{"'Sheet1'!$L$16"}</definedName>
    <definedName name="d" localSheetId="8" hidden="1">{"'Sheet1'!$L$16"}</definedName>
    <definedName name="d" localSheetId="9" hidden="1">{"'Sheet1'!$L$16"}</definedName>
    <definedName name="d" localSheetId="10" hidden="1">{"'Sheet1'!$L$16"}</definedName>
    <definedName name="d" hidden="1">{"'Sheet1'!$L$16"}</definedName>
    <definedName name="data1" localSheetId="9" hidden="1">#REF!</definedName>
    <definedName name="data1" hidden="1">#REF!</definedName>
    <definedName name="data2" localSheetId="3" hidden="1">#REF!</definedName>
    <definedName name="data2" localSheetId="7" hidden="1">#REF!</definedName>
    <definedName name="data2" localSheetId="8" hidden="1">#REF!</definedName>
    <definedName name="data2" localSheetId="9" hidden="1">#REF!</definedName>
    <definedName name="data2" localSheetId="10" hidden="1">#REF!</definedName>
    <definedName name="data2" hidden="1">#REF!</definedName>
    <definedName name="data3" localSheetId="3" hidden="1">#REF!</definedName>
    <definedName name="data3" localSheetId="7" hidden="1">#REF!</definedName>
    <definedName name="data3" localSheetId="8" hidden="1">#REF!</definedName>
    <definedName name="data3" localSheetId="9" hidden="1">#REF!</definedName>
    <definedName name="data3" localSheetId="10" hidden="1">#REF!</definedName>
    <definedName name="data3" hidden="1">#REF!</definedName>
    <definedName name="DenDK" localSheetId="3" hidden="1">{"'Sheet1'!$L$16"}</definedName>
    <definedName name="DenDK" localSheetId="4" hidden="1">{"'Sheet1'!$L$16"}</definedName>
    <definedName name="DenDK" localSheetId="5" hidden="1">{"'Sheet1'!$L$16"}</definedName>
    <definedName name="DenDK" localSheetId="6" hidden="1">{"'Sheet1'!$L$16"}</definedName>
    <definedName name="DenDK" localSheetId="7" hidden="1">{"'Sheet1'!$L$16"}</definedName>
    <definedName name="DenDK" localSheetId="8" hidden="1">{"'Sheet1'!$L$16"}</definedName>
    <definedName name="DenDK" localSheetId="9" hidden="1">{"'Sheet1'!$L$16"}</definedName>
    <definedName name="DenDK" localSheetId="10" hidden="1">{"'Sheet1'!$L$16"}</definedName>
    <definedName name="DenDK" hidden="1">{"'Sheet1'!$L$16"}</definedName>
    <definedName name="dfg" localSheetId="3" hidden="1">{"'Sheet1'!$L$16"}</definedName>
    <definedName name="dfg" localSheetId="4" hidden="1">{"'Sheet1'!$L$16"}</definedName>
    <definedName name="dfg" localSheetId="5" hidden="1">{"'Sheet1'!$L$16"}</definedName>
    <definedName name="dfg" localSheetId="6" hidden="1">{"'Sheet1'!$L$16"}</definedName>
    <definedName name="dfg" localSheetId="7" hidden="1">{"'Sheet1'!$L$16"}</definedName>
    <definedName name="dfg" localSheetId="8" hidden="1">{"'Sheet1'!$L$16"}</definedName>
    <definedName name="dfg" localSheetId="9" hidden="1">{"'Sheet1'!$L$16"}</definedName>
    <definedName name="dfg" localSheetId="10" hidden="1">{"'Sheet1'!$L$16"}</definedName>
    <definedName name="dfg" hidden="1">{"'Sheet1'!$L$16"}</definedName>
    <definedName name="dgctp2" localSheetId="3" hidden="1">{"'Sheet1'!$L$16"}</definedName>
    <definedName name="dgctp2" localSheetId="4" hidden="1">{"'Sheet1'!$L$16"}</definedName>
    <definedName name="dgctp2" localSheetId="5" hidden="1">{"'Sheet1'!$L$16"}</definedName>
    <definedName name="dgctp2" localSheetId="6" hidden="1">{"'Sheet1'!$L$16"}</definedName>
    <definedName name="dgctp2" localSheetId="7" hidden="1">{"'Sheet1'!$L$16"}</definedName>
    <definedName name="dgctp2" localSheetId="8" hidden="1">{"'Sheet1'!$L$16"}</definedName>
    <definedName name="dgctp2" localSheetId="9" hidden="1">{"'Sheet1'!$L$16"}</definedName>
    <definedName name="dgctp2" localSheetId="10" hidden="1">{"'Sheet1'!$L$16"}</definedName>
    <definedName name="dgctp2" hidden="1">{"'Sheet1'!$L$16"}</definedName>
    <definedName name="Discount" localSheetId="9" hidden="1">#REF!</definedName>
    <definedName name="Discount" hidden="1">#REF!</definedName>
    <definedName name="display_area_2" localSheetId="3" hidden="1">#REF!</definedName>
    <definedName name="display_area_2" localSheetId="7" hidden="1">#REF!</definedName>
    <definedName name="display_area_2" localSheetId="8" hidden="1">#REF!</definedName>
    <definedName name="display_area_2" localSheetId="9" hidden="1">#REF!</definedName>
    <definedName name="display_area_2" localSheetId="10" hidden="1">#REF!</definedName>
    <definedName name="display_area_2" hidden="1">#REF!</definedName>
    <definedName name="dsh" localSheetId="3" hidden="1">#REF!</definedName>
    <definedName name="dsh" localSheetId="7" hidden="1">#REF!</definedName>
    <definedName name="dsh" localSheetId="8" hidden="1">#REF!</definedName>
    <definedName name="dsh" localSheetId="9" hidden="1">#REF!</definedName>
    <definedName name="dsh" localSheetId="10" hidden="1">#REF!</definedName>
    <definedName name="dsh" hidden="1">#REF!</definedName>
    <definedName name="DUCANH" localSheetId="3" hidden="1">{"'Sheet1'!$L$16"}</definedName>
    <definedName name="DUCANH" localSheetId="4" hidden="1">{"'Sheet1'!$L$16"}</definedName>
    <definedName name="DUCANH" localSheetId="5" hidden="1">{"'Sheet1'!$L$16"}</definedName>
    <definedName name="DUCANH" localSheetId="6" hidden="1">{"'Sheet1'!$L$16"}</definedName>
    <definedName name="DUCANH" localSheetId="7" hidden="1">{"'Sheet1'!$L$16"}</definedName>
    <definedName name="DUCANH" localSheetId="8" hidden="1">{"'Sheet1'!$L$16"}</definedName>
    <definedName name="DUCANH" localSheetId="9" hidden="1">{"'Sheet1'!$L$16"}</definedName>
    <definedName name="DUCANH" localSheetId="10" hidden="1">{"'Sheet1'!$L$16"}</definedName>
    <definedName name="DUCANH" hidden="1">{"'Sheet1'!$L$16"}</definedName>
    <definedName name="E" localSheetId="3" hidden="1">{#N/A,#N/A,FALSE,"BN (2)"}</definedName>
    <definedName name="E" localSheetId="4" hidden="1">{#N/A,#N/A,FALSE,"BN (2)"}</definedName>
    <definedName name="E" localSheetId="5" hidden="1">{#N/A,#N/A,FALSE,"BN (2)"}</definedName>
    <definedName name="E" localSheetId="6" hidden="1">{#N/A,#N/A,FALSE,"BN (2)"}</definedName>
    <definedName name="E" localSheetId="7" hidden="1">{#N/A,#N/A,FALSE,"BN (2)"}</definedName>
    <definedName name="E" localSheetId="8" hidden="1">{#N/A,#N/A,FALSE,"BN (2)"}</definedName>
    <definedName name="E" localSheetId="9" hidden="1">{#N/A,#N/A,FALSE,"BN (2)"}</definedName>
    <definedName name="E" localSheetId="10" hidden="1">{#N/A,#N/A,FALSE,"BN (2)"}</definedName>
    <definedName name="E" hidden="1">{#N/A,#N/A,FALSE,"BN (2)"}</definedName>
    <definedName name="f" localSheetId="3" hidden="1">{"'Sheet1'!$L$16"}</definedName>
    <definedName name="f" localSheetId="4" hidden="1">{"'Sheet1'!$L$16"}</definedName>
    <definedName name="f" localSheetId="5" hidden="1">{"'Sheet1'!$L$16"}</definedName>
    <definedName name="f" localSheetId="6" hidden="1">{"'Sheet1'!$L$16"}</definedName>
    <definedName name="f" localSheetId="7" hidden="1">{"'Sheet1'!$L$16"}</definedName>
    <definedName name="f" localSheetId="8" hidden="1">{"'Sheet1'!$L$16"}</definedName>
    <definedName name="f" localSheetId="9" hidden="1">{"'Sheet1'!$L$16"}</definedName>
    <definedName name="f" localSheetId="10" hidden="1">{"'Sheet1'!$L$16"}</definedName>
    <definedName name="f" hidden="1">{"'Sheet1'!$L$16"}</definedName>
    <definedName name="FCode" localSheetId="9" hidden="1">#REF!</definedName>
    <definedName name="FCode" hidden="1">#REF!</definedName>
    <definedName name="fsdfdsf" localSheetId="3" hidden="1">{"'Sheet1'!$L$16"}</definedName>
    <definedName name="fsdfdsf" localSheetId="4" hidden="1">{"'Sheet1'!$L$16"}</definedName>
    <definedName name="fsdfdsf" localSheetId="5" hidden="1">{"'Sheet1'!$L$16"}</definedName>
    <definedName name="fsdfdsf" localSheetId="6" hidden="1">{"'Sheet1'!$L$16"}</definedName>
    <definedName name="fsdfdsf" localSheetId="7" hidden="1">{"'Sheet1'!$L$16"}</definedName>
    <definedName name="fsdfdsf" localSheetId="8" hidden="1">{"'Sheet1'!$L$16"}</definedName>
    <definedName name="fsdfdsf" localSheetId="9" hidden="1">{"'Sheet1'!$L$16"}</definedName>
    <definedName name="fsdfdsf" localSheetId="10" hidden="1">{"'Sheet1'!$L$16"}</definedName>
    <definedName name="fsdfdsf" hidden="1">{"'Sheet1'!$L$16"}</definedName>
    <definedName name="g" localSheetId="3" hidden="1">{"'Sheet1'!$L$16"}</definedName>
    <definedName name="g" localSheetId="4" hidden="1">{"'Sheet1'!$L$16"}</definedName>
    <definedName name="g" localSheetId="5" hidden="1">{"'Sheet1'!$L$16"}</definedName>
    <definedName name="g" localSheetId="6" hidden="1">{"'Sheet1'!$L$16"}</definedName>
    <definedName name="g" localSheetId="7" hidden="1">{"'Sheet1'!$L$16"}</definedName>
    <definedName name="g" localSheetId="8" hidden="1">{"'Sheet1'!$L$16"}</definedName>
    <definedName name="g" localSheetId="9" hidden="1">{"'Sheet1'!$L$16"}</definedName>
    <definedName name="g" localSheetId="10" hidden="1">{"'Sheet1'!$L$16"}</definedName>
    <definedName name="g" hidden="1">{"'Sheet1'!$L$16"}</definedName>
    <definedName name="h" localSheetId="3" hidden="1">{"'Sheet1'!$L$16"}</definedName>
    <definedName name="h" localSheetId="4" hidden="1">{"'Sheet1'!$L$16"}</definedName>
    <definedName name="h" localSheetId="5" hidden="1">{"'Sheet1'!$L$16"}</definedName>
    <definedName name="h" localSheetId="6" hidden="1">{"'Sheet1'!$L$16"}</definedName>
    <definedName name="h" localSheetId="7" hidden="1">{"'Sheet1'!$L$16"}</definedName>
    <definedName name="h" localSheetId="8" hidden="1">{"'Sheet1'!$L$16"}</definedName>
    <definedName name="h" localSheetId="9" hidden="1">{"'Sheet1'!$L$16"}</definedName>
    <definedName name="h" localSheetId="10" hidden="1">{"'Sheet1'!$L$16"}</definedName>
    <definedName name="h" hidden="1">{"'Sheet1'!$L$16"}</definedName>
    <definedName name="HANG" localSheetId="3" hidden="1">{#N/A,#N/A,FALSE,"Chi tiÆt"}</definedName>
    <definedName name="HANG" localSheetId="4" hidden="1">{#N/A,#N/A,FALSE,"Chi tiÆt"}</definedName>
    <definedName name="HANG" localSheetId="5" hidden="1">{#N/A,#N/A,FALSE,"Chi tiÆt"}</definedName>
    <definedName name="HANG" localSheetId="6" hidden="1">{#N/A,#N/A,FALSE,"Chi tiÆt"}</definedName>
    <definedName name="HANG" localSheetId="7" hidden="1">{#N/A,#N/A,FALSE,"Chi tiÆt"}</definedName>
    <definedName name="HANG" localSheetId="8" hidden="1">{#N/A,#N/A,FALSE,"Chi tiÆt"}</definedName>
    <definedName name="HANG" localSheetId="9" hidden="1">{#N/A,#N/A,FALSE,"Chi tiÆt"}</definedName>
    <definedName name="HANG" localSheetId="10" hidden="1">{#N/A,#N/A,FALSE,"Chi tiÆt"}</definedName>
    <definedName name="HANG" hidden="1">{#N/A,#N/A,FALSE,"Chi tiÆt"}</definedName>
    <definedName name="hhh" localSheetId="3" hidden="1">{"'Sheet1'!$L$16"}</definedName>
    <definedName name="hhh" localSheetId="4" hidden="1">{"'Sheet1'!$L$16"}</definedName>
    <definedName name="hhh" localSheetId="5" hidden="1">{"'Sheet1'!$L$16"}</definedName>
    <definedName name="hhh" localSheetId="6" hidden="1">{"'Sheet1'!$L$16"}</definedName>
    <definedName name="hhh" localSheetId="7" hidden="1">{"'Sheet1'!$L$16"}</definedName>
    <definedName name="hhh" localSheetId="8" hidden="1">{"'Sheet1'!$L$16"}</definedName>
    <definedName name="hhh" localSheetId="9" hidden="1">{"'Sheet1'!$L$16"}</definedName>
    <definedName name="hhh" localSheetId="10" hidden="1">{"'Sheet1'!$L$16"}</definedName>
    <definedName name="hhh" hidden="1">{"'Sheet1'!$L$16"}</definedName>
    <definedName name="HiddenRows" localSheetId="9" hidden="1">#REF!</definedName>
    <definedName name="HiddenRows" hidden="1">#REF!</definedName>
    <definedName name="HIHIHIHOI" localSheetId="3" hidden="1">{"'Sheet1'!$L$16"}</definedName>
    <definedName name="HIHIHIHOI" localSheetId="4" hidden="1">{"'Sheet1'!$L$16"}</definedName>
    <definedName name="HIHIHIHOI" localSheetId="5" hidden="1">{"'Sheet1'!$L$16"}</definedName>
    <definedName name="HIHIHIHOI" localSheetId="6" hidden="1">{"'Sheet1'!$L$16"}</definedName>
    <definedName name="HIHIHIHOI" localSheetId="7" hidden="1">{"'Sheet1'!$L$16"}</definedName>
    <definedName name="HIHIHIHOI" localSheetId="8" hidden="1">{"'Sheet1'!$L$16"}</definedName>
    <definedName name="HIHIHIHOI" localSheetId="9" hidden="1">{"'Sheet1'!$L$16"}</definedName>
    <definedName name="HIHIHIHOI" localSheetId="10" hidden="1">{"'Sheet1'!$L$16"}</definedName>
    <definedName name="HIHIHIHOI" hidden="1">{"'Sheet1'!$L$16"}</definedName>
    <definedName name="hj" localSheetId="3" hidden="1">{"'Sheet1'!$L$16"}</definedName>
    <definedName name="hj" localSheetId="4" hidden="1">{"'Sheet1'!$L$16"}</definedName>
    <definedName name="hj" localSheetId="5" hidden="1">{"'Sheet1'!$L$16"}</definedName>
    <definedName name="hj" localSheetId="6" hidden="1">{"'Sheet1'!$L$16"}</definedName>
    <definedName name="hj" localSheetId="7" hidden="1">{"'Sheet1'!$L$16"}</definedName>
    <definedName name="hj" localSheetId="8" hidden="1">{"'Sheet1'!$L$16"}</definedName>
    <definedName name="hj" localSheetId="9" hidden="1">{"'Sheet1'!$L$16"}</definedName>
    <definedName name="hj" localSheetId="10" hidden="1">{"'Sheet1'!$L$16"}</definedName>
    <definedName name="hj" hidden="1">{"'Sheet1'!$L$16"}</definedName>
    <definedName name="HJKL" localSheetId="3" hidden="1">{"'Sheet1'!$L$16"}</definedName>
    <definedName name="HJKL" localSheetId="4" hidden="1">{"'Sheet1'!$L$16"}</definedName>
    <definedName name="HJKL" localSheetId="5" hidden="1">{"'Sheet1'!$L$16"}</definedName>
    <definedName name="HJKL" localSheetId="6" hidden="1">{"'Sheet1'!$L$16"}</definedName>
    <definedName name="HJKL" localSheetId="7" hidden="1">{"'Sheet1'!$L$16"}</definedName>
    <definedName name="HJKL" localSheetId="8" hidden="1">{"'Sheet1'!$L$16"}</definedName>
    <definedName name="HJKL" localSheetId="9" hidden="1">{"'Sheet1'!$L$16"}</definedName>
    <definedName name="HJKL" localSheetId="10" hidden="1">{"'Sheet1'!$L$16"}</definedName>
    <definedName name="HJKL" hidden="1">{"'Sheet1'!$L$16"}</definedName>
    <definedName name="htlm" localSheetId="3" hidden="1">{"'Sheet1'!$L$16"}</definedName>
    <definedName name="htlm" localSheetId="4" hidden="1">{"'Sheet1'!$L$16"}</definedName>
    <definedName name="htlm" localSheetId="5" hidden="1">{"'Sheet1'!$L$16"}</definedName>
    <definedName name="htlm" localSheetId="6" hidden="1">{"'Sheet1'!$L$16"}</definedName>
    <definedName name="htlm" localSheetId="7" hidden="1">{"'Sheet1'!$L$16"}</definedName>
    <definedName name="htlm" localSheetId="8" hidden="1">{"'Sheet1'!$L$16"}</definedName>
    <definedName name="htlm" localSheetId="9" hidden="1">{"'Sheet1'!$L$16"}</definedName>
    <definedName name="htlm" localSheetId="10" hidden="1">{"'Sheet1'!$L$16"}</definedName>
    <definedName name="htlm" hidden="1">{"'Sheet1'!$L$16"}</definedName>
    <definedName name="HTML_CodePage" hidden="1">950</definedName>
    <definedName name="HTML_Control" localSheetId="3" hidden="1">{"'Sheet1'!$L$16"}</definedName>
    <definedName name="HTML_Control" localSheetId="4" hidden="1">{"'Sheet1'!$L$16"}</definedName>
    <definedName name="HTML_Control" localSheetId="5" hidden="1">{"'Sheet1'!$L$16"}</definedName>
    <definedName name="HTML_Control" localSheetId="6" hidden="1">{"'Sheet1'!$L$16"}</definedName>
    <definedName name="HTML_Control" localSheetId="7" hidden="1">{"'Sheet1'!$L$16"}</definedName>
    <definedName name="HTML_Control" localSheetId="8" hidden="1">{"'Sheet1'!$L$16"}</definedName>
    <definedName name="HTML_Control" localSheetId="9" hidden="1">{"'Sheet1'!$L$16"}</definedName>
    <definedName name="HTML_Control" localSheetId="1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rhrt" localSheetId="3" hidden="1">{"'Sheet1'!$L$16"}</definedName>
    <definedName name="htrhrt" localSheetId="4" hidden="1">{"'Sheet1'!$L$16"}</definedName>
    <definedName name="htrhrt" localSheetId="5" hidden="1">{"'Sheet1'!$L$16"}</definedName>
    <definedName name="htrhrt" localSheetId="6" hidden="1">{"'Sheet1'!$L$16"}</definedName>
    <definedName name="htrhrt" localSheetId="7" hidden="1">{"'Sheet1'!$L$16"}</definedName>
    <definedName name="htrhrt" localSheetId="8" hidden="1">{"'Sheet1'!$L$16"}</definedName>
    <definedName name="htrhrt" localSheetId="9" hidden="1">{"'Sheet1'!$L$16"}</definedName>
    <definedName name="htrhrt" localSheetId="10" hidden="1">{"'Sheet1'!$L$16"}</definedName>
    <definedName name="htrhrt" hidden="1">{"'Sheet1'!$L$16"}</definedName>
    <definedName name="hu" localSheetId="3" hidden="1">{"'Sheet1'!$L$16"}</definedName>
    <definedName name="hu" localSheetId="4" hidden="1">{"'Sheet1'!$L$16"}</definedName>
    <definedName name="hu" localSheetId="5" hidden="1">{"'Sheet1'!$L$16"}</definedName>
    <definedName name="hu" localSheetId="6" hidden="1">{"'Sheet1'!$L$16"}</definedName>
    <definedName name="hu" localSheetId="7" hidden="1">{"'Sheet1'!$L$16"}</definedName>
    <definedName name="hu" localSheetId="8" hidden="1">{"'Sheet1'!$L$16"}</definedName>
    <definedName name="hu" localSheetId="9" hidden="1">{"'Sheet1'!$L$16"}</definedName>
    <definedName name="hu" localSheetId="10" hidden="1">{"'Sheet1'!$L$16"}</definedName>
    <definedName name="hu" hidden="1">{"'Sheet1'!$L$16"}</definedName>
    <definedName name="huy" localSheetId="3" hidden="1">{"'Sheet1'!$L$16"}</definedName>
    <definedName name="huy" localSheetId="4" hidden="1">{"'Sheet1'!$L$16"}</definedName>
    <definedName name="huy" localSheetId="5" hidden="1">{"'Sheet1'!$L$16"}</definedName>
    <definedName name="huy" localSheetId="6" hidden="1">{"'Sheet1'!$L$16"}</definedName>
    <definedName name="huy" localSheetId="7" hidden="1">{"'Sheet1'!$L$16"}</definedName>
    <definedName name="huy" localSheetId="8" hidden="1">{"'Sheet1'!$L$16"}</definedName>
    <definedName name="huy" localSheetId="9" hidden="1">{"'Sheet1'!$L$16"}</definedName>
    <definedName name="huy" localSheetId="10" hidden="1">{"'Sheet1'!$L$16"}</definedName>
    <definedName name="huy" hidden="1">{"'Sheet1'!$L$16"}</definedName>
    <definedName name="KLduonggiaods" localSheetId="3" hidden="1">{"'Sheet1'!$L$16"}</definedName>
    <definedName name="KLduonggiaods" localSheetId="4" hidden="1">{"'Sheet1'!$L$16"}</definedName>
    <definedName name="KLduonggiaods" localSheetId="5" hidden="1">{"'Sheet1'!$L$16"}</definedName>
    <definedName name="KLduonggiaods" localSheetId="6" hidden="1">{"'Sheet1'!$L$16"}</definedName>
    <definedName name="KLduonggiaods" localSheetId="7" hidden="1">{"'Sheet1'!$L$16"}</definedName>
    <definedName name="KLduonggiaods" localSheetId="8" hidden="1">{"'Sheet1'!$L$16"}</definedName>
    <definedName name="KLduonggiaods" localSheetId="9" hidden="1">{"'Sheet1'!$L$16"}</definedName>
    <definedName name="KLduonggiaods" localSheetId="10" hidden="1">{"'Sheet1'!$L$16"}</definedName>
    <definedName name="KLduonggiaods" hidden="1">{"'Sheet1'!$L$16"}</definedName>
    <definedName name="komtun" localSheetId="3" hidden="1">{"'Sheet1'!$L$16"}</definedName>
    <definedName name="komtun" localSheetId="4" hidden="1">{"'Sheet1'!$L$16"}</definedName>
    <definedName name="komtun" localSheetId="5" hidden="1">{"'Sheet1'!$L$16"}</definedName>
    <definedName name="komtun" localSheetId="6" hidden="1">{"'Sheet1'!$L$16"}</definedName>
    <definedName name="komtun" localSheetId="7" hidden="1">{"'Sheet1'!$L$16"}</definedName>
    <definedName name="komtun" localSheetId="8" hidden="1">{"'Sheet1'!$L$16"}</definedName>
    <definedName name="komtun" localSheetId="9" hidden="1">{"'Sheet1'!$L$16"}</definedName>
    <definedName name="komtun" localSheetId="10" hidden="1">{"'Sheet1'!$L$16"}</definedName>
    <definedName name="komtun" hidden="1">{"'Sheet1'!$L$16"}</definedName>
    <definedName name="kontum" localSheetId="3" hidden="1">{#N/A,#N/A,TRUE,"BT M200 da 10x20"}</definedName>
    <definedName name="kontum" localSheetId="4" hidden="1">{#N/A,#N/A,TRUE,"BT M200 da 10x20"}</definedName>
    <definedName name="kontum" localSheetId="5" hidden="1">{#N/A,#N/A,TRUE,"BT M200 da 10x20"}</definedName>
    <definedName name="kontum" localSheetId="6" hidden="1">{#N/A,#N/A,TRUE,"BT M200 da 10x20"}</definedName>
    <definedName name="kontum" localSheetId="7" hidden="1">{#N/A,#N/A,TRUE,"BT M200 da 10x20"}</definedName>
    <definedName name="kontum" localSheetId="8" hidden="1">{#N/A,#N/A,TRUE,"BT M200 da 10x20"}</definedName>
    <definedName name="kontum" localSheetId="9" hidden="1">{#N/A,#N/A,TRUE,"BT M200 da 10x20"}</definedName>
    <definedName name="kontum" localSheetId="10" hidden="1">{#N/A,#N/A,TRUE,"BT M200 da 10x20"}</definedName>
    <definedName name="kontum" hidden="1">{#N/A,#N/A,TRUE,"BT M200 da 10x20"}</definedName>
    <definedName name="ksbn" localSheetId="3" hidden="1">{"'Sheet1'!$L$16"}</definedName>
    <definedName name="ksbn" localSheetId="4" hidden="1">{"'Sheet1'!$L$16"}</definedName>
    <definedName name="ksbn" localSheetId="5" hidden="1">{"'Sheet1'!$L$16"}</definedName>
    <definedName name="ksbn" localSheetId="6" hidden="1">{"'Sheet1'!$L$16"}</definedName>
    <definedName name="ksbn" localSheetId="7" hidden="1">{"'Sheet1'!$L$16"}</definedName>
    <definedName name="ksbn" localSheetId="8" hidden="1">{"'Sheet1'!$L$16"}</definedName>
    <definedName name="ksbn" localSheetId="9" hidden="1">{"'Sheet1'!$L$16"}</definedName>
    <definedName name="ksbn" localSheetId="10" hidden="1">{"'Sheet1'!$L$16"}</definedName>
    <definedName name="ksbn" hidden="1">{"'Sheet1'!$L$16"}</definedName>
    <definedName name="kshn" localSheetId="3" hidden="1">{"'Sheet1'!$L$16"}</definedName>
    <definedName name="kshn" localSheetId="4" hidden="1">{"'Sheet1'!$L$16"}</definedName>
    <definedName name="kshn" localSheetId="5" hidden="1">{"'Sheet1'!$L$16"}</definedName>
    <definedName name="kshn" localSheetId="6" hidden="1">{"'Sheet1'!$L$16"}</definedName>
    <definedName name="kshn" localSheetId="7" hidden="1">{"'Sheet1'!$L$16"}</definedName>
    <definedName name="kshn" localSheetId="8" hidden="1">{"'Sheet1'!$L$16"}</definedName>
    <definedName name="kshn" localSheetId="9" hidden="1">{"'Sheet1'!$L$16"}</definedName>
    <definedName name="kshn" localSheetId="10" hidden="1">{"'Sheet1'!$L$16"}</definedName>
    <definedName name="kshn" hidden="1">{"'Sheet1'!$L$16"}</definedName>
    <definedName name="ksls" localSheetId="3" hidden="1">{"'Sheet1'!$L$16"}</definedName>
    <definedName name="ksls" localSheetId="4" hidden="1">{"'Sheet1'!$L$16"}</definedName>
    <definedName name="ksls" localSheetId="5" hidden="1">{"'Sheet1'!$L$16"}</definedName>
    <definedName name="ksls" localSheetId="6" hidden="1">{"'Sheet1'!$L$16"}</definedName>
    <definedName name="ksls" localSheetId="7" hidden="1">{"'Sheet1'!$L$16"}</definedName>
    <definedName name="ksls" localSheetId="8" hidden="1">{"'Sheet1'!$L$16"}</definedName>
    <definedName name="ksls" localSheetId="9" hidden="1">{"'Sheet1'!$L$16"}</definedName>
    <definedName name="ksls" localSheetId="10" hidden="1">{"'Sheet1'!$L$16"}</definedName>
    <definedName name="ksls" hidden="1">{"'Sheet1'!$L$16"}</definedName>
    <definedName name="KHANHKHUNG" localSheetId="3" hidden="1">{"'Sheet1'!$L$16"}</definedName>
    <definedName name="KHANHKHUNG" localSheetId="4" hidden="1">{"'Sheet1'!$L$16"}</definedName>
    <definedName name="KHANHKHUNG" localSheetId="5" hidden="1">{"'Sheet1'!$L$16"}</definedName>
    <definedName name="KHANHKHUNG" localSheetId="6" hidden="1">{"'Sheet1'!$L$16"}</definedName>
    <definedName name="KHANHKHUNG" localSheetId="7" hidden="1">{"'Sheet1'!$L$16"}</definedName>
    <definedName name="KHANHKHUNG" localSheetId="8" hidden="1">{"'Sheet1'!$L$16"}</definedName>
    <definedName name="KHANHKHUNG" localSheetId="9" hidden="1">{"'Sheet1'!$L$16"}</definedName>
    <definedName name="KHANHKHUNG" localSheetId="10" hidden="1">{"'Sheet1'!$L$16"}</definedName>
    <definedName name="KHANHKHUNG" hidden="1">{"'Sheet1'!$L$16"}</definedName>
    <definedName name="khla09" localSheetId="3" hidden="1">{"'Sheet1'!$L$16"}</definedName>
    <definedName name="khla09" localSheetId="4" hidden="1">{"'Sheet1'!$L$16"}</definedName>
    <definedName name="khla09" localSheetId="5" hidden="1">{"'Sheet1'!$L$16"}</definedName>
    <definedName name="khla09" localSheetId="6" hidden="1">{"'Sheet1'!$L$16"}</definedName>
    <definedName name="khla09" localSheetId="7" hidden="1">{"'Sheet1'!$L$16"}</definedName>
    <definedName name="khla09" localSheetId="8" hidden="1">{"'Sheet1'!$L$16"}</definedName>
    <definedName name="khla09" localSheetId="9" hidden="1">{"'Sheet1'!$L$16"}</definedName>
    <definedName name="khla09" localSheetId="10" hidden="1">{"'Sheet1'!$L$16"}</definedName>
    <definedName name="khla09" hidden="1">{"'Sheet1'!$L$16"}</definedName>
    <definedName name="khongtruotgia" localSheetId="3" hidden="1">{"'Sheet1'!$L$16"}</definedName>
    <definedName name="khongtruotgia" localSheetId="4" hidden="1">{"'Sheet1'!$L$16"}</definedName>
    <definedName name="khongtruotgia" localSheetId="5" hidden="1">{"'Sheet1'!$L$16"}</definedName>
    <definedName name="khongtruotgia" localSheetId="6" hidden="1">{"'Sheet1'!$L$16"}</definedName>
    <definedName name="khongtruotgia" localSheetId="7" hidden="1">{"'Sheet1'!$L$16"}</definedName>
    <definedName name="khongtruotgia" localSheetId="8" hidden="1">{"'Sheet1'!$L$16"}</definedName>
    <definedName name="khongtruotgia" localSheetId="9" hidden="1">{"'Sheet1'!$L$16"}</definedName>
    <definedName name="khongtruotgia" localSheetId="10" hidden="1">{"'Sheet1'!$L$16"}</definedName>
    <definedName name="khongtruotgia" hidden="1">{"'Sheet1'!$L$16"}</definedName>
    <definedName name="khvh09" localSheetId="3" hidden="1">{"'Sheet1'!$L$16"}</definedName>
    <definedName name="khvh09" localSheetId="4" hidden="1">{"'Sheet1'!$L$16"}</definedName>
    <definedName name="khvh09" localSheetId="5" hidden="1">{"'Sheet1'!$L$16"}</definedName>
    <definedName name="khvh09" localSheetId="6" hidden="1">{"'Sheet1'!$L$16"}</definedName>
    <definedName name="khvh09" localSheetId="7" hidden="1">{"'Sheet1'!$L$16"}</definedName>
    <definedName name="khvh09" localSheetId="8" hidden="1">{"'Sheet1'!$L$16"}</definedName>
    <definedName name="khvh09" localSheetId="9" hidden="1">{"'Sheet1'!$L$16"}</definedName>
    <definedName name="khvh09" localSheetId="10" hidden="1">{"'Sheet1'!$L$16"}</definedName>
    <definedName name="khvh09" hidden="1">{"'Sheet1'!$L$16"}</definedName>
    <definedName name="KHYt09" localSheetId="3" hidden="1">{"'Sheet1'!$L$16"}</definedName>
    <definedName name="KHYt09" localSheetId="4" hidden="1">{"'Sheet1'!$L$16"}</definedName>
    <definedName name="KHYt09" localSheetId="5" hidden="1">{"'Sheet1'!$L$16"}</definedName>
    <definedName name="KHYt09" localSheetId="6" hidden="1">{"'Sheet1'!$L$16"}</definedName>
    <definedName name="KHYt09" localSheetId="7" hidden="1">{"'Sheet1'!$L$16"}</definedName>
    <definedName name="KHYt09" localSheetId="8" hidden="1">{"'Sheet1'!$L$16"}</definedName>
    <definedName name="KHYt09" localSheetId="9" hidden="1">{"'Sheet1'!$L$16"}</definedName>
    <definedName name="KHYt09" localSheetId="10" hidden="1">{"'Sheet1'!$L$16"}</definedName>
    <definedName name="KHYt09" hidden="1">{"'Sheet1'!$L$16"}</definedName>
    <definedName name="lan" localSheetId="3" hidden="1">{#N/A,#N/A,TRUE,"BT M200 da 10x20"}</definedName>
    <definedName name="lan" localSheetId="4" hidden="1">{#N/A,#N/A,TRUE,"BT M200 da 10x20"}</definedName>
    <definedName name="lan" localSheetId="5" hidden="1">{#N/A,#N/A,TRUE,"BT M200 da 10x20"}</definedName>
    <definedName name="lan" localSheetId="6" hidden="1">{#N/A,#N/A,TRUE,"BT M200 da 10x20"}</definedName>
    <definedName name="lan" localSheetId="7" hidden="1">{#N/A,#N/A,TRUE,"BT M200 da 10x20"}</definedName>
    <definedName name="lan" localSheetId="8" hidden="1">{#N/A,#N/A,TRUE,"BT M200 da 10x20"}</definedName>
    <definedName name="lan" localSheetId="9" hidden="1">{#N/A,#N/A,TRUE,"BT M200 da 10x20"}</definedName>
    <definedName name="lan" localSheetId="10" hidden="1">{#N/A,#N/A,TRUE,"BT M200 da 10x20"}</definedName>
    <definedName name="lan" hidden="1">{#N/A,#N/A,TRUE,"BT M200 da 10x20"}</definedName>
    <definedName name="langson" localSheetId="3" hidden="1">{"'Sheet1'!$L$16"}</definedName>
    <definedName name="langson" localSheetId="4" hidden="1">{"'Sheet1'!$L$16"}</definedName>
    <definedName name="langson" localSheetId="5" hidden="1">{"'Sheet1'!$L$16"}</definedName>
    <definedName name="langson" localSheetId="6" hidden="1">{"'Sheet1'!$L$16"}</definedName>
    <definedName name="langson" localSheetId="7" hidden="1">{"'Sheet1'!$L$16"}</definedName>
    <definedName name="langson" localSheetId="8" hidden="1">{"'Sheet1'!$L$16"}</definedName>
    <definedName name="langson" localSheetId="9" hidden="1">{"'Sheet1'!$L$16"}</definedName>
    <definedName name="langson" localSheetId="10" hidden="1">{"'Sheet1'!$L$16"}</definedName>
    <definedName name="langson" hidden="1">{"'Sheet1'!$L$16"}</definedName>
    <definedName name="mo" localSheetId="3" hidden="1">{"'Sheet1'!$L$16"}</definedName>
    <definedName name="mo" localSheetId="4" hidden="1">{"'Sheet1'!$L$16"}</definedName>
    <definedName name="mo" localSheetId="5" hidden="1">{"'Sheet1'!$L$16"}</definedName>
    <definedName name="mo" localSheetId="6" hidden="1">{"'Sheet1'!$L$16"}</definedName>
    <definedName name="mo" localSheetId="7" hidden="1">{"'Sheet1'!$L$16"}</definedName>
    <definedName name="mo" localSheetId="8" hidden="1">{"'Sheet1'!$L$16"}</definedName>
    <definedName name="mo" localSheetId="9" hidden="1">{"'Sheet1'!$L$16"}</definedName>
    <definedName name="mo" localSheetId="10" hidden="1">{"'Sheet1'!$L$16"}</definedName>
    <definedName name="mo" hidden="1">{"'Sheet1'!$L$16"}</definedName>
    <definedName name="NHANH2_CG4" localSheetId="3" hidden="1">{"'Sheet1'!$L$16"}</definedName>
    <definedName name="NHANH2_CG4" localSheetId="4" hidden="1">{"'Sheet1'!$L$16"}</definedName>
    <definedName name="NHANH2_CG4" localSheetId="5" hidden="1">{"'Sheet1'!$L$16"}</definedName>
    <definedName name="NHANH2_CG4" localSheetId="6" hidden="1">{"'Sheet1'!$L$16"}</definedName>
    <definedName name="NHANH2_CG4" localSheetId="7" hidden="1">{"'Sheet1'!$L$16"}</definedName>
    <definedName name="NHANH2_CG4" localSheetId="8" hidden="1">{"'Sheet1'!$L$16"}</definedName>
    <definedName name="NHANH2_CG4" localSheetId="9" hidden="1">{"'Sheet1'!$L$16"}</definedName>
    <definedName name="NHANH2_CG4" localSheetId="10" hidden="1">{"'Sheet1'!$L$16"}</definedName>
    <definedName name="NHANH2_CG4" hidden="1">{"'Sheet1'!$L$16"}</definedName>
    <definedName name="OrderTable" localSheetId="9" hidden="1">#REF!</definedName>
    <definedName name="OrderTable" hidden="1">#REF!</definedName>
    <definedName name="PAIII_" localSheetId="3" hidden="1">{"'Sheet1'!$L$16"}</definedName>
    <definedName name="PAIII_" localSheetId="4" hidden="1">{"'Sheet1'!$L$16"}</definedName>
    <definedName name="PAIII_" localSheetId="5" hidden="1">{"'Sheet1'!$L$16"}</definedName>
    <definedName name="PAIII_" localSheetId="6" hidden="1">{"'Sheet1'!$L$16"}</definedName>
    <definedName name="PAIII_" localSheetId="7" hidden="1">{"'Sheet1'!$L$16"}</definedName>
    <definedName name="PAIII_" localSheetId="8" hidden="1">{"'Sheet1'!$L$16"}</definedName>
    <definedName name="PAIII_" localSheetId="9" hidden="1">{"'Sheet1'!$L$16"}</definedName>
    <definedName name="PAIII_" localSheetId="10" hidden="1">{"'Sheet1'!$L$16"}</definedName>
    <definedName name="PAIII_" hidden="1">{"'Sheet1'!$L$16"}</definedName>
    <definedName name="PMS" localSheetId="3" hidden="1">{"'Sheet1'!$L$16"}</definedName>
    <definedName name="PMS" localSheetId="4" hidden="1">{"'Sheet1'!$L$16"}</definedName>
    <definedName name="PMS" localSheetId="5" hidden="1">{"'Sheet1'!$L$16"}</definedName>
    <definedName name="PMS" localSheetId="6" hidden="1">{"'Sheet1'!$L$16"}</definedName>
    <definedName name="PMS" localSheetId="7" hidden="1">{"'Sheet1'!$L$16"}</definedName>
    <definedName name="PMS" localSheetId="8" hidden="1">{"'Sheet1'!$L$16"}</definedName>
    <definedName name="PMS" localSheetId="9" hidden="1">{"'Sheet1'!$L$16"}</definedName>
    <definedName name="PMS" localSheetId="10" hidden="1">{"'Sheet1'!$L$16"}</definedName>
    <definedName name="PMS" hidden="1">{"'Sheet1'!$L$16"}</definedName>
    <definedName name="_xlnm.Print_Area" localSheetId="12">'60'!$A$1:$J$28</definedName>
    <definedName name="_xlnm.Print_Area" localSheetId="13">'62'!$A$1:$J$59</definedName>
    <definedName name="_xlnm.Print_Area" localSheetId="11">'Bieu 45_QT 2019_28-6'!$A$1:$AM$684</definedName>
    <definedName name="_xlnm.Print_Area" localSheetId="6">'Bieu 54_NS_DT'!$A$1:$Z$127</definedName>
    <definedName name="_xlnm.Print_Area" localSheetId="7">'Bieu 58 '!$A$1:$Y$30</definedName>
    <definedName name="_xlnm.Print_Titles" localSheetId="13">'62'!$6:$8</definedName>
    <definedName name="_xlnm.Print_Titles" localSheetId="11">'Bieu 45_QT 2019_28-6'!$7:$11</definedName>
    <definedName name="_xlnm.Print_Titles" localSheetId="3">'Bieu 51_NS_DT'!$5:$6</definedName>
    <definedName name="ProdForm" localSheetId="3" hidden="1">#REF!</definedName>
    <definedName name="ProdForm" localSheetId="7" hidden="1">#REF!</definedName>
    <definedName name="ProdForm" localSheetId="8" hidden="1">#REF!</definedName>
    <definedName name="ProdForm" localSheetId="9" hidden="1">#REF!</definedName>
    <definedName name="ProdForm" localSheetId="10" hidden="1">#REF!</definedName>
    <definedName name="ProdForm" hidden="1">#REF!</definedName>
    <definedName name="Product" localSheetId="3" hidden="1">#REF!</definedName>
    <definedName name="Product" localSheetId="7" hidden="1">#REF!</definedName>
    <definedName name="Product" localSheetId="8" hidden="1">#REF!</definedName>
    <definedName name="Product" localSheetId="9" hidden="1">#REF!</definedName>
    <definedName name="Product" localSheetId="10" hidden="1">#REF!</definedName>
    <definedName name="Product" hidden="1">#REF!</definedName>
    <definedName name="RCArea" localSheetId="3" hidden="1">#REF!</definedName>
    <definedName name="RCArea" localSheetId="7" hidden="1">#REF!</definedName>
    <definedName name="RCArea" localSheetId="8" hidden="1">#REF!</definedName>
    <definedName name="RCArea" localSheetId="9" hidden="1">#REF!</definedName>
    <definedName name="RCArea" localSheetId="10" hidden="1">#REF!</definedName>
    <definedName name="RCArea" hidden="1">#REF!</definedName>
    <definedName name="re" localSheetId="3" hidden="1">{"'Sheet1'!$L$16"}</definedName>
    <definedName name="re" localSheetId="4" hidden="1">{"'Sheet1'!$L$16"}</definedName>
    <definedName name="re" localSheetId="5" hidden="1">{"'Sheet1'!$L$16"}</definedName>
    <definedName name="re" localSheetId="6" hidden="1">{"'Sheet1'!$L$16"}</definedName>
    <definedName name="re" localSheetId="7" hidden="1">{"'Sheet1'!$L$16"}</definedName>
    <definedName name="re" localSheetId="8" hidden="1">{"'Sheet1'!$L$16"}</definedName>
    <definedName name="re" localSheetId="9" hidden="1">{"'Sheet1'!$L$16"}</definedName>
    <definedName name="re" localSheetId="10" hidden="1">{"'Sheet1'!$L$16"}</definedName>
    <definedName name="re" hidden="1">{"'Sheet1'!$L$16"}</definedName>
    <definedName name="RGHGSD" localSheetId="3" hidden="1">{"'Sheet1'!$L$16"}</definedName>
    <definedName name="RGHGSD" localSheetId="4" hidden="1">{"'Sheet1'!$L$16"}</definedName>
    <definedName name="RGHGSD" localSheetId="5" hidden="1">{"'Sheet1'!$L$16"}</definedName>
    <definedName name="RGHGSD" localSheetId="6" hidden="1">{"'Sheet1'!$L$16"}</definedName>
    <definedName name="RGHGSD" localSheetId="7" hidden="1">{"'Sheet1'!$L$16"}</definedName>
    <definedName name="RGHGSD" localSheetId="8" hidden="1">{"'Sheet1'!$L$16"}</definedName>
    <definedName name="RGHGSD" localSheetId="9" hidden="1">{"'Sheet1'!$L$16"}</definedName>
    <definedName name="RGHGSD" localSheetId="10" hidden="1">{"'Sheet1'!$L$16"}</definedName>
    <definedName name="RGHGSD" hidden="1">{"'Sheet1'!$L$16"}</definedName>
    <definedName name="rr" localSheetId="3" hidden="1">{"'Sheet1'!$L$16"}</definedName>
    <definedName name="rr" localSheetId="4" hidden="1">{"'Sheet1'!$L$16"}</definedName>
    <definedName name="rr" localSheetId="5" hidden="1">{"'Sheet1'!$L$16"}</definedName>
    <definedName name="rr" localSheetId="6" hidden="1">{"'Sheet1'!$L$16"}</definedName>
    <definedName name="rr" localSheetId="7" hidden="1">{"'Sheet1'!$L$16"}</definedName>
    <definedName name="rr" localSheetId="8" hidden="1">{"'Sheet1'!$L$16"}</definedName>
    <definedName name="rr" localSheetId="9" hidden="1">{"'Sheet1'!$L$16"}</definedName>
    <definedName name="rr" localSheetId="10" hidden="1">{"'Sheet1'!$L$16"}</definedName>
    <definedName name="rr" hidden="1">{"'Sheet1'!$L$16"}</definedName>
    <definedName name="sdbv" localSheetId="3" hidden="1">{"'Sheet1'!$L$16"}</definedName>
    <definedName name="sdbv" localSheetId="4" hidden="1">{"'Sheet1'!$L$16"}</definedName>
    <definedName name="sdbv" localSheetId="5" hidden="1">{"'Sheet1'!$L$16"}</definedName>
    <definedName name="sdbv" localSheetId="6" hidden="1">{"'Sheet1'!$L$16"}</definedName>
    <definedName name="sdbv" localSheetId="7" hidden="1">{"'Sheet1'!$L$16"}</definedName>
    <definedName name="sdbv" localSheetId="8" hidden="1">{"'Sheet1'!$L$16"}</definedName>
    <definedName name="sdbv" localSheetId="9" hidden="1">{"'Sheet1'!$L$16"}</definedName>
    <definedName name="sdbv" localSheetId="10" hidden="1">{"'Sheet1'!$L$16"}</definedName>
    <definedName name="sdbv" hidden="1">{"'Sheet1'!$L$16"}</definedName>
    <definedName name="Sosanh2" localSheetId="3" hidden="1">{"'Sheet1'!$L$16"}</definedName>
    <definedName name="Sosanh2" localSheetId="4" hidden="1">{"'Sheet1'!$L$16"}</definedName>
    <definedName name="Sosanh2" localSheetId="5" hidden="1">{"'Sheet1'!$L$16"}</definedName>
    <definedName name="Sosanh2" localSheetId="6" hidden="1">{"'Sheet1'!$L$16"}</definedName>
    <definedName name="Sosanh2" localSheetId="7" hidden="1">{"'Sheet1'!$L$16"}</definedName>
    <definedName name="Sosanh2" localSheetId="8" hidden="1">{"'Sheet1'!$L$16"}</definedName>
    <definedName name="Sosanh2" localSheetId="9" hidden="1">{"'Sheet1'!$L$16"}</definedName>
    <definedName name="Sosanh2" localSheetId="10" hidden="1">{"'Sheet1'!$L$16"}</definedName>
    <definedName name="Sosanh2" hidden="1">{"'Sheet1'!$L$16"}</definedName>
    <definedName name="SpecialPrice" localSheetId="9" hidden="1">#REF!</definedName>
    <definedName name="SpecialPrice" hidden="1">#REF!</definedName>
    <definedName name="T.3" localSheetId="3" hidden="1">{"'Sheet1'!$L$16"}</definedName>
    <definedName name="T.3" localSheetId="4" hidden="1">{"'Sheet1'!$L$16"}</definedName>
    <definedName name="T.3" localSheetId="5" hidden="1">{"'Sheet1'!$L$16"}</definedName>
    <definedName name="T.3" localSheetId="6" hidden="1">{"'Sheet1'!$L$16"}</definedName>
    <definedName name="T.3" localSheetId="7" hidden="1">{"'Sheet1'!$L$16"}</definedName>
    <definedName name="T.3" localSheetId="8" hidden="1">{"'Sheet1'!$L$16"}</definedName>
    <definedName name="T.3" localSheetId="9" hidden="1">{"'Sheet1'!$L$16"}</definedName>
    <definedName name="T.3" localSheetId="10" hidden="1">{"'Sheet1'!$L$16"}</definedName>
    <definedName name="T.3" hidden="1">{"'Sheet1'!$L$16"}</definedName>
    <definedName name="tbl_ProdInfo" localSheetId="9" hidden="1">#REF!</definedName>
    <definedName name="tbl_ProdInfo" hidden="1">#REF!</definedName>
    <definedName name="ttttt" localSheetId="3" hidden="1">{"'Sheet1'!$L$16"}</definedName>
    <definedName name="ttttt" localSheetId="4" hidden="1">{"'Sheet1'!$L$16"}</definedName>
    <definedName name="ttttt" localSheetId="5" hidden="1">{"'Sheet1'!$L$16"}</definedName>
    <definedName name="ttttt" localSheetId="6" hidden="1">{"'Sheet1'!$L$16"}</definedName>
    <definedName name="ttttt" localSheetId="7" hidden="1">{"'Sheet1'!$L$16"}</definedName>
    <definedName name="ttttt" localSheetId="8" hidden="1">{"'Sheet1'!$L$16"}</definedName>
    <definedName name="ttttt" localSheetId="9" hidden="1">{"'Sheet1'!$L$16"}</definedName>
    <definedName name="ttttt" localSheetId="10" hidden="1">{"'Sheet1'!$L$16"}</definedName>
    <definedName name="ttttt" hidden="1">{"'Sheet1'!$L$16"}</definedName>
    <definedName name="ttttttttttt" localSheetId="3" hidden="1">{"'Sheet1'!$L$16"}</definedName>
    <definedName name="ttttttttttt" localSheetId="4" hidden="1">{"'Sheet1'!$L$16"}</definedName>
    <definedName name="ttttttttttt" localSheetId="5" hidden="1">{"'Sheet1'!$L$16"}</definedName>
    <definedName name="ttttttttttt" localSheetId="6" hidden="1">{"'Sheet1'!$L$16"}</definedName>
    <definedName name="ttttttttttt" localSheetId="7" hidden="1">{"'Sheet1'!$L$16"}</definedName>
    <definedName name="ttttttttttt" localSheetId="8" hidden="1">{"'Sheet1'!$L$16"}</definedName>
    <definedName name="ttttttttttt" localSheetId="9" hidden="1">{"'Sheet1'!$L$16"}</definedName>
    <definedName name="ttttttttttt" localSheetId="10" hidden="1">{"'Sheet1'!$L$16"}</definedName>
    <definedName name="ttttttttttt" hidden="1">{"'Sheet1'!$L$16"}</definedName>
    <definedName name="tuyennhanh" localSheetId="3" hidden="1">{"'Sheet1'!$L$16"}</definedName>
    <definedName name="tuyennhanh" localSheetId="4" hidden="1">{"'Sheet1'!$L$16"}</definedName>
    <definedName name="tuyennhanh" localSheetId="5" hidden="1">{"'Sheet1'!$L$16"}</definedName>
    <definedName name="tuyennhanh" localSheetId="6" hidden="1">{"'Sheet1'!$L$16"}</definedName>
    <definedName name="tuyennhanh" localSheetId="7" hidden="1">{"'Sheet1'!$L$16"}</definedName>
    <definedName name="tuyennhanh" localSheetId="8" hidden="1">{"'Sheet1'!$L$16"}</definedName>
    <definedName name="tuyennhanh" localSheetId="9" hidden="1">{"'Sheet1'!$L$16"}</definedName>
    <definedName name="tuyennhanh" localSheetId="10" hidden="1">{"'Sheet1'!$L$16"}</definedName>
    <definedName name="tuyennhanh" hidden="1">{"'Sheet1'!$L$16"}</definedName>
    <definedName name="tha" localSheetId="3" hidden="1">{"'Sheet1'!$L$16"}</definedName>
    <definedName name="tha" localSheetId="4" hidden="1">{"'Sheet1'!$L$16"}</definedName>
    <definedName name="tha" localSheetId="5" hidden="1">{"'Sheet1'!$L$16"}</definedName>
    <definedName name="tha" localSheetId="6" hidden="1">{"'Sheet1'!$L$16"}</definedName>
    <definedName name="tha" localSheetId="7" hidden="1">{"'Sheet1'!$L$16"}</definedName>
    <definedName name="tha" localSheetId="8" hidden="1">{"'Sheet1'!$L$16"}</definedName>
    <definedName name="tha" localSheetId="9" hidden="1">{"'Sheet1'!$L$16"}</definedName>
    <definedName name="tha" localSheetId="10" hidden="1">{"'Sheet1'!$L$16"}</definedName>
    <definedName name="tha" hidden="1">{"'Sheet1'!$L$16"}</definedName>
    <definedName name="trong" localSheetId="3" hidden="1">{"'Sheet1'!$L$16"}</definedName>
    <definedName name="trong" localSheetId="4" hidden="1">{"'Sheet1'!$L$16"}</definedName>
    <definedName name="trong" localSheetId="5" hidden="1">{"'Sheet1'!$L$16"}</definedName>
    <definedName name="trong" localSheetId="6" hidden="1">{"'Sheet1'!$L$16"}</definedName>
    <definedName name="trong" localSheetId="7" hidden="1">{"'Sheet1'!$L$16"}</definedName>
    <definedName name="trong" localSheetId="8" hidden="1">{"'Sheet1'!$L$16"}</definedName>
    <definedName name="trong" localSheetId="9" hidden="1">{"'Sheet1'!$L$16"}</definedName>
    <definedName name="trong" localSheetId="10" hidden="1">{"'Sheet1'!$L$16"}</definedName>
    <definedName name="trong" hidden="1">{"'Sheet1'!$L$16"}</definedName>
    <definedName name="uu" localSheetId="3" hidden="1">{"'Sheet1'!$L$16"}</definedName>
    <definedName name="uu" localSheetId="4" hidden="1">{"'Sheet1'!$L$16"}</definedName>
    <definedName name="uu" localSheetId="5" hidden="1">{"'Sheet1'!$L$16"}</definedName>
    <definedName name="uu" localSheetId="6" hidden="1">{"'Sheet1'!$L$16"}</definedName>
    <definedName name="uu" localSheetId="7" hidden="1">{"'Sheet1'!$L$16"}</definedName>
    <definedName name="uu" localSheetId="8" hidden="1">{"'Sheet1'!$L$16"}</definedName>
    <definedName name="uu" localSheetId="9" hidden="1">{"'Sheet1'!$L$16"}</definedName>
    <definedName name="uu" localSheetId="10" hidden="1">{"'Sheet1'!$L$16"}</definedName>
    <definedName name="uu" hidden="1">{"'Sheet1'!$L$16"}</definedName>
    <definedName name="VATM" localSheetId="3" hidden="1">{"'Sheet1'!$L$16"}</definedName>
    <definedName name="VATM" localSheetId="4" hidden="1">{"'Sheet1'!$L$16"}</definedName>
    <definedName name="VATM" localSheetId="5" hidden="1">{"'Sheet1'!$L$16"}</definedName>
    <definedName name="VATM" localSheetId="6" hidden="1">{"'Sheet1'!$L$16"}</definedName>
    <definedName name="VATM" localSheetId="7" hidden="1">{"'Sheet1'!$L$16"}</definedName>
    <definedName name="VATM" localSheetId="8" hidden="1">{"'Sheet1'!$L$16"}</definedName>
    <definedName name="VATM" localSheetId="9" hidden="1">{"'Sheet1'!$L$16"}</definedName>
    <definedName name="VATM" localSheetId="10" hidden="1">{"'Sheet1'!$L$16"}</definedName>
    <definedName name="VATM" hidden="1">{"'Sheet1'!$L$16"}</definedName>
    <definedName name="vcoto" localSheetId="3" hidden="1">{"'Sheet1'!$L$16"}</definedName>
    <definedName name="vcoto" localSheetId="4" hidden="1">{"'Sheet1'!$L$16"}</definedName>
    <definedName name="vcoto" localSheetId="5" hidden="1">{"'Sheet1'!$L$16"}</definedName>
    <definedName name="vcoto" localSheetId="6" hidden="1">{"'Sheet1'!$L$16"}</definedName>
    <definedName name="vcoto" localSheetId="7" hidden="1">{"'Sheet1'!$L$16"}</definedName>
    <definedName name="vcoto" localSheetId="8" hidden="1">{"'Sheet1'!$L$16"}</definedName>
    <definedName name="vcoto" localSheetId="9" hidden="1">{"'Sheet1'!$L$16"}</definedName>
    <definedName name="vcoto" localSheetId="10" hidden="1">{"'Sheet1'!$L$16"}</definedName>
    <definedName name="vcoto" hidden="1">{"'Sheet1'!$L$16"}</definedName>
    <definedName name="VH" localSheetId="3" hidden="1">{"'Sheet1'!$L$16"}</definedName>
    <definedName name="VH" localSheetId="4" hidden="1">{"'Sheet1'!$L$16"}</definedName>
    <definedName name="VH" localSheetId="5" hidden="1">{"'Sheet1'!$L$16"}</definedName>
    <definedName name="VH" localSheetId="6" hidden="1">{"'Sheet1'!$L$16"}</definedName>
    <definedName name="VH" localSheetId="7" hidden="1">{"'Sheet1'!$L$16"}</definedName>
    <definedName name="VH" localSheetId="8" hidden="1">{"'Sheet1'!$L$16"}</definedName>
    <definedName name="VH" localSheetId="9" hidden="1">{"'Sheet1'!$L$16"}</definedName>
    <definedName name="VH" localSheetId="10" hidden="1">{"'Sheet1'!$L$16"}</definedName>
    <definedName name="VH" hidden="1">{"'Sheet1'!$L$16"}</definedName>
    <definedName name="Viet" localSheetId="3" hidden="1">{"'Sheet1'!$L$16"}</definedName>
    <definedName name="Viet" localSheetId="4" hidden="1">{"'Sheet1'!$L$16"}</definedName>
    <definedName name="Viet" localSheetId="5" hidden="1">{"'Sheet1'!$L$16"}</definedName>
    <definedName name="Viet" localSheetId="6" hidden="1">{"'Sheet1'!$L$16"}</definedName>
    <definedName name="Viet" localSheetId="7" hidden="1">{"'Sheet1'!$L$16"}</definedName>
    <definedName name="Viet" localSheetId="8" hidden="1">{"'Sheet1'!$L$16"}</definedName>
    <definedName name="Viet" localSheetId="9" hidden="1">{"'Sheet1'!$L$16"}</definedName>
    <definedName name="Viet" localSheetId="10" hidden="1">{"'Sheet1'!$L$16"}</definedName>
    <definedName name="Viet" hidden="1">{"'Sheet1'!$L$16"}</definedName>
    <definedName name="vlct" localSheetId="3" hidden="1">{"'Sheet1'!$L$16"}</definedName>
    <definedName name="vlct" localSheetId="4" hidden="1">{"'Sheet1'!$L$16"}</definedName>
    <definedName name="vlct" localSheetId="5" hidden="1">{"'Sheet1'!$L$16"}</definedName>
    <definedName name="vlct" localSheetId="6" hidden="1">{"'Sheet1'!$L$16"}</definedName>
    <definedName name="vlct" localSheetId="7" hidden="1">{"'Sheet1'!$L$16"}</definedName>
    <definedName name="vlct" localSheetId="8" hidden="1">{"'Sheet1'!$L$16"}</definedName>
    <definedName name="vlct" localSheetId="9" hidden="1">{"'Sheet1'!$L$16"}</definedName>
    <definedName name="vlct" localSheetId="10" hidden="1">{"'Sheet1'!$L$16"}</definedName>
    <definedName name="vlct" hidden="1">{"'Sheet1'!$L$16"}</definedName>
    <definedName name="wrn.Bang._.ke._.nhan._.hang." localSheetId="3" hidden="1">{#N/A,#N/A,FALSE,"Ke khai NH"}</definedName>
    <definedName name="wrn.Bang._.ke._.nhan._.hang." localSheetId="4" hidden="1">{#N/A,#N/A,FALSE,"Ke khai NH"}</definedName>
    <definedName name="wrn.Bang._.ke._.nhan._.hang." localSheetId="5" hidden="1">{#N/A,#N/A,FALSE,"Ke khai NH"}</definedName>
    <definedName name="wrn.Bang._.ke._.nhan._.hang." localSheetId="6" hidden="1">{#N/A,#N/A,FALSE,"Ke khai NH"}</definedName>
    <definedName name="wrn.Bang._.ke._.nhan._.hang." localSheetId="7" hidden="1">{#N/A,#N/A,FALSE,"Ke khai NH"}</definedName>
    <definedName name="wrn.Bang._.ke._.nhan._.hang." localSheetId="8" hidden="1">{#N/A,#N/A,FALSE,"Ke khai NH"}</definedName>
    <definedName name="wrn.Bang._.ke._.nhan._.hang." localSheetId="9" hidden="1">{#N/A,#N/A,FALSE,"Ke khai NH"}</definedName>
    <definedName name="wrn.Bang._.ke._.nhan._.hang." localSheetId="10" hidden="1">{#N/A,#N/A,FALSE,"Ke khai NH"}</definedName>
    <definedName name="wrn.Bang._.ke._.nhan._.hang." hidden="1">{#N/A,#N/A,FALSE,"Ke khai NH"}</definedName>
    <definedName name="wrn.Che._.do._.duoc._.huong." localSheetId="3" hidden="1">{#N/A,#N/A,FALSE,"BN (2)"}</definedName>
    <definedName name="wrn.Che._.do._.duoc._.huong." localSheetId="4" hidden="1">{#N/A,#N/A,FALSE,"BN (2)"}</definedName>
    <definedName name="wrn.Che._.do._.duoc._.huong." localSheetId="5" hidden="1">{#N/A,#N/A,FALSE,"BN (2)"}</definedName>
    <definedName name="wrn.Che._.do._.duoc._.huong." localSheetId="6" hidden="1">{#N/A,#N/A,FALSE,"BN (2)"}</definedName>
    <definedName name="wrn.Che._.do._.duoc._.huong." localSheetId="7" hidden="1">{#N/A,#N/A,FALSE,"BN (2)"}</definedName>
    <definedName name="wrn.Che._.do._.duoc._.huong." localSheetId="8" hidden="1">{#N/A,#N/A,FALSE,"BN (2)"}</definedName>
    <definedName name="wrn.Che._.do._.duoc._.huong." localSheetId="9" hidden="1">{#N/A,#N/A,FALSE,"BN (2)"}</definedName>
    <definedName name="wrn.Che._.do._.duoc._.huong." localSheetId="10" hidden="1">{#N/A,#N/A,FALSE,"BN (2)"}</definedName>
    <definedName name="wrn.Che._.do._.duoc._.huong." hidden="1">{#N/A,#N/A,FALSE,"BN (2)"}</definedName>
    <definedName name="wrn.chi._.tiÆt." localSheetId="3" hidden="1">{#N/A,#N/A,FALSE,"Chi tiÆt"}</definedName>
    <definedName name="wrn.chi._.tiÆt." localSheetId="4" hidden="1">{#N/A,#N/A,FALSE,"Chi tiÆt"}</definedName>
    <definedName name="wrn.chi._.tiÆt." localSheetId="5" hidden="1">{#N/A,#N/A,FALSE,"Chi tiÆt"}</definedName>
    <definedName name="wrn.chi._.tiÆt." localSheetId="6" hidden="1">{#N/A,#N/A,FALSE,"Chi tiÆt"}</definedName>
    <definedName name="wrn.chi._.tiÆt." localSheetId="7" hidden="1">{#N/A,#N/A,FALSE,"Chi tiÆt"}</definedName>
    <definedName name="wrn.chi._.tiÆt." localSheetId="8" hidden="1">{#N/A,#N/A,FALSE,"Chi tiÆt"}</definedName>
    <definedName name="wrn.chi._.tiÆt." localSheetId="9" hidden="1">{#N/A,#N/A,FALSE,"Chi tiÆt"}</definedName>
    <definedName name="wrn.chi._.tiÆt." localSheetId="10" hidden="1">{#N/A,#N/A,FALSE,"Chi tiÆt"}</definedName>
    <definedName name="wrn.chi._.tiÆt." hidden="1">{#N/A,#N/A,FALSE,"Chi tiÆt"}</definedName>
    <definedName name="wrn.Giáy._.bao._.no." localSheetId="3" hidden="1">{#N/A,#N/A,FALSE,"BN"}</definedName>
    <definedName name="wrn.Giáy._.bao._.no." localSheetId="4" hidden="1">{#N/A,#N/A,FALSE,"BN"}</definedName>
    <definedName name="wrn.Giáy._.bao._.no." localSheetId="5" hidden="1">{#N/A,#N/A,FALSE,"BN"}</definedName>
    <definedName name="wrn.Giáy._.bao._.no." localSheetId="6" hidden="1">{#N/A,#N/A,FALSE,"BN"}</definedName>
    <definedName name="wrn.Giáy._.bao._.no." localSheetId="7" hidden="1">{#N/A,#N/A,FALSE,"BN"}</definedName>
    <definedName name="wrn.Giáy._.bao._.no." localSheetId="8" hidden="1">{#N/A,#N/A,FALSE,"BN"}</definedName>
    <definedName name="wrn.Giáy._.bao._.no." localSheetId="9" hidden="1">{#N/A,#N/A,FALSE,"BN"}</definedName>
    <definedName name="wrn.Giáy._.bao._.no." localSheetId="10" hidden="1">{#N/A,#N/A,FALSE,"BN"}</definedName>
    <definedName name="wrn.Giáy._.bao._.no." hidden="1">{#N/A,#N/A,FALSE,"BN"}</definedName>
    <definedName name="wrn.vd." localSheetId="3" hidden="1">{#N/A,#N/A,TRUE,"BT M200 da 10x20"}</definedName>
    <definedName name="wrn.vd." localSheetId="4" hidden="1">{#N/A,#N/A,TRUE,"BT M200 da 10x20"}</definedName>
    <definedName name="wrn.vd." localSheetId="5" hidden="1">{#N/A,#N/A,TRUE,"BT M200 da 10x20"}</definedName>
    <definedName name="wrn.vd." localSheetId="6" hidden="1">{#N/A,#N/A,TRUE,"BT M200 da 10x20"}</definedName>
    <definedName name="wrn.vd." localSheetId="7" hidden="1">{#N/A,#N/A,TRUE,"BT M200 da 10x20"}</definedName>
    <definedName name="wrn.vd." localSheetId="8" hidden="1">{#N/A,#N/A,TRUE,"BT M200 da 10x20"}</definedName>
    <definedName name="wrn.vd." localSheetId="9" hidden="1">{#N/A,#N/A,TRUE,"BT M200 da 10x20"}</definedName>
    <definedName name="wrn.vd." localSheetId="10" hidden="1">{#N/A,#N/A,TRUE,"BT M200 da 10x20"}</definedName>
    <definedName name="wrn.vd." hidden="1">{#N/A,#N/A,TRUE,"BT M200 da 10x20"}</definedName>
    <definedName name="xls" localSheetId="3" hidden="1">{"'Sheet1'!$L$16"}</definedName>
    <definedName name="xls" localSheetId="4" hidden="1">{"'Sheet1'!$L$16"}</definedName>
    <definedName name="xls" localSheetId="5" hidden="1">{"'Sheet1'!$L$16"}</definedName>
    <definedName name="xls" localSheetId="6" hidden="1">{"'Sheet1'!$L$16"}</definedName>
    <definedName name="xls" localSheetId="7" hidden="1">{"'Sheet1'!$L$16"}</definedName>
    <definedName name="xls" localSheetId="8" hidden="1">{"'Sheet1'!$L$16"}</definedName>
    <definedName name="xls" localSheetId="9" hidden="1">{"'Sheet1'!$L$16"}</definedName>
    <definedName name="xls" localSheetId="10" hidden="1">{"'Sheet1'!$L$16"}</definedName>
    <definedName name="xls" hidden="1">{"'Sheet1'!$L$16"}</definedName>
    <definedName name="xlttbninh" localSheetId="3" hidden="1">{"'Sheet1'!$L$16"}</definedName>
    <definedName name="xlttbninh" localSheetId="4" hidden="1">{"'Sheet1'!$L$16"}</definedName>
    <definedName name="xlttbninh" localSheetId="5" hidden="1">{"'Sheet1'!$L$16"}</definedName>
    <definedName name="xlttbninh" localSheetId="6" hidden="1">{"'Sheet1'!$L$16"}</definedName>
    <definedName name="xlttbninh" localSheetId="7" hidden="1">{"'Sheet1'!$L$16"}</definedName>
    <definedName name="xlttbninh" localSheetId="8" hidden="1">{"'Sheet1'!$L$16"}</definedName>
    <definedName name="xlttbninh" localSheetId="9" hidden="1">{"'Sheet1'!$L$16"}</definedName>
    <definedName name="xlttbninh" localSheetId="10" hidden="1">{"'Sheet1'!$L$16"}</definedName>
    <definedName name="xlttbninh" hidden="1">{"'Sheet1'!$L$16"}</definedName>
  </definedNames>
  <calcPr calcId="191029"/>
</workbook>
</file>

<file path=xl/calcChain.xml><?xml version="1.0" encoding="utf-8"?>
<calcChain xmlns="http://schemas.openxmlformats.org/spreadsheetml/2006/main">
  <c r="G66" i="5" l="1"/>
  <c r="G65" i="5"/>
  <c r="H21" i="4" l="1"/>
  <c r="AE21" i="36" l="1"/>
  <c r="AE25" i="36"/>
  <c r="AE26" i="36"/>
  <c r="AE30" i="36"/>
  <c r="AE39" i="36"/>
  <c r="AE40" i="36"/>
  <c r="AE41" i="36"/>
  <c r="AE56" i="36"/>
  <c r="AE83" i="36"/>
  <c r="AE84" i="36"/>
  <c r="AE85" i="36"/>
  <c r="AE104" i="36"/>
  <c r="AE105" i="36"/>
  <c r="AE107" i="36"/>
  <c r="AE109" i="36"/>
  <c r="AE110" i="36"/>
  <c r="AE13" i="36"/>
  <c r="I9" i="17"/>
  <c r="D10" i="26"/>
  <c r="E21" i="26"/>
  <c r="AA127" i="36" l="1"/>
  <c r="U127" i="36"/>
  <c r="K127" i="36"/>
  <c r="C127" i="36" s="1"/>
  <c r="U126" i="36"/>
  <c r="N126" i="36" s="1"/>
  <c r="K126" i="36"/>
  <c r="C126" i="36" s="1"/>
  <c r="U125" i="36"/>
  <c r="N125" i="36" s="1"/>
  <c r="K125" i="36"/>
  <c r="C125" i="36" s="1"/>
  <c r="X124" i="36"/>
  <c r="U124" i="36"/>
  <c r="K124" i="36"/>
  <c r="C124" i="36" s="1"/>
  <c r="X123" i="36"/>
  <c r="U123" i="36"/>
  <c r="N123" i="36" s="1"/>
  <c r="K123" i="36"/>
  <c r="C123" i="36" s="1"/>
  <c r="X122" i="36"/>
  <c r="U122" i="36"/>
  <c r="K122" i="36"/>
  <c r="C122" i="36" s="1"/>
  <c r="X121" i="36"/>
  <c r="U121" i="36"/>
  <c r="S121" i="36"/>
  <c r="K121" i="36"/>
  <c r="C121" i="36" s="1"/>
  <c r="E113" i="36"/>
  <c r="C113" i="36" s="1"/>
  <c r="AC112" i="36"/>
  <c r="K112" i="36"/>
  <c r="AE112" i="36" s="1"/>
  <c r="AC111" i="36"/>
  <c r="X111" i="36"/>
  <c r="U111" i="36"/>
  <c r="N111" i="36"/>
  <c r="K111" i="36"/>
  <c r="C111" i="36"/>
  <c r="AC110" i="36"/>
  <c r="X110" i="36"/>
  <c r="U110" i="36"/>
  <c r="N110" i="36"/>
  <c r="L110" i="36"/>
  <c r="K110" i="36"/>
  <c r="C110" i="36" s="1"/>
  <c r="AC109" i="36"/>
  <c r="X109" i="36"/>
  <c r="U109" i="36"/>
  <c r="N109" i="36"/>
  <c r="L109" i="36"/>
  <c r="K109" i="36"/>
  <c r="C109" i="36" s="1"/>
  <c r="AC108" i="36"/>
  <c r="X108" i="36"/>
  <c r="U108" i="36"/>
  <c r="N108" i="36" s="1"/>
  <c r="K108" i="36"/>
  <c r="C108" i="36" s="1"/>
  <c r="AC107" i="36"/>
  <c r="X107" i="36"/>
  <c r="U107" i="36"/>
  <c r="L107" i="36"/>
  <c r="K107" i="36" s="1"/>
  <c r="C107" i="36" s="1"/>
  <c r="AC106" i="36"/>
  <c r="X106" i="36"/>
  <c r="U106" i="36"/>
  <c r="N106" i="36" s="1"/>
  <c r="AB106" i="36" s="1"/>
  <c r="K106" i="36"/>
  <c r="C106" i="36" s="1"/>
  <c r="AC105" i="36"/>
  <c r="X105" i="36"/>
  <c r="U105" i="36"/>
  <c r="N105" i="36" s="1"/>
  <c r="L105" i="36"/>
  <c r="K105" i="36" s="1"/>
  <c r="C105" i="36"/>
  <c r="AC104" i="36"/>
  <c r="X104" i="36"/>
  <c r="U104" i="36"/>
  <c r="N104" i="36" s="1"/>
  <c r="L104" i="36"/>
  <c r="K104" i="36" s="1"/>
  <c r="C104" i="36" s="1"/>
  <c r="AC103" i="36"/>
  <c r="X103" i="36"/>
  <c r="U103" i="36"/>
  <c r="N103" i="36" s="1"/>
  <c r="K103" i="36"/>
  <c r="C103" i="36" s="1"/>
  <c r="AC102" i="36"/>
  <c r="X102" i="36"/>
  <c r="U102" i="36"/>
  <c r="K102" i="36"/>
  <c r="C102" i="36" s="1"/>
  <c r="Z101" i="36"/>
  <c r="Y101" i="36"/>
  <c r="W101" i="36"/>
  <c r="V101" i="36"/>
  <c r="T101" i="36"/>
  <c r="S101" i="36"/>
  <c r="R101" i="36"/>
  <c r="Q101" i="36"/>
  <c r="P101" i="36"/>
  <c r="O101" i="36"/>
  <c r="AC101" i="36" s="1"/>
  <c r="M101" i="36"/>
  <c r="J101" i="36"/>
  <c r="I101" i="36"/>
  <c r="E101" i="36"/>
  <c r="D101" i="36"/>
  <c r="X100" i="36"/>
  <c r="U100" i="36"/>
  <c r="P100" i="36"/>
  <c r="AD100" i="36" s="1"/>
  <c r="K100" i="36"/>
  <c r="C100" i="36" s="1"/>
  <c r="X99" i="36"/>
  <c r="U99" i="36"/>
  <c r="P99" i="36"/>
  <c r="AD99" i="36" s="1"/>
  <c r="K99" i="36"/>
  <c r="C99" i="36" s="1"/>
  <c r="X98" i="36"/>
  <c r="U98" i="36"/>
  <c r="P98" i="36"/>
  <c r="AD98" i="36" s="1"/>
  <c r="K98" i="36"/>
  <c r="C98" i="36" s="1"/>
  <c r="X97" i="36"/>
  <c r="U97" i="36"/>
  <c r="P97" i="36"/>
  <c r="AD97" i="36" s="1"/>
  <c r="K97" i="36"/>
  <c r="C97" i="36" s="1"/>
  <c r="X96" i="36"/>
  <c r="U96" i="36"/>
  <c r="P96" i="36"/>
  <c r="AD96" i="36" s="1"/>
  <c r="K96" i="36"/>
  <c r="C96" i="36" s="1"/>
  <c r="X95" i="36"/>
  <c r="U95" i="36"/>
  <c r="P95" i="36"/>
  <c r="AD95" i="36" s="1"/>
  <c r="K95" i="36"/>
  <c r="C95" i="36" s="1"/>
  <c r="X94" i="36"/>
  <c r="U94" i="36"/>
  <c r="P94" i="36"/>
  <c r="AD94" i="36" s="1"/>
  <c r="K94" i="36"/>
  <c r="C94" i="36" s="1"/>
  <c r="X93" i="36"/>
  <c r="U93" i="36"/>
  <c r="P93" i="36"/>
  <c r="AD93" i="36" s="1"/>
  <c r="K93" i="36"/>
  <c r="C93" i="36" s="1"/>
  <c r="X92" i="36"/>
  <c r="U92" i="36"/>
  <c r="P92" i="36"/>
  <c r="AD92" i="36" s="1"/>
  <c r="K92" i="36"/>
  <c r="C92" i="36" s="1"/>
  <c r="X91" i="36"/>
  <c r="U91" i="36"/>
  <c r="P91" i="36"/>
  <c r="K91" i="36"/>
  <c r="C91" i="36" s="1"/>
  <c r="X90" i="36"/>
  <c r="U90" i="36"/>
  <c r="P90" i="36"/>
  <c r="N90" i="36" s="1"/>
  <c r="K90" i="36"/>
  <c r="C90" i="36" s="1"/>
  <c r="AD89" i="36"/>
  <c r="X89" i="36"/>
  <c r="U89" i="36"/>
  <c r="P89" i="36"/>
  <c r="N89" i="36"/>
  <c r="K89" i="36"/>
  <c r="C89" i="36"/>
  <c r="X88" i="36"/>
  <c r="U88" i="36"/>
  <c r="P88" i="36"/>
  <c r="AD88" i="36" s="1"/>
  <c r="N88" i="36"/>
  <c r="K88" i="36"/>
  <c r="C88" i="36"/>
  <c r="X87" i="36"/>
  <c r="U87" i="36"/>
  <c r="P87" i="36"/>
  <c r="N87" i="36"/>
  <c r="K87" i="36"/>
  <c r="C87" i="36"/>
  <c r="X86" i="36"/>
  <c r="U86" i="36"/>
  <c r="P86" i="36"/>
  <c r="AD86" i="36" s="1"/>
  <c r="K86" i="36"/>
  <c r="G86" i="36"/>
  <c r="C86" i="36"/>
  <c r="X85" i="36"/>
  <c r="U85" i="36"/>
  <c r="P85" i="36"/>
  <c r="K85" i="36"/>
  <c r="C85" i="36" s="1"/>
  <c r="X84" i="36"/>
  <c r="U84" i="36"/>
  <c r="P84" i="36"/>
  <c r="K84" i="36"/>
  <c r="X83" i="36"/>
  <c r="U83" i="36"/>
  <c r="P83" i="36"/>
  <c r="K83" i="36"/>
  <c r="C83" i="36" s="1"/>
  <c r="AC82" i="36"/>
  <c r="X82" i="36"/>
  <c r="U82" i="36"/>
  <c r="P82" i="36"/>
  <c r="N82" i="36" s="1"/>
  <c r="K82" i="36"/>
  <c r="C82" i="36" s="1"/>
  <c r="AC81" i="36"/>
  <c r="X81" i="36"/>
  <c r="U81" i="36"/>
  <c r="P81" i="36"/>
  <c r="K81" i="36"/>
  <c r="C81" i="36" s="1"/>
  <c r="AC80" i="36"/>
  <c r="X80" i="36"/>
  <c r="U80" i="36"/>
  <c r="P80" i="36"/>
  <c r="N80" i="36" s="1"/>
  <c r="K80" i="36"/>
  <c r="C80" i="36" s="1"/>
  <c r="AC79" i="36"/>
  <c r="X79" i="36"/>
  <c r="U79" i="36"/>
  <c r="P79" i="36"/>
  <c r="K79" i="36"/>
  <c r="C79" i="36" s="1"/>
  <c r="AC78" i="36"/>
  <c r="X78" i="36"/>
  <c r="U78" i="36"/>
  <c r="P78" i="36"/>
  <c r="K78" i="36"/>
  <c r="C78" i="36" s="1"/>
  <c r="AC77" i="36"/>
  <c r="X77" i="36"/>
  <c r="U77" i="36"/>
  <c r="P77" i="36"/>
  <c r="K77" i="36"/>
  <c r="C77" i="36" s="1"/>
  <c r="AC76" i="36"/>
  <c r="X76" i="36"/>
  <c r="U76" i="36"/>
  <c r="P76" i="36"/>
  <c r="K76" i="36"/>
  <c r="C76" i="36" s="1"/>
  <c r="U75" i="36"/>
  <c r="N75" i="36" s="1"/>
  <c r="AC74" i="36"/>
  <c r="X74" i="36"/>
  <c r="U74" i="36"/>
  <c r="P74" i="36"/>
  <c r="K74" i="36"/>
  <c r="C74" i="36" s="1"/>
  <c r="AC73" i="36"/>
  <c r="X73" i="36"/>
  <c r="U73" i="36"/>
  <c r="P73" i="36"/>
  <c r="K73" i="36"/>
  <c r="C73" i="36" s="1"/>
  <c r="AC72" i="36"/>
  <c r="X72" i="36"/>
  <c r="U72" i="36"/>
  <c r="P72" i="36"/>
  <c r="K72" i="36"/>
  <c r="C72" i="36" s="1"/>
  <c r="AC71" i="36"/>
  <c r="X71" i="36"/>
  <c r="U71" i="36"/>
  <c r="P71" i="36"/>
  <c r="K71" i="36"/>
  <c r="C71" i="36" s="1"/>
  <c r="AC70" i="36"/>
  <c r="X70" i="36"/>
  <c r="U70" i="36"/>
  <c r="P70" i="36"/>
  <c r="K70" i="36"/>
  <c r="C70" i="36" s="1"/>
  <c r="AC69" i="36"/>
  <c r="X69" i="36"/>
  <c r="U69" i="36"/>
  <c r="P69" i="36"/>
  <c r="K69" i="36"/>
  <c r="C69" i="36" s="1"/>
  <c r="AC68" i="36"/>
  <c r="X68" i="36"/>
  <c r="U68" i="36"/>
  <c r="P68" i="36"/>
  <c r="N68" i="36" s="1"/>
  <c r="K68" i="36"/>
  <c r="C68" i="36" s="1"/>
  <c r="AC67" i="36"/>
  <c r="X67" i="36"/>
  <c r="U67" i="36"/>
  <c r="P67" i="36"/>
  <c r="K67" i="36"/>
  <c r="C67" i="36" s="1"/>
  <c r="AC66" i="36"/>
  <c r="X66" i="36"/>
  <c r="U66" i="36"/>
  <c r="P66" i="36"/>
  <c r="K66" i="36"/>
  <c r="C66" i="36" s="1"/>
  <c r="AC65" i="36"/>
  <c r="X65" i="36"/>
  <c r="U65" i="36"/>
  <c r="P65" i="36"/>
  <c r="AD65" i="36" s="1"/>
  <c r="N65" i="36"/>
  <c r="K65" i="36"/>
  <c r="C65" i="36"/>
  <c r="AC64" i="36"/>
  <c r="X64" i="36"/>
  <c r="U64" i="36"/>
  <c r="P64" i="36"/>
  <c r="N64" i="36" s="1"/>
  <c r="K64" i="36"/>
  <c r="C64" i="36" s="1"/>
  <c r="AC63" i="36"/>
  <c r="X63" i="36"/>
  <c r="U63" i="36"/>
  <c r="P63" i="36"/>
  <c r="K63" i="36"/>
  <c r="C63" i="36" s="1"/>
  <c r="AC62" i="36"/>
  <c r="X62" i="36"/>
  <c r="U62" i="36"/>
  <c r="P62" i="36"/>
  <c r="N62" i="36" s="1"/>
  <c r="K62" i="36"/>
  <c r="C62" i="36" s="1"/>
  <c r="X61" i="36"/>
  <c r="U61" i="36"/>
  <c r="R61" i="36"/>
  <c r="Q61" i="36"/>
  <c r="K61" i="36"/>
  <c r="G61" i="36"/>
  <c r="C61" i="36"/>
  <c r="U60" i="36"/>
  <c r="P60" i="36"/>
  <c r="K60" i="36"/>
  <c r="C60" i="36" s="1"/>
  <c r="X59" i="36"/>
  <c r="U59" i="36"/>
  <c r="P59" i="36"/>
  <c r="K59" i="36"/>
  <c r="C59" i="36" s="1"/>
  <c r="X58" i="36"/>
  <c r="U58" i="36"/>
  <c r="P58" i="36"/>
  <c r="K58" i="36"/>
  <c r="C58" i="36" s="1"/>
  <c r="X57" i="36"/>
  <c r="U57" i="36"/>
  <c r="P57" i="36"/>
  <c r="K57" i="36"/>
  <c r="C57" i="36" s="1"/>
  <c r="AC56" i="36"/>
  <c r="X56" i="36"/>
  <c r="U56" i="36"/>
  <c r="Q56" i="36"/>
  <c r="P56" i="36" s="1"/>
  <c r="N56" i="36" s="1"/>
  <c r="AB56" i="36" s="1"/>
  <c r="K56" i="36"/>
  <c r="C56" i="36" s="1"/>
  <c r="X55" i="36"/>
  <c r="U55" i="36"/>
  <c r="P55" i="36"/>
  <c r="K55" i="36"/>
  <c r="C55" i="36" s="1"/>
  <c r="X54" i="36"/>
  <c r="U54" i="36"/>
  <c r="P54" i="36"/>
  <c r="AD54" i="36" s="1"/>
  <c r="K54" i="36"/>
  <c r="C54" i="36" s="1"/>
  <c r="X53" i="36"/>
  <c r="U53" i="36"/>
  <c r="P53" i="36"/>
  <c r="AD53" i="36" s="1"/>
  <c r="K53" i="36"/>
  <c r="C53" i="36" s="1"/>
  <c r="X52" i="36"/>
  <c r="U52" i="36"/>
  <c r="P52" i="36"/>
  <c r="K52" i="36"/>
  <c r="C52" i="36" s="1"/>
  <c r="X51" i="36"/>
  <c r="U51" i="36"/>
  <c r="P51" i="36"/>
  <c r="N51" i="36" s="1"/>
  <c r="K51" i="36"/>
  <c r="C51" i="36" s="1"/>
  <c r="X50" i="36"/>
  <c r="U50" i="36"/>
  <c r="P50" i="36"/>
  <c r="N50" i="36" s="1"/>
  <c r="AB50" i="36" s="1"/>
  <c r="K50" i="36"/>
  <c r="C50" i="36" s="1"/>
  <c r="AD49" i="36"/>
  <c r="X49" i="36"/>
  <c r="U49" i="36"/>
  <c r="P49" i="36"/>
  <c r="K49" i="36"/>
  <c r="C49" i="36" s="1"/>
  <c r="X48" i="36"/>
  <c r="U48" i="36"/>
  <c r="P48" i="36"/>
  <c r="K48" i="36"/>
  <c r="C48" i="36" s="1"/>
  <c r="X47" i="36"/>
  <c r="U47" i="36"/>
  <c r="P47" i="36"/>
  <c r="K47" i="36"/>
  <c r="C47" i="36" s="1"/>
  <c r="X46" i="36"/>
  <c r="U46" i="36"/>
  <c r="P46" i="36"/>
  <c r="K46" i="36"/>
  <c r="C46" i="36" s="1"/>
  <c r="X45" i="36"/>
  <c r="U45" i="36"/>
  <c r="P45" i="36"/>
  <c r="AD45" i="36" s="1"/>
  <c r="K45" i="36"/>
  <c r="C45" i="36" s="1"/>
  <c r="X44" i="36"/>
  <c r="U44" i="36"/>
  <c r="P44" i="36"/>
  <c r="K44" i="36"/>
  <c r="C44" i="36" s="1"/>
  <c r="AC43" i="36"/>
  <c r="X43" i="36"/>
  <c r="U43" i="36"/>
  <c r="P43" i="36"/>
  <c r="AD43" i="36" s="1"/>
  <c r="N43" i="36"/>
  <c r="K43" i="36"/>
  <c r="C43" i="36"/>
  <c r="X42" i="36"/>
  <c r="U42" i="36"/>
  <c r="P42" i="36"/>
  <c r="K42" i="36"/>
  <c r="C42" i="36" s="1"/>
  <c r="X41" i="36"/>
  <c r="U41" i="36"/>
  <c r="Q41" i="36"/>
  <c r="P41" i="36" s="1"/>
  <c r="K41" i="36"/>
  <c r="C41" i="36" s="1"/>
  <c r="X40" i="36"/>
  <c r="U40" i="36"/>
  <c r="Q40" i="36" s="1"/>
  <c r="P40" i="36" s="1"/>
  <c r="K40" i="36"/>
  <c r="C40" i="36" s="1"/>
  <c r="X39" i="36"/>
  <c r="U39" i="36"/>
  <c r="Q39" i="36"/>
  <c r="P39" i="36" s="1"/>
  <c r="N39" i="36" s="1"/>
  <c r="K39" i="36"/>
  <c r="C39" i="36" s="1"/>
  <c r="X38" i="36"/>
  <c r="U38" i="36"/>
  <c r="P38" i="36"/>
  <c r="AD38" i="36" s="1"/>
  <c r="K38" i="36"/>
  <c r="C38" i="36" s="1"/>
  <c r="X37" i="36"/>
  <c r="U37" i="36"/>
  <c r="P37" i="36"/>
  <c r="K37" i="36"/>
  <c r="C37" i="36" s="1"/>
  <c r="X36" i="36"/>
  <c r="U36" i="36"/>
  <c r="P36" i="36"/>
  <c r="AD36" i="36" s="1"/>
  <c r="K36" i="36"/>
  <c r="C36" i="36" s="1"/>
  <c r="AC35" i="36"/>
  <c r="X35" i="36"/>
  <c r="P35" i="36"/>
  <c r="AD35" i="36" s="1"/>
  <c r="K35" i="36"/>
  <c r="C35" i="36" s="1"/>
  <c r="X34" i="36"/>
  <c r="P34" i="36"/>
  <c r="AD34" i="36" s="1"/>
  <c r="N34" i="36"/>
  <c r="K34" i="36"/>
  <c r="C34" i="36"/>
  <c r="X33" i="36"/>
  <c r="U33" i="36"/>
  <c r="P33" i="36"/>
  <c r="AD33" i="36" s="1"/>
  <c r="N33" i="36"/>
  <c r="K33" i="36"/>
  <c r="C33" i="36"/>
  <c r="X32" i="36"/>
  <c r="U32" i="36"/>
  <c r="P32" i="36"/>
  <c r="AD32" i="36" s="1"/>
  <c r="N32" i="36"/>
  <c r="K32" i="36"/>
  <c r="C32" i="36"/>
  <c r="X31" i="36"/>
  <c r="U31" i="36"/>
  <c r="P31" i="36"/>
  <c r="AD31" i="36" s="1"/>
  <c r="N31" i="36"/>
  <c r="K31" i="36"/>
  <c r="C31" i="36"/>
  <c r="X30" i="36"/>
  <c r="U30" i="36"/>
  <c r="P30" i="36"/>
  <c r="AD30" i="36" s="1"/>
  <c r="N30" i="36"/>
  <c r="K30" i="36"/>
  <c r="C30" i="36"/>
  <c r="AC29" i="36"/>
  <c r="X29" i="36"/>
  <c r="U29" i="36"/>
  <c r="P29" i="36"/>
  <c r="K29" i="36"/>
  <c r="C29" i="36" s="1"/>
  <c r="X28" i="36"/>
  <c r="U28" i="36"/>
  <c r="P28" i="36"/>
  <c r="N28" i="36" s="1"/>
  <c r="AB28" i="36" s="1"/>
  <c r="K28" i="36"/>
  <c r="C28" i="36" s="1"/>
  <c r="AC27" i="36"/>
  <c r="X27" i="36"/>
  <c r="U27" i="36"/>
  <c r="P27" i="36"/>
  <c r="K27" i="36"/>
  <c r="C27" i="36" s="1"/>
  <c r="X26" i="36"/>
  <c r="U26" i="36"/>
  <c r="Q26" i="36"/>
  <c r="P26" i="36" s="1"/>
  <c r="K26" i="36"/>
  <c r="C26" i="36" s="1"/>
  <c r="X25" i="36"/>
  <c r="U25" i="36"/>
  <c r="Q25" i="36"/>
  <c r="P25" i="36" s="1"/>
  <c r="AD25" i="36" s="1"/>
  <c r="K25" i="36"/>
  <c r="C25" i="36" s="1"/>
  <c r="AC24" i="36"/>
  <c r="X24" i="36"/>
  <c r="U24" i="36"/>
  <c r="P24" i="36"/>
  <c r="K24" i="36"/>
  <c r="C24" i="36" s="1"/>
  <c r="AC23" i="36"/>
  <c r="X23" i="36"/>
  <c r="U23" i="36"/>
  <c r="P23" i="36"/>
  <c r="AD23" i="36" s="1"/>
  <c r="N23" i="36"/>
  <c r="K23" i="36"/>
  <c r="C23" i="36"/>
  <c r="X22" i="36"/>
  <c r="U22" i="36"/>
  <c r="P22" i="36"/>
  <c r="K22" i="36"/>
  <c r="C22" i="36" s="1"/>
  <c r="X21" i="36"/>
  <c r="U21" i="36"/>
  <c r="Q21" i="36"/>
  <c r="P21" i="36" s="1"/>
  <c r="AD21" i="36" s="1"/>
  <c r="K21" i="36"/>
  <c r="C21" i="36" s="1"/>
  <c r="AC20" i="36"/>
  <c r="X20" i="36"/>
  <c r="U20" i="36"/>
  <c r="P20" i="36"/>
  <c r="K20" i="36"/>
  <c r="C20" i="36" s="1"/>
  <c r="AC19" i="36"/>
  <c r="X19" i="36"/>
  <c r="U19" i="36"/>
  <c r="P19" i="36"/>
  <c r="N19" i="36" s="1"/>
  <c r="AB19" i="36" s="1"/>
  <c r="K19" i="36"/>
  <c r="C19" i="36" s="1"/>
  <c r="AC18" i="36"/>
  <c r="X18" i="36"/>
  <c r="U18" i="36"/>
  <c r="P18" i="36"/>
  <c r="K18" i="36"/>
  <c r="C18" i="36" s="1"/>
  <c r="AC17" i="36"/>
  <c r="X17" i="36"/>
  <c r="U17" i="36"/>
  <c r="P17" i="36"/>
  <c r="AD17" i="36" s="1"/>
  <c r="K17" i="36"/>
  <c r="C17" i="36" s="1"/>
  <c r="X16" i="36"/>
  <c r="U16" i="36"/>
  <c r="P16" i="36"/>
  <c r="AD16" i="36" s="1"/>
  <c r="K16" i="36"/>
  <c r="C16" i="36" s="1"/>
  <c r="X15" i="36"/>
  <c r="U15" i="36"/>
  <c r="P15" i="36"/>
  <c r="AD15" i="36" s="1"/>
  <c r="K15" i="36"/>
  <c r="C15" i="36" s="1"/>
  <c r="X14" i="36"/>
  <c r="U14" i="36"/>
  <c r="P14" i="36"/>
  <c r="K14" i="36"/>
  <c r="C14" i="36" s="1"/>
  <c r="AC13" i="36"/>
  <c r="X13" i="36"/>
  <c r="U13" i="36"/>
  <c r="Q13" i="36"/>
  <c r="M13" i="36"/>
  <c r="K13" i="36" s="1"/>
  <c r="Z12" i="36"/>
  <c r="Z11" i="36" s="1"/>
  <c r="Z10" i="36" s="1"/>
  <c r="Y12" i="36"/>
  <c r="Y11" i="36" s="1"/>
  <c r="W12" i="36"/>
  <c r="V12" i="36"/>
  <c r="V11" i="36" s="1"/>
  <c r="V10" i="36" s="1"/>
  <c r="T12" i="36"/>
  <c r="T11" i="36" s="1"/>
  <c r="T10" i="36" s="1"/>
  <c r="S12" i="36"/>
  <c r="S11" i="36" s="1"/>
  <c r="R12" i="36"/>
  <c r="R11" i="36" s="1"/>
  <c r="R10" i="36" s="1"/>
  <c r="O12" i="36"/>
  <c r="M12" i="36"/>
  <c r="L12" i="36"/>
  <c r="J12" i="36"/>
  <c r="J11" i="36" s="1"/>
  <c r="J10" i="36" s="1"/>
  <c r="I12" i="36"/>
  <c r="G12" i="36"/>
  <c r="G11" i="36" s="1"/>
  <c r="G10" i="36" s="1"/>
  <c r="F12" i="36"/>
  <c r="F11" i="36" s="1"/>
  <c r="F10" i="36" s="1"/>
  <c r="E12" i="36"/>
  <c r="E11" i="36" s="1"/>
  <c r="E10" i="36" s="1"/>
  <c r="D12" i="36"/>
  <c r="W11" i="36"/>
  <c r="W10" i="36" s="1"/>
  <c r="O11" i="36"/>
  <c r="M11" i="36"/>
  <c r="M10" i="36" s="1"/>
  <c r="I11" i="36"/>
  <c r="I10" i="36" s="1"/>
  <c r="D11" i="36"/>
  <c r="D10" i="36" s="1"/>
  <c r="AA10" i="36"/>
  <c r="Y10" i="36"/>
  <c r="S10" i="36"/>
  <c r="H10" i="36"/>
  <c r="N127" i="36" l="1"/>
  <c r="N10" i="36" s="1"/>
  <c r="C112" i="36"/>
  <c r="X101" i="36"/>
  <c r="AC12" i="36"/>
  <c r="N15" i="36"/>
  <c r="N16" i="36"/>
  <c r="N17" i="36"/>
  <c r="N22" i="36"/>
  <c r="N42" i="36"/>
  <c r="N45" i="36"/>
  <c r="N46" i="36"/>
  <c r="AB46" i="36" s="1"/>
  <c r="N47" i="36"/>
  <c r="N53" i="36"/>
  <c r="AB53" i="36" s="1"/>
  <c r="N54" i="36"/>
  <c r="N55" i="36"/>
  <c r="AB55" i="36" s="1"/>
  <c r="N58" i="36"/>
  <c r="AB58" i="36" s="1"/>
  <c r="N59" i="36"/>
  <c r="P61" i="36"/>
  <c r="N67" i="36"/>
  <c r="AB67" i="36" s="1"/>
  <c r="N69" i="36"/>
  <c r="N71" i="36"/>
  <c r="N73" i="36"/>
  <c r="N77" i="36"/>
  <c r="N79" i="36"/>
  <c r="N81" i="36"/>
  <c r="AB81" i="36" s="1"/>
  <c r="N83" i="36"/>
  <c r="AB83" i="36" s="1"/>
  <c r="N84" i="36"/>
  <c r="AB84" i="36" s="1"/>
  <c r="L101" i="36"/>
  <c r="K101" i="36" s="1"/>
  <c r="AB103" i="36"/>
  <c r="AB108" i="36"/>
  <c r="AC11" i="36"/>
  <c r="O10" i="36"/>
  <c r="AC10" i="36" s="1"/>
  <c r="AB15" i="36"/>
  <c r="AB16" i="36"/>
  <c r="AB17" i="36"/>
  <c r="AB64" i="36"/>
  <c r="N14" i="36"/>
  <c r="AD14" i="36"/>
  <c r="AD19" i="36"/>
  <c r="X12" i="36"/>
  <c r="X11" i="36" s="1"/>
  <c r="X10" i="36" s="1"/>
  <c r="AB23" i="36"/>
  <c r="AB30" i="36"/>
  <c r="AB31" i="36"/>
  <c r="AB32" i="36"/>
  <c r="AB33" i="36"/>
  <c r="AB43" i="36"/>
  <c r="AB65" i="36"/>
  <c r="AB68" i="36"/>
  <c r="AB80" i="36"/>
  <c r="AB82" i="36"/>
  <c r="AB88" i="36"/>
  <c r="AB105" i="36"/>
  <c r="AD22" i="36"/>
  <c r="N35" i="36"/>
  <c r="N36" i="36"/>
  <c r="N37" i="36"/>
  <c r="AB37" i="36" s="1"/>
  <c r="N38" i="36"/>
  <c r="AD42" i="36"/>
  <c r="AD47" i="36"/>
  <c r="N48" i="36"/>
  <c r="AB48" i="36" s="1"/>
  <c r="N49" i="36"/>
  <c r="AD51" i="36"/>
  <c r="AD59" i="36"/>
  <c r="N60" i="36"/>
  <c r="N63" i="36"/>
  <c r="N66" i="36"/>
  <c r="N70" i="36"/>
  <c r="N72" i="36"/>
  <c r="AB72" i="36" s="1"/>
  <c r="N74" i="36"/>
  <c r="AB74" i="36" s="1"/>
  <c r="N76" i="36"/>
  <c r="AB76" i="36" s="1"/>
  <c r="N78" i="36"/>
  <c r="AB78" i="36" s="1"/>
  <c r="N85" i="36"/>
  <c r="AB85" i="36" s="1"/>
  <c r="N86" i="36"/>
  <c r="N92" i="36"/>
  <c r="AB92" i="36" s="1"/>
  <c r="N93" i="36"/>
  <c r="AB93" i="36" s="1"/>
  <c r="N94" i="36"/>
  <c r="AB94" i="36" s="1"/>
  <c r="N95" i="36"/>
  <c r="AB95" i="36" s="1"/>
  <c r="N96" i="36"/>
  <c r="AB96" i="36" s="1"/>
  <c r="N97" i="36"/>
  <c r="AB97" i="36" s="1"/>
  <c r="N98" i="36"/>
  <c r="AB98" i="36" s="1"/>
  <c r="N99" i="36"/>
  <c r="AB99" i="36" s="1"/>
  <c r="N100" i="36"/>
  <c r="AB100" i="36" s="1"/>
  <c r="AB104" i="36"/>
  <c r="N107" i="36"/>
  <c r="AB107" i="36" s="1"/>
  <c r="N121" i="36"/>
  <c r="N122" i="36"/>
  <c r="N124" i="36"/>
  <c r="C13" i="36"/>
  <c r="K12" i="36"/>
  <c r="AD27" i="36"/>
  <c r="N27" i="36"/>
  <c r="AB27" i="36" s="1"/>
  <c r="AB35" i="36"/>
  <c r="AD39" i="36"/>
  <c r="AD40" i="36"/>
  <c r="N40" i="36"/>
  <c r="AB40" i="36" s="1"/>
  <c r="AD41" i="36"/>
  <c r="N41" i="36"/>
  <c r="AB41" i="36" s="1"/>
  <c r="AD52" i="36"/>
  <c r="N52" i="36"/>
  <c r="AD60" i="36"/>
  <c r="C84" i="36"/>
  <c r="N102" i="36"/>
  <c r="AB102" i="36" s="1"/>
  <c r="U101" i="36"/>
  <c r="L11" i="36"/>
  <c r="L10" i="36" s="1"/>
  <c r="P13" i="36"/>
  <c r="Q12" i="36"/>
  <c r="Q11" i="36" s="1"/>
  <c r="Q10" i="36" s="1"/>
  <c r="AB14" i="36"/>
  <c r="U12" i="36"/>
  <c r="AD18" i="36"/>
  <c r="N18" i="36"/>
  <c r="AB18" i="36" s="1"/>
  <c r="AD20" i="36"/>
  <c r="N20" i="36"/>
  <c r="AB20" i="36" s="1"/>
  <c r="N21" i="36"/>
  <c r="AB21" i="36" s="1"/>
  <c r="AB22" i="36"/>
  <c r="AD24" i="36"/>
  <c r="N24" i="36"/>
  <c r="AB24" i="36" s="1"/>
  <c r="N25" i="36"/>
  <c r="AB25" i="36" s="1"/>
  <c r="AD26" i="36"/>
  <c r="N26" i="36"/>
  <c r="AB26" i="36" s="1"/>
  <c r="AD28" i="36"/>
  <c r="AD29" i="36"/>
  <c r="N29" i="36"/>
  <c r="AB29" i="36" s="1"/>
  <c r="AD37" i="36"/>
  <c r="AB38" i="36"/>
  <c r="AB42" i="36"/>
  <c r="AD44" i="36"/>
  <c r="N44" i="36"/>
  <c r="AD46" i="36"/>
  <c r="AB47" i="36"/>
  <c r="AD48" i="36"/>
  <c r="AB49" i="36"/>
  <c r="AD50" i="36"/>
  <c r="AB51" i="36"/>
  <c r="AD55" i="36"/>
  <c r="AD56" i="36"/>
  <c r="AD57" i="36"/>
  <c r="N57" i="36"/>
  <c r="AD58" i="36"/>
  <c r="AB59" i="36"/>
  <c r="AB62" i="36"/>
  <c r="AB69" i="36"/>
  <c r="AB73" i="36"/>
  <c r="AB77" i="36"/>
  <c r="AB79" i="36"/>
  <c r="AD91" i="36"/>
  <c r="N91" i="36"/>
  <c r="AB109" i="36"/>
  <c r="AB110" i="36"/>
  <c r="AB111" i="36"/>
  <c r="C101" i="36" l="1"/>
  <c r="AE101" i="36"/>
  <c r="AD61" i="36"/>
  <c r="N61" i="36"/>
  <c r="K11" i="36"/>
  <c r="K10" i="36" s="1"/>
  <c r="AD13" i="36"/>
  <c r="P12" i="36"/>
  <c r="N13" i="36"/>
  <c r="N101" i="36"/>
  <c r="AB101" i="36" s="1"/>
  <c r="AE12" i="36"/>
  <c r="U11" i="36"/>
  <c r="C12" i="36"/>
  <c r="C11" i="36" s="1"/>
  <c r="C10" i="36" s="1"/>
  <c r="I15" i="17"/>
  <c r="I19" i="17"/>
  <c r="AE11" i="36" l="1"/>
  <c r="U10" i="36"/>
  <c r="AE10" i="36" s="1"/>
  <c r="AD12" i="36"/>
  <c r="P11" i="36"/>
  <c r="AB13" i="36"/>
  <c r="N12" i="36"/>
  <c r="AB12" i="36" l="1"/>
  <c r="N11" i="36"/>
  <c r="P10" i="36"/>
  <c r="AD10" i="36" s="1"/>
  <c r="AD11" i="36"/>
  <c r="N133" i="36" l="1"/>
  <c r="AB11" i="36"/>
  <c r="AB10" i="36" l="1"/>
  <c r="S13" i="30" l="1"/>
  <c r="Z11" i="31" l="1"/>
  <c r="Z12" i="31"/>
  <c r="Z13" i="31"/>
  <c r="Z14" i="31"/>
  <c r="Z15" i="31"/>
  <c r="Z16" i="31"/>
  <c r="Z17" i="31"/>
  <c r="Z18" i="31"/>
  <c r="Z19" i="31"/>
  <c r="Z20" i="31"/>
  <c r="Z10" i="31"/>
  <c r="Y11" i="31"/>
  <c r="Y12" i="31"/>
  <c r="Y13" i="31"/>
  <c r="Y14" i="31"/>
  <c r="Y15" i="31"/>
  <c r="Y16" i="31"/>
  <c r="Y17" i="31"/>
  <c r="Y18" i="31"/>
  <c r="Y19" i="31"/>
  <c r="Y20" i="31"/>
  <c r="Y10" i="31"/>
  <c r="X11" i="31"/>
  <c r="X12" i="31"/>
  <c r="X13" i="31"/>
  <c r="X14" i="31"/>
  <c r="X15" i="31"/>
  <c r="X16" i="31"/>
  <c r="X17" i="31"/>
  <c r="X18" i="31"/>
  <c r="X19" i="31"/>
  <c r="X20" i="31"/>
  <c r="X10" i="31"/>
  <c r="W11" i="31"/>
  <c r="W12" i="31"/>
  <c r="W13" i="31"/>
  <c r="W14" i="31"/>
  <c r="W15" i="31"/>
  <c r="W16" i="31"/>
  <c r="W17" i="31"/>
  <c r="W18" i="31"/>
  <c r="W19" i="31"/>
  <c r="W20" i="31"/>
  <c r="W10" i="31"/>
  <c r="U11" i="31"/>
  <c r="U12" i="31"/>
  <c r="U13" i="31"/>
  <c r="U14" i="31"/>
  <c r="U15" i="31"/>
  <c r="U16" i="31"/>
  <c r="U17" i="31"/>
  <c r="U18" i="31"/>
  <c r="U19" i="31"/>
  <c r="U20" i="31"/>
  <c r="U10" i="31"/>
  <c r="AC13" i="30"/>
  <c r="AC14" i="30"/>
  <c r="AC15" i="30"/>
  <c r="AC16" i="30"/>
  <c r="AC17" i="30"/>
  <c r="AC18" i="30"/>
  <c r="AC20" i="30"/>
  <c r="AB11" i="30"/>
  <c r="AB13" i="30"/>
  <c r="AB14" i="30"/>
  <c r="AB15" i="30"/>
  <c r="AB16" i="30"/>
  <c r="AB17" i="30"/>
  <c r="AB18" i="30"/>
  <c r="AB19" i="30"/>
  <c r="AB20" i="30"/>
  <c r="E35" i="18" l="1"/>
  <c r="F33" i="18"/>
  <c r="F32" i="18"/>
  <c r="E33" i="18"/>
  <c r="E32" i="18"/>
  <c r="E31" i="27"/>
  <c r="E30" i="27"/>
  <c r="D31" i="27"/>
  <c r="D30" i="27"/>
  <c r="AZ43" i="34"/>
  <c r="AY43" i="34"/>
  <c r="AS43" i="34"/>
  <c r="AH43" i="34"/>
  <c r="V43" i="34" s="1"/>
  <c r="AE43" i="34"/>
  <c r="AD43" i="34"/>
  <c r="AU43" i="34" s="1"/>
  <c r="AA43" i="34"/>
  <c r="Y43" i="34"/>
  <c r="Q43" i="34"/>
  <c r="O43" i="34"/>
  <c r="AW43" i="34" s="1"/>
  <c r="N43" i="34"/>
  <c r="M43" i="34" s="1"/>
  <c r="J43" i="34"/>
  <c r="E43" i="34" s="1"/>
  <c r="H43" i="34"/>
  <c r="G43" i="34"/>
  <c r="AZ42" i="34"/>
  <c r="AS42" i="34"/>
  <c r="AH42" i="34"/>
  <c r="V42" i="34" s="1"/>
  <c r="AM42" i="34" s="1"/>
  <c r="AE42" i="34"/>
  <c r="AD42" i="34"/>
  <c r="AU42" i="34" s="1"/>
  <c r="AA42" i="34"/>
  <c r="Y42" i="34"/>
  <c r="Q42" i="34"/>
  <c r="O42" i="34"/>
  <c r="AW42" i="34" s="1"/>
  <c r="N42" i="34"/>
  <c r="M42" i="34" s="1"/>
  <c r="J42" i="34"/>
  <c r="E42" i="34" s="1"/>
  <c r="H42" i="34"/>
  <c r="G42" i="34"/>
  <c r="AZ41" i="34"/>
  <c r="AY41" i="34"/>
  <c r="AW41" i="34"/>
  <c r="AV41" i="34"/>
  <c r="AS41" i="34"/>
  <c r="AP41" i="34"/>
  <c r="AH41" i="34"/>
  <c r="AE41" i="34"/>
  <c r="AD41" i="34"/>
  <c r="AA41" i="34"/>
  <c r="X41" i="34"/>
  <c r="V41" i="34"/>
  <c r="Q41" i="34"/>
  <c r="N41" i="34"/>
  <c r="M41" i="34" s="1"/>
  <c r="J41" i="34"/>
  <c r="E41" i="34" s="1"/>
  <c r="H41" i="34"/>
  <c r="G41" i="34"/>
  <c r="AZ40" i="34"/>
  <c r="AS40" i="34"/>
  <c r="AH40" i="34"/>
  <c r="V40" i="34" s="1"/>
  <c r="AM40" i="34" s="1"/>
  <c r="AE40" i="34"/>
  <c r="AD40" i="34"/>
  <c r="AU40" i="34" s="1"/>
  <c r="AA40" i="34"/>
  <c r="Y40" i="34"/>
  <c r="Q40" i="34"/>
  <c r="O40" i="34"/>
  <c r="AW40" i="34" s="1"/>
  <c r="N40" i="34"/>
  <c r="M40" i="34" s="1"/>
  <c r="J40" i="34"/>
  <c r="E40" i="34" s="1"/>
  <c r="H40" i="34"/>
  <c r="G40" i="34"/>
  <c r="AZ39" i="34"/>
  <c r="AY39" i="34"/>
  <c r="AS39" i="34"/>
  <c r="AH39" i="34"/>
  <c r="V39" i="34" s="1"/>
  <c r="AE39" i="34"/>
  <c r="AD39" i="34"/>
  <c r="AU39" i="34" s="1"/>
  <c r="AA39" i="34"/>
  <c r="Y39" i="34"/>
  <c r="Q39" i="34"/>
  <c r="O39" i="34"/>
  <c r="AW39" i="34" s="1"/>
  <c r="N39" i="34"/>
  <c r="M39" i="34" s="1"/>
  <c r="J39" i="34"/>
  <c r="E39" i="34" s="1"/>
  <c r="H39" i="34"/>
  <c r="G39" i="34"/>
  <c r="AZ38" i="34"/>
  <c r="AS38" i="34"/>
  <c r="AH38" i="34"/>
  <c r="V38" i="34" s="1"/>
  <c r="AM38" i="34" s="1"/>
  <c r="AE38" i="34"/>
  <c r="AD38" i="34"/>
  <c r="AU38" i="34" s="1"/>
  <c r="AA38" i="34"/>
  <c r="Y38" i="34"/>
  <c r="Q38" i="34"/>
  <c r="O38" i="34"/>
  <c r="AW38" i="34" s="1"/>
  <c r="N38" i="34"/>
  <c r="M38" i="34" s="1"/>
  <c r="J38" i="34"/>
  <c r="E38" i="34" s="1"/>
  <c r="H38" i="34"/>
  <c r="G38" i="34"/>
  <c r="AZ37" i="34"/>
  <c r="AS37" i="34"/>
  <c r="AP37" i="34"/>
  <c r="AH37" i="34"/>
  <c r="V37" i="34" s="1"/>
  <c r="AE37" i="34"/>
  <c r="AD37" i="34"/>
  <c r="AA37" i="34"/>
  <c r="AR37" i="34" s="1"/>
  <c r="X37" i="34"/>
  <c r="Q37" i="34"/>
  <c r="O37" i="34"/>
  <c r="J37" i="34"/>
  <c r="G37" i="34"/>
  <c r="E37" i="34"/>
  <c r="AZ36" i="34"/>
  <c r="AS36" i="34"/>
  <c r="AP36" i="34"/>
  <c r="AH36" i="34"/>
  <c r="AE36" i="34"/>
  <c r="AD36" i="34" s="1"/>
  <c r="AU36" i="34" s="1"/>
  <c r="AA36" i="34"/>
  <c r="X36" i="34"/>
  <c r="W36" i="34"/>
  <c r="U36" i="34"/>
  <c r="Q36" i="34"/>
  <c r="O36" i="34"/>
  <c r="AW36" i="34" s="1"/>
  <c r="N36" i="34"/>
  <c r="M36" i="34" s="1"/>
  <c r="J36" i="34"/>
  <c r="E36" i="34" s="1"/>
  <c r="G36" i="34"/>
  <c r="F36" i="34"/>
  <c r="D36" i="34"/>
  <c r="AZ35" i="34"/>
  <c r="AS35" i="34"/>
  <c r="AR35" i="34"/>
  <c r="AP35" i="34"/>
  <c r="AH35" i="34"/>
  <c r="AY35" i="34" s="1"/>
  <c r="AF35" i="34"/>
  <c r="AA35" i="34"/>
  <c r="X35" i="34"/>
  <c r="V35" i="34"/>
  <c r="AM35" i="34" s="1"/>
  <c r="Q35" i="34"/>
  <c r="O35" i="34"/>
  <c r="N35" i="34" s="1"/>
  <c r="M35" i="34"/>
  <c r="J35" i="34"/>
  <c r="G35" i="34"/>
  <c r="E35" i="34"/>
  <c r="AZ34" i="34"/>
  <c r="AS34" i="34"/>
  <c r="AP34" i="34"/>
  <c r="AH34" i="34"/>
  <c r="AH33" i="34" s="1"/>
  <c r="AF34" i="34"/>
  <c r="AW34" i="34" s="1"/>
  <c r="AE34" i="34"/>
  <c r="AD34" i="34" s="1"/>
  <c r="AA34" i="34"/>
  <c r="X34" i="34"/>
  <c r="AO34" i="34" s="1"/>
  <c r="W34" i="34"/>
  <c r="U34" i="34"/>
  <c r="Q34" i="34"/>
  <c r="O34" i="34"/>
  <c r="N34" i="34"/>
  <c r="J34" i="34"/>
  <c r="G34" i="34"/>
  <c r="F34" i="34"/>
  <c r="D34" i="34"/>
  <c r="AJ33" i="34"/>
  <c r="AI33" i="34"/>
  <c r="AZ33" i="34" s="1"/>
  <c r="AG33" i="34"/>
  <c r="AC33" i="34"/>
  <c r="AB33" i="34"/>
  <c r="AS33" i="34" s="1"/>
  <c r="AA33" i="34"/>
  <c r="Z33" i="34"/>
  <c r="S33" i="34"/>
  <c r="R33" i="34"/>
  <c r="Q33" i="34"/>
  <c r="P33" i="34"/>
  <c r="O33" i="34"/>
  <c r="L33" i="34"/>
  <c r="K33" i="34"/>
  <c r="I33" i="34"/>
  <c r="H33" i="34"/>
  <c r="G33" i="34"/>
  <c r="AH32" i="34"/>
  <c r="AF32" i="34"/>
  <c r="AE32" i="34" s="1"/>
  <c r="AD32" i="34" s="1"/>
  <c r="AA32" i="34"/>
  <c r="X32" i="34"/>
  <c r="V32" i="34"/>
  <c r="Q32" i="34"/>
  <c r="N32" i="34"/>
  <c r="M32" i="34" s="1"/>
  <c r="J32" i="34"/>
  <c r="E32" i="34" s="1"/>
  <c r="G32" i="34"/>
  <c r="F32" i="34"/>
  <c r="D32" i="34"/>
  <c r="AH31" i="34"/>
  <c r="V31" i="34" s="1"/>
  <c r="T31" i="34" s="1"/>
  <c r="AE31" i="34"/>
  <c r="AD31" i="34"/>
  <c r="AA31" i="34"/>
  <c r="X31" i="34"/>
  <c r="W31" i="34" s="1"/>
  <c r="Q31" i="34"/>
  <c r="E31" i="34" s="1"/>
  <c r="N31" i="34"/>
  <c r="M31" i="34"/>
  <c r="J31" i="34"/>
  <c r="H31" i="34"/>
  <c r="G31" i="34" s="1"/>
  <c r="F31" i="34" s="1"/>
  <c r="D31" i="34"/>
  <c r="C31" i="34" s="1"/>
  <c r="AH30" i="34"/>
  <c r="AF30" i="34"/>
  <c r="AE30" i="34"/>
  <c r="AD30" i="34" s="1"/>
  <c r="AA30" i="34"/>
  <c r="V30" i="34" s="1"/>
  <c r="X30" i="34"/>
  <c r="W30" i="34"/>
  <c r="U30" i="34"/>
  <c r="Q30" i="34"/>
  <c r="E30" i="34" s="1"/>
  <c r="N30" i="34"/>
  <c r="M30" i="34"/>
  <c r="J30" i="34"/>
  <c r="G30" i="34"/>
  <c r="AH29" i="34"/>
  <c r="AE29" i="34"/>
  <c r="AD29" i="34" s="1"/>
  <c r="AA29" i="34"/>
  <c r="Y29" i="34"/>
  <c r="X29" i="34"/>
  <c r="V29" i="34"/>
  <c r="Q29" i="34"/>
  <c r="N29" i="34"/>
  <c r="M29" i="34" s="1"/>
  <c r="J29" i="34"/>
  <c r="E29" i="34" s="1"/>
  <c r="H29" i="34"/>
  <c r="G29" i="34"/>
  <c r="AH28" i="34"/>
  <c r="AE28" i="34"/>
  <c r="AD28" i="34" s="1"/>
  <c r="AA28" i="34"/>
  <c r="Y28" i="34"/>
  <c r="X28" i="34"/>
  <c r="V28" i="34"/>
  <c r="Q28" i="34"/>
  <c r="N28" i="34"/>
  <c r="M28" i="34" s="1"/>
  <c r="J28" i="34"/>
  <c r="E28" i="34" s="1"/>
  <c r="H28" i="34"/>
  <c r="G28" i="34"/>
  <c r="AH27" i="34"/>
  <c r="AE27" i="34"/>
  <c r="AD27" i="34" s="1"/>
  <c r="AA27" i="34"/>
  <c r="Y27" i="34"/>
  <c r="X27" i="34"/>
  <c r="V27" i="34"/>
  <c r="Q27" i="34"/>
  <c r="N27" i="34"/>
  <c r="M27" i="34" s="1"/>
  <c r="J27" i="34"/>
  <c r="E27" i="34" s="1"/>
  <c r="H27" i="34"/>
  <c r="G27" i="34"/>
  <c r="AH26" i="34"/>
  <c r="AE26" i="34"/>
  <c r="AD26" i="34" s="1"/>
  <c r="AA26" i="34"/>
  <c r="Y26" i="34"/>
  <c r="X26" i="34"/>
  <c r="V26" i="34"/>
  <c r="Q26" i="34"/>
  <c r="N26" i="34"/>
  <c r="M26" i="34" s="1"/>
  <c r="J26" i="34"/>
  <c r="E26" i="34" s="1"/>
  <c r="H26" i="34"/>
  <c r="G26" i="34"/>
  <c r="AH25" i="34"/>
  <c r="AE25" i="34"/>
  <c r="AD25" i="34" s="1"/>
  <c r="AA25" i="34"/>
  <c r="Y25" i="34"/>
  <c r="X25" i="34"/>
  <c r="V25" i="34"/>
  <c r="Q25" i="34"/>
  <c r="N25" i="34"/>
  <c r="M25" i="34" s="1"/>
  <c r="J25" i="34"/>
  <c r="E25" i="34" s="1"/>
  <c r="H25" i="34"/>
  <c r="G25" i="34"/>
  <c r="AH24" i="34"/>
  <c r="AE24" i="34"/>
  <c r="AD24" i="34" s="1"/>
  <c r="AA24" i="34"/>
  <c r="V24" i="34" s="1"/>
  <c r="X24" i="34"/>
  <c r="W24" i="34"/>
  <c r="U24" i="34"/>
  <c r="T24" i="34" s="1"/>
  <c r="Q24" i="34"/>
  <c r="O24" i="34"/>
  <c r="N24" i="34"/>
  <c r="M24" i="34" s="1"/>
  <c r="J24" i="34"/>
  <c r="E24" i="34" s="1"/>
  <c r="G24" i="34"/>
  <c r="F24" i="34"/>
  <c r="D24" i="34"/>
  <c r="AS23" i="34"/>
  <c r="AH23" i="34"/>
  <c r="AE23" i="34"/>
  <c r="AD23" i="34" s="1"/>
  <c r="AA23" i="34"/>
  <c r="X23" i="34"/>
  <c r="W23" i="34"/>
  <c r="U23" i="34"/>
  <c r="Q23" i="34"/>
  <c r="N23" i="34"/>
  <c r="M23" i="34"/>
  <c r="J23" i="34"/>
  <c r="G23" i="34"/>
  <c r="E23" i="34"/>
  <c r="AS22" i="34"/>
  <c r="AH22" i="34"/>
  <c r="AE22" i="34"/>
  <c r="AD22" i="34"/>
  <c r="AA22" i="34"/>
  <c r="X22" i="34"/>
  <c r="V22" i="34"/>
  <c r="AM22" i="34" s="1"/>
  <c r="Q22" i="34"/>
  <c r="N22" i="34"/>
  <c r="M22" i="34" s="1"/>
  <c r="J22" i="34"/>
  <c r="E22" i="34" s="1"/>
  <c r="G22" i="34"/>
  <c r="F22" i="34"/>
  <c r="D22" i="34"/>
  <c r="AZ21" i="34"/>
  <c r="AH21" i="34"/>
  <c r="AE21" i="34"/>
  <c r="AD21" i="34" s="1"/>
  <c r="AU21" i="34" s="1"/>
  <c r="AA21" i="34"/>
  <c r="V21" i="34" s="1"/>
  <c r="X21" i="34"/>
  <c r="W21" i="34"/>
  <c r="U21" i="34"/>
  <c r="T21" i="34" s="1"/>
  <c r="Q21" i="34"/>
  <c r="N21" i="34"/>
  <c r="M21" i="34"/>
  <c r="J21" i="34"/>
  <c r="G21" i="34"/>
  <c r="E21" i="34"/>
  <c r="AZ20" i="34"/>
  <c r="AH20" i="34"/>
  <c r="AY20" i="34" s="1"/>
  <c r="AE20" i="34"/>
  <c r="AD20" i="34"/>
  <c r="AA20" i="34"/>
  <c r="X20" i="34"/>
  <c r="V20" i="34"/>
  <c r="AM20" i="34" s="1"/>
  <c r="Q20" i="34"/>
  <c r="N20" i="34"/>
  <c r="M20" i="34" s="1"/>
  <c r="J20" i="34"/>
  <c r="E20" i="34" s="1"/>
  <c r="G20" i="34"/>
  <c r="F20" i="34"/>
  <c r="D20" i="34"/>
  <c r="AZ19" i="34"/>
  <c r="AS19" i="34"/>
  <c r="AH19" i="34"/>
  <c r="AE19" i="34"/>
  <c r="AD19" i="34" s="1"/>
  <c r="AU19" i="34" s="1"/>
  <c r="AA19" i="34"/>
  <c r="AR19" i="34" s="1"/>
  <c r="X19" i="34"/>
  <c r="W19" i="34"/>
  <c r="U19" i="34"/>
  <c r="Q19" i="34"/>
  <c r="N19" i="34"/>
  <c r="M19" i="34"/>
  <c r="J19" i="34"/>
  <c r="G19" i="34"/>
  <c r="F19" i="34" s="1"/>
  <c r="E19" i="34"/>
  <c r="AZ18" i="34"/>
  <c r="AH18" i="34"/>
  <c r="AY18" i="34" s="1"/>
  <c r="AE18" i="34"/>
  <c r="AD18" i="34"/>
  <c r="AU18" i="34" s="1"/>
  <c r="AA18" i="34"/>
  <c r="X18" i="34"/>
  <c r="W18" i="34" s="1"/>
  <c r="V18" i="34"/>
  <c r="Q18" i="34"/>
  <c r="N18" i="34"/>
  <c r="M18" i="34" s="1"/>
  <c r="J18" i="34"/>
  <c r="E18" i="34" s="1"/>
  <c r="G18" i="34"/>
  <c r="F18" i="34"/>
  <c r="D18" i="34"/>
  <c r="AZ17" i="34"/>
  <c r="AS17" i="34"/>
  <c r="AH17" i="34"/>
  <c r="AY17" i="34" s="1"/>
  <c r="AE17" i="34"/>
  <c r="AD17" i="34"/>
  <c r="AU17" i="34" s="1"/>
  <c r="AA17" i="34"/>
  <c r="X17" i="34"/>
  <c r="W17" i="34" s="1"/>
  <c r="AN17" i="34" s="1"/>
  <c r="V17" i="34"/>
  <c r="Q17" i="34"/>
  <c r="N17" i="34"/>
  <c r="M17" i="34" s="1"/>
  <c r="J17" i="34"/>
  <c r="E17" i="34" s="1"/>
  <c r="G17" i="34"/>
  <c r="F17" i="34"/>
  <c r="D17" i="34"/>
  <c r="AZ16" i="34"/>
  <c r="AH16" i="34"/>
  <c r="AY16" i="34" s="1"/>
  <c r="AE16" i="34"/>
  <c r="AD16" i="34" s="1"/>
  <c r="AU16" i="34" s="1"/>
  <c r="AA16" i="34"/>
  <c r="V16" i="34" s="1"/>
  <c r="AM16" i="34" s="1"/>
  <c r="X16" i="34"/>
  <c r="W16" i="34"/>
  <c r="U16" i="34"/>
  <c r="T16" i="34" s="1"/>
  <c r="Q16" i="34"/>
  <c r="N16" i="34"/>
  <c r="M16" i="34"/>
  <c r="J16" i="34"/>
  <c r="G16" i="34"/>
  <c r="F16" i="34" s="1"/>
  <c r="E16" i="34"/>
  <c r="AZ15" i="34"/>
  <c r="AH15" i="34"/>
  <c r="AH13" i="34" s="1"/>
  <c r="AE15" i="34"/>
  <c r="AD15" i="34"/>
  <c r="AU15" i="34" s="1"/>
  <c r="AA15" i="34"/>
  <c r="X15" i="34"/>
  <c r="W15" i="34" s="1"/>
  <c r="V15" i="34"/>
  <c r="Q15" i="34"/>
  <c r="N15" i="34"/>
  <c r="M15" i="34" s="1"/>
  <c r="M13" i="34" s="1"/>
  <c r="J15" i="34"/>
  <c r="E15" i="34" s="1"/>
  <c r="E13" i="34" s="1"/>
  <c r="G15" i="34"/>
  <c r="F15" i="34"/>
  <c r="D15" i="34"/>
  <c r="AZ14" i="34"/>
  <c r="AH14" i="34"/>
  <c r="AY14" i="34" s="1"/>
  <c r="AE14" i="34"/>
  <c r="AD14" i="34" s="1"/>
  <c r="AA14" i="34"/>
  <c r="V14" i="34" s="1"/>
  <c r="X14" i="34"/>
  <c r="W14" i="34"/>
  <c r="U14" i="34"/>
  <c r="T14" i="34" s="1"/>
  <c r="Q14" i="34"/>
  <c r="N14" i="34"/>
  <c r="M14" i="34"/>
  <c r="J14" i="34"/>
  <c r="G14" i="34"/>
  <c r="F14" i="34" s="1"/>
  <c r="E14" i="34"/>
  <c r="AJ13" i="34"/>
  <c r="AI13" i="34"/>
  <c r="AZ13" i="34" s="1"/>
  <c r="AG13" i="34"/>
  <c r="AG12" i="34" s="1"/>
  <c r="AE13" i="34"/>
  <c r="AC13" i="34"/>
  <c r="AC12" i="34" s="1"/>
  <c r="AB13" i="34"/>
  <c r="AA13" i="34"/>
  <c r="Z13" i="34"/>
  <c r="Y13" i="34"/>
  <c r="S13" i="34"/>
  <c r="S12" i="34" s="1"/>
  <c r="R13" i="34"/>
  <c r="Q13" i="34"/>
  <c r="Q12" i="34" s="1"/>
  <c r="P13" i="34"/>
  <c r="O13" i="34"/>
  <c r="O12" i="34" s="1"/>
  <c r="L13" i="34"/>
  <c r="K13" i="34"/>
  <c r="K12" i="34" s="1"/>
  <c r="I13" i="34"/>
  <c r="I12" i="34" s="1"/>
  <c r="G13" i="34"/>
  <c r="G12" i="34" s="1"/>
  <c r="AJ12" i="34"/>
  <c r="AB12" i="34"/>
  <c r="AS12" i="34" s="1"/>
  <c r="Z12" i="34"/>
  <c r="R12" i="34"/>
  <c r="P12" i="34"/>
  <c r="L12" i="34"/>
  <c r="R10" i="31"/>
  <c r="AD13" i="34" l="1"/>
  <c r="AU14" i="34"/>
  <c r="E12" i="34"/>
  <c r="AY13" i="34"/>
  <c r="AH12" i="34"/>
  <c r="AY12" i="34" s="1"/>
  <c r="AM14" i="34"/>
  <c r="C15" i="34"/>
  <c r="AM15" i="34"/>
  <c r="C17" i="34"/>
  <c r="AM17" i="34"/>
  <c r="C18" i="34"/>
  <c r="AM18" i="34"/>
  <c r="AS13" i="34"/>
  <c r="AY15" i="34"/>
  <c r="AR17" i="34"/>
  <c r="AN19" i="34"/>
  <c r="F25" i="34"/>
  <c r="D25" i="34"/>
  <c r="C25" i="34" s="1"/>
  <c r="F26" i="34"/>
  <c r="D26" i="34"/>
  <c r="C26" i="34" s="1"/>
  <c r="F27" i="34"/>
  <c r="D27" i="34"/>
  <c r="C27" i="34" s="1"/>
  <c r="F28" i="34"/>
  <c r="D28" i="34"/>
  <c r="C28" i="34" s="1"/>
  <c r="F29" i="34"/>
  <c r="D29" i="34"/>
  <c r="C29" i="34" s="1"/>
  <c r="F30" i="34"/>
  <c r="D30" i="34"/>
  <c r="C30" i="34" s="1"/>
  <c r="E34" i="34"/>
  <c r="E33" i="34" s="1"/>
  <c r="J33" i="34"/>
  <c r="AR33" i="34" s="1"/>
  <c r="AU34" i="34"/>
  <c r="AY33" i="34"/>
  <c r="AN34" i="34"/>
  <c r="AY34" i="34"/>
  <c r="F35" i="34"/>
  <c r="D35" i="34"/>
  <c r="C35" i="34" s="1"/>
  <c r="AE35" i="34"/>
  <c r="AF33" i="34"/>
  <c r="AW33" i="34" s="1"/>
  <c r="AO35" i="34"/>
  <c r="AL36" i="34"/>
  <c r="AV36" i="34"/>
  <c r="AO37" i="34"/>
  <c r="W37" i="34"/>
  <c r="U37" i="34"/>
  <c r="AM37" i="34"/>
  <c r="AY37" i="34"/>
  <c r="X38" i="34"/>
  <c r="AP38" i="34"/>
  <c r="F39" i="34"/>
  <c r="D39" i="34"/>
  <c r="C39" i="34" s="1"/>
  <c r="X40" i="34"/>
  <c r="AP40" i="34"/>
  <c r="F41" i="34"/>
  <c r="D41" i="34"/>
  <c r="C41" i="34" s="1"/>
  <c r="X42" i="34"/>
  <c r="AP42" i="34"/>
  <c r="F43" i="34"/>
  <c r="D43" i="34"/>
  <c r="C43" i="34" s="1"/>
  <c r="AA12" i="34"/>
  <c r="AI12" i="34"/>
  <c r="AZ12" i="34" s="1"/>
  <c r="H13" i="34"/>
  <c r="H12" i="34" s="1"/>
  <c r="J13" i="34"/>
  <c r="J12" i="34" s="1"/>
  <c r="N13" i="34"/>
  <c r="X13" i="34"/>
  <c r="AF13" i="34"/>
  <c r="D14" i="34"/>
  <c r="U15" i="34"/>
  <c r="D16" i="34"/>
  <c r="C16" i="34" s="1"/>
  <c r="AK16" i="34" s="1"/>
  <c r="U17" i="34"/>
  <c r="T17" i="34" s="1"/>
  <c r="AK17" i="34" s="1"/>
  <c r="U18" i="34"/>
  <c r="T18" i="34" s="1"/>
  <c r="AK18" i="34" s="1"/>
  <c r="D19" i="34"/>
  <c r="C19" i="34" s="1"/>
  <c r="V19" i="34"/>
  <c r="AM19" i="34" s="1"/>
  <c r="AY19" i="34"/>
  <c r="C20" i="34"/>
  <c r="W20" i="34"/>
  <c r="W13" i="34" s="1"/>
  <c r="U20" i="34"/>
  <c r="T20" i="34" s="1"/>
  <c r="AK20" i="34" s="1"/>
  <c r="AU20" i="34"/>
  <c r="F21" i="34"/>
  <c r="F13" i="34" s="1"/>
  <c r="F12" i="34" s="1"/>
  <c r="D21" i="34"/>
  <c r="C21" i="34" s="1"/>
  <c r="AK21" i="34" s="1"/>
  <c r="AM21" i="34"/>
  <c r="AY21" i="34"/>
  <c r="C22" i="34"/>
  <c r="W22" i="34"/>
  <c r="AN22" i="34" s="1"/>
  <c r="U22" i="34"/>
  <c r="T22" i="34" s="1"/>
  <c r="AK22" i="34" s="1"/>
  <c r="AR22" i="34"/>
  <c r="F23" i="34"/>
  <c r="AN23" i="34" s="1"/>
  <c r="D23" i="34"/>
  <c r="C23" i="34" s="1"/>
  <c r="AR23" i="34"/>
  <c r="V23" i="34"/>
  <c r="AM23" i="34" s="1"/>
  <c r="C24" i="34"/>
  <c r="W25" i="34"/>
  <c r="U25" i="34"/>
  <c r="T25" i="34" s="1"/>
  <c r="W26" i="34"/>
  <c r="U26" i="34"/>
  <c r="T26" i="34" s="1"/>
  <c r="W27" i="34"/>
  <c r="U27" i="34"/>
  <c r="T27" i="34" s="1"/>
  <c r="W28" i="34"/>
  <c r="U28" i="34"/>
  <c r="T28" i="34" s="1"/>
  <c r="W29" i="34"/>
  <c r="U29" i="34"/>
  <c r="T29" i="34" s="1"/>
  <c r="T30" i="34"/>
  <c r="C32" i="34"/>
  <c r="W32" i="34"/>
  <c r="U32" i="34"/>
  <c r="T32" i="34" s="1"/>
  <c r="Y33" i="34"/>
  <c r="AP33" i="34" s="1"/>
  <c r="C34" i="34"/>
  <c r="M34" i="34"/>
  <c r="N33" i="34"/>
  <c r="AR34" i="34"/>
  <c r="V34" i="34"/>
  <c r="AL34" i="34"/>
  <c r="AV34" i="34"/>
  <c r="W35" i="34"/>
  <c r="U35" i="34"/>
  <c r="AW35" i="34"/>
  <c r="C36" i="34"/>
  <c r="AN36" i="34"/>
  <c r="AR36" i="34"/>
  <c r="V36" i="34"/>
  <c r="AM36" i="34" s="1"/>
  <c r="AY36" i="34"/>
  <c r="AW37" i="34"/>
  <c r="N37" i="34"/>
  <c r="F38" i="34"/>
  <c r="D38" i="34"/>
  <c r="C38" i="34" s="1"/>
  <c r="AY38" i="34"/>
  <c r="X39" i="34"/>
  <c r="AP39" i="34"/>
  <c r="AM39" i="34"/>
  <c r="F40" i="34"/>
  <c r="D40" i="34"/>
  <c r="C40" i="34" s="1"/>
  <c r="AY40" i="34"/>
  <c r="AM41" i="34"/>
  <c r="AR41" i="34"/>
  <c r="F42" i="34"/>
  <c r="D42" i="34"/>
  <c r="C42" i="34" s="1"/>
  <c r="AY42" i="34"/>
  <c r="X43" i="34"/>
  <c r="AP43" i="34"/>
  <c r="AM43" i="34"/>
  <c r="AO36" i="34"/>
  <c r="F37" i="34"/>
  <c r="F33" i="34" s="1"/>
  <c r="D37" i="34"/>
  <c r="C37" i="34" s="1"/>
  <c r="AR38" i="34"/>
  <c r="AV38" i="34"/>
  <c r="AR39" i="34"/>
  <c r="AV39" i="34"/>
  <c r="AR40" i="34"/>
  <c r="AV40" i="34"/>
  <c r="AO41" i="34"/>
  <c r="W41" i="34"/>
  <c r="AN41" i="34" s="1"/>
  <c r="U41" i="34"/>
  <c r="AU41" i="34"/>
  <c r="AR42" i="34"/>
  <c r="AV42" i="34"/>
  <c r="AR43" i="34"/>
  <c r="AV43" i="34"/>
  <c r="AN13" i="34" l="1"/>
  <c r="T41" i="34"/>
  <c r="AK41" i="34" s="1"/>
  <c r="AL41" i="34"/>
  <c r="AO43" i="34"/>
  <c r="W43" i="34"/>
  <c r="AN43" i="34" s="1"/>
  <c r="U43" i="34"/>
  <c r="AL35" i="34"/>
  <c r="T35" i="34"/>
  <c r="AK35" i="34" s="1"/>
  <c r="AM34" i="34"/>
  <c r="V33" i="34"/>
  <c r="AM33" i="34" s="1"/>
  <c r="D33" i="34"/>
  <c r="D13" i="34"/>
  <c r="C14" i="34"/>
  <c r="AN37" i="34"/>
  <c r="AR13" i="34"/>
  <c r="AU13" i="34"/>
  <c r="AO39" i="34"/>
  <c r="W39" i="34"/>
  <c r="AN39" i="34" s="1"/>
  <c r="U39" i="34"/>
  <c r="AV37" i="34"/>
  <c r="M37" i="34"/>
  <c r="AU37" i="34" s="1"/>
  <c r="X33" i="34"/>
  <c r="AO33" i="34" s="1"/>
  <c r="AN35" i="34"/>
  <c r="M33" i="34"/>
  <c r="M12" i="34" s="1"/>
  <c r="C33" i="34"/>
  <c r="T15" i="34"/>
  <c r="U13" i="34"/>
  <c r="AF12" i="34"/>
  <c r="AW12" i="34" s="1"/>
  <c r="N12" i="34"/>
  <c r="AR12" i="34"/>
  <c r="AO42" i="34"/>
  <c r="W42" i="34"/>
  <c r="AN42" i="34" s="1"/>
  <c r="U42" i="34"/>
  <c r="AO40" i="34"/>
  <c r="W40" i="34"/>
  <c r="AN40" i="34" s="1"/>
  <c r="U40" i="34"/>
  <c r="AO38" i="34"/>
  <c r="W38" i="34"/>
  <c r="AN38" i="34" s="1"/>
  <c r="U38" i="34"/>
  <c r="AL37" i="34"/>
  <c r="T37" i="34"/>
  <c r="AK37" i="34" s="1"/>
  <c r="T36" i="34"/>
  <c r="AK36" i="34" s="1"/>
  <c r="AV35" i="34"/>
  <c r="AD35" i="34"/>
  <c r="AE33" i="34"/>
  <c r="T34" i="34"/>
  <c r="T23" i="34"/>
  <c r="AK23" i="34" s="1"/>
  <c r="V13" i="34"/>
  <c r="Y12" i="34"/>
  <c r="AP12" i="34" s="1"/>
  <c r="T19" i="34"/>
  <c r="AK19" i="34" s="1"/>
  <c r="T10" i="31"/>
  <c r="AV33" i="34" l="1"/>
  <c r="AE12" i="34"/>
  <c r="AV12" i="34" s="1"/>
  <c r="T38" i="34"/>
  <c r="AK38" i="34" s="1"/>
  <c r="AL38" i="34"/>
  <c r="T42" i="34"/>
  <c r="AK42" i="34" s="1"/>
  <c r="AL42" i="34"/>
  <c r="U33" i="34"/>
  <c r="AL33" i="34" s="1"/>
  <c r="T39" i="34"/>
  <c r="AK39" i="34" s="1"/>
  <c r="AL39" i="34"/>
  <c r="C13" i="34"/>
  <c r="C12" i="34" s="1"/>
  <c r="AK14" i="34"/>
  <c r="AM13" i="34"/>
  <c r="V12" i="34"/>
  <c r="AM12" i="34" s="1"/>
  <c r="AK34" i="34"/>
  <c r="AU35" i="34"/>
  <c r="AD33" i="34"/>
  <c r="T40" i="34"/>
  <c r="AK40" i="34" s="1"/>
  <c r="AL40" i="34"/>
  <c r="AK15" i="34"/>
  <c r="T13" i="34"/>
  <c r="W33" i="34"/>
  <c r="X12" i="34"/>
  <c r="AO12" i="34" s="1"/>
  <c r="D12" i="34"/>
  <c r="T43" i="34"/>
  <c r="AK43" i="34" s="1"/>
  <c r="AL43" i="34"/>
  <c r="AK13" i="34" l="1"/>
  <c r="T12" i="34"/>
  <c r="AK12" i="34" s="1"/>
  <c r="AU33" i="34"/>
  <c r="AD12" i="34"/>
  <c r="AU12" i="34" s="1"/>
  <c r="T33" i="34"/>
  <c r="AK33" i="34" s="1"/>
  <c r="AN33" i="34"/>
  <c r="W12" i="34"/>
  <c r="AN12" i="34" s="1"/>
  <c r="U12" i="34"/>
  <c r="AL12" i="34" s="1"/>
  <c r="S20" i="30"/>
  <c r="S17" i="30"/>
  <c r="S14" i="30"/>
  <c r="Z20" i="30"/>
  <c r="Z18" i="30"/>
  <c r="Z16" i="30"/>
  <c r="Z15" i="30"/>
  <c r="Z14" i="30"/>
  <c r="Z13" i="30"/>
  <c r="Z12" i="30"/>
  <c r="Z11" i="30"/>
  <c r="L10" i="26" l="1"/>
  <c r="L17" i="26"/>
  <c r="L14" i="26" l="1"/>
  <c r="M20" i="31" l="1"/>
  <c r="I20" i="31"/>
  <c r="G20" i="31" s="1"/>
  <c r="D20" i="31"/>
  <c r="Q19" i="31"/>
  <c r="M19" i="31"/>
  <c r="I19" i="31"/>
  <c r="G19" i="31" s="1"/>
  <c r="D19" i="31"/>
  <c r="Q18" i="31"/>
  <c r="M18" i="31"/>
  <c r="I18" i="31"/>
  <c r="G18" i="31" s="1"/>
  <c r="D18" i="31"/>
  <c r="Q17" i="31"/>
  <c r="M17" i="31"/>
  <c r="I17" i="31"/>
  <c r="G17" i="31" s="1"/>
  <c r="D17" i="31"/>
  <c r="L17" i="31" s="1"/>
  <c r="M16" i="31"/>
  <c r="I16" i="31"/>
  <c r="G16" i="31" s="1"/>
  <c r="E16" i="31" s="1"/>
  <c r="D16" i="31"/>
  <c r="Q15" i="31"/>
  <c r="M15" i="31"/>
  <c r="I15" i="31"/>
  <c r="G15" i="31" s="1"/>
  <c r="D15" i="31"/>
  <c r="L15" i="31" s="1"/>
  <c r="M14" i="31"/>
  <c r="I14" i="31"/>
  <c r="G14" i="31" s="1"/>
  <c r="E14" i="31" s="1"/>
  <c r="D14" i="31"/>
  <c r="Q13" i="31"/>
  <c r="M13" i="31"/>
  <c r="I13" i="31"/>
  <c r="G13" i="31" s="1"/>
  <c r="D13" i="31"/>
  <c r="Q12" i="31"/>
  <c r="M12" i="31"/>
  <c r="M10" i="31" s="1"/>
  <c r="I12" i="31"/>
  <c r="G12" i="31"/>
  <c r="D12" i="31"/>
  <c r="Q11" i="31"/>
  <c r="M11" i="31"/>
  <c r="I11" i="31"/>
  <c r="G11" i="31" s="1"/>
  <c r="D11" i="31"/>
  <c r="P10" i="31"/>
  <c r="O10" i="31"/>
  <c r="N10" i="31"/>
  <c r="J10" i="31"/>
  <c r="H10" i="31"/>
  <c r="F10" i="31"/>
  <c r="G10" i="31" l="1"/>
  <c r="I10" i="31"/>
  <c r="E11" i="31"/>
  <c r="E12" i="31"/>
  <c r="E13" i="31"/>
  <c r="Q14" i="31"/>
  <c r="Q16" i="31"/>
  <c r="E18" i="31"/>
  <c r="E19" i="31"/>
  <c r="E20" i="31"/>
  <c r="Q20" i="31"/>
  <c r="C11" i="31"/>
  <c r="S11" i="31" s="1"/>
  <c r="D10" i="31"/>
  <c r="L11" i="31"/>
  <c r="L12" i="31"/>
  <c r="C12" i="31"/>
  <c r="S12" i="31" s="1"/>
  <c r="L13" i="31"/>
  <c r="L14" i="31"/>
  <c r="T14" i="31" s="1"/>
  <c r="C14" i="31"/>
  <c r="S14" i="31" s="1"/>
  <c r="E15" i="31"/>
  <c r="T15" i="31"/>
  <c r="K15" i="31"/>
  <c r="C16" i="31"/>
  <c r="S16" i="31" s="1"/>
  <c r="L16" i="31"/>
  <c r="E17" i="31"/>
  <c r="T17" i="31"/>
  <c r="K17" i="31"/>
  <c r="C18" i="31"/>
  <c r="S18" i="31" s="1"/>
  <c r="L18" i="31"/>
  <c r="C19" i="31"/>
  <c r="S19" i="31" s="1"/>
  <c r="L19" i="31"/>
  <c r="L20" i="31"/>
  <c r="C20" i="31"/>
  <c r="S20" i="31" s="1"/>
  <c r="Y40" i="22"/>
  <c r="H27" i="22"/>
  <c r="H40" i="22"/>
  <c r="AH31" i="22"/>
  <c r="AE31" i="22"/>
  <c r="AD31" i="22" s="1"/>
  <c r="AA31" i="22"/>
  <c r="V31" i="22" s="1"/>
  <c r="X31" i="22"/>
  <c r="W31" i="22"/>
  <c r="T31" i="22"/>
  <c r="Q31" i="22"/>
  <c r="N31" i="22"/>
  <c r="M31" i="22"/>
  <c r="J31" i="22"/>
  <c r="G31" i="22"/>
  <c r="F31" i="22" s="1"/>
  <c r="E31" i="22"/>
  <c r="H26" i="22"/>
  <c r="H25" i="22"/>
  <c r="Q10" i="31" l="1"/>
  <c r="C17" i="31"/>
  <c r="S17" i="31" s="1"/>
  <c r="C15" i="31"/>
  <c r="S15" i="31" s="1"/>
  <c r="T13" i="31"/>
  <c r="K13" i="31"/>
  <c r="T11" i="31"/>
  <c r="K11" i="31"/>
  <c r="L10" i="31"/>
  <c r="E10" i="31"/>
  <c r="T20" i="31"/>
  <c r="K20" i="31"/>
  <c r="T19" i="31"/>
  <c r="K19" i="31"/>
  <c r="T18" i="31"/>
  <c r="K18" i="31"/>
  <c r="K16" i="31"/>
  <c r="T16" i="31"/>
  <c r="C13" i="31"/>
  <c r="S13" i="31" s="1"/>
  <c r="T12" i="31"/>
  <c r="K12" i="31"/>
  <c r="D31" i="22"/>
  <c r="C31" i="22" s="1"/>
  <c r="X20" i="30"/>
  <c r="W20" i="30"/>
  <c r="L20" i="30"/>
  <c r="G20" i="30"/>
  <c r="X19" i="30"/>
  <c r="S19" i="30" s="1"/>
  <c r="AC19" i="30" s="1"/>
  <c r="W19" i="30"/>
  <c r="L19" i="30"/>
  <c r="K19" i="30" s="1"/>
  <c r="G19" i="30"/>
  <c r="X18" i="30"/>
  <c r="W18" i="30"/>
  <c r="V18" i="30" s="1"/>
  <c r="L18" i="30"/>
  <c r="K18" i="30" s="1"/>
  <c r="G18" i="30"/>
  <c r="X17" i="30"/>
  <c r="W17" i="30"/>
  <c r="K17" i="30"/>
  <c r="G17" i="30"/>
  <c r="X16" i="30"/>
  <c r="W16" i="30"/>
  <c r="V16" i="30" s="1"/>
  <c r="L16" i="30"/>
  <c r="K16" i="30" s="1"/>
  <c r="G16" i="30"/>
  <c r="C16" i="30" s="1"/>
  <c r="X15" i="30"/>
  <c r="W15" i="30"/>
  <c r="L15" i="30"/>
  <c r="K15" i="30" s="1"/>
  <c r="G15" i="30"/>
  <c r="X14" i="30"/>
  <c r="W14" i="30"/>
  <c r="K14" i="30"/>
  <c r="G14" i="30"/>
  <c r="C14" i="30" s="1"/>
  <c r="X13" i="30"/>
  <c r="W13" i="30"/>
  <c r="K13" i="30"/>
  <c r="G13" i="30"/>
  <c r="C13" i="30" s="1"/>
  <c r="X12" i="30"/>
  <c r="S12" i="30" s="1"/>
  <c r="W12" i="30"/>
  <c r="K12" i="30"/>
  <c r="G12" i="30"/>
  <c r="X11" i="30"/>
  <c r="S11" i="30" s="1"/>
  <c r="W11" i="30"/>
  <c r="P11" i="30"/>
  <c r="M11" i="30"/>
  <c r="M10" i="30" s="1"/>
  <c r="L11" i="30"/>
  <c r="K11" i="30" s="1"/>
  <c r="G11" i="30"/>
  <c r="Z10" i="30"/>
  <c r="Y10" i="30"/>
  <c r="U10" i="30"/>
  <c r="T10" i="30"/>
  <c r="R10" i="30"/>
  <c r="Q10" i="30"/>
  <c r="N10" i="30"/>
  <c r="J10" i="30"/>
  <c r="I10" i="30"/>
  <c r="H10" i="30"/>
  <c r="F10" i="30"/>
  <c r="E10" i="30"/>
  <c r="D10" i="30"/>
  <c r="AC11" i="30" l="1"/>
  <c r="O16" i="30"/>
  <c r="AA16" i="30" s="1"/>
  <c r="AD16" i="30"/>
  <c r="O18" i="30"/>
  <c r="AA18" i="30" s="1"/>
  <c r="AD18" i="30"/>
  <c r="C10" i="31"/>
  <c r="S10" i="31" s="1"/>
  <c r="X10" i="30"/>
  <c r="C12" i="30"/>
  <c r="P12" i="30"/>
  <c r="AB12" i="30" s="1"/>
  <c r="V19" i="30"/>
  <c r="AD19" i="30" s="1"/>
  <c r="C11" i="30"/>
  <c r="L10" i="30"/>
  <c r="P10" i="30"/>
  <c r="AB10" i="30" s="1"/>
  <c r="V12" i="30"/>
  <c r="AD12" i="30" s="1"/>
  <c r="C17" i="30"/>
  <c r="O19" i="30"/>
  <c r="AA19" i="30" s="1"/>
  <c r="C15" i="30"/>
  <c r="C19" i="30"/>
  <c r="K20" i="30"/>
  <c r="V11" i="30"/>
  <c r="AD11" i="30" s="1"/>
  <c r="V14" i="30"/>
  <c r="K10" i="31"/>
  <c r="C18" i="30"/>
  <c r="G10" i="30"/>
  <c r="W10" i="30"/>
  <c r="V13" i="30"/>
  <c r="V15" i="30"/>
  <c r="V17" i="30"/>
  <c r="V20" i="30"/>
  <c r="O24" i="22"/>
  <c r="O36" i="22"/>
  <c r="O34" i="22"/>
  <c r="O35" i="22"/>
  <c r="O42" i="22"/>
  <c r="O37" i="22"/>
  <c r="O38" i="22"/>
  <c r="O40" i="22"/>
  <c r="O39" i="22"/>
  <c r="O17" i="30" l="1"/>
  <c r="AA17" i="30" s="1"/>
  <c r="AD17" i="30"/>
  <c r="O13" i="30"/>
  <c r="AA13" i="30" s="1"/>
  <c r="AD13" i="30"/>
  <c r="O20" i="30"/>
  <c r="AA20" i="30" s="1"/>
  <c r="AD20" i="30"/>
  <c r="O15" i="30"/>
  <c r="AA15" i="30" s="1"/>
  <c r="AD15" i="30"/>
  <c r="O14" i="30"/>
  <c r="AA14" i="30" s="1"/>
  <c r="AD14" i="30"/>
  <c r="S10" i="30"/>
  <c r="AC10" i="30" s="1"/>
  <c r="AC12" i="30"/>
  <c r="O11" i="30"/>
  <c r="AA11" i="30" s="1"/>
  <c r="O12" i="30"/>
  <c r="AA12" i="30" s="1"/>
  <c r="C20" i="30"/>
  <c r="K10" i="30"/>
  <c r="V10" i="30"/>
  <c r="AD10" i="30" s="1"/>
  <c r="C10" i="30" l="1"/>
  <c r="O10" i="30"/>
  <c r="AA10" i="30" s="1"/>
  <c r="H161" i="18"/>
  <c r="I161" i="18"/>
  <c r="J161" i="18"/>
  <c r="K161" i="18"/>
  <c r="L161" i="18"/>
  <c r="I160" i="18"/>
  <c r="H160" i="18"/>
  <c r="K10" i="26"/>
  <c r="G161" i="18" l="1"/>
  <c r="G20" i="18"/>
  <c r="E86" i="18" l="1"/>
  <c r="E76" i="18"/>
  <c r="D150" i="18"/>
  <c r="D151" i="18"/>
  <c r="D152" i="18"/>
  <c r="D153" i="18"/>
  <c r="D154" i="18"/>
  <c r="D155" i="18"/>
  <c r="D156" i="18"/>
  <c r="D157" i="18"/>
  <c r="D158" i="18"/>
  <c r="D159" i="18"/>
  <c r="D149" i="18"/>
  <c r="E54" i="18"/>
  <c r="F54" i="18"/>
  <c r="L54" i="18" s="1"/>
  <c r="H54" i="18"/>
  <c r="K54" i="18" s="1"/>
  <c r="I54" i="18"/>
  <c r="I53" i="18" s="1"/>
  <c r="G70" i="18"/>
  <c r="K70" i="18"/>
  <c r="AI213" i="25"/>
  <c r="AF213" i="25"/>
  <c r="AC213" i="25"/>
  <c r="Z213" i="25"/>
  <c r="W213" i="25"/>
  <c r="P213" i="25"/>
  <c r="O213" i="25" s="1"/>
  <c r="I213" i="25"/>
  <c r="H213" i="25" s="1"/>
  <c r="C213" i="25"/>
  <c r="V213" i="25" l="1"/>
  <c r="AO213" i="25" s="1"/>
  <c r="D22" i="17"/>
  <c r="E42" i="17" l="1"/>
  <c r="G26" i="17"/>
  <c r="G27" i="17"/>
  <c r="G28" i="17"/>
  <c r="F49" i="17" l="1"/>
  <c r="G49" i="17"/>
  <c r="E43" i="17"/>
  <c r="H58" i="28"/>
  <c r="G58" i="28"/>
  <c r="F58" i="28"/>
  <c r="D58" i="28"/>
  <c r="J58" i="28" s="1"/>
  <c r="C58" i="28"/>
  <c r="I58" i="28" s="1"/>
  <c r="H57" i="28"/>
  <c r="G57" i="28"/>
  <c r="F57" i="28"/>
  <c r="D57" i="28"/>
  <c r="J57" i="28" s="1"/>
  <c r="C57" i="28"/>
  <c r="I57" i="28" s="1"/>
  <c r="H56" i="28"/>
  <c r="G56" i="28"/>
  <c r="F56" i="28"/>
  <c r="D56" i="28"/>
  <c r="J56" i="28" s="1"/>
  <c r="C56" i="28"/>
  <c r="I56" i="28" s="1"/>
  <c r="H55" i="28"/>
  <c r="G55" i="28"/>
  <c r="F55" i="28"/>
  <c r="D55" i="28"/>
  <c r="J55" i="28" s="1"/>
  <c r="C55" i="28"/>
  <c r="I55" i="28" s="1"/>
  <c r="H54" i="28"/>
  <c r="G54" i="28"/>
  <c r="F54" i="28"/>
  <c r="D54" i="28"/>
  <c r="J54" i="28" s="1"/>
  <c r="C54" i="28"/>
  <c r="I54" i="28" s="1"/>
  <c r="H53" i="28"/>
  <c r="G53" i="28"/>
  <c r="F53" i="28"/>
  <c r="D53" i="28"/>
  <c r="J53" i="28" s="1"/>
  <c r="C53" i="28"/>
  <c r="I53" i="28" s="1"/>
  <c r="H52" i="28"/>
  <c r="G52" i="28"/>
  <c r="F52" i="28"/>
  <c r="D52" i="28"/>
  <c r="J52" i="28" s="1"/>
  <c r="C52" i="28"/>
  <c r="I52" i="28" s="1"/>
  <c r="H51" i="28"/>
  <c r="G51" i="28"/>
  <c r="F51" i="28"/>
  <c r="D51" i="28"/>
  <c r="J51" i="28" s="1"/>
  <c r="C51" i="28"/>
  <c r="I51" i="28" s="1"/>
  <c r="H50" i="28"/>
  <c r="G50" i="28"/>
  <c r="F50" i="28"/>
  <c r="D50" i="28"/>
  <c r="J50" i="28" s="1"/>
  <c r="C50" i="28"/>
  <c r="I50" i="28" s="1"/>
  <c r="H49" i="28"/>
  <c r="G49" i="28"/>
  <c r="F49" i="28"/>
  <c r="D49" i="28"/>
  <c r="J49" i="28" s="1"/>
  <c r="C49" i="28"/>
  <c r="I49" i="28" s="1"/>
  <c r="H48" i="28"/>
  <c r="G48" i="28"/>
  <c r="F48" i="28"/>
  <c r="D48" i="28"/>
  <c r="J48" i="28" s="1"/>
  <c r="C48" i="28"/>
  <c r="I48" i="28" s="1"/>
  <c r="H47" i="28"/>
  <c r="G47" i="28"/>
  <c r="F47" i="28"/>
  <c r="D47" i="28"/>
  <c r="J47" i="28" s="1"/>
  <c r="C47" i="28"/>
  <c r="I47" i="28" s="1"/>
  <c r="H46" i="28"/>
  <c r="G46" i="28"/>
  <c r="F46" i="28"/>
  <c r="D46" i="28"/>
  <c r="C46" i="28"/>
  <c r="I46" i="28" s="1"/>
  <c r="H45" i="28"/>
  <c r="G45" i="28"/>
  <c r="F45" i="28"/>
  <c r="D45" i="28"/>
  <c r="C45" i="28"/>
  <c r="H44" i="28"/>
  <c r="G44" i="28"/>
  <c r="F44" i="28"/>
  <c r="D44" i="28"/>
  <c r="C44" i="28"/>
  <c r="H43" i="28"/>
  <c r="G43" i="28"/>
  <c r="F43" i="28"/>
  <c r="D43" i="28"/>
  <c r="J43" i="28" s="1"/>
  <c r="C43" i="28"/>
  <c r="I43" i="28" s="1"/>
  <c r="H42" i="28"/>
  <c r="G42" i="28"/>
  <c r="F42" i="28"/>
  <c r="D42" i="28"/>
  <c r="C42" i="28"/>
  <c r="H41" i="28"/>
  <c r="G41" i="28"/>
  <c r="F41" i="28"/>
  <c r="D41" i="28"/>
  <c r="C41" i="28"/>
  <c r="I41" i="28" s="1"/>
  <c r="H40" i="28"/>
  <c r="G40" i="28"/>
  <c r="F40" i="28"/>
  <c r="D40" i="28"/>
  <c r="C40" i="28"/>
  <c r="I40" i="28" s="1"/>
  <c r="H39" i="28"/>
  <c r="G39" i="28"/>
  <c r="F39" i="28"/>
  <c r="D39" i="28"/>
  <c r="C39" i="28"/>
  <c r="I39" i="28" s="1"/>
  <c r="H38" i="28"/>
  <c r="G38" i="28"/>
  <c r="F38" i="28"/>
  <c r="D38" i="28"/>
  <c r="C38" i="28"/>
  <c r="I38" i="28" s="1"/>
  <c r="H37" i="28"/>
  <c r="G37" i="28"/>
  <c r="F37" i="28"/>
  <c r="D37" i="28"/>
  <c r="C37" i="28"/>
  <c r="H36" i="28"/>
  <c r="G36" i="28"/>
  <c r="F36" i="28"/>
  <c r="D36" i="28"/>
  <c r="C36" i="28"/>
  <c r="I36" i="28" s="1"/>
  <c r="H35" i="28"/>
  <c r="G35" i="28"/>
  <c r="F35" i="28"/>
  <c r="D35" i="28"/>
  <c r="C35" i="28"/>
  <c r="I35" i="28" s="1"/>
  <c r="H34" i="28"/>
  <c r="G34" i="28"/>
  <c r="F34" i="28"/>
  <c r="D34" i="28"/>
  <c r="C34" i="28"/>
  <c r="I34" i="28" s="1"/>
  <c r="H33" i="28"/>
  <c r="G33" i="28"/>
  <c r="F33" i="28"/>
  <c r="D33" i="28"/>
  <c r="C33" i="28"/>
  <c r="I33" i="28" s="1"/>
  <c r="H32" i="28"/>
  <c r="G32" i="28"/>
  <c r="F32" i="28"/>
  <c r="D32" i="28"/>
  <c r="C32" i="28"/>
  <c r="H31" i="28"/>
  <c r="G31" i="28"/>
  <c r="F31" i="28"/>
  <c r="D31" i="28"/>
  <c r="C31" i="28"/>
  <c r="H30" i="28"/>
  <c r="G30" i="28"/>
  <c r="F30" i="28"/>
  <c r="D30" i="28"/>
  <c r="C30" i="28"/>
  <c r="I30" i="28" s="1"/>
  <c r="H29" i="28"/>
  <c r="G29" i="28"/>
  <c r="F29" i="28"/>
  <c r="D29" i="28"/>
  <c r="C29" i="28"/>
  <c r="I29" i="28" s="1"/>
  <c r="D28" i="28"/>
  <c r="C28" i="28"/>
  <c r="H27" i="28"/>
  <c r="G27" i="28"/>
  <c r="F27" i="28"/>
  <c r="D27" i="28"/>
  <c r="J27" i="28" s="1"/>
  <c r="C27" i="28"/>
  <c r="I27" i="28" s="1"/>
  <c r="H26" i="28"/>
  <c r="G26" i="28"/>
  <c r="F26" i="28"/>
  <c r="D26" i="28"/>
  <c r="J26" i="28" s="1"/>
  <c r="C26" i="28"/>
  <c r="I26" i="28" s="1"/>
  <c r="H25" i="28"/>
  <c r="G25" i="28"/>
  <c r="F25" i="28"/>
  <c r="D25" i="28"/>
  <c r="C25" i="28"/>
  <c r="I25" i="28" s="1"/>
  <c r="H24" i="28"/>
  <c r="G24" i="28"/>
  <c r="F24" i="28"/>
  <c r="D24" i="28"/>
  <c r="C24" i="28"/>
  <c r="I24" i="28" s="1"/>
  <c r="H23" i="28"/>
  <c r="G23" i="28"/>
  <c r="F23" i="28"/>
  <c r="D23" i="28"/>
  <c r="C23" i="28"/>
  <c r="I23" i="28" s="1"/>
  <c r="H22" i="28"/>
  <c r="G22" i="28"/>
  <c r="F22" i="28"/>
  <c r="D22" i="28"/>
  <c r="C22" i="28"/>
  <c r="I22" i="28" s="1"/>
  <c r="H21" i="28"/>
  <c r="G21" i="28"/>
  <c r="F21" i="28"/>
  <c r="D21" i="28"/>
  <c r="C21" i="28"/>
  <c r="I21" i="28" s="1"/>
  <c r="H20" i="28"/>
  <c r="G20" i="28"/>
  <c r="F20" i="28"/>
  <c r="D20" i="28"/>
  <c r="J20" i="28" s="1"/>
  <c r="C20" i="28"/>
  <c r="I20" i="28" s="1"/>
  <c r="H19" i="28"/>
  <c r="G19" i="28"/>
  <c r="F19" i="28"/>
  <c r="D19" i="28"/>
  <c r="C19" i="28"/>
  <c r="I19" i="28" s="1"/>
  <c r="H18" i="28"/>
  <c r="G18" i="28"/>
  <c r="F18" i="28"/>
  <c r="D18" i="28"/>
  <c r="C18" i="28"/>
  <c r="I18" i="28" s="1"/>
  <c r="H17" i="28"/>
  <c r="G17" i="28"/>
  <c r="F17" i="28"/>
  <c r="D17" i="28"/>
  <c r="C17" i="28"/>
  <c r="I17" i="28" s="1"/>
  <c r="H16" i="28"/>
  <c r="G16" i="28"/>
  <c r="F16" i="28"/>
  <c r="D16" i="28"/>
  <c r="C16" i="28"/>
  <c r="I16" i="28" s="1"/>
  <c r="H15" i="28"/>
  <c r="G15" i="28"/>
  <c r="F15" i="28"/>
  <c r="D15" i="28"/>
  <c r="C15" i="28"/>
  <c r="I15" i="28" s="1"/>
  <c r="H14" i="28"/>
  <c r="G14" i="28"/>
  <c r="F14" i="28"/>
  <c r="D14" i="28"/>
  <c r="C14" i="28"/>
  <c r="I14" i="28" s="1"/>
  <c r="H13" i="28"/>
  <c r="G13" i="28"/>
  <c r="F13" i="28"/>
  <c r="D13" i="28"/>
  <c r="J13" i="28" s="1"/>
  <c r="C13" i="28"/>
  <c r="I13" i="28" s="1"/>
  <c r="H12" i="28"/>
  <c r="G12" i="28"/>
  <c r="F12" i="28"/>
  <c r="D12" i="28"/>
  <c r="C12" i="28"/>
  <c r="I12" i="28" s="1"/>
  <c r="D11" i="28"/>
  <c r="C11" i="28"/>
  <c r="D10" i="28"/>
  <c r="C10" i="28"/>
  <c r="D9" i="28"/>
  <c r="C9" i="28"/>
  <c r="G28" i="28" l="1"/>
  <c r="C59" i="28"/>
  <c r="E14" i="28"/>
  <c r="J14" i="28" s="1"/>
  <c r="E16" i="28"/>
  <c r="J16" i="28" s="1"/>
  <c r="E18" i="28"/>
  <c r="J18" i="28" s="1"/>
  <c r="E13" i="28"/>
  <c r="E15" i="28"/>
  <c r="J15" i="28" s="1"/>
  <c r="E17" i="28"/>
  <c r="G11" i="28"/>
  <c r="E19" i="28"/>
  <c r="J19" i="28" s="1"/>
  <c r="H11" i="28"/>
  <c r="H10" i="28" s="1"/>
  <c r="E21" i="28"/>
  <c r="J21" i="28" s="1"/>
  <c r="E23" i="28"/>
  <c r="J23" i="28" s="1"/>
  <c r="E25" i="28"/>
  <c r="J25" i="28" s="1"/>
  <c r="G10" i="28"/>
  <c r="G9" i="28" s="1"/>
  <c r="G59" i="28" s="1"/>
  <c r="E33" i="28"/>
  <c r="J33" i="28" s="1"/>
  <c r="E35" i="28"/>
  <c r="J35" i="28" s="1"/>
  <c r="E37" i="28"/>
  <c r="I37" i="28" s="1"/>
  <c r="E39" i="28"/>
  <c r="E41" i="28"/>
  <c r="J41" i="28" s="1"/>
  <c r="E43" i="28"/>
  <c r="E45" i="28"/>
  <c r="I45" i="28" s="1"/>
  <c r="E47" i="28"/>
  <c r="E49" i="28"/>
  <c r="E51" i="28"/>
  <c r="E53" i="28"/>
  <c r="E55" i="28"/>
  <c r="E57" i="28"/>
  <c r="E27" i="28"/>
  <c r="E29" i="28"/>
  <c r="J29" i="28" s="1"/>
  <c r="H28" i="28"/>
  <c r="E31" i="28"/>
  <c r="I31" i="28" s="1"/>
  <c r="E12" i="28"/>
  <c r="D59" i="28"/>
  <c r="J12" i="28"/>
  <c r="J17" i="28"/>
  <c r="E20" i="28"/>
  <c r="E22" i="28"/>
  <c r="J22" i="28" s="1"/>
  <c r="E24" i="28"/>
  <c r="J24" i="28" s="1"/>
  <c r="E26" i="28"/>
  <c r="F28" i="28"/>
  <c r="E30" i="28"/>
  <c r="J30" i="28" s="1"/>
  <c r="E32" i="28"/>
  <c r="I32" i="28" s="1"/>
  <c r="E34" i="28"/>
  <c r="J34" i="28" s="1"/>
  <c r="E36" i="28"/>
  <c r="J36" i="28" s="1"/>
  <c r="E38" i="28"/>
  <c r="J38" i="28" s="1"/>
  <c r="J39" i="28"/>
  <c r="E40" i="28"/>
  <c r="J40" i="28" s="1"/>
  <c r="E42" i="28"/>
  <c r="J42" i="28" s="1"/>
  <c r="E44" i="28"/>
  <c r="J44" i="28" s="1"/>
  <c r="E46" i="28"/>
  <c r="J46" i="28" s="1"/>
  <c r="E48" i="28"/>
  <c r="E50" i="28"/>
  <c r="E52" i="28"/>
  <c r="E54" i="28"/>
  <c r="E56" i="28"/>
  <c r="E58" i="28"/>
  <c r="F11" i="28"/>
  <c r="F10" i="28" s="1"/>
  <c r="F9" i="28" l="1"/>
  <c r="F59" i="28" s="1"/>
  <c r="J37" i="28"/>
  <c r="J31" i="28"/>
  <c r="J45" i="28"/>
  <c r="H9" i="28"/>
  <c r="H59" i="28" s="1"/>
  <c r="I44" i="28"/>
  <c r="I42" i="28"/>
  <c r="J32" i="28"/>
  <c r="E28" i="28"/>
  <c r="E11" i="28"/>
  <c r="E10" i="28" s="1"/>
  <c r="E24" i="27"/>
  <c r="E9" i="28" l="1"/>
  <c r="I10" i="28"/>
  <c r="J10" i="28"/>
  <c r="J11" i="28"/>
  <c r="I11" i="28"/>
  <c r="J28" i="28"/>
  <c r="I28" i="28"/>
  <c r="E59" i="28" l="1"/>
  <c r="J9" i="28"/>
  <c r="I9" i="28"/>
  <c r="F143" i="27"/>
  <c r="F142" i="27"/>
  <c r="F141" i="27"/>
  <c r="F140" i="27"/>
  <c r="F139" i="27"/>
  <c r="F138" i="27"/>
  <c r="F137" i="27"/>
  <c r="F136" i="27"/>
  <c r="F135" i="27"/>
  <c r="F134" i="27"/>
  <c r="F133" i="27"/>
  <c r="F132" i="27"/>
  <c r="F131" i="27"/>
  <c r="D130" i="27"/>
  <c r="F130" i="27" s="1"/>
  <c r="F129" i="27"/>
  <c r="F128" i="27"/>
  <c r="F127" i="27"/>
  <c r="F126" i="27"/>
  <c r="D125" i="27"/>
  <c r="F125" i="27" s="1"/>
  <c r="F124" i="27"/>
  <c r="F123" i="27"/>
  <c r="F122" i="27"/>
  <c r="F121" i="27"/>
  <c r="D120" i="27"/>
  <c r="F120" i="27" s="1"/>
  <c r="E119" i="27"/>
  <c r="D119" i="27"/>
  <c r="F119" i="27" s="1"/>
  <c r="F118" i="27"/>
  <c r="F117" i="27"/>
  <c r="E116" i="27"/>
  <c r="D116" i="27"/>
  <c r="F116" i="27" s="1"/>
  <c r="F115" i="27"/>
  <c r="F114" i="27"/>
  <c r="F113" i="27"/>
  <c r="F112" i="27"/>
  <c r="F111" i="27"/>
  <c r="F110" i="27"/>
  <c r="F109" i="27"/>
  <c r="F108" i="27"/>
  <c r="F107" i="27"/>
  <c r="F106" i="27"/>
  <c r="E105" i="27"/>
  <c r="D105" i="27"/>
  <c r="F105" i="27" s="1"/>
  <c r="F104" i="27"/>
  <c r="F103" i="27"/>
  <c r="F102" i="27"/>
  <c r="F101" i="27"/>
  <c r="E100" i="27"/>
  <c r="D100" i="27"/>
  <c r="F100" i="27" s="1"/>
  <c r="F99" i="27"/>
  <c r="F98" i="27"/>
  <c r="F97" i="27"/>
  <c r="F96" i="27"/>
  <c r="F95" i="27"/>
  <c r="E94" i="27"/>
  <c r="D94" i="27"/>
  <c r="F94" i="27" s="1"/>
  <c r="F93" i="27"/>
  <c r="F92" i="27"/>
  <c r="F91" i="27"/>
  <c r="F90" i="27"/>
  <c r="F89" i="27"/>
  <c r="E88" i="27"/>
  <c r="E22" i="27" s="1"/>
  <c r="D88" i="27"/>
  <c r="F88" i="27" s="1"/>
  <c r="F87" i="27"/>
  <c r="F86" i="27"/>
  <c r="F85" i="27"/>
  <c r="F84" i="27"/>
  <c r="F83" i="27"/>
  <c r="F82" i="27"/>
  <c r="D81" i="27"/>
  <c r="F80" i="27"/>
  <c r="F79" i="27"/>
  <c r="F78" i="27"/>
  <c r="E77" i="27"/>
  <c r="D77" i="27"/>
  <c r="F77" i="27" s="1"/>
  <c r="F76" i="27"/>
  <c r="F75" i="27"/>
  <c r="F74" i="27"/>
  <c r="F73" i="27"/>
  <c r="E72" i="27"/>
  <c r="D72" i="27"/>
  <c r="F72" i="27" s="1"/>
  <c r="E71" i="27"/>
  <c r="F69" i="27"/>
  <c r="F68" i="27"/>
  <c r="F67" i="27"/>
  <c r="E66" i="27"/>
  <c r="D66" i="27"/>
  <c r="F66" i="27" s="1"/>
  <c r="F65" i="27"/>
  <c r="F64" i="27"/>
  <c r="C64" i="27"/>
  <c r="F63" i="27"/>
  <c r="C63" i="27"/>
  <c r="F62" i="27"/>
  <c r="C62" i="27"/>
  <c r="F61" i="27"/>
  <c r="C61" i="27"/>
  <c r="F60" i="27"/>
  <c r="C60" i="27"/>
  <c r="F59" i="27"/>
  <c r="C59" i="27"/>
  <c r="F58" i="27"/>
  <c r="C58" i="27"/>
  <c r="F57" i="27"/>
  <c r="F56" i="27"/>
  <c r="D55" i="27"/>
  <c r="F55" i="27" s="1"/>
  <c r="C55" i="27"/>
  <c r="D54" i="27"/>
  <c r="F54" i="27" s="1"/>
  <c r="C54" i="27"/>
  <c r="D53" i="27"/>
  <c r="F53" i="27" s="1"/>
  <c r="C53" i="27"/>
  <c r="D52" i="27"/>
  <c r="F52" i="27" s="1"/>
  <c r="C52" i="27"/>
  <c r="D51" i="27"/>
  <c r="F51" i="27" s="1"/>
  <c r="C51" i="27"/>
  <c r="D50" i="27"/>
  <c r="F50" i="27" s="1"/>
  <c r="E49" i="27"/>
  <c r="E48" i="27" s="1"/>
  <c r="E47" i="27"/>
  <c r="D47" i="27"/>
  <c r="F47" i="27" s="1"/>
  <c r="D46" i="27"/>
  <c r="F46" i="27" s="1"/>
  <c r="E45" i="27"/>
  <c r="D45" i="27"/>
  <c r="F43" i="27"/>
  <c r="E42" i="27"/>
  <c r="F42" i="27" s="1"/>
  <c r="F41" i="27"/>
  <c r="E40" i="27"/>
  <c r="F40" i="27" s="1"/>
  <c r="E39" i="27"/>
  <c r="F39" i="27" s="1"/>
  <c r="D38" i="27"/>
  <c r="E36" i="27"/>
  <c r="F36" i="27" s="1"/>
  <c r="D35" i="27"/>
  <c r="D34" i="27" s="1"/>
  <c r="F27" i="27"/>
  <c r="F25" i="27"/>
  <c r="F24" i="27"/>
  <c r="F23" i="27"/>
  <c r="F22" i="27"/>
  <c r="D20" i="27"/>
  <c r="F16" i="27"/>
  <c r="F15" i="27"/>
  <c r="E15" i="27"/>
  <c r="F13" i="27"/>
  <c r="F12" i="27"/>
  <c r="D9" i="27"/>
  <c r="D8" i="27" l="1"/>
  <c r="D44" i="27"/>
  <c r="F45" i="27"/>
  <c r="D71" i="27"/>
  <c r="E81" i="27"/>
  <c r="E70" i="27" s="1"/>
  <c r="E67" i="28"/>
  <c r="I59" i="28"/>
  <c r="J59" i="28"/>
  <c r="E44" i="27"/>
  <c r="F44" i="27" s="1"/>
  <c r="E35" i="27"/>
  <c r="F35" i="27" s="1"/>
  <c r="E38" i="27"/>
  <c r="F38" i="27" s="1"/>
  <c r="D49" i="27"/>
  <c r="F81" i="27" l="1"/>
  <c r="F71" i="27"/>
  <c r="D70" i="27"/>
  <c r="F70" i="27" s="1"/>
  <c r="E34" i="27"/>
  <c r="E33" i="27" s="1"/>
  <c r="F49" i="27"/>
  <c r="D48" i="27"/>
  <c r="F34" i="27" l="1"/>
  <c r="D33" i="27"/>
  <c r="D32" i="27" s="1"/>
  <c r="F48" i="27"/>
  <c r="E32" i="27"/>
  <c r="F33" i="4"/>
  <c r="F34" i="4"/>
  <c r="C34" i="26"/>
  <c r="B20" i="26"/>
  <c r="B19" i="26"/>
  <c r="B18" i="26"/>
  <c r="G17" i="26"/>
  <c r="B17" i="26"/>
  <c r="G16" i="26"/>
  <c r="E156" i="27" s="1"/>
  <c r="E16" i="26"/>
  <c r="D16" i="26"/>
  <c r="C16" i="26"/>
  <c r="B16" i="26"/>
  <c r="G15" i="26"/>
  <c r="E155" i="27" s="1"/>
  <c r="B15" i="26"/>
  <c r="G14" i="26"/>
  <c r="B14" i="26"/>
  <c r="G13" i="26"/>
  <c r="B13" i="26"/>
  <c r="G12" i="26"/>
  <c r="E9" i="26"/>
  <c r="E8" i="26" s="1"/>
  <c r="B12" i="26"/>
  <c r="J9" i="26"/>
  <c r="J8" i="26" s="1"/>
  <c r="G11" i="26"/>
  <c r="B11" i="26"/>
  <c r="G10" i="26"/>
  <c r="B10" i="26"/>
  <c r="I9" i="26"/>
  <c r="D9" i="26"/>
  <c r="D8" i="26" s="1"/>
  <c r="D30" i="26" s="1"/>
  <c r="I8" i="26"/>
  <c r="G9" i="26" l="1"/>
  <c r="G8" i="26" s="1"/>
  <c r="B9" i="26"/>
  <c r="B8" i="26" s="1"/>
  <c r="B38" i="26" s="1"/>
  <c r="G38" i="26" s="1"/>
  <c r="F33" i="27"/>
  <c r="F32" i="27"/>
  <c r="G37" i="26"/>
  <c r="K14" i="26"/>
  <c r="B30" i="26"/>
  <c r="E30" i="26"/>
  <c r="D21" i="26"/>
  <c r="C9" i="26"/>
  <c r="C8" i="26" s="1"/>
  <c r="H9" i="26"/>
  <c r="H8" i="26" s="1"/>
  <c r="B21" i="26" l="1"/>
  <c r="C30" i="26"/>
  <c r="C21" i="26"/>
  <c r="C35" i="26" s="1"/>
  <c r="C32" i="26" s="1"/>
  <c r="AM680" i="25" l="1"/>
  <c r="AL680" i="25"/>
  <c r="AK680" i="25"/>
  <c r="AJ680" i="25"/>
  <c r="AF680" i="25"/>
  <c r="AF679" i="25" s="1"/>
  <c r="AC680" i="25"/>
  <c r="AC679" i="25" s="1"/>
  <c r="Z680" i="25"/>
  <c r="Z679" i="25" s="1"/>
  <c r="W680" i="25"/>
  <c r="S680" i="25"/>
  <c r="P680" i="25"/>
  <c r="I680" i="25"/>
  <c r="C680" i="25"/>
  <c r="C679" i="25" s="1"/>
  <c r="AH679" i="25"/>
  <c r="AG679" i="25"/>
  <c r="AE679" i="25"/>
  <c r="AD679" i="25"/>
  <c r="AB679" i="25"/>
  <c r="AA679" i="25"/>
  <c r="Y679" i="25"/>
  <c r="X679" i="25"/>
  <c r="U679" i="25"/>
  <c r="T679" i="25"/>
  <c r="S679" i="25"/>
  <c r="R679" i="25"/>
  <c r="Q679" i="25"/>
  <c r="N679" i="25"/>
  <c r="M679" i="25"/>
  <c r="L679" i="25"/>
  <c r="K679" i="25"/>
  <c r="J679" i="25"/>
  <c r="G679" i="25"/>
  <c r="F679" i="25"/>
  <c r="E679" i="25"/>
  <c r="D679" i="25"/>
  <c r="AM678" i="25"/>
  <c r="AL678" i="25"/>
  <c r="AK678" i="25"/>
  <c r="AJ678" i="25"/>
  <c r="AF678" i="25"/>
  <c r="AF677" i="25" s="1"/>
  <c r="AC678" i="25"/>
  <c r="AC677" i="25" s="1"/>
  <c r="Z678" i="25"/>
  <c r="W678" i="25"/>
  <c r="S678" i="25"/>
  <c r="L678" i="25"/>
  <c r="L677" i="25" s="1"/>
  <c r="I678" i="25"/>
  <c r="C678" i="25"/>
  <c r="C677" i="25" s="1"/>
  <c r="AH677" i="25"/>
  <c r="AG677" i="25"/>
  <c r="AE677" i="25"/>
  <c r="AD677" i="25"/>
  <c r="AB677" i="25"/>
  <c r="AA677" i="25"/>
  <c r="Z677" i="25"/>
  <c r="Y677" i="25"/>
  <c r="X677" i="25"/>
  <c r="U677" i="25"/>
  <c r="T677" i="25"/>
  <c r="R677" i="25"/>
  <c r="Q677" i="25"/>
  <c r="P677" i="25"/>
  <c r="N677" i="25"/>
  <c r="M677" i="25"/>
  <c r="K677" i="25"/>
  <c r="J677" i="25"/>
  <c r="I677" i="25"/>
  <c r="G677" i="25"/>
  <c r="F677" i="25"/>
  <c r="E677" i="25"/>
  <c r="D677" i="25"/>
  <c r="AM676" i="25"/>
  <c r="AL676" i="25"/>
  <c r="AK676" i="25"/>
  <c r="AJ676" i="25"/>
  <c r="AF676" i="25"/>
  <c r="AF675" i="25" s="1"/>
  <c r="AC676" i="25"/>
  <c r="AC675" i="25" s="1"/>
  <c r="Z676" i="25"/>
  <c r="Z675" i="25" s="1"/>
  <c r="W676" i="25"/>
  <c r="S676" i="25"/>
  <c r="P676" i="25"/>
  <c r="L676" i="25"/>
  <c r="C676" i="25"/>
  <c r="AH675" i="25"/>
  <c r="AG675" i="25"/>
  <c r="AE675" i="25"/>
  <c r="AD675" i="25"/>
  <c r="AB675" i="25"/>
  <c r="AA675" i="25"/>
  <c r="Y675" i="25"/>
  <c r="X675" i="25"/>
  <c r="U675" i="25"/>
  <c r="T675" i="25"/>
  <c r="S675" i="25"/>
  <c r="R675" i="25"/>
  <c r="Q675" i="25"/>
  <c r="N675" i="25"/>
  <c r="M675" i="25"/>
  <c r="K675" i="25"/>
  <c r="J675" i="25"/>
  <c r="I675" i="25"/>
  <c r="G675" i="25"/>
  <c r="F675" i="25"/>
  <c r="E675" i="25"/>
  <c r="D675" i="25"/>
  <c r="AL674" i="25"/>
  <c r="AK674" i="25"/>
  <c r="AJ674" i="25"/>
  <c r="AF674" i="25"/>
  <c r="AC674" i="25"/>
  <c r="U674" i="25"/>
  <c r="S674" i="25" s="1"/>
  <c r="S673" i="25" s="1"/>
  <c r="I159" i="18" s="1"/>
  <c r="G159" i="18" s="1"/>
  <c r="P674" i="25"/>
  <c r="I674" i="25"/>
  <c r="C674" i="25"/>
  <c r="C673" i="25" s="1"/>
  <c r="AH673" i="25"/>
  <c r="AG673" i="25"/>
  <c r="AF673" i="25"/>
  <c r="AE673" i="25"/>
  <c r="AD673" i="25"/>
  <c r="AB673" i="25"/>
  <c r="AA673" i="25"/>
  <c r="Z673" i="25"/>
  <c r="Y673" i="25"/>
  <c r="X673" i="25"/>
  <c r="W673" i="25"/>
  <c r="U673" i="25"/>
  <c r="T673" i="25"/>
  <c r="R673" i="25"/>
  <c r="Q673" i="25"/>
  <c r="N673" i="25"/>
  <c r="M673" i="25"/>
  <c r="L673" i="25"/>
  <c r="K673" i="25"/>
  <c r="J673" i="25"/>
  <c r="G673" i="25"/>
  <c r="F673" i="25"/>
  <c r="E673" i="25"/>
  <c r="D673" i="25"/>
  <c r="AM672" i="25"/>
  <c r="AM671" i="25" s="1"/>
  <c r="AL672" i="25"/>
  <c r="AL671" i="25" s="1"/>
  <c r="AK672" i="25"/>
  <c r="AJ672" i="25"/>
  <c r="Z672" i="25"/>
  <c r="Z671" i="25" s="1"/>
  <c r="W672" i="25"/>
  <c r="W671" i="25" s="1"/>
  <c r="S672" i="25"/>
  <c r="S671" i="25" s="1"/>
  <c r="P672" i="25"/>
  <c r="L672" i="25"/>
  <c r="L671" i="25" s="1"/>
  <c r="I672" i="25"/>
  <c r="C672" i="25"/>
  <c r="AK671" i="25"/>
  <c r="AH671" i="25"/>
  <c r="AG671" i="25"/>
  <c r="AF671" i="25"/>
  <c r="AE671" i="25"/>
  <c r="AD671" i="25"/>
  <c r="AC671" i="25"/>
  <c r="AB671" i="25"/>
  <c r="AA671" i="25"/>
  <c r="Y671" i="25"/>
  <c r="X671" i="25"/>
  <c r="U671" i="25"/>
  <c r="T671" i="25"/>
  <c r="R671" i="25"/>
  <c r="Q671" i="25"/>
  <c r="P671" i="25"/>
  <c r="N671" i="25"/>
  <c r="M671" i="25"/>
  <c r="K671" i="25"/>
  <c r="J671" i="25"/>
  <c r="G671" i="25"/>
  <c r="F671" i="25"/>
  <c r="E671" i="25"/>
  <c r="D671" i="25"/>
  <c r="C671" i="25"/>
  <c r="AM670" i="25"/>
  <c r="AL670" i="25"/>
  <c r="AK670" i="25"/>
  <c r="AJ670" i="25"/>
  <c r="AF670" i="25"/>
  <c r="AF669" i="25" s="1"/>
  <c r="AC670" i="25"/>
  <c r="AC669" i="25" s="1"/>
  <c r="Z670" i="25"/>
  <c r="Z669" i="25" s="1"/>
  <c r="W670" i="25"/>
  <c r="S670" i="25"/>
  <c r="L670" i="25"/>
  <c r="I670" i="25"/>
  <c r="C670" i="25"/>
  <c r="C669" i="25" s="1"/>
  <c r="AH669" i="25"/>
  <c r="AG669" i="25"/>
  <c r="AE669" i="25"/>
  <c r="AD669" i="25"/>
  <c r="AB669" i="25"/>
  <c r="AA669" i="25"/>
  <c r="Y669" i="25"/>
  <c r="X669" i="25"/>
  <c r="U669" i="25"/>
  <c r="T669" i="25"/>
  <c r="R669" i="25"/>
  <c r="Q669" i="25"/>
  <c r="P669" i="25"/>
  <c r="N669" i="25"/>
  <c r="M669" i="25"/>
  <c r="L669" i="25"/>
  <c r="K669" i="25"/>
  <c r="J669" i="25"/>
  <c r="G669" i="25"/>
  <c r="F669" i="25"/>
  <c r="E669" i="25"/>
  <c r="D669" i="25"/>
  <c r="AM668" i="25"/>
  <c r="AL668" i="25"/>
  <c r="AK668" i="25"/>
  <c r="AJ668" i="25"/>
  <c r="AF668" i="25"/>
  <c r="AC668" i="25"/>
  <c r="Z668" i="25"/>
  <c r="W668" i="25"/>
  <c r="S668" i="25"/>
  <c r="P668" i="25"/>
  <c r="L668" i="25"/>
  <c r="I668" i="25"/>
  <c r="C668" i="25"/>
  <c r="AM667" i="25"/>
  <c r="AL667" i="25"/>
  <c r="AK667" i="25"/>
  <c r="AJ667" i="25"/>
  <c r="AF667" i="25"/>
  <c r="AC667" i="25"/>
  <c r="Z667" i="25"/>
  <c r="W667" i="25"/>
  <c r="S667" i="25"/>
  <c r="P667" i="25"/>
  <c r="L667" i="25"/>
  <c r="I667" i="25"/>
  <c r="C667" i="25"/>
  <c r="AM666" i="25"/>
  <c r="AL666" i="25"/>
  <c r="AK666" i="25"/>
  <c r="AJ666" i="25"/>
  <c r="AF666" i="25"/>
  <c r="AC666" i="25"/>
  <c r="Z666" i="25"/>
  <c r="W666" i="25"/>
  <c r="S666" i="25"/>
  <c r="P666" i="25"/>
  <c r="L666" i="25"/>
  <c r="I666" i="25"/>
  <c r="C666" i="25"/>
  <c r="AH665" i="25"/>
  <c r="AG665" i="25"/>
  <c r="AE665" i="25"/>
  <c r="AD665" i="25"/>
  <c r="AB665" i="25"/>
  <c r="AA665" i="25"/>
  <c r="Y665" i="25"/>
  <c r="X665" i="25"/>
  <c r="U665" i="25"/>
  <c r="T665" i="25"/>
  <c r="R665" i="25"/>
  <c r="Q665" i="25"/>
  <c r="N665" i="25"/>
  <c r="M665" i="25"/>
  <c r="K665" i="25"/>
  <c r="J665" i="25"/>
  <c r="G665" i="25"/>
  <c r="F665" i="25"/>
  <c r="E665" i="25"/>
  <c r="D665" i="25"/>
  <c r="AM664" i="25"/>
  <c r="AL664" i="25"/>
  <c r="AK664" i="25"/>
  <c r="AJ664" i="25"/>
  <c r="AF664" i="25"/>
  <c r="AF663" i="25" s="1"/>
  <c r="AC664" i="25"/>
  <c r="AC663" i="25" s="1"/>
  <c r="Z664" i="25"/>
  <c r="Z663" i="25" s="1"/>
  <c r="W664" i="25"/>
  <c r="S664" i="25"/>
  <c r="S663" i="25" s="1"/>
  <c r="P664" i="25"/>
  <c r="L664" i="25"/>
  <c r="L663" i="25" s="1"/>
  <c r="I664" i="25"/>
  <c r="I663" i="25" s="1"/>
  <c r="C664" i="25"/>
  <c r="C663" i="25" s="1"/>
  <c r="AH663" i="25"/>
  <c r="AG663" i="25"/>
  <c r="AE663" i="25"/>
  <c r="AD663" i="25"/>
  <c r="AB663" i="25"/>
  <c r="AA663" i="25"/>
  <c r="Y663" i="25"/>
  <c r="X663" i="25"/>
  <c r="W663" i="25"/>
  <c r="U663" i="25"/>
  <c r="T663" i="25"/>
  <c r="R663" i="25"/>
  <c r="Q663" i="25"/>
  <c r="N663" i="25"/>
  <c r="M663" i="25"/>
  <c r="K663" i="25"/>
  <c r="J663" i="25"/>
  <c r="G663" i="25"/>
  <c r="F663" i="25"/>
  <c r="E663" i="25"/>
  <c r="D663" i="25"/>
  <c r="AM662" i="25"/>
  <c r="AL662" i="25"/>
  <c r="AK662" i="25"/>
  <c r="AJ662" i="25"/>
  <c r="AF662" i="25"/>
  <c r="AF661" i="25" s="1"/>
  <c r="AC662" i="25"/>
  <c r="AC661" i="25" s="1"/>
  <c r="Z662" i="25"/>
  <c r="Z661" i="25" s="1"/>
  <c r="W662" i="25"/>
  <c r="S662" i="25"/>
  <c r="S661" i="25" s="1"/>
  <c r="P662" i="25"/>
  <c r="L662" i="25"/>
  <c r="I662" i="25"/>
  <c r="C662" i="25"/>
  <c r="C661" i="25" s="1"/>
  <c r="AH661" i="25"/>
  <c r="AG661" i="25"/>
  <c r="AE661" i="25"/>
  <c r="AD661" i="25"/>
  <c r="AB661" i="25"/>
  <c r="AA661" i="25"/>
  <c r="Y661" i="25"/>
  <c r="X661" i="25"/>
  <c r="W661" i="25"/>
  <c r="U661" i="25"/>
  <c r="T661" i="25"/>
  <c r="R661" i="25"/>
  <c r="Q661" i="25"/>
  <c r="N661" i="25"/>
  <c r="M661" i="25"/>
  <c r="L661" i="25"/>
  <c r="K661" i="25"/>
  <c r="J661" i="25"/>
  <c r="G661" i="25"/>
  <c r="F661" i="25"/>
  <c r="E661" i="25"/>
  <c r="D661" i="25"/>
  <c r="AM660" i="25"/>
  <c r="AL660" i="25"/>
  <c r="AK660" i="25"/>
  <c r="AJ660" i="25"/>
  <c r="P660" i="25"/>
  <c r="I660" i="25"/>
  <c r="C660" i="25"/>
  <c r="C659" i="25" s="1"/>
  <c r="AH659" i="25"/>
  <c r="AG659" i="25"/>
  <c r="AF659" i="25"/>
  <c r="AE659" i="25"/>
  <c r="AD659" i="25"/>
  <c r="AC659" i="25"/>
  <c r="AB659" i="25"/>
  <c r="AA659" i="25"/>
  <c r="Z659" i="25"/>
  <c r="Y659" i="25"/>
  <c r="X659" i="25"/>
  <c r="W659" i="25"/>
  <c r="V659" i="25"/>
  <c r="U659" i="25"/>
  <c r="T659" i="25"/>
  <c r="S659" i="25"/>
  <c r="R659" i="25"/>
  <c r="Q659" i="25"/>
  <c r="N659" i="25"/>
  <c r="M659" i="25"/>
  <c r="L659" i="25"/>
  <c r="K659" i="25"/>
  <c r="J659" i="25"/>
  <c r="G659" i="25"/>
  <c r="F659" i="25"/>
  <c r="E659" i="25"/>
  <c r="D659" i="25"/>
  <c r="AM658" i="25"/>
  <c r="AL658" i="25"/>
  <c r="AK658" i="25"/>
  <c r="AJ658" i="25"/>
  <c r="S658" i="25"/>
  <c r="P658" i="25"/>
  <c r="L658" i="25"/>
  <c r="I658" i="25"/>
  <c r="C658" i="25"/>
  <c r="AL657" i="25"/>
  <c r="AK657" i="25"/>
  <c r="AJ657" i="25"/>
  <c r="U657" i="25"/>
  <c r="P657" i="25"/>
  <c r="L657" i="25"/>
  <c r="I657" i="25"/>
  <c r="C657" i="25"/>
  <c r="AM656" i="25"/>
  <c r="AL656" i="25"/>
  <c r="AK656" i="25"/>
  <c r="AJ656" i="25"/>
  <c r="S656" i="25"/>
  <c r="P656" i="25"/>
  <c r="L656" i="25"/>
  <c r="I656" i="25"/>
  <c r="C656" i="25"/>
  <c r="AM655" i="25"/>
  <c r="AL655" i="25"/>
  <c r="AK655" i="25"/>
  <c r="AJ655" i="25"/>
  <c r="S655" i="25"/>
  <c r="P655" i="25"/>
  <c r="L655" i="25"/>
  <c r="I655" i="25"/>
  <c r="C655" i="25"/>
  <c r="AM654" i="25"/>
  <c r="AL654" i="25"/>
  <c r="AK654" i="25"/>
  <c r="AJ654" i="25"/>
  <c r="S654" i="25"/>
  <c r="P654" i="25"/>
  <c r="L654" i="25"/>
  <c r="I654" i="25"/>
  <c r="C654" i="25"/>
  <c r="AH653" i="25"/>
  <c r="AG653" i="25"/>
  <c r="AF653" i="25"/>
  <c r="AE653" i="25"/>
  <c r="AD653" i="25"/>
  <c r="AC653" i="25"/>
  <c r="AB653" i="25"/>
  <c r="AA653" i="25"/>
  <c r="Z653" i="25"/>
  <c r="Y653" i="25"/>
  <c r="X653" i="25"/>
  <c r="W653" i="25"/>
  <c r="V653" i="25"/>
  <c r="T653" i="25"/>
  <c r="R653" i="25"/>
  <c r="Q653" i="25"/>
  <c r="N653" i="25"/>
  <c r="M653" i="25"/>
  <c r="K653" i="25"/>
  <c r="J653" i="25"/>
  <c r="G653" i="25"/>
  <c r="F653" i="25"/>
  <c r="E653" i="25"/>
  <c r="D653" i="25"/>
  <c r="AM652" i="25"/>
  <c r="AL652" i="25"/>
  <c r="AJ652" i="25"/>
  <c r="E652" i="25"/>
  <c r="AM651" i="25"/>
  <c r="AM650" i="25" s="1"/>
  <c r="AL651" i="25"/>
  <c r="AL650" i="25" s="1"/>
  <c r="AJ651" i="25"/>
  <c r="R651" i="25"/>
  <c r="I651" i="25"/>
  <c r="E651" i="25"/>
  <c r="C651" i="25"/>
  <c r="AH650" i="25"/>
  <c r="AG650" i="25"/>
  <c r="AF650" i="25"/>
  <c r="AE650" i="25"/>
  <c r="AD650" i="25"/>
  <c r="AC650" i="25"/>
  <c r="AB650" i="25"/>
  <c r="AA650" i="25"/>
  <c r="Z650" i="25"/>
  <c r="Y650" i="25"/>
  <c r="X650" i="25"/>
  <c r="W650" i="25"/>
  <c r="V650" i="25"/>
  <c r="U650" i="25"/>
  <c r="T650" i="25"/>
  <c r="S650" i="25"/>
  <c r="Q650" i="25"/>
  <c r="N650" i="25"/>
  <c r="M650" i="25"/>
  <c r="L650" i="25"/>
  <c r="K650" i="25"/>
  <c r="J650" i="25"/>
  <c r="G650" i="25"/>
  <c r="F650" i="25"/>
  <c r="E650" i="25"/>
  <c r="D650" i="25"/>
  <c r="AM649" i="25"/>
  <c r="AL649" i="25"/>
  <c r="AK649" i="25"/>
  <c r="AK647" i="25" s="1"/>
  <c r="AJ649" i="25"/>
  <c r="W649" i="25"/>
  <c r="V649" i="25" s="1"/>
  <c r="P649" i="25"/>
  <c r="O649" i="25" s="1"/>
  <c r="I649" i="25"/>
  <c r="C649" i="25"/>
  <c r="AM648" i="25"/>
  <c r="AL648" i="25"/>
  <c r="AL647" i="25" s="1"/>
  <c r="AJ648" i="25"/>
  <c r="Y648" i="25"/>
  <c r="R648" i="25"/>
  <c r="K648" i="25"/>
  <c r="I648" i="25" s="1"/>
  <c r="H648" i="25" s="1"/>
  <c r="C648" i="25"/>
  <c r="AM647" i="25"/>
  <c r="AH647" i="25"/>
  <c r="AG647" i="25"/>
  <c r="AF647" i="25"/>
  <c r="AE647" i="25"/>
  <c r="AD647" i="25"/>
  <c r="AC647" i="25"/>
  <c r="AB647" i="25"/>
  <c r="AA647" i="25"/>
  <c r="Z647" i="25"/>
  <c r="X647" i="25"/>
  <c r="U647" i="25"/>
  <c r="T647" i="25"/>
  <c r="S647" i="25"/>
  <c r="Q647" i="25"/>
  <c r="N647" i="25"/>
  <c r="M647" i="25"/>
  <c r="L647" i="25"/>
  <c r="J647" i="25"/>
  <c r="G647" i="25"/>
  <c r="F647" i="25"/>
  <c r="E647" i="25"/>
  <c r="D647" i="25"/>
  <c r="AO646" i="25"/>
  <c r="AO645" i="25"/>
  <c r="AM644" i="25"/>
  <c r="AL644" i="25"/>
  <c r="AK644" i="25"/>
  <c r="AJ644" i="25"/>
  <c r="W644" i="25"/>
  <c r="V644" i="25" s="1"/>
  <c r="V642" i="25" s="1"/>
  <c r="P644" i="25"/>
  <c r="I644" i="25"/>
  <c r="H644" i="25" s="1"/>
  <c r="C644" i="25"/>
  <c r="AM643" i="25"/>
  <c r="AL643" i="25"/>
  <c r="AL642" i="25" s="1"/>
  <c r="AK643" i="25"/>
  <c r="AJ643" i="25"/>
  <c r="S643" i="25"/>
  <c r="L643" i="25"/>
  <c r="L642" i="25" s="1"/>
  <c r="I643" i="25"/>
  <c r="C643" i="25"/>
  <c r="C642" i="25" s="1"/>
  <c r="AH642" i="25"/>
  <c r="AG642" i="25"/>
  <c r="AF642" i="25"/>
  <c r="AE642" i="25"/>
  <c r="AD642" i="25"/>
  <c r="AC642" i="25"/>
  <c r="AB642" i="25"/>
  <c r="AA642" i="25"/>
  <c r="Z642" i="25"/>
  <c r="Y642" i="25"/>
  <c r="X642" i="25"/>
  <c r="U642" i="25"/>
  <c r="T642" i="25"/>
  <c r="R642" i="25"/>
  <c r="Q642" i="25"/>
  <c r="N642" i="25"/>
  <c r="M642" i="25"/>
  <c r="K642" i="25"/>
  <c r="J642" i="25"/>
  <c r="G642" i="25"/>
  <c r="F642" i="25"/>
  <c r="E642" i="25"/>
  <c r="D642" i="25"/>
  <c r="AM640" i="25"/>
  <c r="AL640" i="25"/>
  <c r="AJ640" i="25"/>
  <c r="AF640" i="25"/>
  <c r="AC640" i="25"/>
  <c r="Z640" i="25"/>
  <c r="Z638" i="25" s="1"/>
  <c r="W640" i="25"/>
  <c r="S640" i="25"/>
  <c r="P640" i="25"/>
  <c r="I640" i="25"/>
  <c r="H640" i="25" s="1"/>
  <c r="E640" i="25"/>
  <c r="AM639" i="25"/>
  <c r="AL639" i="25"/>
  <c r="AJ639" i="25"/>
  <c r="S639" i="25"/>
  <c r="R639" i="25"/>
  <c r="P639" i="25"/>
  <c r="O639" i="25" s="1"/>
  <c r="I639" i="25"/>
  <c r="E639" i="25"/>
  <c r="AH638" i="25"/>
  <c r="AG638" i="25"/>
  <c r="AF638" i="25"/>
  <c r="AE638" i="25"/>
  <c r="AD638" i="25"/>
  <c r="AC638" i="25"/>
  <c r="AB638" i="25"/>
  <c r="AA638" i="25"/>
  <c r="Y638" i="25"/>
  <c r="X638" i="25"/>
  <c r="U638" i="25"/>
  <c r="T638" i="25"/>
  <c r="R638" i="25"/>
  <c r="Q638" i="25"/>
  <c r="N638" i="25"/>
  <c r="M638" i="25"/>
  <c r="L638" i="25"/>
  <c r="K638" i="25"/>
  <c r="J638" i="25"/>
  <c r="G638" i="25"/>
  <c r="F638" i="25"/>
  <c r="D638" i="25"/>
  <c r="AM637" i="25"/>
  <c r="AL637" i="25"/>
  <c r="AK637" i="25"/>
  <c r="AJ637" i="25"/>
  <c r="S637" i="25"/>
  <c r="P637" i="25"/>
  <c r="C637" i="25"/>
  <c r="AM636" i="25"/>
  <c r="AL636" i="25"/>
  <c r="AK636" i="25"/>
  <c r="AJ636" i="25"/>
  <c r="AF636" i="25"/>
  <c r="AC636" i="25"/>
  <c r="Z636" i="25"/>
  <c r="W636" i="25"/>
  <c r="S636" i="25"/>
  <c r="P636" i="25"/>
  <c r="L636" i="25"/>
  <c r="I636" i="25"/>
  <c r="C636" i="25"/>
  <c r="AM635" i="25"/>
  <c r="AL635" i="25"/>
  <c r="AK635" i="25"/>
  <c r="AJ635" i="25"/>
  <c r="S635" i="25"/>
  <c r="P635" i="25"/>
  <c r="L635" i="25"/>
  <c r="H635" i="25" s="1"/>
  <c r="C635" i="25"/>
  <c r="AM634" i="25"/>
  <c r="AL634" i="25"/>
  <c r="AK634" i="25"/>
  <c r="AJ634" i="25"/>
  <c r="AF634" i="25"/>
  <c r="AC634" i="25"/>
  <c r="Z634" i="25"/>
  <c r="W634" i="25"/>
  <c r="S634" i="25"/>
  <c r="P634" i="25"/>
  <c r="L634" i="25"/>
  <c r="I634" i="25"/>
  <c r="C634" i="25"/>
  <c r="AM633" i="25"/>
  <c r="AL633" i="25"/>
  <c r="AK633" i="25"/>
  <c r="AJ633" i="25"/>
  <c r="AF633" i="25"/>
  <c r="AC633" i="25"/>
  <c r="Z633" i="25"/>
  <c r="W633" i="25"/>
  <c r="S633" i="25"/>
  <c r="P633" i="25"/>
  <c r="L633" i="25"/>
  <c r="I633" i="25"/>
  <c r="C633" i="25"/>
  <c r="AM632" i="25"/>
  <c r="AL632" i="25"/>
  <c r="AK632" i="25"/>
  <c r="AJ632" i="25"/>
  <c r="AF632" i="25"/>
  <c r="AC632" i="25"/>
  <c r="Z632" i="25"/>
  <c r="W632" i="25"/>
  <c r="S632" i="25"/>
  <c r="P632" i="25"/>
  <c r="L632" i="25"/>
  <c r="I632" i="25"/>
  <c r="C632" i="25"/>
  <c r="AM631" i="25"/>
  <c r="AL631" i="25"/>
  <c r="AK631" i="25"/>
  <c r="AJ631" i="25"/>
  <c r="S631" i="25"/>
  <c r="P631" i="25"/>
  <c r="L631" i="25"/>
  <c r="I631" i="25"/>
  <c r="C631" i="25"/>
  <c r="AM630" i="25"/>
  <c r="AL630" i="25"/>
  <c r="AK630" i="25"/>
  <c r="AJ630" i="25"/>
  <c r="AF630" i="25"/>
  <c r="AC630" i="25"/>
  <c r="Z630" i="25"/>
  <c r="W630" i="25"/>
  <c r="S630" i="25"/>
  <c r="P630" i="25"/>
  <c r="L630" i="25"/>
  <c r="I630" i="25"/>
  <c r="C630" i="25"/>
  <c r="AM629" i="25"/>
  <c r="AL629" i="25"/>
  <c r="AK629" i="25"/>
  <c r="AJ629" i="25"/>
  <c r="AF629" i="25"/>
  <c r="AC629" i="25"/>
  <c r="Z629" i="25"/>
  <c r="W629" i="25"/>
  <c r="S629" i="25"/>
  <c r="P629" i="25"/>
  <c r="L629" i="25"/>
  <c r="I629" i="25"/>
  <c r="C629" i="25"/>
  <c r="AM628" i="25"/>
  <c r="AL628" i="25"/>
  <c r="AK628" i="25"/>
  <c r="AJ628" i="25"/>
  <c r="AF628" i="25"/>
  <c r="AC628" i="25"/>
  <c r="Z628" i="25"/>
  <c r="W628" i="25"/>
  <c r="S628" i="25"/>
  <c r="P628" i="25"/>
  <c r="L628" i="25"/>
  <c r="I628" i="25"/>
  <c r="C628" i="25"/>
  <c r="AH627" i="25"/>
  <c r="AG627" i="25"/>
  <c r="AE627" i="25"/>
  <c r="AD627" i="25"/>
  <c r="AB627" i="25"/>
  <c r="AA627" i="25"/>
  <c r="Y627" i="25"/>
  <c r="X627" i="25"/>
  <c r="U627" i="25"/>
  <c r="T627" i="25"/>
  <c r="P627" i="25"/>
  <c r="N627" i="25"/>
  <c r="M627" i="25"/>
  <c r="K627" i="25"/>
  <c r="J627" i="25"/>
  <c r="G627" i="25"/>
  <c r="F627" i="25"/>
  <c r="E627" i="25"/>
  <c r="D627" i="25"/>
  <c r="AL626" i="25"/>
  <c r="AK626" i="25"/>
  <c r="AJ626" i="25"/>
  <c r="AF626" i="25"/>
  <c r="AC626" i="25"/>
  <c r="Z626" i="25"/>
  <c r="W626" i="25"/>
  <c r="S626" i="25"/>
  <c r="P626" i="25"/>
  <c r="N626" i="25"/>
  <c r="AM626" i="25" s="1"/>
  <c r="L626" i="25"/>
  <c r="I626" i="25"/>
  <c r="C626" i="25"/>
  <c r="AL625" i="25"/>
  <c r="AK625" i="25"/>
  <c r="AJ625" i="25"/>
  <c r="AF625" i="25"/>
  <c r="AC625" i="25"/>
  <c r="Z625" i="25"/>
  <c r="W625" i="25"/>
  <c r="S625" i="25"/>
  <c r="P625" i="25"/>
  <c r="N625" i="25"/>
  <c r="I625" i="25"/>
  <c r="C625" i="25"/>
  <c r="AL624" i="25"/>
  <c r="AK624" i="25"/>
  <c r="AJ624" i="25"/>
  <c r="AF624" i="25"/>
  <c r="AC624" i="25"/>
  <c r="Z624" i="25"/>
  <c r="W624" i="25"/>
  <c r="S624" i="25"/>
  <c r="P624" i="25"/>
  <c r="N624" i="25"/>
  <c r="AM624" i="25" s="1"/>
  <c r="L624" i="25"/>
  <c r="I624" i="25"/>
  <c r="C624" i="25"/>
  <c r="AL623" i="25"/>
  <c r="AK623" i="25"/>
  <c r="AJ623" i="25"/>
  <c r="AF623" i="25"/>
  <c r="AC623" i="25"/>
  <c r="Z623" i="25"/>
  <c r="W623" i="25"/>
  <c r="S623" i="25"/>
  <c r="P623" i="25"/>
  <c r="N623" i="25"/>
  <c r="I623" i="25"/>
  <c r="C623" i="25"/>
  <c r="AL622" i="25"/>
  <c r="AK622" i="25"/>
  <c r="AJ622" i="25"/>
  <c r="AF622" i="25"/>
  <c r="AC622" i="25"/>
  <c r="Z622" i="25"/>
  <c r="W622" i="25"/>
  <c r="S622" i="25"/>
  <c r="P622" i="25"/>
  <c r="N622" i="25"/>
  <c r="AM622" i="25" s="1"/>
  <c r="L622" i="25"/>
  <c r="I622" i="25"/>
  <c r="C622" i="25"/>
  <c r="AL621" i="25"/>
  <c r="AK621" i="25"/>
  <c r="AJ621" i="25"/>
  <c r="AF621" i="25"/>
  <c r="AC621" i="25"/>
  <c r="Z621" i="25"/>
  <c r="W621" i="25"/>
  <c r="S621" i="25"/>
  <c r="P621" i="25"/>
  <c r="N621" i="25"/>
  <c r="I621" i="25"/>
  <c r="C621" i="25"/>
  <c r="AL620" i="25"/>
  <c r="AK620" i="25"/>
  <c r="AJ620" i="25"/>
  <c r="AF620" i="25"/>
  <c r="AC620" i="25"/>
  <c r="Z620" i="25"/>
  <c r="W620" i="25"/>
  <c r="P620" i="25"/>
  <c r="N620" i="25"/>
  <c r="U620" i="25" s="1"/>
  <c r="L620" i="25"/>
  <c r="I620" i="25"/>
  <c r="C620" i="25"/>
  <c r="AL619" i="25"/>
  <c r="AK619" i="25"/>
  <c r="AJ619" i="25"/>
  <c r="Z619" i="25"/>
  <c r="W619" i="25"/>
  <c r="P619" i="25"/>
  <c r="N619" i="25"/>
  <c r="L619" i="25"/>
  <c r="I619" i="25"/>
  <c r="C619" i="25"/>
  <c r="AH618" i="25"/>
  <c r="AG618" i="25"/>
  <c r="AE618" i="25"/>
  <c r="AD618" i="25"/>
  <c r="AB618" i="25"/>
  <c r="AA618" i="25"/>
  <c r="Y618" i="25"/>
  <c r="X618" i="25"/>
  <c r="T618" i="25"/>
  <c r="R618" i="25"/>
  <c r="Q618" i="25"/>
  <c r="N618" i="25"/>
  <c r="M618" i="25"/>
  <c r="K618" i="25"/>
  <c r="J618" i="25"/>
  <c r="G618" i="25"/>
  <c r="F618" i="25"/>
  <c r="E618" i="25"/>
  <c r="D618" i="25"/>
  <c r="AL617" i="25"/>
  <c r="AK617" i="25"/>
  <c r="AJ617" i="25"/>
  <c r="U617" i="25"/>
  <c r="P617" i="25"/>
  <c r="L617" i="25"/>
  <c r="I617" i="25"/>
  <c r="C617" i="25"/>
  <c r="AL616" i="25"/>
  <c r="AK616" i="25"/>
  <c r="AJ616" i="25"/>
  <c r="U616" i="25"/>
  <c r="P616" i="25"/>
  <c r="L616" i="25"/>
  <c r="I616" i="25"/>
  <c r="C616" i="25"/>
  <c r="AM615" i="25"/>
  <c r="AL615" i="25"/>
  <c r="AK615" i="25"/>
  <c r="AJ615" i="25"/>
  <c r="S615" i="25"/>
  <c r="P615" i="25"/>
  <c r="L615" i="25"/>
  <c r="I615" i="25"/>
  <c r="C615" i="25"/>
  <c r="AM614" i="25"/>
  <c r="AL614" i="25"/>
  <c r="AK614" i="25"/>
  <c r="AJ614" i="25"/>
  <c r="S614" i="25"/>
  <c r="P614" i="25"/>
  <c r="L614" i="25"/>
  <c r="I614" i="25"/>
  <c r="C614" i="25"/>
  <c r="AM613" i="25"/>
  <c r="AL613" i="25"/>
  <c r="AK613" i="25"/>
  <c r="AJ613" i="25"/>
  <c r="S613" i="25"/>
  <c r="P613" i="25"/>
  <c r="L613" i="25"/>
  <c r="I613" i="25"/>
  <c r="C613" i="25"/>
  <c r="AH612" i="25"/>
  <c r="AG612" i="25"/>
  <c r="AF612" i="25"/>
  <c r="AE612" i="25"/>
  <c r="AD612" i="25"/>
  <c r="AC612" i="25"/>
  <c r="AB612" i="25"/>
  <c r="AA612" i="25"/>
  <c r="Z612" i="25"/>
  <c r="Y612" i="25"/>
  <c r="X612" i="25"/>
  <c r="W612" i="25"/>
  <c r="V612" i="25"/>
  <c r="T612" i="25"/>
  <c r="R612" i="25"/>
  <c r="Q612" i="25"/>
  <c r="N612" i="25"/>
  <c r="M612" i="25"/>
  <c r="K612" i="25"/>
  <c r="J612" i="25"/>
  <c r="G612" i="25"/>
  <c r="F612" i="25"/>
  <c r="E612" i="25"/>
  <c r="D612" i="25"/>
  <c r="AM611" i="25"/>
  <c r="AL611" i="25"/>
  <c r="AJ611" i="25"/>
  <c r="S611" i="25"/>
  <c r="R611" i="25"/>
  <c r="P611" i="25" s="1"/>
  <c r="I611" i="25"/>
  <c r="H611" i="25" s="1"/>
  <c r="C611" i="25"/>
  <c r="AM610" i="25"/>
  <c r="AL610" i="25"/>
  <c r="AJ610" i="25"/>
  <c r="S610" i="25"/>
  <c r="R610" i="25"/>
  <c r="AK610" i="25" s="1"/>
  <c r="I610" i="25"/>
  <c r="H610" i="25" s="1"/>
  <c r="C610" i="25"/>
  <c r="AM609" i="25"/>
  <c r="AL609" i="25"/>
  <c r="AJ609" i="25"/>
  <c r="S609" i="25"/>
  <c r="R609" i="25"/>
  <c r="I609" i="25"/>
  <c r="H609" i="25" s="1"/>
  <c r="C609" i="25"/>
  <c r="AM608" i="25"/>
  <c r="AL608" i="25"/>
  <c r="AJ608" i="25"/>
  <c r="S608" i="25"/>
  <c r="R608" i="25"/>
  <c r="I608" i="25"/>
  <c r="H608" i="25" s="1"/>
  <c r="C608" i="25"/>
  <c r="AH607" i="25"/>
  <c r="AG607" i="25"/>
  <c r="AF607" i="25"/>
  <c r="AE607" i="25"/>
  <c r="AD607" i="25"/>
  <c r="AC607" i="25"/>
  <c r="AB607" i="25"/>
  <c r="AA607" i="25"/>
  <c r="Z607" i="25"/>
  <c r="Y607" i="25"/>
  <c r="X607" i="25"/>
  <c r="W607" i="25"/>
  <c r="V607" i="25"/>
  <c r="U607" i="25"/>
  <c r="T607" i="25"/>
  <c r="Q607" i="25"/>
  <c r="N607" i="25"/>
  <c r="M607" i="25"/>
  <c r="L607" i="25"/>
  <c r="K607" i="25"/>
  <c r="J607" i="25"/>
  <c r="G607" i="25"/>
  <c r="F607" i="25"/>
  <c r="E607" i="25"/>
  <c r="D607" i="25"/>
  <c r="AM606" i="25"/>
  <c r="AM605" i="25" s="1"/>
  <c r="AL606" i="25"/>
  <c r="AK606" i="25"/>
  <c r="AK605" i="25" s="1"/>
  <c r="AJ606" i="25"/>
  <c r="W606" i="25"/>
  <c r="V606" i="25" s="1"/>
  <c r="V605" i="25" s="1"/>
  <c r="S606" i="25"/>
  <c r="P606" i="25"/>
  <c r="I606" i="25"/>
  <c r="H606" i="25" s="1"/>
  <c r="H605" i="25" s="1"/>
  <c r="C606" i="25"/>
  <c r="AL605" i="25"/>
  <c r="AH605" i="25"/>
  <c r="AG605" i="25"/>
  <c r="AF605" i="25"/>
  <c r="AE605" i="25"/>
  <c r="AD605" i="25"/>
  <c r="AC605" i="25"/>
  <c r="AB605" i="25"/>
  <c r="AA605" i="25"/>
  <c r="Z605" i="25"/>
  <c r="Y605" i="25"/>
  <c r="X605" i="25"/>
  <c r="U605" i="25"/>
  <c r="T605" i="25"/>
  <c r="S605" i="25"/>
  <c r="R605" i="25"/>
  <c r="Q605" i="25"/>
  <c r="N605" i="25"/>
  <c r="M605" i="25"/>
  <c r="L605" i="25"/>
  <c r="K605" i="25"/>
  <c r="J605" i="25"/>
  <c r="I605" i="25"/>
  <c r="G605" i="25"/>
  <c r="F605" i="25"/>
  <c r="E605" i="25"/>
  <c r="D605" i="25"/>
  <c r="C605" i="25"/>
  <c r="AL604" i="25"/>
  <c r="AJ604" i="25"/>
  <c r="S604" i="25"/>
  <c r="P604" i="25"/>
  <c r="N604" i="25"/>
  <c r="K604" i="25"/>
  <c r="C604" i="25"/>
  <c r="AM603" i="25"/>
  <c r="AL603" i="25"/>
  <c r="AK603" i="25"/>
  <c r="AJ603" i="25"/>
  <c r="S603" i="25"/>
  <c r="P603" i="25"/>
  <c r="L603" i="25"/>
  <c r="I603" i="25"/>
  <c r="C603" i="25"/>
  <c r="AL602" i="25"/>
  <c r="AK602" i="25"/>
  <c r="AJ602" i="25"/>
  <c r="P602" i="25"/>
  <c r="N602" i="25"/>
  <c r="U602" i="25" s="1"/>
  <c r="L602" i="25"/>
  <c r="I602" i="25"/>
  <c r="C602" i="25"/>
  <c r="AL601" i="25"/>
  <c r="AK601" i="25"/>
  <c r="AJ601" i="25"/>
  <c r="U601" i="25"/>
  <c r="P601" i="25"/>
  <c r="L601" i="25"/>
  <c r="I601" i="25"/>
  <c r="C601" i="25"/>
  <c r="AL600" i="25"/>
  <c r="AK600" i="25"/>
  <c r="AJ600" i="25"/>
  <c r="S600" i="25"/>
  <c r="P600" i="25"/>
  <c r="N600" i="25"/>
  <c r="AM600" i="25" s="1"/>
  <c r="I600" i="25"/>
  <c r="C600" i="25"/>
  <c r="AL599" i="25"/>
  <c r="AK599" i="25"/>
  <c r="AJ599" i="25"/>
  <c r="U599" i="25"/>
  <c r="P599" i="25"/>
  <c r="L599" i="25"/>
  <c r="I599" i="25"/>
  <c r="C599" i="25"/>
  <c r="AL598" i="25"/>
  <c r="AK598" i="25"/>
  <c r="AJ598" i="25"/>
  <c r="U598" i="25"/>
  <c r="P598" i="25"/>
  <c r="L598" i="25"/>
  <c r="I598" i="25"/>
  <c r="C598" i="25"/>
  <c r="AL597" i="25"/>
  <c r="AK597" i="25"/>
  <c r="AJ597" i="25"/>
  <c r="U597" i="25"/>
  <c r="P597" i="25"/>
  <c r="L597" i="25"/>
  <c r="I597" i="25"/>
  <c r="C597" i="25"/>
  <c r="AL596" i="25"/>
  <c r="AK596" i="25"/>
  <c r="AJ596" i="25"/>
  <c r="S596" i="25"/>
  <c r="P596" i="25"/>
  <c r="N596" i="25"/>
  <c r="AM596" i="25" s="1"/>
  <c r="L596" i="25"/>
  <c r="I596" i="25"/>
  <c r="C596" i="25"/>
  <c r="AH595" i="25"/>
  <c r="AG595" i="25"/>
  <c r="AF595" i="25"/>
  <c r="AE595" i="25"/>
  <c r="AD595" i="25"/>
  <c r="AC595" i="25"/>
  <c r="AB595" i="25"/>
  <c r="AA595" i="25"/>
  <c r="Z595" i="25"/>
  <c r="Y595" i="25"/>
  <c r="X595" i="25"/>
  <c r="W595" i="25"/>
  <c r="V595" i="25"/>
  <c r="T595" i="25"/>
  <c r="R595" i="25"/>
  <c r="Q595" i="25"/>
  <c r="N595" i="25"/>
  <c r="M595" i="25"/>
  <c r="J595" i="25"/>
  <c r="G595" i="25"/>
  <c r="F595" i="25"/>
  <c r="E595" i="25"/>
  <c r="D595" i="25"/>
  <c r="AM594" i="25"/>
  <c r="AM593" i="25" s="1"/>
  <c r="AL594" i="25"/>
  <c r="AL593" i="25" s="1"/>
  <c r="AJ594" i="25"/>
  <c r="S594" i="25"/>
  <c r="S593" i="25" s="1"/>
  <c r="R594" i="25"/>
  <c r="AK594" i="25" s="1"/>
  <c r="AK593" i="25" s="1"/>
  <c r="I594" i="25"/>
  <c r="C594" i="25"/>
  <c r="C593" i="25" s="1"/>
  <c r="AH593" i="25"/>
  <c r="AG593" i="25"/>
  <c r="AF593" i="25"/>
  <c r="AE593" i="25"/>
  <c r="AD593" i="25"/>
  <c r="AC593" i="25"/>
  <c r="AB593" i="25"/>
  <c r="AA593" i="25"/>
  <c r="Z593" i="25"/>
  <c r="Y593" i="25"/>
  <c r="X593" i="25"/>
  <c r="W593" i="25"/>
  <c r="V593" i="25"/>
  <c r="U593" i="25"/>
  <c r="T593" i="25"/>
  <c r="R593" i="25"/>
  <c r="Q593" i="25"/>
  <c r="N593" i="25"/>
  <c r="M593" i="25"/>
  <c r="L593" i="25"/>
  <c r="K593" i="25"/>
  <c r="J593" i="25"/>
  <c r="G593" i="25"/>
  <c r="F593" i="25"/>
  <c r="E593" i="25"/>
  <c r="D593" i="25"/>
  <c r="AM592" i="25"/>
  <c r="AM591" i="25" s="1"/>
  <c r="AL592" i="25"/>
  <c r="AJ592" i="25"/>
  <c r="S592" i="25"/>
  <c r="S591" i="25" s="1"/>
  <c r="R592" i="25"/>
  <c r="P592" i="25" s="1"/>
  <c r="I592" i="25"/>
  <c r="H592" i="25" s="1"/>
  <c r="H591" i="25" s="1"/>
  <c r="C592" i="25"/>
  <c r="C591" i="25" s="1"/>
  <c r="AL591" i="25"/>
  <c r="AJ591" i="25"/>
  <c r="AH591" i="25"/>
  <c r="AG591" i="25"/>
  <c r="AF591" i="25"/>
  <c r="AE591" i="25"/>
  <c r="AD591" i="25"/>
  <c r="AC591" i="25"/>
  <c r="AB591" i="25"/>
  <c r="AA591" i="25"/>
  <c r="Z591" i="25"/>
  <c r="Y591" i="25"/>
  <c r="X591" i="25"/>
  <c r="W591" i="25"/>
  <c r="V591" i="25"/>
  <c r="U591" i="25"/>
  <c r="T591" i="25"/>
  <c r="Q591" i="25"/>
  <c r="N591" i="25"/>
  <c r="M591" i="25"/>
  <c r="L591" i="25"/>
  <c r="K591" i="25"/>
  <c r="J591" i="25"/>
  <c r="G591" i="25"/>
  <c r="F591" i="25"/>
  <c r="E591" i="25"/>
  <c r="D591" i="25"/>
  <c r="AM590" i="25"/>
  <c r="AL590" i="25"/>
  <c r="AJ590" i="25"/>
  <c r="S590" i="25"/>
  <c r="R590" i="25"/>
  <c r="P590" i="25"/>
  <c r="O590" i="25" s="1"/>
  <c r="L590" i="25"/>
  <c r="K590" i="25"/>
  <c r="AK590" i="25" s="1"/>
  <c r="C590" i="25"/>
  <c r="AM589" i="25"/>
  <c r="AL589" i="25"/>
  <c r="AK589" i="25"/>
  <c r="AJ589" i="25"/>
  <c r="S589" i="25"/>
  <c r="P589" i="25"/>
  <c r="L589" i="25"/>
  <c r="I589" i="25"/>
  <c r="C589" i="25"/>
  <c r="AM588" i="25"/>
  <c r="AL588" i="25"/>
  <c r="AK588" i="25"/>
  <c r="AJ588" i="25"/>
  <c r="S588" i="25"/>
  <c r="P588" i="25"/>
  <c r="L588" i="25"/>
  <c r="I588" i="25"/>
  <c r="C588" i="25"/>
  <c r="AM587" i="25"/>
  <c r="AL587" i="25"/>
  <c r="AK587" i="25"/>
  <c r="AJ587" i="25"/>
  <c r="S587" i="25"/>
  <c r="P587" i="25"/>
  <c r="L587" i="25"/>
  <c r="I587" i="25"/>
  <c r="C587" i="25"/>
  <c r="AM586" i="25"/>
  <c r="AL586" i="25"/>
  <c r="AK586" i="25"/>
  <c r="AJ586" i="25"/>
  <c r="S586" i="25"/>
  <c r="P586" i="25"/>
  <c r="L586" i="25"/>
  <c r="I586" i="25"/>
  <c r="C586" i="25"/>
  <c r="AM585" i="25"/>
  <c r="AL585" i="25"/>
  <c r="AK585" i="25"/>
  <c r="AJ585" i="25"/>
  <c r="S585" i="25"/>
  <c r="P585" i="25"/>
  <c r="L585" i="25"/>
  <c r="I585" i="25"/>
  <c r="C585" i="25"/>
  <c r="AL584" i="25"/>
  <c r="AK584" i="25"/>
  <c r="AJ584" i="25"/>
  <c r="U584" i="25"/>
  <c r="P584" i="25"/>
  <c r="L584" i="25"/>
  <c r="I584" i="25"/>
  <c r="C584" i="25"/>
  <c r="AM583" i="25"/>
  <c r="AL583" i="25"/>
  <c r="AK583" i="25"/>
  <c r="AJ583" i="25"/>
  <c r="S583" i="25"/>
  <c r="P583" i="25"/>
  <c r="L583" i="25"/>
  <c r="I583" i="25"/>
  <c r="C583" i="25"/>
  <c r="AM582" i="25"/>
  <c r="AL582" i="25"/>
  <c r="AK582" i="25"/>
  <c r="AJ582" i="25"/>
  <c r="S582" i="25"/>
  <c r="P582" i="25"/>
  <c r="L582" i="25"/>
  <c r="I582" i="25"/>
  <c r="C582" i="25"/>
  <c r="AL581" i="25"/>
  <c r="AK581" i="25"/>
  <c r="AJ581" i="25"/>
  <c r="U581" i="25"/>
  <c r="P581" i="25"/>
  <c r="L581" i="25"/>
  <c r="I581" i="25"/>
  <c r="C581" i="25"/>
  <c r="AM580" i="25"/>
  <c r="AL580" i="25"/>
  <c r="AJ580" i="25"/>
  <c r="S580" i="25"/>
  <c r="R580" i="25"/>
  <c r="P580" i="25" s="1"/>
  <c r="L580" i="25"/>
  <c r="K580" i="25"/>
  <c r="I580" i="25"/>
  <c r="H580" i="25" s="1"/>
  <c r="C580" i="25"/>
  <c r="AH579" i="25"/>
  <c r="AG579" i="25"/>
  <c r="AF579" i="25"/>
  <c r="AE579" i="25"/>
  <c r="AD579" i="25"/>
  <c r="AC579" i="25"/>
  <c r="AB579" i="25"/>
  <c r="AA579" i="25"/>
  <c r="Z579" i="25"/>
  <c r="Y579" i="25"/>
  <c r="X579" i="25"/>
  <c r="W579" i="25"/>
  <c r="V579" i="25"/>
  <c r="T579" i="25"/>
  <c r="R579" i="25"/>
  <c r="Q579" i="25"/>
  <c r="N579" i="25"/>
  <c r="M579" i="25"/>
  <c r="K579" i="25"/>
  <c r="J579" i="25"/>
  <c r="G579" i="25"/>
  <c r="F579" i="25"/>
  <c r="E579" i="25"/>
  <c r="D579" i="25"/>
  <c r="AM577" i="25"/>
  <c r="AL577" i="25"/>
  <c r="AJ577" i="25"/>
  <c r="E577" i="25"/>
  <c r="C577" i="25" s="1"/>
  <c r="AM576" i="25"/>
  <c r="AL576" i="25"/>
  <c r="AJ576" i="25"/>
  <c r="S576" i="25"/>
  <c r="S575" i="25" s="1"/>
  <c r="R576" i="25"/>
  <c r="I576" i="25"/>
  <c r="E576" i="25"/>
  <c r="C576" i="25" s="1"/>
  <c r="AH575" i="25"/>
  <c r="AG575" i="25"/>
  <c r="AF575" i="25"/>
  <c r="AE575" i="25"/>
  <c r="AD575" i="25"/>
  <c r="AC575" i="25"/>
  <c r="AB575" i="25"/>
  <c r="AA575" i="25"/>
  <c r="Z575" i="25"/>
  <c r="Y575" i="25"/>
  <c r="X575" i="25"/>
  <c r="W575" i="25"/>
  <c r="V575" i="25"/>
  <c r="U575" i="25"/>
  <c r="T575" i="25"/>
  <c r="Q575" i="25"/>
  <c r="N575" i="25"/>
  <c r="M575" i="25"/>
  <c r="L575" i="25"/>
  <c r="K575" i="25"/>
  <c r="J575" i="25"/>
  <c r="G575" i="25"/>
  <c r="F575" i="25"/>
  <c r="D575" i="25"/>
  <c r="AM574" i="25"/>
  <c r="AL574" i="25"/>
  <c r="AJ574" i="25"/>
  <c r="K574" i="25"/>
  <c r="I574" i="25"/>
  <c r="H574" i="25" s="1"/>
  <c r="E574" i="25"/>
  <c r="AM573" i="25"/>
  <c r="AL573" i="25"/>
  <c r="AL572" i="25" s="1"/>
  <c r="AJ573" i="25"/>
  <c r="S573" i="25"/>
  <c r="S572" i="25" s="1"/>
  <c r="P573" i="25"/>
  <c r="K573" i="25"/>
  <c r="I573" i="25"/>
  <c r="E573" i="25"/>
  <c r="AH572" i="25"/>
  <c r="AG572" i="25"/>
  <c r="AF572" i="25"/>
  <c r="AE572" i="25"/>
  <c r="AD572" i="25"/>
  <c r="AC572" i="25"/>
  <c r="AB572" i="25"/>
  <c r="AA572" i="25"/>
  <c r="Z572" i="25"/>
  <c r="Y572" i="25"/>
  <c r="X572" i="25"/>
  <c r="W572" i="25"/>
  <c r="V572" i="25"/>
  <c r="U572" i="25"/>
  <c r="T572" i="25"/>
  <c r="R572" i="25"/>
  <c r="Q572" i="25"/>
  <c r="N572" i="25"/>
  <c r="M572" i="25"/>
  <c r="L572" i="25"/>
  <c r="K572" i="25"/>
  <c r="J572" i="25"/>
  <c r="G572" i="25"/>
  <c r="F572" i="25"/>
  <c r="D572" i="25"/>
  <c r="AM571" i="25"/>
  <c r="AL571" i="25"/>
  <c r="AJ571" i="25"/>
  <c r="AF571" i="25"/>
  <c r="AC571" i="25"/>
  <c r="W571" i="25"/>
  <c r="S571" i="25"/>
  <c r="P571" i="25"/>
  <c r="K571" i="25"/>
  <c r="AK571" i="25" s="1"/>
  <c r="I571" i="25"/>
  <c r="H571" i="25" s="1"/>
  <c r="C571" i="25"/>
  <c r="AM570" i="25"/>
  <c r="AL570" i="25"/>
  <c r="AJ570" i="25"/>
  <c r="AF570" i="25"/>
  <c r="AC570" i="25"/>
  <c r="W570" i="25"/>
  <c r="S570" i="25"/>
  <c r="K570" i="25"/>
  <c r="I570" i="25"/>
  <c r="E570" i="25"/>
  <c r="AH569" i="25"/>
  <c r="AG569" i="25"/>
  <c r="AE569" i="25"/>
  <c r="AD569" i="25"/>
  <c r="AB569" i="25"/>
  <c r="AA569" i="25"/>
  <c r="Z569" i="25"/>
  <c r="Y569" i="25"/>
  <c r="X569" i="25"/>
  <c r="U569" i="25"/>
  <c r="T569" i="25"/>
  <c r="Q569" i="25"/>
  <c r="N569" i="25"/>
  <c r="M569" i="25"/>
  <c r="L569" i="25"/>
  <c r="K569" i="25"/>
  <c r="J569" i="25"/>
  <c r="G569" i="25"/>
  <c r="F569" i="25"/>
  <c r="D569" i="25"/>
  <c r="AL568" i="25"/>
  <c r="AJ568" i="25"/>
  <c r="S568" i="25"/>
  <c r="P568" i="25"/>
  <c r="L568" i="25"/>
  <c r="I568" i="25"/>
  <c r="G568" i="25"/>
  <c r="AM568" i="25" s="1"/>
  <c r="E568" i="25"/>
  <c r="AK568" i="25" s="1"/>
  <c r="C568" i="25"/>
  <c r="AM567" i="25"/>
  <c r="AL567" i="25"/>
  <c r="AK567" i="25"/>
  <c r="AJ567" i="25"/>
  <c r="S567" i="25"/>
  <c r="P567" i="25"/>
  <c r="L567" i="25"/>
  <c r="I567" i="25"/>
  <c r="C567" i="25"/>
  <c r="AL566" i="25"/>
  <c r="AK566" i="25"/>
  <c r="AJ566" i="25"/>
  <c r="U566" i="25"/>
  <c r="P566" i="25"/>
  <c r="L566" i="25"/>
  <c r="I566" i="25"/>
  <c r="C566" i="25"/>
  <c r="AM565" i="25"/>
  <c r="AL565" i="25"/>
  <c r="AK565" i="25"/>
  <c r="AJ565" i="25"/>
  <c r="S565" i="25"/>
  <c r="P565" i="25"/>
  <c r="L565" i="25"/>
  <c r="I565" i="25"/>
  <c r="C565" i="25"/>
  <c r="AL564" i="25"/>
  <c r="AK564" i="25"/>
  <c r="AJ564" i="25"/>
  <c r="U564" i="25"/>
  <c r="S564" i="25"/>
  <c r="P564" i="25"/>
  <c r="N564" i="25"/>
  <c r="L564" i="25" s="1"/>
  <c r="I564" i="25"/>
  <c r="G564" i="25"/>
  <c r="AM564" i="25" s="1"/>
  <c r="C564" i="25"/>
  <c r="AL563" i="25"/>
  <c r="AK563" i="25"/>
  <c r="AJ563" i="25"/>
  <c r="S563" i="25"/>
  <c r="P563" i="25"/>
  <c r="L563" i="25"/>
  <c r="I563" i="25"/>
  <c r="G563" i="25"/>
  <c r="AM563" i="25" s="1"/>
  <c r="C563" i="25"/>
  <c r="AL562" i="25"/>
  <c r="AK562" i="25"/>
  <c r="AJ562" i="25"/>
  <c r="U562" i="25"/>
  <c r="AM562" i="25" s="1"/>
  <c r="P562" i="25"/>
  <c r="L562" i="25"/>
  <c r="I562" i="25"/>
  <c r="C562" i="25"/>
  <c r="AL561" i="25"/>
  <c r="AK561" i="25"/>
  <c r="AJ561" i="25"/>
  <c r="U561" i="25"/>
  <c r="AM561" i="25" s="1"/>
  <c r="S561" i="25"/>
  <c r="P561" i="25"/>
  <c r="L561" i="25"/>
  <c r="I561" i="25"/>
  <c r="C561" i="25"/>
  <c r="AL560" i="25"/>
  <c r="AK560" i="25"/>
  <c r="AJ560" i="25"/>
  <c r="U560" i="25"/>
  <c r="AM560" i="25" s="1"/>
  <c r="P560" i="25"/>
  <c r="L560" i="25"/>
  <c r="I560" i="25"/>
  <c r="C560" i="25"/>
  <c r="AL559" i="25"/>
  <c r="AK559" i="25"/>
  <c r="AJ559" i="25"/>
  <c r="U559" i="25"/>
  <c r="AM559" i="25" s="1"/>
  <c r="S559" i="25"/>
  <c r="P559" i="25"/>
  <c r="L559" i="25"/>
  <c r="I559" i="25"/>
  <c r="C559" i="25"/>
  <c r="AL558" i="25"/>
  <c r="AK558" i="25"/>
  <c r="AJ558" i="25"/>
  <c r="U558" i="25"/>
  <c r="AM558" i="25" s="1"/>
  <c r="S558" i="25"/>
  <c r="P558" i="25"/>
  <c r="L558" i="25"/>
  <c r="I558" i="25"/>
  <c r="C558" i="25"/>
  <c r="AH557" i="25"/>
  <c r="AG557" i="25"/>
  <c r="AF557" i="25"/>
  <c r="AE557" i="25"/>
  <c r="AD557" i="25"/>
  <c r="AC557" i="25"/>
  <c r="AB557" i="25"/>
  <c r="AA557" i="25"/>
  <c r="Z557" i="25"/>
  <c r="Y557" i="25"/>
  <c r="X557" i="25"/>
  <c r="W557" i="25"/>
  <c r="V557" i="25"/>
  <c r="T557" i="25"/>
  <c r="R557" i="25"/>
  <c r="Q557" i="25"/>
  <c r="N557" i="25"/>
  <c r="M557" i="25"/>
  <c r="K557" i="25"/>
  <c r="J557" i="25"/>
  <c r="G557" i="25"/>
  <c r="F557" i="25"/>
  <c r="E557" i="25"/>
  <c r="D557" i="25"/>
  <c r="AM556" i="25"/>
  <c r="AL556" i="25"/>
  <c r="AJ556" i="25"/>
  <c r="E556" i="25"/>
  <c r="AK556" i="25" s="1"/>
  <c r="C556" i="25"/>
  <c r="AM555" i="25"/>
  <c r="AM554" i="25" s="1"/>
  <c r="AL555" i="25"/>
  <c r="AJ555" i="25"/>
  <c r="S555" i="25"/>
  <c r="S554" i="25" s="1"/>
  <c r="P555" i="25"/>
  <c r="I555" i="25"/>
  <c r="E555" i="25"/>
  <c r="AH554" i="25"/>
  <c r="AG554" i="25"/>
  <c r="AF554" i="25"/>
  <c r="AE554" i="25"/>
  <c r="AD554" i="25"/>
  <c r="AC554" i="25"/>
  <c r="AB554" i="25"/>
  <c r="AA554" i="25"/>
  <c r="Z554" i="25"/>
  <c r="Y554" i="25"/>
  <c r="X554" i="25"/>
  <c r="W554" i="25"/>
  <c r="V554" i="25"/>
  <c r="U554" i="25"/>
  <c r="T554" i="25"/>
  <c r="R554" i="25"/>
  <c r="Q554" i="25"/>
  <c r="N554" i="25"/>
  <c r="M554" i="25"/>
  <c r="L554" i="25"/>
  <c r="K554" i="25"/>
  <c r="J554" i="25"/>
  <c r="G554" i="25"/>
  <c r="F554" i="25"/>
  <c r="D554" i="25"/>
  <c r="AM553" i="25"/>
  <c r="AM552" i="25" s="1"/>
  <c r="AL553" i="25"/>
  <c r="AL552" i="25" s="1"/>
  <c r="AJ553" i="25"/>
  <c r="AJ552" i="25" s="1"/>
  <c r="S553" i="25"/>
  <c r="S552" i="25" s="1"/>
  <c r="I553" i="25"/>
  <c r="H553" i="25" s="1"/>
  <c r="H552" i="25" s="1"/>
  <c r="E553" i="25"/>
  <c r="C553" i="25" s="1"/>
  <c r="AH552" i="25"/>
  <c r="AG552" i="25"/>
  <c r="AF552" i="25"/>
  <c r="AE552" i="25"/>
  <c r="AD552" i="25"/>
  <c r="AC552" i="25"/>
  <c r="AB552" i="25"/>
  <c r="AA552" i="25"/>
  <c r="Z552" i="25"/>
  <c r="Y552" i="25"/>
  <c r="X552" i="25"/>
  <c r="W552" i="25"/>
  <c r="V552" i="25"/>
  <c r="U552" i="25"/>
  <c r="T552" i="25"/>
  <c r="Q552" i="25"/>
  <c r="N552" i="25"/>
  <c r="M552" i="25"/>
  <c r="L552" i="25"/>
  <c r="K552" i="25"/>
  <c r="J552" i="25"/>
  <c r="G552" i="25"/>
  <c r="F552" i="25"/>
  <c r="D552" i="25"/>
  <c r="AL551" i="25"/>
  <c r="AJ551" i="25"/>
  <c r="AF551" i="25"/>
  <c r="AC551" i="25"/>
  <c r="Z551" i="25"/>
  <c r="W551" i="25"/>
  <c r="S551" i="25"/>
  <c r="R551" i="25"/>
  <c r="N551" i="25"/>
  <c r="L551" i="25"/>
  <c r="K551" i="25"/>
  <c r="I551" i="25"/>
  <c r="H551" i="25" s="1"/>
  <c r="G551" i="25"/>
  <c r="AM551" i="25" s="1"/>
  <c r="E551" i="25"/>
  <c r="AK551" i="25" s="1"/>
  <c r="AL550" i="25"/>
  <c r="AK550" i="25"/>
  <c r="AJ550" i="25"/>
  <c r="AF550" i="25"/>
  <c r="AC550" i="25"/>
  <c r="Z550" i="25"/>
  <c r="W550" i="25"/>
  <c r="S550" i="25"/>
  <c r="P550" i="25"/>
  <c r="N550" i="25"/>
  <c r="I550" i="25"/>
  <c r="C550" i="25"/>
  <c r="AL549" i="25"/>
  <c r="AK549" i="25"/>
  <c r="AJ549" i="25"/>
  <c r="AF549" i="25"/>
  <c r="AC549" i="25"/>
  <c r="Z549" i="25"/>
  <c r="W549" i="25"/>
  <c r="U549" i="25"/>
  <c r="AM549" i="25" s="1"/>
  <c r="P549" i="25"/>
  <c r="L549" i="25"/>
  <c r="I549" i="25"/>
  <c r="C549" i="25"/>
  <c r="AL548" i="25"/>
  <c r="AK548" i="25"/>
  <c r="AJ548" i="25"/>
  <c r="AF548" i="25"/>
  <c r="AC548" i="25"/>
  <c r="Z548" i="25"/>
  <c r="W548" i="25"/>
  <c r="U548" i="25"/>
  <c r="AM548" i="25" s="1"/>
  <c r="S548" i="25"/>
  <c r="P548" i="25"/>
  <c r="L548" i="25"/>
  <c r="I548" i="25"/>
  <c r="C548" i="25"/>
  <c r="AM547" i="25"/>
  <c r="AL547" i="25"/>
  <c r="AK547" i="25"/>
  <c r="AJ547" i="25"/>
  <c r="AF547" i="25"/>
  <c r="AC547" i="25"/>
  <c r="Z547" i="25"/>
  <c r="W547" i="25"/>
  <c r="S547" i="25"/>
  <c r="P547" i="25"/>
  <c r="L547" i="25"/>
  <c r="I547" i="25"/>
  <c r="C547" i="25"/>
  <c r="AL546" i="25"/>
  <c r="AK546" i="25"/>
  <c r="AJ546" i="25"/>
  <c r="AF546" i="25"/>
  <c r="AC546" i="25"/>
  <c r="Z546" i="25"/>
  <c r="W546" i="25"/>
  <c r="U546" i="25"/>
  <c r="P546" i="25"/>
  <c r="L546" i="25"/>
  <c r="I546" i="25"/>
  <c r="C546" i="25"/>
  <c r="AL545" i="25"/>
  <c r="AK545" i="25"/>
  <c r="AJ545" i="25"/>
  <c r="AF545" i="25"/>
  <c r="AC545" i="25"/>
  <c r="Z545" i="25"/>
  <c r="W545" i="25"/>
  <c r="P545" i="25"/>
  <c r="N545" i="25"/>
  <c r="L545" i="25" s="1"/>
  <c r="I545" i="25"/>
  <c r="G545" i="25"/>
  <c r="AL544" i="25"/>
  <c r="AK544" i="25"/>
  <c r="AJ544" i="25"/>
  <c r="AF544" i="25"/>
  <c r="AC544" i="25"/>
  <c r="Z544" i="25"/>
  <c r="W544" i="25"/>
  <c r="U544" i="25"/>
  <c r="S544" i="25" s="1"/>
  <c r="P544" i="25"/>
  <c r="N544" i="25"/>
  <c r="I544" i="25"/>
  <c r="G544" i="25"/>
  <c r="C544" i="25" s="1"/>
  <c r="AL543" i="25"/>
  <c r="AK543" i="25"/>
  <c r="AJ543" i="25"/>
  <c r="AF543" i="25"/>
  <c r="AC543" i="25"/>
  <c r="Z543" i="25"/>
  <c r="W543" i="25"/>
  <c r="U543" i="25"/>
  <c r="P543" i="25"/>
  <c r="L543" i="25"/>
  <c r="I543" i="25"/>
  <c r="G543" i="25"/>
  <c r="C543" i="25"/>
  <c r="AL542" i="25"/>
  <c r="AK542" i="25"/>
  <c r="AJ542" i="25"/>
  <c r="AF542" i="25"/>
  <c r="AC542" i="25"/>
  <c r="Z542" i="25"/>
  <c r="W542" i="25"/>
  <c r="P542" i="25"/>
  <c r="N542" i="25"/>
  <c r="L542" i="25"/>
  <c r="I542" i="25"/>
  <c r="C542" i="25"/>
  <c r="AL541" i="25"/>
  <c r="AK541" i="25"/>
  <c r="AJ541" i="25"/>
  <c r="Z541" i="25"/>
  <c r="W541" i="25"/>
  <c r="U541" i="25"/>
  <c r="P541" i="25"/>
  <c r="L541" i="25"/>
  <c r="I541" i="25"/>
  <c r="C541" i="25"/>
  <c r="AM540" i="25"/>
  <c r="AL540" i="25"/>
  <c r="AJ540" i="25"/>
  <c r="AF540" i="25"/>
  <c r="AC540" i="25"/>
  <c r="Z540" i="25"/>
  <c r="W540" i="25"/>
  <c r="S540" i="25"/>
  <c r="P540" i="25"/>
  <c r="L540" i="25"/>
  <c r="K540" i="25"/>
  <c r="C540" i="25"/>
  <c r="AH539" i="25"/>
  <c r="AG539" i="25"/>
  <c r="AE539" i="25"/>
  <c r="AD539" i="25"/>
  <c r="AB539" i="25"/>
  <c r="AA539" i="25"/>
  <c r="Y539" i="25"/>
  <c r="X539" i="25"/>
  <c r="T539" i="25"/>
  <c r="Q539" i="25"/>
  <c r="M539" i="25"/>
  <c r="J539" i="25"/>
  <c r="F539" i="25"/>
  <c r="E539" i="25"/>
  <c r="D539" i="25"/>
  <c r="AM538" i="25"/>
  <c r="AM537" i="25" s="1"/>
  <c r="AL538" i="25"/>
  <c r="AJ538" i="25"/>
  <c r="S538" i="25"/>
  <c r="S537" i="25" s="1"/>
  <c r="R538" i="25"/>
  <c r="P538" i="25" s="1"/>
  <c r="I538" i="25"/>
  <c r="H538" i="25" s="1"/>
  <c r="H537" i="25" s="1"/>
  <c r="C538" i="25"/>
  <c r="C537" i="25" s="1"/>
  <c r="AL537" i="25"/>
  <c r="AJ537" i="25"/>
  <c r="AH537" i="25"/>
  <c r="AG537" i="25"/>
  <c r="AF537" i="25"/>
  <c r="AE537" i="25"/>
  <c r="AD537" i="25"/>
  <c r="AC537" i="25"/>
  <c r="AB537" i="25"/>
  <c r="AA537" i="25"/>
  <c r="Z537" i="25"/>
  <c r="Y537" i="25"/>
  <c r="X537" i="25"/>
  <c r="W537" i="25"/>
  <c r="V537" i="25"/>
  <c r="U537" i="25"/>
  <c r="T537" i="25"/>
  <c r="Q537" i="25"/>
  <c r="N537" i="25"/>
  <c r="M537" i="25"/>
  <c r="L537" i="25"/>
  <c r="K537" i="25"/>
  <c r="J537" i="25"/>
  <c r="G537" i="25"/>
  <c r="F537" i="25"/>
  <c r="E537" i="25"/>
  <c r="D537" i="25"/>
  <c r="AM536" i="25"/>
  <c r="AL536" i="25"/>
  <c r="AL535" i="25" s="1"/>
  <c r="AK536" i="25"/>
  <c r="AK535" i="25" s="1"/>
  <c r="AJ536" i="25"/>
  <c r="S536" i="25"/>
  <c r="S535" i="25" s="1"/>
  <c r="P536" i="25"/>
  <c r="I536" i="25"/>
  <c r="C536" i="25"/>
  <c r="C535" i="25" s="1"/>
  <c r="AM535" i="25"/>
  <c r="AJ535" i="25"/>
  <c r="AH535" i="25"/>
  <c r="AG535" i="25"/>
  <c r="AF535" i="25"/>
  <c r="AE535" i="25"/>
  <c r="AD535" i="25"/>
  <c r="AC535" i="25"/>
  <c r="AB535" i="25"/>
  <c r="AA535" i="25"/>
  <c r="Z535" i="25"/>
  <c r="Y535" i="25"/>
  <c r="X535" i="25"/>
  <c r="W535" i="25"/>
  <c r="V535" i="25"/>
  <c r="U535" i="25"/>
  <c r="T535" i="25"/>
  <c r="R535" i="25"/>
  <c r="Q535" i="25"/>
  <c r="P535" i="25"/>
  <c r="N535" i="25"/>
  <c r="M535" i="25"/>
  <c r="L535" i="25"/>
  <c r="K535" i="25"/>
  <c r="J535" i="25"/>
  <c r="G535" i="25"/>
  <c r="F535" i="25"/>
  <c r="E535" i="25"/>
  <c r="D535" i="25"/>
  <c r="AM534" i="25"/>
  <c r="AL534" i="25"/>
  <c r="AJ534" i="25"/>
  <c r="AF534" i="25"/>
  <c r="AF530" i="25" s="1"/>
  <c r="AC534" i="25"/>
  <c r="AC530" i="25" s="1"/>
  <c r="Z534" i="25"/>
  <c r="Z530" i="25" s="1"/>
  <c r="W534" i="25"/>
  <c r="S534" i="25"/>
  <c r="P534" i="25"/>
  <c r="I534" i="25"/>
  <c r="H534" i="25" s="1"/>
  <c r="E534" i="25"/>
  <c r="AM533" i="25"/>
  <c r="AL533" i="25"/>
  <c r="S533" i="25"/>
  <c r="P533" i="25"/>
  <c r="L533" i="25"/>
  <c r="K533" i="25"/>
  <c r="I533" i="25"/>
  <c r="H533" i="25" s="1"/>
  <c r="E533" i="25"/>
  <c r="AL532" i="25"/>
  <c r="P532" i="25"/>
  <c r="N532" i="25"/>
  <c r="L532" i="25" s="1"/>
  <c r="K532" i="25"/>
  <c r="I532" i="25" s="1"/>
  <c r="H532" i="25" s="1"/>
  <c r="E532" i="25"/>
  <c r="AL531" i="25"/>
  <c r="AK531" i="25"/>
  <c r="AJ531" i="25"/>
  <c r="U531" i="25"/>
  <c r="P531" i="25"/>
  <c r="I531" i="25"/>
  <c r="H531" i="25" s="1"/>
  <c r="C531" i="25"/>
  <c r="AH530" i="25"/>
  <c r="AG530" i="25"/>
  <c r="AE530" i="25"/>
  <c r="AD530" i="25"/>
  <c r="AB530" i="25"/>
  <c r="AA530" i="25"/>
  <c r="Y530" i="25"/>
  <c r="X530" i="25"/>
  <c r="T530" i="25"/>
  <c r="P530" i="25"/>
  <c r="N530" i="25"/>
  <c r="M530" i="25"/>
  <c r="K530" i="25"/>
  <c r="J530" i="25"/>
  <c r="G530" i="25"/>
  <c r="F530" i="25"/>
  <c r="E530" i="25"/>
  <c r="D530" i="25"/>
  <c r="AM529" i="25"/>
  <c r="AL529" i="25"/>
  <c r="AJ529" i="25"/>
  <c r="AF529" i="25"/>
  <c r="AC529" i="25"/>
  <c r="W529" i="25"/>
  <c r="S529" i="25"/>
  <c r="P529" i="25"/>
  <c r="K529" i="25"/>
  <c r="E529" i="25"/>
  <c r="C529" i="25"/>
  <c r="AM528" i="25"/>
  <c r="AL528" i="25"/>
  <c r="AK528" i="25"/>
  <c r="AJ528" i="25"/>
  <c r="S528" i="25"/>
  <c r="P528" i="25"/>
  <c r="L528" i="25"/>
  <c r="I528" i="25"/>
  <c r="C528" i="25"/>
  <c r="AL527" i="25"/>
  <c r="AK527" i="25"/>
  <c r="AJ527" i="25"/>
  <c r="U527" i="25"/>
  <c r="P527" i="25"/>
  <c r="L527" i="25"/>
  <c r="I527" i="25"/>
  <c r="C527" i="25"/>
  <c r="AL526" i="25"/>
  <c r="AK526" i="25"/>
  <c r="AJ526" i="25"/>
  <c r="U526" i="25"/>
  <c r="P526" i="25"/>
  <c r="L526" i="25"/>
  <c r="I526" i="25"/>
  <c r="C526" i="25"/>
  <c r="AM525" i="25"/>
  <c r="AL525" i="25"/>
  <c r="AK525" i="25"/>
  <c r="AJ525" i="25"/>
  <c r="S525" i="25"/>
  <c r="P525" i="25"/>
  <c r="L525" i="25"/>
  <c r="I525" i="25"/>
  <c r="C525" i="25"/>
  <c r="AL524" i="25"/>
  <c r="AK524" i="25"/>
  <c r="AJ524" i="25"/>
  <c r="U524" i="25"/>
  <c r="AM524" i="25" s="1"/>
  <c r="P524" i="25"/>
  <c r="L524" i="25"/>
  <c r="I524" i="25"/>
  <c r="C524" i="25"/>
  <c r="AL523" i="25"/>
  <c r="AK523" i="25"/>
  <c r="AJ523" i="25"/>
  <c r="U523" i="25"/>
  <c r="AM523" i="25" s="1"/>
  <c r="P523" i="25"/>
  <c r="L523" i="25"/>
  <c r="I523" i="25"/>
  <c r="C523" i="25"/>
  <c r="AM522" i="25"/>
  <c r="AL522" i="25"/>
  <c r="AK522" i="25"/>
  <c r="AJ522" i="25"/>
  <c r="S522" i="25"/>
  <c r="P522" i="25"/>
  <c r="L522" i="25"/>
  <c r="I522" i="25"/>
  <c r="C522" i="25"/>
  <c r="AL521" i="25"/>
  <c r="AK521" i="25"/>
  <c r="AJ521" i="25"/>
  <c r="AF521" i="25"/>
  <c r="AC521" i="25"/>
  <c r="U521" i="25"/>
  <c r="AM521" i="25" s="1"/>
  <c r="P521" i="25"/>
  <c r="L521" i="25"/>
  <c r="I521" i="25"/>
  <c r="C521" i="25"/>
  <c r="AL520" i="25"/>
  <c r="AK520" i="25"/>
  <c r="AJ520" i="25"/>
  <c r="AF520" i="25"/>
  <c r="AC520" i="25"/>
  <c r="P520" i="25"/>
  <c r="L520" i="25"/>
  <c r="U520" i="25" s="1"/>
  <c r="I520" i="25"/>
  <c r="C520" i="25"/>
  <c r="AM519" i="25"/>
  <c r="AL519" i="25"/>
  <c r="AK519" i="25"/>
  <c r="AJ519" i="25"/>
  <c r="AF519" i="25"/>
  <c r="AC519" i="25"/>
  <c r="S519" i="25"/>
  <c r="P519" i="25"/>
  <c r="L519" i="25"/>
  <c r="I519" i="25"/>
  <c r="C519" i="25"/>
  <c r="AM518" i="25"/>
  <c r="AL518" i="25"/>
  <c r="AJ518" i="25"/>
  <c r="S518" i="25"/>
  <c r="R518" i="25"/>
  <c r="AK518" i="25" s="1"/>
  <c r="I518" i="25"/>
  <c r="H518" i="25" s="1"/>
  <c r="C518" i="25"/>
  <c r="AM517" i="25"/>
  <c r="AL517" i="25"/>
  <c r="AJ517" i="25"/>
  <c r="S517" i="25"/>
  <c r="R517" i="25"/>
  <c r="P517" i="25" s="1"/>
  <c r="K517" i="25"/>
  <c r="I517" i="25"/>
  <c r="H517" i="25" s="1"/>
  <c r="C517" i="25"/>
  <c r="AM516" i="25"/>
  <c r="AL516" i="25"/>
  <c r="AK516" i="25"/>
  <c r="AJ516" i="25"/>
  <c r="S516" i="25"/>
  <c r="P516" i="25"/>
  <c r="I516" i="25"/>
  <c r="H516" i="25" s="1"/>
  <c r="C516" i="25"/>
  <c r="AM515" i="25"/>
  <c r="AL515" i="25"/>
  <c r="AK515" i="25"/>
  <c r="AJ515" i="25"/>
  <c r="S515" i="25"/>
  <c r="P515" i="25"/>
  <c r="I515" i="25"/>
  <c r="H515" i="25" s="1"/>
  <c r="C515" i="25"/>
  <c r="AM514" i="25"/>
  <c r="AL514" i="25"/>
  <c r="AK514" i="25"/>
  <c r="AJ514" i="25"/>
  <c r="S514" i="25"/>
  <c r="P514" i="25"/>
  <c r="I514" i="25"/>
  <c r="H514" i="25" s="1"/>
  <c r="C514" i="25"/>
  <c r="AM513" i="25"/>
  <c r="AL513" i="25"/>
  <c r="AK513" i="25"/>
  <c r="AJ513" i="25"/>
  <c r="S513" i="25"/>
  <c r="P513" i="25"/>
  <c r="I513" i="25"/>
  <c r="H513" i="25" s="1"/>
  <c r="C513" i="25"/>
  <c r="AM512" i="25"/>
  <c r="AL512" i="25"/>
  <c r="AK512" i="25"/>
  <c r="AJ512" i="25"/>
  <c r="S512" i="25"/>
  <c r="P512" i="25"/>
  <c r="I512" i="25"/>
  <c r="H512" i="25" s="1"/>
  <c r="C512" i="25"/>
  <c r="AM511" i="25"/>
  <c r="AL511" i="25"/>
  <c r="AK511" i="25"/>
  <c r="AJ511" i="25"/>
  <c r="S511" i="25"/>
  <c r="P511" i="25"/>
  <c r="I511" i="25"/>
  <c r="H511" i="25" s="1"/>
  <c r="C511" i="25"/>
  <c r="AM510" i="25"/>
  <c r="AL510" i="25"/>
  <c r="AK510" i="25"/>
  <c r="AJ510" i="25"/>
  <c r="S510" i="25"/>
  <c r="P510" i="25"/>
  <c r="I510" i="25"/>
  <c r="H510" i="25" s="1"/>
  <c r="C510" i="25"/>
  <c r="AM509" i="25"/>
  <c r="AL509" i="25"/>
  <c r="AJ509" i="25"/>
  <c r="S509" i="25"/>
  <c r="P509" i="25"/>
  <c r="I509" i="25"/>
  <c r="H509" i="25" s="1"/>
  <c r="C509" i="25"/>
  <c r="AM508" i="25"/>
  <c r="AL508" i="25"/>
  <c r="AK508" i="25"/>
  <c r="AJ508" i="25"/>
  <c r="S508" i="25"/>
  <c r="P508" i="25"/>
  <c r="I508" i="25"/>
  <c r="H508" i="25" s="1"/>
  <c r="C508" i="25"/>
  <c r="AM507" i="25"/>
  <c r="AL507" i="25"/>
  <c r="AK507" i="25"/>
  <c r="AJ507" i="25"/>
  <c r="AF507" i="25"/>
  <c r="AC507" i="25"/>
  <c r="S507" i="25"/>
  <c r="P507" i="25"/>
  <c r="I507" i="25"/>
  <c r="H507" i="25" s="1"/>
  <c r="C507" i="25"/>
  <c r="AM506" i="25"/>
  <c r="AL506" i="25"/>
  <c r="AJ506" i="25"/>
  <c r="AF506" i="25"/>
  <c r="AC506" i="25"/>
  <c r="S506" i="25"/>
  <c r="P506" i="25"/>
  <c r="K506" i="25"/>
  <c r="AK506" i="25" s="1"/>
  <c r="I506" i="25"/>
  <c r="H506" i="25" s="1"/>
  <c r="C506" i="25"/>
  <c r="AM505" i="25"/>
  <c r="AL505" i="25"/>
  <c r="AK505" i="25"/>
  <c r="AJ505" i="25"/>
  <c r="AF505" i="25"/>
  <c r="AC505" i="25"/>
  <c r="S505" i="25"/>
  <c r="P505" i="25"/>
  <c r="I505" i="25"/>
  <c r="H505" i="25" s="1"/>
  <c r="C505" i="25"/>
  <c r="AM504" i="25"/>
  <c r="AL504" i="25"/>
  <c r="AJ504" i="25"/>
  <c r="AF504" i="25"/>
  <c r="AC504" i="25"/>
  <c r="S504" i="25"/>
  <c r="R504" i="25"/>
  <c r="R500" i="25" s="1"/>
  <c r="I504" i="25"/>
  <c r="H504" i="25" s="1"/>
  <c r="C504" i="25"/>
  <c r="AM503" i="25"/>
  <c r="AL503" i="25"/>
  <c r="AJ503" i="25"/>
  <c r="P503" i="25"/>
  <c r="O503" i="25" s="1"/>
  <c r="I503" i="25"/>
  <c r="H503" i="25" s="1"/>
  <c r="E503" i="25"/>
  <c r="AM502" i="25"/>
  <c r="AL502" i="25"/>
  <c r="AK502" i="25"/>
  <c r="AJ502" i="25"/>
  <c r="AF502" i="25"/>
  <c r="AC502" i="25"/>
  <c r="S502" i="25"/>
  <c r="P502" i="25"/>
  <c r="I502" i="25"/>
  <c r="C502" i="25"/>
  <c r="AM501" i="25"/>
  <c r="AL501" i="25"/>
  <c r="AK501" i="25"/>
  <c r="AJ501" i="25"/>
  <c r="AF501" i="25"/>
  <c r="AC501" i="25"/>
  <c r="S501" i="25"/>
  <c r="P501" i="25"/>
  <c r="I501" i="25"/>
  <c r="H501" i="25" s="1"/>
  <c r="C501" i="25"/>
  <c r="AH500" i="25"/>
  <c r="AG500" i="25"/>
  <c r="AE500" i="25"/>
  <c r="AD500" i="25"/>
  <c r="AB500" i="25"/>
  <c r="AA500" i="25"/>
  <c r="Z500" i="25"/>
  <c r="Y500" i="25"/>
  <c r="X500" i="25"/>
  <c r="T500" i="25"/>
  <c r="Q500" i="25"/>
  <c r="N500" i="25"/>
  <c r="M500" i="25"/>
  <c r="J500" i="25"/>
  <c r="G500" i="25"/>
  <c r="F500" i="25"/>
  <c r="D500" i="25"/>
  <c r="AM499" i="25"/>
  <c r="AL499" i="25"/>
  <c r="AK499" i="25"/>
  <c r="AJ499" i="25"/>
  <c r="S499" i="25"/>
  <c r="P499" i="25"/>
  <c r="I499" i="25"/>
  <c r="C499" i="25"/>
  <c r="AM498" i="25"/>
  <c r="AM497" i="25" s="1"/>
  <c r="AJ498" i="25"/>
  <c r="W498" i="25"/>
  <c r="S498" i="25"/>
  <c r="AL498" i="25" s="1"/>
  <c r="AL497" i="25" s="1"/>
  <c r="R498" i="25"/>
  <c r="AK498" i="25" s="1"/>
  <c r="I498" i="25"/>
  <c r="H498" i="25" s="1"/>
  <c r="C498" i="25"/>
  <c r="AH497" i="25"/>
  <c r="AG497" i="25"/>
  <c r="AF497" i="25"/>
  <c r="AE497" i="25"/>
  <c r="AD497" i="25"/>
  <c r="AC497" i="25"/>
  <c r="AB497" i="25"/>
  <c r="AA497" i="25"/>
  <c r="Z497" i="25"/>
  <c r="Y497" i="25"/>
  <c r="X497" i="25"/>
  <c r="U497" i="25"/>
  <c r="T497" i="25"/>
  <c r="Q497" i="25"/>
  <c r="N497" i="25"/>
  <c r="M497" i="25"/>
  <c r="L497" i="25"/>
  <c r="K497" i="25"/>
  <c r="J497" i="25"/>
  <c r="G497" i="25"/>
  <c r="F497" i="25"/>
  <c r="E497" i="25"/>
  <c r="D497" i="25"/>
  <c r="AM496" i="25"/>
  <c r="AL496" i="25"/>
  <c r="AJ496" i="25"/>
  <c r="AF496" i="25"/>
  <c r="AC496" i="25"/>
  <c r="W496" i="25"/>
  <c r="S496" i="25"/>
  <c r="P496" i="25"/>
  <c r="K496" i="25"/>
  <c r="I496" i="25" s="1"/>
  <c r="H496" i="25" s="1"/>
  <c r="C496" i="25"/>
  <c r="AM495" i="25"/>
  <c r="AL495" i="25"/>
  <c r="AJ495" i="25"/>
  <c r="AF495" i="25"/>
  <c r="AF494" i="25" s="1"/>
  <c r="AC495" i="25"/>
  <c r="AC494" i="25" s="1"/>
  <c r="W495" i="25"/>
  <c r="W494" i="25" s="1"/>
  <c r="S495" i="25"/>
  <c r="P495" i="25"/>
  <c r="K495" i="25"/>
  <c r="AK495" i="25" s="1"/>
  <c r="C495" i="25"/>
  <c r="AH494" i="25"/>
  <c r="AG494" i="25"/>
  <c r="AE494" i="25"/>
  <c r="AD494" i="25"/>
  <c r="AB494" i="25"/>
  <c r="AA494" i="25"/>
  <c r="Z494" i="25"/>
  <c r="Y494" i="25"/>
  <c r="X494" i="25"/>
  <c r="U494" i="25"/>
  <c r="T494" i="25"/>
  <c r="R494" i="25"/>
  <c r="Q494" i="25"/>
  <c r="N494" i="25"/>
  <c r="M494" i="25"/>
  <c r="L494" i="25"/>
  <c r="J494" i="25"/>
  <c r="G494" i="25"/>
  <c r="F494" i="25"/>
  <c r="E494" i="25"/>
  <c r="D494" i="25"/>
  <c r="AM493" i="25"/>
  <c r="AL493" i="25"/>
  <c r="AJ493" i="25"/>
  <c r="AF493" i="25"/>
  <c r="AC493" i="25"/>
  <c r="Z493" i="25"/>
  <c r="W493" i="25"/>
  <c r="S493" i="25"/>
  <c r="P493" i="25"/>
  <c r="K493" i="25"/>
  <c r="AK493" i="25" s="1"/>
  <c r="I493" i="25"/>
  <c r="H493" i="25" s="1"/>
  <c r="C493" i="25"/>
  <c r="AM492" i="25"/>
  <c r="AL492" i="25"/>
  <c r="AK492" i="25"/>
  <c r="AJ492" i="25"/>
  <c r="W492" i="25"/>
  <c r="S492" i="25"/>
  <c r="P492" i="25"/>
  <c r="I492" i="25"/>
  <c r="H492" i="25" s="1"/>
  <c r="C492" i="25"/>
  <c r="AM491" i="25"/>
  <c r="AL491" i="25"/>
  <c r="AJ491" i="25"/>
  <c r="AF491" i="25"/>
  <c r="AC491" i="25"/>
  <c r="Z491" i="25"/>
  <c r="Y491" i="25"/>
  <c r="W491" i="25" s="1"/>
  <c r="S491" i="25"/>
  <c r="K491" i="25"/>
  <c r="R491" i="25" s="1"/>
  <c r="C491" i="25"/>
  <c r="AH490" i="25"/>
  <c r="AG490" i="25"/>
  <c r="AE490" i="25"/>
  <c r="AD490" i="25"/>
  <c r="AB490" i="25"/>
  <c r="AA490" i="25"/>
  <c r="Y490" i="25"/>
  <c r="X490" i="25"/>
  <c r="U490" i="25"/>
  <c r="T490" i="25"/>
  <c r="Q490" i="25"/>
  <c r="N490" i="25"/>
  <c r="M490" i="25"/>
  <c r="L490" i="25"/>
  <c r="J490" i="25"/>
  <c r="G490" i="25"/>
  <c r="F490" i="25"/>
  <c r="E490" i="25"/>
  <c r="D490" i="25"/>
  <c r="AL489" i="25"/>
  <c r="AJ489" i="25"/>
  <c r="W489" i="25"/>
  <c r="V489" i="25" s="1"/>
  <c r="N489" i="25"/>
  <c r="AM489" i="25" s="1"/>
  <c r="L489" i="25"/>
  <c r="K489" i="25"/>
  <c r="I489" i="25"/>
  <c r="H489" i="25" s="1"/>
  <c r="E489" i="25"/>
  <c r="C489" i="25" s="1"/>
  <c r="AM488" i="25"/>
  <c r="AL488" i="25"/>
  <c r="AK488" i="25"/>
  <c r="AJ488" i="25"/>
  <c r="S488" i="25"/>
  <c r="P488" i="25"/>
  <c r="L488" i="25"/>
  <c r="I488" i="25"/>
  <c r="C488" i="25"/>
  <c r="AL487" i="25"/>
  <c r="AK487" i="25"/>
  <c r="AJ487" i="25"/>
  <c r="U487" i="25"/>
  <c r="S487" i="25"/>
  <c r="P487" i="25"/>
  <c r="L487" i="25"/>
  <c r="I487" i="25"/>
  <c r="G487" i="25"/>
  <c r="C487" i="25" s="1"/>
  <c r="AL486" i="25"/>
  <c r="AK486" i="25"/>
  <c r="AJ486" i="25"/>
  <c r="U486" i="25"/>
  <c r="S486" i="25" s="1"/>
  <c r="P486" i="25"/>
  <c r="L486" i="25"/>
  <c r="I486" i="25"/>
  <c r="G486" i="25"/>
  <c r="C486" i="25" s="1"/>
  <c r="AL485" i="25"/>
  <c r="AK485" i="25"/>
  <c r="AJ485" i="25"/>
  <c r="AB485" i="25"/>
  <c r="Z485" i="25" s="1"/>
  <c r="Z477" i="25" s="1"/>
  <c r="W485" i="25"/>
  <c r="U485" i="25"/>
  <c r="S485" i="25"/>
  <c r="P485" i="25"/>
  <c r="L485" i="25"/>
  <c r="I485" i="25"/>
  <c r="C485" i="25"/>
  <c r="AL484" i="25"/>
  <c r="AK484" i="25"/>
  <c r="AJ484" i="25"/>
  <c r="U484" i="25"/>
  <c r="P484" i="25"/>
  <c r="L484" i="25"/>
  <c r="I484" i="25"/>
  <c r="C484" i="25"/>
  <c r="AL483" i="25"/>
  <c r="AK483" i="25"/>
  <c r="AJ483" i="25"/>
  <c r="P483" i="25"/>
  <c r="N483" i="25"/>
  <c r="U483" i="25" s="1"/>
  <c r="AM483" i="25" s="1"/>
  <c r="L483" i="25"/>
  <c r="I483" i="25"/>
  <c r="C483" i="25"/>
  <c r="AL482" i="25"/>
  <c r="AK482" i="25"/>
  <c r="AJ482" i="25"/>
  <c r="U482" i="25"/>
  <c r="S482" i="25" s="1"/>
  <c r="P482" i="25"/>
  <c r="L482" i="25"/>
  <c r="I482" i="25"/>
  <c r="G482" i="25"/>
  <c r="C482" i="25" s="1"/>
  <c r="AL481" i="25"/>
  <c r="AK481" i="25"/>
  <c r="AJ481" i="25"/>
  <c r="AF481" i="25"/>
  <c r="AC481" i="25"/>
  <c r="U481" i="25"/>
  <c r="S481" i="25" s="1"/>
  <c r="P481" i="25"/>
  <c r="L481" i="25"/>
  <c r="I481" i="25"/>
  <c r="C481" i="25"/>
  <c r="AL480" i="25"/>
  <c r="AK480" i="25"/>
  <c r="AJ480" i="25"/>
  <c r="AF480" i="25"/>
  <c r="AC480" i="25"/>
  <c r="U480" i="25"/>
  <c r="AM480" i="25" s="1"/>
  <c r="P480" i="25"/>
  <c r="L480" i="25"/>
  <c r="I480" i="25"/>
  <c r="C480" i="25"/>
  <c r="AL479" i="25"/>
  <c r="AK479" i="25"/>
  <c r="AJ479" i="25"/>
  <c r="AF479" i="25"/>
  <c r="AC479" i="25"/>
  <c r="U479" i="25"/>
  <c r="S479" i="25" s="1"/>
  <c r="P479" i="25"/>
  <c r="L479" i="25"/>
  <c r="I479" i="25"/>
  <c r="C479" i="25"/>
  <c r="AM478" i="25"/>
  <c r="AL478" i="25"/>
  <c r="AJ478" i="25"/>
  <c r="AF478" i="25"/>
  <c r="AC478" i="25"/>
  <c r="W478" i="25"/>
  <c r="W477" i="25" s="1"/>
  <c r="S478" i="25"/>
  <c r="P478" i="25"/>
  <c r="K478" i="25"/>
  <c r="AK478" i="25" s="1"/>
  <c r="I478" i="25"/>
  <c r="H478" i="25" s="1"/>
  <c r="C478" i="25"/>
  <c r="AH477" i="25"/>
  <c r="AG477" i="25"/>
  <c r="AE477" i="25"/>
  <c r="AD477" i="25"/>
  <c r="AB477" i="25"/>
  <c r="AA477" i="25"/>
  <c r="Y477" i="25"/>
  <c r="X477" i="25"/>
  <c r="T477" i="25"/>
  <c r="R477" i="25"/>
  <c r="Q477" i="25"/>
  <c r="N477" i="25"/>
  <c r="M477" i="25"/>
  <c r="K477" i="25"/>
  <c r="J477" i="25"/>
  <c r="G477" i="25"/>
  <c r="F477" i="25"/>
  <c r="E477" i="25"/>
  <c r="D477" i="25"/>
  <c r="AL476" i="25"/>
  <c r="AJ476" i="25"/>
  <c r="W476" i="25"/>
  <c r="V476" i="25" s="1"/>
  <c r="I476" i="25"/>
  <c r="H476" i="25" s="1"/>
  <c r="G476" i="25"/>
  <c r="AM476" i="25" s="1"/>
  <c r="E476" i="25"/>
  <c r="AL475" i="25"/>
  <c r="AK475" i="25"/>
  <c r="AJ475" i="25"/>
  <c r="AF475" i="25"/>
  <c r="AC475" i="25"/>
  <c r="Z475" i="25"/>
  <c r="W475" i="25"/>
  <c r="U475" i="25"/>
  <c r="P475" i="25"/>
  <c r="L475" i="25"/>
  <c r="I475" i="25"/>
  <c r="C475" i="25"/>
  <c r="AL474" i="25"/>
  <c r="AK474" i="25"/>
  <c r="AJ474" i="25"/>
  <c r="AF474" i="25"/>
  <c r="AC474" i="25"/>
  <c r="Z474" i="25"/>
  <c r="W474" i="25"/>
  <c r="U474" i="25"/>
  <c r="P474" i="25"/>
  <c r="L474" i="25"/>
  <c r="I474" i="25"/>
  <c r="G474" i="25"/>
  <c r="C474" i="25"/>
  <c r="AL473" i="25"/>
  <c r="AK473" i="25"/>
  <c r="AJ473" i="25"/>
  <c r="AF473" i="25"/>
  <c r="AC473" i="25"/>
  <c r="Z473" i="25"/>
  <c r="W473" i="25"/>
  <c r="U473" i="25"/>
  <c r="S473" i="25" s="1"/>
  <c r="P473" i="25"/>
  <c r="L473" i="25"/>
  <c r="I473" i="25"/>
  <c r="C473" i="25"/>
  <c r="AL472" i="25"/>
  <c r="AK472" i="25"/>
  <c r="AJ472" i="25"/>
  <c r="AF472" i="25"/>
  <c r="AC472" i="25"/>
  <c r="Z472" i="25"/>
  <c r="W472" i="25"/>
  <c r="U472" i="25"/>
  <c r="S472" i="25"/>
  <c r="P472" i="25"/>
  <c r="L472" i="25"/>
  <c r="I472" i="25"/>
  <c r="G472" i="25"/>
  <c r="AL471" i="25"/>
  <c r="AK471" i="25"/>
  <c r="AJ471" i="25"/>
  <c r="AF471" i="25"/>
  <c r="AC471" i="25"/>
  <c r="Z471" i="25"/>
  <c r="W471" i="25"/>
  <c r="U471" i="25"/>
  <c r="S471" i="25" s="1"/>
  <c r="P471" i="25"/>
  <c r="L471" i="25"/>
  <c r="I471" i="25"/>
  <c r="G471" i="25"/>
  <c r="AL470" i="25"/>
  <c r="AK470" i="25"/>
  <c r="AJ470" i="25"/>
  <c r="AF470" i="25"/>
  <c r="AC470" i="25"/>
  <c r="Z470" i="25"/>
  <c r="W470" i="25"/>
  <c r="U470" i="25"/>
  <c r="S470" i="25" s="1"/>
  <c r="P470" i="25"/>
  <c r="L470" i="25"/>
  <c r="I470" i="25"/>
  <c r="G470" i="25"/>
  <c r="AL469" i="25"/>
  <c r="AK469" i="25"/>
  <c r="AJ469" i="25"/>
  <c r="AF469" i="25"/>
  <c r="AC469" i="25"/>
  <c r="Z469" i="25"/>
  <c r="W469" i="25"/>
  <c r="U469" i="25"/>
  <c r="S469" i="25" s="1"/>
  <c r="P469" i="25"/>
  <c r="L469" i="25"/>
  <c r="I469" i="25"/>
  <c r="G469" i="25"/>
  <c r="AL468" i="25"/>
  <c r="AK468" i="25"/>
  <c r="AJ468" i="25"/>
  <c r="AF468" i="25"/>
  <c r="AC468" i="25"/>
  <c r="Z468" i="25"/>
  <c r="W468" i="25"/>
  <c r="U468" i="25"/>
  <c r="S468" i="25" s="1"/>
  <c r="P468" i="25"/>
  <c r="L468" i="25"/>
  <c r="I468" i="25"/>
  <c r="G468" i="25"/>
  <c r="AL467" i="25"/>
  <c r="AK467" i="25"/>
  <c r="AJ467" i="25"/>
  <c r="AF467" i="25"/>
  <c r="AC467" i="25"/>
  <c r="Z467" i="25"/>
  <c r="W467" i="25"/>
  <c r="U467" i="25"/>
  <c r="AM467" i="25" s="1"/>
  <c r="P467" i="25"/>
  <c r="L467" i="25"/>
  <c r="I467" i="25"/>
  <c r="C467" i="25"/>
  <c r="AL466" i="25"/>
  <c r="AK466" i="25"/>
  <c r="AJ466" i="25"/>
  <c r="AB466" i="25"/>
  <c r="W466" i="25"/>
  <c r="U466" i="25"/>
  <c r="P466" i="25"/>
  <c r="L466" i="25"/>
  <c r="I466" i="25"/>
  <c r="C466" i="25"/>
  <c r="AM465" i="25"/>
  <c r="AL465" i="25"/>
  <c r="AJ465" i="25"/>
  <c r="Z465" i="25"/>
  <c r="W465" i="25"/>
  <c r="S465" i="25"/>
  <c r="R465" i="25"/>
  <c r="L465" i="25"/>
  <c r="I465" i="25"/>
  <c r="C465" i="25"/>
  <c r="AM464" i="25"/>
  <c r="AL464" i="25"/>
  <c r="AJ464" i="25"/>
  <c r="AF464" i="25"/>
  <c r="AC464" i="25"/>
  <c r="Z464" i="25"/>
  <c r="W464" i="25"/>
  <c r="S464" i="25"/>
  <c r="P464" i="25"/>
  <c r="L464" i="25"/>
  <c r="K464" i="25"/>
  <c r="AK464" i="25" s="1"/>
  <c r="C464" i="25"/>
  <c r="AH463" i="25"/>
  <c r="AG463" i="25"/>
  <c r="AE463" i="25"/>
  <c r="AD463" i="25"/>
  <c r="AA463" i="25"/>
  <c r="Y463" i="25"/>
  <c r="X463" i="25"/>
  <c r="T463" i="25"/>
  <c r="Q463" i="25"/>
  <c r="N463" i="25"/>
  <c r="M463" i="25"/>
  <c r="K463" i="25"/>
  <c r="J463" i="25"/>
  <c r="G463" i="25"/>
  <c r="F463" i="25"/>
  <c r="E463" i="25"/>
  <c r="D463" i="25"/>
  <c r="AL462" i="25"/>
  <c r="AJ462" i="25"/>
  <c r="U462" i="25"/>
  <c r="P462" i="25"/>
  <c r="L462" i="25"/>
  <c r="K462" i="25"/>
  <c r="I462" i="25" s="1"/>
  <c r="G462" i="25"/>
  <c r="E462" i="25"/>
  <c r="AL461" i="25"/>
  <c r="AK461" i="25"/>
  <c r="AJ461" i="25"/>
  <c r="U461" i="25"/>
  <c r="P461" i="25"/>
  <c r="L461" i="25"/>
  <c r="I461" i="25"/>
  <c r="C461" i="25"/>
  <c r="AL460" i="25"/>
  <c r="AK460" i="25"/>
  <c r="AJ460" i="25"/>
  <c r="U460" i="25"/>
  <c r="P460" i="25"/>
  <c r="L460" i="25"/>
  <c r="I460" i="25"/>
  <c r="C460" i="25"/>
  <c r="AM459" i="25"/>
  <c r="AL459" i="25"/>
  <c r="AK459" i="25"/>
  <c r="AJ459" i="25"/>
  <c r="S459" i="25"/>
  <c r="P459" i="25"/>
  <c r="L459" i="25"/>
  <c r="I459" i="25"/>
  <c r="C459" i="25"/>
  <c r="AL458" i="25"/>
  <c r="AK458" i="25"/>
  <c r="AJ458" i="25"/>
  <c r="S458" i="25"/>
  <c r="P458" i="25"/>
  <c r="L458" i="25"/>
  <c r="I458" i="25"/>
  <c r="G458" i="25"/>
  <c r="AM458" i="25" s="1"/>
  <c r="C458" i="25"/>
  <c r="AL457" i="25"/>
  <c r="AK457" i="25"/>
  <c r="AJ457" i="25"/>
  <c r="U457" i="25"/>
  <c r="AM457" i="25" s="1"/>
  <c r="P457" i="25"/>
  <c r="L457" i="25"/>
  <c r="I457" i="25"/>
  <c r="C457" i="25"/>
  <c r="AL456" i="25"/>
  <c r="AK456" i="25"/>
  <c r="AJ456" i="25"/>
  <c r="U456" i="25"/>
  <c r="AM456" i="25" s="1"/>
  <c r="P456" i="25"/>
  <c r="L456" i="25"/>
  <c r="I456" i="25"/>
  <c r="C456" i="25"/>
  <c r="AL455" i="25"/>
  <c r="AK455" i="25"/>
  <c r="AJ455" i="25"/>
  <c r="U455" i="25"/>
  <c r="AM455" i="25" s="1"/>
  <c r="P455" i="25"/>
  <c r="L455" i="25"/>
  <c r="I455" i="25"/>
  <c r="C455" i="25"/>
  <c r="AL454" i="25"/>
  <c r="AK454" i="25"/>
  <c r="AJ454" i="25"/>
  <c r="U454" i="25"/>
  <c r="AM454" i="25" s="1"/>
  <c r="P454" i="25"/>
  <c r="L454" i="25"/>
  <c r="I454" i="25"/>
  <c r="C454" i="25"/>
  <c r="AL453" i="25"/>
  <c r="AK453" i="25"/>
  <c r="AJ453" i="25"/>
  <c r="U453" i="25"/>
  <c r="AM453" i="25" s="1"/>
  <c r="P453" i="25"/>
  <c r="L453" i="25"/>
  <c r="I453" i="25"/>
  <c r="C453" i="25"/>
  <c r="AL452" i="25"/>
  <c r="AK452" i="25"/>
  <c r="AJ452" i="25"/>
  <c r="U452" i="25"/>
  <c r="AM452" i="25" s="1"/>
  <c r="P452" i="25"/>
  <c r="L452" i="25"/>
  <c r="I452" i="25"/>
  <c r="C452" i="25"/>
  <c r="AM451" i="25"/>
  <c r="AL451" i="25"/>
  <c r="AJ451" i="25"/>
  <c r="S451" i="25"/>
  <c r="R451" i="25"/>
  <c r="P451" i="25" s="1"/>
  <c r="L451" i="25"/>
  <c r="I451" i="25"/>
  <c r="C451" i="25"/>
  <c r="AM450" i="25"/>
  <c r="AL450" i="25"/>
  <c r="AK450" i="25"/>
  <c r="AJ450" i="25"/>
  <c r="S450" i="25"/>
  <c r="P450" i="25"/>
  <c r="L450" i="25"/>
  <c r="I450" i="25"/>
  <c r="C450" i="25"/>
  <c r="AM449" i="25"/>
  <c r="AL449" i="25"/>
  <c r="AJ449" i="25"/>
  <c r="S449" i="25"/>
  <c r="R449" i="25"/>
  <c r="L449" i="25"/>
  <c r="I449" i="25"/>
  <c r="C449" i="25"/>
  <c r="AM448" i="25"/>
  <c r="AL448" i="25"/>
  <c r="AK448" i="25"/>
  <c r="AJ448" i="25"/>
  <c r="S448" i="25"/>
  <c r="P448" i="25"/>
  <c r="L448" i="25"/>
  <c r="I448" i="25"/>
  <c r="C448" i="25"/>
  <c r="AM447" i="25"/>
  <c r="AL447" i="25"/>
  <c r="AJ447" i="25"/>
  <c r="S447" i="25"/>
  <c r="R447" i="25"/>
  <c r="P447" i="25" s="1"/>
  <c r="L447" i="25"/>
  <c r="I447" i="25"/>
  <c r="C447" i="25"/>
  <c r="AM446" i="25"/>
  <c r="AL446" i="25"/>
  <c r="AJ446" i="25"/>
  <c r="S446" i="25"/>
  <c r="R446" i="25"/>
  <c r="P446" i="25" s="1"/>
  <c r="L446" i="25"/>
  <c r="K446" i="25"/>
  <c r="C446" i="25"/>
  <c r="AM445" i="25"/>
  <c r="AL445" i="25"/>
  <c r="AJ445" i="25"/>
  <c r="S445" i="25"/>
  <c r="R445" i="25"/>
  <c r="AK445" i="25" s="1"/>
  <c r="L445" i="25"/>
  <c r="I445" i="25"/>
  <c r="C445" i="25"/>
  <c r="AM444" i="25"/>
  <c r="AL444" i="25"/>
  <c r="AJ444" i="25"/>
  <c r="S444" i="25"/>
  <c r="R444" i="25"/>
  <c r="L444" i="25"/>
  <c r="I444" i="25"/>
  <c r="C444" i="25"/>
  <c r="AM443" i="25"/>
  <c r="AL443" i="25"/>
  <c r="AK443" i="25"/>
  <c r="AJ443" i="25"/>
  <c r="S443" i="25"/>
  <c r="P443" i="25"/>
  <c r="L443" i="25"/>
  <c r="I443" i="25"/>
  <c r="C443" i="25"/>
  <c r="AM442" i="25"/>
  <c r="AL442" i="25"/>
  <c r="AK442" i="25"/>
  <c r="AJ442" i="25"/>
  <c r="S442" i="25"/>
  <c r="P442" i="25"/>
  <c r="L442" i="25"/>
  <c r="I442" i="25"/>
  <c r="C442" i="25"/>
  <c r="AM441" i="25"/>
  <c r="AL441" i="25"/>
  <c r="AJ441" i="25"/>
  <c r="S441" i="25"/>
  <c r="R441" i="25"/>
  <c r="P441" i="25"/>
  <c r="O441" i="25" s="1"/>
  <c r="L441" i="25"/>
  <c r="K441" i="25"/>
  <c r="AK441" i="25" s="1"/>
  <c r="C441" i="25"/>
  <c r="AM440" i="25"/>
  <c r="AL440" i="25"/>
  <c r="AK440" i="25"/>
  <c r="AJ440" i="25"/>
  <c r="S440" i="25"/>
  <c r="P440" i="25"/>
  <c r="L440" i="25"/>
  <c r="I440" i="25"/>
  <c r="C440" i="25"/>
  <c r="AH439" i="25"/>
  <c r="AG439" i="25"/>
  <c r="AF439" i="25"/>
  <c r="AE439" i="25"/>
  <c r="AD439" i="25"/>
  <c r="AC439" i="25"/>
  <c r="AB439" i="25"/>
  <c r="AA439" i="25"/>
  <c r="Z439" i="25"/>
  <c r="Y439" i="25"/>
  <c r="X439" i="25"/>
  <c r="W439" i="25"/>
  <c r="V439" i="25"/>
  <c r="T439" i="25"/>
  <c r="Q439" i="25"/>
  <c r="N439" i="25"/>
  <c r="M439" i="25"/>
  <c r="J439" i="25"/>
  <c r="G439" i="25"/>
  <c r="F439" i="25"/>
  <c r="D439" i="25"/>
  <c r="AM438" i="25"/>
  <c r="AM437" i="25" s="1"/>
  <c r="AL438" i="25"/>
  <c r="AK438" i="25"/>
  <c r="AK437" i="25" s="1"/>
  <c r="AJ438" i="25"/>
  <c r="AJ437" i="25" s="1"/>
  <c r="W438" i="25"/>
  <c r="S438" i="25"/>
  <c r="S437" i="25" s="1"/>
  <c r="P438" i="25"/>
  <c r="P437" i="25" s="1"/>
  <c r="H118" i="18" s="1"/>
  <c r="I438" i="25"/>
  <c r="C438" i="25"/>
  <c r="C437" i="25" s="1"/>
  <c r="AL437" i="25"/>
  <c r="AH437" i="25"/>
  <c r="AG437" i="25"/>
  <c r="AF437" i="25"/>
  <c r="AE437" i="25"/>
  <c r="AD437" i="25"/>
  <c r="AC437" i="25"/>
  <c r="AB437" i="25"/>
  <c r="AA437" i="25"/>
  <c r="Z437" i="25"/>
  <c r="Y437" i="25"/>
  <c r="X437" i="25"/>
  <c r="U437" i="25"/>
  <c r="T437" i="25"/>
  <c r="R437" i="25"/>
  <c r="Q437" i="25"/>
  <c r="N437" i="25"/>
  <c r="M437" i="25"/>
  <c r="L437" i="25"/>
  <c r="K437" i="25"/>
  <c r="J437" i="25"/>
  <c r="G437" i="25"/>
  <c r="F437" i="25"/>
  <c r="E437" i="25"/>
  <c r="D437" i="25"/>
  <c r="AM436" i="25"/>
  <c r="AL436" i="25"/>
  <c r="AJ436" i="25"/>
  <c r="S436" i="25"/>
  <c r="P436" i="25"/>
  <c r="K436" i="25"/>
  <c r="I436" i="25" s="1"/>
  <c r="H436" i="25" s="1"/>
  <c r="E436" i="25"/>
  <c r="AM435" i="25"/>
  <c r="AL435" i="25"/>
  <c r="AJ435" i="25"/>
  <c r="S435" i="25"/>
  <c r="P435" i="25"/>
  <c r="K435" i="25"/>
  <c r="AK435" i="25" s="1"/>
  <c r="C435" i="25"/>
  <c r="AM434" i="25"/>
  <c r="AL434" i="25"/>
  <c r="AJ434" i="25"/>
  <c r="S434" i="25"/>
  <c r="R434" i="25"/>
  <c r="I434" i="25"/>
  <c r="H434" i="25" s="1"/>
  <c r="E434" i="25"/>
  <c r="C434" i="25"/>
  <c r="AM433" i="25"/>
  <c r="AL433" i="25"/>
  <c r="AJ433" i="25"/>
  <c r="S433" i="25"/>
  <c r="R433" i="25"/>
  <c r="P433" i="25" s="1"/>
  <c r="K433" i="25"/>
  <c r="I433" i="25" s="1"/>
  <c r="H433" i="25" s="1"/>
  <c r="E433" i="25"/>
  <c r="AM432" i="25"/>
  <c r="AL432" i="25"/>
  <c r="AJ432" i="25"/>
  <c r="S432" i="25"/>
  <c r="R432" i="25"/>
  <c r="P432" i="25"/>
  <c r="K432" i="25"/>
  <c r="C432" i="25"/>
  <c r="AH431" i="25"/>
  <c r="AG431" i="25"/>
  <c r="AF431" i="25"/>
  <c r="AE431" i="25"/>
  <c r="AD431" i="25"/>
  <c r="AC431" i="25"/>
  <c r="AB431" i="25"/>
  <c r="AA431" i="25"/>
  <c r="Z431" i="25"/>
  <c r="Y431" i="25"/>
  <c r="X431" i="25"/>
  <c r="W431" i="25"/>
  <c r="V431" i="25"/>
  <c r="U431" i="25"/>
  <c r="T431" i="25"/>
  <c r="Q431" i="25"/>
  <c r="N431" i="25"/>
  <c r="M431" i="25"/>
  <c r="L431" i="25"/>
  <c r="J431" i="25"/>
  <c r="G431" i="25"/>
  <c r="F431" i="25"/>
  <c r="D431" i="25"/>
  <c r="AM430" i="25"/>
  <c r="AL430" i="25"/>
  <c r="AJ430" i="25"/>
  <c r="S430" i="25"/>
  <c r="P430" i="25"/>
  <c r="K430" i="25"/>
  <c r="I430" i="25"/>
  <c r="H430" i="25" s="1"/>
  <c r="E430" i="25"/>
  <c r="AM429" i="25"/>
  <c r="AL429" i="25"/>
  <c r="AJ429" i="25"/>
  <c r="S429" i="25"/>
  <c r="P429" i="25"/>
  <c r="K429" i="25"/>
  <c r="AK429" i="25" s="1"/>
  <c r="I429" i="25"/>
  <c r="H429" i="25" s="1"/>
  <c r="C429" i="25"/>
  <c r="AM428" i="25"/>
  <c r="AL428" i="25"/>
  <c r="AK428" i="25"/>
  <c r="AJ428" i="25"/>
  <c r="S428" i="25"/>
  <c r="P428" i="25"/>
  <c r="I428" i="25"/>
  <c r="H428" i="25" s="1"/>
  <c r="C428" i="25"/>
  <c r="AM427" i="25"/>
  <c r="AL427" i="25"/>
  <c r="AK427" i="25"/>
  <c r="AJ427" i="25"/>
  <c r="AF427" i="25"/>
  <c r="AC427" i="25"/>
  <c r="S427" i="25"/>
  <c r="P427" i="25"/>
  <c r="L427" i="25"/>
  <c r="I427" i="25"/>
  <c r="C427" i="25"/>
  <c r="AM426" i="25"/>
  <c r="AL426" i="25"/>
  <c r="AK426" i="25"/>
  <c r="AJ426" i="25"/>
  <c r="AF426" i="25"/>
  <c r="AC426" i="25"/>
  <c r="S426" i="25"/>
  <c r="P426" i="25"/>
  <c r="L426" i="25"/>
  <c r="I426" i="25"/>
  <c r="C426" i="25"/>
  <c r="AM425" i="25"/>
  <c r="AL425" i="25"/>
  <c r="AJ425" i="25"/>
  <c r="AF425" i="25"/>
  <c r="AC425" i="25"/>
  <c r="Z425" i="25"/>
  <c r="W425" i="25"/>
  <c r="S425" i="25"/>
  <c r="P425" i="25"/>
  <c r="L425" i="25"/>
  <c r="K425" i="25"/>
  <c r="I425" i="25" s="1"/>
  <c r="E425" i="25"/>
  <c r="C425" i="25" s="1"/>
  <c r="AM424" i="25"/>
  <c r="AL424" i="25"/>
  <c r="AJ424" i="25"/>
  <c r="AF424" i="25"/>
  <c r="AC424" i="25"/>
  <c r="Z424" i="25"/>
  <c r="W424" i="25"/>
  <c r="S424" i="25"/>
  <c r="P424" i="25"/>
  <c r="L424" i="25"/>
  <c r="K424" i="25"/>
  <c r="I424" i="25" s="1"/>
  <c r="C424" i="25"/>
  <c r="AM423" i="25"/>
  <c r="AL423" i="25"/>
  <c r="AJ423" i="25"/>
  <c r="AF423" i="25"/>
  <c r="AC423" i="25"/>
  <c r="Z423" i="25"/>
  <c r="W423" i="25"/>
  <c r="S423" i="25"/>
  <c r="P423" i="25"/>
  <c r="L423" i="25"/>
  <c r="K423" i="25"/>
  <c r="AK423" i="25" s="1"/>
  <c r="C423" i="25"/>
  <c r="AM422" i="25"/>
  <c r="AL422" i="25"/>
  <c r="AJ422" i="25"/>
  <c r="AF422" i="25"/>
  <c r="AC422" i="25"/>
  <c r="Z422" i="25"/>
  <c r="W422" i="25"/>
  <c r="S422" i="25"/>
  <c r="L422" i="25"/>
  <c r="K422" i="25"/>
  <c r="R422" i="25" s="1"/>
  <c r="R421" i="25" s="1"/>
  <c r="C422" i="25"/>
  <c r="AH421" i="25"/>
  <c r="AG421" i="25"/>
  <c r="AE421" i="25"/>
  <c r="AD421" i="25"/>
  <c r="AB421" i="25"/>
  <c r="AA421" i="25"/>
  <c r="Y421" i="25"/>
  <c r="X421" i="25"/>
  <c r="U421" i="25"/>
  <c r="T421" i="25"/>
  <c r="Q421" i="25"/>
  <c r="N421" i="25"/>
  <c r="M421" i="25"/>
  <c r="J421" i="25"/>
  <c r="G421" i="25"/>
  <c r="F421" i="25"/>
  <c r="E421" i="25"/>
  <c r="D421" i="25"/>
  <c r="AM420" i="25"/>
  <c r="AL420" i="25"/>
  <c r="AJ420" i="25"/>
  <c r="W420" i="25"/>
  <c r="S420" i="25"/>
  <c r="P420" i="25"/>
  <c r="K420" i="25"/>
  <c r="I420" i="25" s="1"/>
  <c r="H420" i="25" s="1"/>
  <c r="E420" i="25"/>
  <c r="C420" i="25" s="1"/>
  <c r="AM419" i="25"/>
  <c r="AL419" i="25"/>
  <c r="AJ419" i="25"/>
  <c r="AF419" i="25"/>
  <c r="AC419" i="25"/>
  <c r="S419" i="25"/>
  <c r="R419" i="25"/>
  <c r="P419" i="25"/>
  <c r="O419" i="25" s="1"/>
  <c r="L419" i="25"/>
  <c r="K419" i="25"/>
  <c r="I419" i="25" s="1"/>
  <c r="C419" i="25"/>
  <c r="AL418" i="25"/>
  <c r="AK418" i="25"/>
  <c r="AJ418" i="25"/>
  <c r="AF418" i="25"/>
  <c r="AC418" i="25"/>
  <c r="U418" i="25"/>
  <c r="S418" i="25" s="1"/>
  <c r="P418" i="25"/>
  <c r="L418" i="25"/>
  <c r="I418" i="25"/>
  <c r="C418" i="25"/>
  <c r="AL417" i="25"/>
  <c r="AK417" i="25"/>
  <c r="AJ417" i="25"/>
  <c r="AF417" i="25"/>
  <c r="AC417" i="25"/>
  <c r="Z417" i="25"/>
  <c r="W417" i="25"/>
  <c r="U417" i="25"/>
  <c r="P417" i="25"/>
  <c r="L417" i="25"/>
  <c r="I417" i="25"/>
  <c r="C417" i="25"/>
  <c r="AM416" i="25"/>
  <c r="AL416" i="25"/>
  <c r="AK416" i="25"/>
  <c r="AJ416" i="25"/>
  <c r="AF416" i="25"/>
  <c r="AC416" i="25"/>
  <c r="S416" i="25"/>
  <c r="P416" i="25"/>
  <c r="L416" i="25"/>
  <c r="I416" i="25"/>
  <c r="C416" i="25"/>
  <c r="AL415" i="25"/>
  <c r="AK415" i="25"/>
  <c r="AJ415" i="25"/>
  <c r="AF415" i="25"/>
  <c r="AC415" i="25"/>
  <c r="Z415" i="25"/>
  <c r="U415" i="25"/>
  <c r="S415" i="25"/>
  <c r="P415" i="25"/>
  <c r="L415" i="25"/>
  <c r="I415" i="25"/>
  <c r="G415" i="25"/>
  <c r="C415" i="25" s="1"/>
  <c r="AL414" i="25"/>
  <c r="AK414" i="25"/>
  <c r="AJ414" i="25"/>
  <c r="AF414" i="25"/>
  <c r="AC414" i="25"/>
  <c r="U414" i="25"/>
  <c r="S414" i="25" s="1"/>
  <c r="P414" i="25"/>
  <c r="L414" i="25"/>
  <c r="I414" i="25"/>
  <c r="G414" i="25"/>
  <c r="AL413" i="25"/>
  <c r="AK413" i="25"/>
  <c r="AJ413" i="25"/>
  <c r="AF413" i="25"/>
  <c r="AC413" i="25"/>
  <c r="U413" i="25"/>
  <c r="AM413" i="25" s="1"/>
  <c r="P413" i="25"/>
  <c r="L413" i="25"/>
  <c r="I413" i="25"/>
  <c r="C413" i="25"/>
  <c r="AL412" i="25"/>
  <c r="AK412" i="25"/>
  <c r="AJ412" i="25"/>
  <c r="AF412" i="25"/>
  <c r="AC412" i="25"/>
  <c r="U412" i="25"/>
  <c r="S412" i="25" s="1"/>
  <c r="P412" i="25"/>
  <c r="L412" i="25"/>
  <c r="I412" i="25"/>
  <c r="C412" i="25"/>
  <c r="AL411" i="25"/>
  <c r="AK411" i="25"/>
  <c r="AJ411" i="25"/>
  <c r="AF411" i="25"/>
  <c r="AC411" i="25"/>
  <c r="U411" i="25"/>
  <c r="S411" i="25" s="1"/>
  <c r="P411" i="25"/>
  <c r="L411" i="25"/>
  <c r="I411" i="25"/>
  <c r="G411" i="25"/>
  <c r="AL410" i="25"/>
  <c r="AK410" i="25"/>
  <c r="AJ410" i="25"/>
  <c r="AF410" i="25"/>
  <c r="AC410" i="25"/>
  <c r="U410" i="25"/>
  <c r="AM410" i="25" s="1"/>
  <c r="P410" i="25"/>
  <c r="L410" i="25"/>
  <c r="I410" i="25"/>
  <c r="C410" i="25"/>
  <c r="AL409" i="25"/>
  <c r="AK409" i="25"/>
  <c r="AJ409" i="25"/>
  <c r="AF409" i="25"/>
  <c r="AC409" i="25"/>
  <c r="Z409" i="25"/>
  <c r="U409" i="25"/>
  <c r="S409" i="25" s="1"/>
  <c r="P409" i="25"/>
  <c r="L409" i="25"/>
  <c r="I409" i="25"/>
  <c r="G409" i="25"/>
  <c r="AM409" i="25" s="1"/>
  <c r="AH408" i="25"/>
  <c r="AG408" i="25"/>
  <c r="AE408" i="25"/>
  <c r="AD408" i="25"/>
  <c r="AB408" i="25"/>
  <c r="AA408" i="25"/>
  <c r="Y408" i="25"/>
  <c r="X408" i="25"/>
  <c r="T408" i="25"/>
  <c r="R408" i="25"/>
  <c r="Q408" i="25"/>
  <c r="N408" i="25"/>
  <c r="M408" i="25"/>
  <c r="K408" i="25"/>
  <c r="J408" i="25"/>
  <c r="F408" i="25"/>
  <c r="E408" i="25"/>
  <c r="D408" i="25"/>
  <c r="AL407" i="25"/>
  <c r="AK407" i="25"/>
  <c r="AJ407" i="25"/>
  <c r="AF407" i="25"/>
  <c r="AC407" i="25"/>
  <c r="Z407" i="25"/>
  <c r="W407" i="25"/>
  <c r="S407" i="25"/>
  <c r="P407" i="25"/>
  <c r="L407" i="25"/>
  <c r="I407" i="25"/>
  <c r="G407" i="25"/>
  <c r="E407" i="25"/>
  <c r="C407" i="25"/>
  <c r="AM406" i="25"/>
  <c r="AL406" i="25"/>
  <c r="AK406" i="25"/>
  <c r="AJ406" i="25"/>
  <c r="AF406" i="25"/>
  <c r="AC406" i="25"/>
  <c r="Z406" i="25"/>
  <c r="W406" i="25"/>
  <c r="S406" i="25"/>
  <c r="P406" i="25"/>
  <c r="L406" i="25"/>
  <c r="I406" i="25"/>
  <c r="C406" i="25"/>
  <c r="AM405" i="25"/>
  <c r="AL405" i="25"/>
  <c r="AK405" i="25"/>
  <c r="AJ405" i="25"/>
  <c r="S405" i="25"/>
  <c r="P405" i="25"/>
  <c r="L405" i="25"/>
  <c r="H405" i="25" s="1"/>
  <c r="C405" i="25"/>
  <c r="AM404" i="25"/>
  <c r="AL404" i="25"/>
  <c r="AK404" i="25"/>
  <c r="AJ404" i="25"/>
  <c r="AF404" i="25"/>
  <c r="AC404" i="25"/>
  <c r="Z404" i="25"/>
  <c r="W404" i="25"/>
  <c r="S404" i="25"/>
  <c r="P404" i="25"/>
  <c r="L404" i="25"/>
  <c r="I404" i="25"/>
  <c r="C404" i="25"/>
  <c r="AL403" i="25"/>
  <c r="AK403" i="25"/>
  <c r="AJ403" i="25"/>
  <c r="V403" i="25"/>
  <c r="S403" i="25"/>
  <c r="P403" i="25"/>
  <c r="L403" i="25"/>
  <c r="H403" i="25" s="1"/>
  <c r="G403" i="25"/>
  <c r="AM403" i="25" s="1"/>
  <c r="C403" i="25"/>
  <c r="AM402" i="25"/>
  <c r="AL402" i="25"/>
  <c r="AK402" i="25"/>
  <c r="AJ402" i="25"/>
  <c r="AF402" i="25"/>
  <c r="AC402" i="25"/>
  <c r="Z402" i="25"/>
  <c r="W402" i="25"/>
  <c r="S402" i="25"/>
  <c r="P402" i="25"/>
  <c r="L402" i="25"/>
  <c r="I402" i="25"/>
  <c r="C402" i="25"/>
  <c r="AM401" i="25"/>
  <c r="AL401" i="25"/>
  <c r="AK401" i="25"/>
  <c r="AJ401" i="25"/>
  <c r="AF401" i="25"/>
  <c r="AC401" i="25"/>
  <c r="Z401" i="25"/>
  <c r="W401" i="25"/>
  <c r="S401" i="25"/>
  <c r="P401" i="25"/>
  <c r="L401" i="25"/>
  <c r="I401" i="25"/>
  <c r="C401" i="25"/>
  <c r="AM400" i="25"/>
  <c r="AL400" i="25"/>
  <c r="AK400" i="25"/>
  <c r="AJ400" i="25"/>
  <c r="S400" i="25"/>
  <c r="P400" i="25"/>
  <c r="L400" i="25"/>
  <c r="H400" i="25" s="1"/>
  <c r="C400" i="25"/>
  <c r="AM399" i="25"/>
  <c r="AL399" i="25"/>
  <c r="AK399" i="25"/>
  <c r="AJ399" i="25"/>
  <c r="AF399" i="25"/>
  <c r="AC399" i="25"/>
  <c r="Z399" i="25"/>
  <c r="W399" i="25"/>
  <c r="S399" i="25"/>
  <c r="P399" i="25"/>
  <c r="L399" i="25"/>
  <c r="I399" i="25"/>
  <c r="C399" i="25"/>
  <c r="AL398" i="25"/>
  <c r="AK398" i="25"/>
  <c r="AJ398" i="25"/>
  <c r="AF398" i="25"/>
  <c r="AC398" i="25"/>
  <c r="AB398" i="25"/>
  <c r="AM398" i="25" s="1"/>
  <c r="W398" i="25"/>
  <c r="S398" i="25"/>
  <c r="P398" i="25"/>
  <c r="L398" i="25"/>
  <c r="I398" i="25"/>
  <c r="C398" i="25"/>
  <c r="AH397" i="25"/>
  <c r="AG397" i="25"/>
  <c r="AE397" i="25"/>
  <c r="AD397" i="25"/>
  <c r="AA397" i="25"/>
  <c r="Y397" i="25"/>
  <c r="X397" i="25"/>
  <c r="U397" i="25"/>
  <c r="T397" i="25"/>
  <c r="P397" i="25"/>
  <c r="N397" i="25"/>
  <c r="M397" i="25"/>
  <c r="K397" i="25"/>
  <c r="J397" i="25"/>
  <c r="F397" i="25"/>
  <c r="E397" i="25"/>
  <c r="D397" i="25"/>
  <c r="AM396" i="25"/>
  <c r="AL396" i="25"/>
  <c r="AJ396" i="25"/>
  <c r="AF396" i="25"/>
  <c r="AC396" i="25"/>
  <c r="Z396" i="25"/>
  <c r="W396" i="25"/>
  <c r="S396" i="25"/>
  <c r="P396" i="25"/>
  <c r="L396" i="25"/>
  <c r="K396" i="25"/>
  <c r="I396" i="25"/>
  <c r="H396" i="25" s="1"/>
  <c r="E396" i="25"/>
  <c r="AK396" i="25" s="1"/>
  <c r="AL395" i="25"/>
  <c r="AK395" i="25"/>
  <c r="AJ395" i="25"/>
  <c r="AF395" i="25"/>
  <c r="AC395" i="25"/>
  <c r="Z395" i="25"/>
  <c r="W395" i="25"/>
  <c r="U395" i="25"/>
  <c r="S395" i="25"/>
  <c r="P395" i="25"/>
  <c r="N395" i="25"/>
  <c r="L395" i="25" s="1"/>
  <c r="I395" i="25"/>
  <c r="G395" i="25"/>
  <c r="C395" i="25"/>
  <c r="AL394" i="25"/>
  <c r="AK394" i="25"/>
  <c r="AJ394" i="25"/>
  <c r="AF394" i="25"/>
  <c r="AC394" i="25"/>
  <c r="Z394" i="25"/>
  <c r="W394" i="25"/>
  <c r="P394" i="25"/>
  <c r="N394" i="25"/>
  <c r="L394" i="25" s="1"/>
  <c r="I394" i="25"/>
  <c r="C394" i="25"/>
  <c r="AM393" i="25"/>
  <c r="AL393" i="25"/>
  <c r="AK393" i="25"/>
  <c r="AJ393" i="25"/>
  <c r="AF393" i="25"/>
  <c r="AC393" i="25"/>
  <c r="Z393" i="25"/>
  <c r="W393" i="25"/>
  <c r="S393" i="25"/>
  <c r="P393" i="25"/>
  <c r="L393" i="25"/>
  <c r="I393" i="25"/>
  <c r="C393" i="25"/>
  <c r="AL392" i="25"/>
  <c r="AK392" i="25"/>
  <c r="AJ392" i="25"/>
  <c r="AF392" i="25"/>
  <c r="AC392" i="25"/>
  <c r="Z392" i="25"/>
  <c r="W392" i="25"/>
  <c r="S392" i="25"/>
  <c r="P392" i="25"/>
  <c r="L392" i="25"/>
  <c r="I392" i="25"/>
  <c r="G392" i="25"/>
  <c r="C392" i="25" s="1"/>
  <c r="AL391" i="25"/>
  <c r="AK391" i="25"/>
  <c r="AJ391" i="25"/>
  <c r="AF391" i="25"/>
  <c r="AC391" i="25"/>
  <c r="Z391" i="25"/>
  <c r="W391" i="25"/>
  <c r="U391" i="25"/>
  <c r="S391" i="25" s="1"/>
  <c r="P391" i="25"/>
  <c r="L391" i="25"/>
  <c r="I391" i="25"/>
  <c r="G391" i="25"/>
  <c r="AL390" i="25"/>
  <c r="AK390" i="25"/>
  <c r="AJ390" i="25"/>
  <c r="AF390" i="25"/>
  <c r="AC390" i="25"/>
  <c r="Z390" i="25"/>
  <c r="W390" i="25"/>
  <c r="U390" i="25"/>
  <c r="S390" i="25"/>
  <c r="P390" i="25"/>
  <c r="L390" i="25"/>
  <c r="H390" i="25" s="1"/>
  <c r="G390" i="25"/>
  <c r="AM390" i="25" s="1"/>
  <c r="C390" i="25"/>
  <c r="AL389" i="25"/>
  <c r="AK389" i="25"/>
  <c r="AJ389" i="25"/>
  <c r="AF389" i="25"/>
  <c r="AC389" i="25"/>
  <c r="W389" i="25"/>
  <c r="U389" i="25"/>
  <c r="S389" i="25"/>
  <c r="P389" i="25"/>
  <c r="L389" i="25"/>
  <c r="I389" i="25"/>
  <c r="G389" i="25"/>
  <c r="AB389" i="25" s="1"/>
  <c r="AL388" i="25"/>
  <c r="AK388" i="25"/>
  <c r="AJ388" i="25"/>
  <c r="AF388" i="25"/>
  <c r="AC388" i="25"/>
  <c r="Z388" i="25"/>
  <c r="W388" i="25"/>
  <c r="U388" i="25"/>
  <c r="S388" i="25" s="1"/>
  <c r="P388" i="25"/>
  <c r="N388" i="25"/>
  <c r="L388" i="25"/>
  <c r="I388" i="25"/>
  <c r="G388" i="25"/>
  <c r="AM388" i="25" s="1"/>
  <c r="AL387" i="25"/>
  <c r="AK387" i="25"/>
  <c r="AJ387" i="25"/>
  <c r="AF387" i="25"/>
  <c r="AC387" i="25"/>
  <c r="AB387" i="25"/>
  <c r="W387" i="25"/>
  <c r="U387" i="25"/>
  <c r="S387" i="25"/>
  <c r="P387" i="25"/>
  <c r="L387" i="25"/>
  <c r="I387" i="25"/>
  <c r="C387" i="25"/>
  <c r="AL386" i="25"/>
  <c r="AK386" i="25"/>
  <c r="AJ386" i="25"/>
  <c r="AF386" i="25"/>
  <c r="AC386" i="25"/>
  <c r="AB386" i="25"/>
  <c r="W386" i="25"/>
  <c r="U386" i="25"/>
  <c r="S386" i="25" s="1"/>
  <c r="P386" i="25"/>
  <c r="L386" i="25"/>
  <c r="I386" i="25"/>
  <c r="C386" i="25"/>
  <c r="AH385" i="25"/>
  <c r="AG385" i="25"/>
  <c r="AE385" i="25"/>
  <c r="AD385" i="25"/>
  <c r="AA385" i="25"/>
  <c r="Y385" i="25"/>
  <c r="X385" i="25"/>
  <c r="T385" i="25"/>
  <c r="R385" i="25"/>
  <c r="Q385" i="25"/>
  <c r="M385" i="25"/>
  <c r="K385" i="25"/>
  <c r="J385" i="25"/>
  <c r="G385" i="25"/>
  <c r="F385" i="25"/>
  <c r="E385" i="25"/>
  <c r="D385" i="25"/>
  <c r="AM384" i="25"/>
  <c r="AL384" i="25"/>
  <c r="AJ384" i="25"/>
  <c r="AF384" i="25"/>
  <c r="AC384" i="25"/>
  <c r="Z384" i="25"/>
  <c r="W384" i="25"/>
  <c r="S384" i="25"/>
  <c r="R384" i="25"/>
  <c r="L384" i="25"/>
  <c r="I384" i="25"/>
  <c r="C384" i="25"/>
  <c r="AM383" i="25"/>
  <c r="AL383" i="25"/>
  <c r="AK383" i="25"/>
  <c r="AJ383" i="25"/>
  <c r="S383" i="25"/>
  <c r="P383" i="25"/>
  <c r="I383" i="25"/>
  <c r="H383" i="25" s="1"/>
  <c r="C383" i="25"/>
  <c r="AL382" i="25"/>
  <c r="AK382" i="25"/>
  <c r="AJ382" i="25"/>
  <c r="AF382" i="25"/>
  <c r="AC382" i="25"/>
  <c r="Z382" i="25"/>
  <c r="W382" i="25"/>
  <c r="U382" i="25"/>
  <c r="AM382" i="25" s="1"/>
  <c r="P382" i="25"/>
  <c r="L382" i="25"/>
  <c r="I382" i="25"/>
  <c r="C382" i="25"/>
  <c r="AL381" i="25"/>
  <c r="AK381" i="25"/>
  <c r="AJ381" i="25"/>
  <c r="AF381" i="25"/>
  <c r="AC381" i="25"/>
  <c r="Z381" i="25"/>
  <c r="W381" i="25"/>
  <c r="U381" i="25"/>
  <c r="P381" i="25"/>
  <c r="L381" i="25"/>
  <c r="I381" i="25"/>
  <c r="C381" i="25"/>
  <c r="AM380" i="25"/>
  <c r="AL380" i="25"/>
  <c r="AK380" i="25"/>
  <c r="AJ380" i="25"/>
  <c r="AF380" i="25"/>
  <c r="AC380" i="25"/>
  <c r="Z380" i="25"/>
  <c r="W380" i="25"/>
  <c r="S380" i="25"/>
  <c r="P380" i="25"/>
  <c r="L380" i="25"/>
  <c r="I380" i="25"/>
  <c r="C380" i="25"/>
  <c r="AL379" i="25"/>
  <c r="AK379" i="25"/>
  <c r="AJ379" i="25"/>
  <c r="AC379" i="25"/>
  <c r="Z379" i="25"/>
  <c r="W379" i="25"/>
  <c r="U379" i="25"/>
  <c r="P379" i="25"/>
  <c r="L379" i="25"/>
  <c r="H379" i="25" s="1"/>
  <c r="C379" i="25"/>
  <c r="AL378" i="25"/>
  <c r="AK378" i="25"/>
  <c r="AJ378" i="25"/>
  <c r="AC378" i="25"/>
  <c r="Z378" i="25"/>
  <c r="W378" i="25"/>
  <c r="U378" i="25"/>
  <c r="AM378" i="25" s="1"/>
  <c r="P378" i="25"/>
  <c r="L378" i="25"/>
  <c r="I378" i="25"/>
  <c r="C378" i="25"/>
  <c r="AL377" i="25"/>
  <c r="AK377" i="25"/>
  <c r="AJ377" i="25"/>
  <c r="AC377" i="25"/>
  <c r="Z377" i="25"/>
  <c r="W377" i="25"/>
  <c r="U377" i="25"/>
  <c r="AM377" i="25" s="1"/>
  <c r="P377" i="25"/>
  <c r="L377" i="25"/>
  <c r="I377" i="25"/>
  <c r="C377" i="25"/>
  <c r="AL376" i="25"/>
  <c r="AK376" i="25"/>
  <c r="AJ376" i="25"/>
  <c r="AC376" i="25"/>
  <c r="Z376" i="25"/>
  <c r="W376" i="25"/>
  <c r="U376" i="25"/>
  <c r="AM376" i="25" s="1"/>
  <c r="P376" i="25"/>
  <c r="L376" i="25"/>
  <c r="I376" i="25"/>
  <c r="C376" i="25"/>
  <c r="AL375" i="25"/>
  <c r="AK375" i="25"/>
  <c r="AJ375" i="25"/>
  <c r="AF375" i="25"/>
  <c r="AC375" i="25"/>
  <c r="Z375" i="25"/>
  <c r="W375" i="25"/>
  <c r="U375" i="25"/>
  <c r="S375" i="25" s="1"/>
  <c r="P375" i="25"/>
  <c r="L375" i="25"/>
  <c r="I375" i="25"/>
  <c r="G375" i="25"/>
  <c r="C375" i="25" s="1"/>
  <c r="AL374" i="25"/>
  <c r="AK374" i="25"/>
  <c r="AJ374" i="25"/>
  <c r="AF374" i="25"/>
  <c r="AC374" i="25"/>
  <c r="Z374" i="25"/>
  <c r="W374" i="25"/>
  <c r="U374" i="25"/>
  <c r="S374" i="25" s="1"/>
  <c r="P374" i="25"/>
  <c r="L374" i="25"/>
  <c r="I374" i="25"/>
  <c r="C374" i="25"/>
  <c r="AL373" i="25"/>
  <c r="AK373" i="25"/>
  <c r="AJ373" i="25"/>
  <c r="AF373" i="25"/>
  <c r="AC373" i="25"/>
  <c r="Z373" i="25"/>
  <c r="W373" i="25"/>
  <c r="U373" i="25"/>
  <c r="AM373" i="25" s="1"/>
  <c r="P373" i="25"/>
  <c r="L373" i="25"/>
  <c r="I373" i="25"/>
  <c r="C373" i="25"/>
  <c r="AH372" i="25"/>
  <c r="AG372" i="25"/>
  <c r="AE372" i="25"/>
  <c r="AD372" i="25"/>
  <c r="AB372" i="25"/>
  <c r="AA372" i="25"/>
  <c r="Y372" i="25"/>
  <c r="X372" i="25"/>
  <c r="T372" i="25"/>
  <c r="Q372" i="25"/>
  <c r="N372" i="25"/>
  <c r="M372" i="25"/>
  <c r="K372" i="25"/>
  <c r="J372" i="25"/>
  <c r="G372" i="25"/>
  <c r="F372" i="25"/>
  <c r="E372" i="25"/>
  <c r="D372" i="25"/>
  <c r="AM371" i="25"/>
  <c r="AL371" i="25"/>
  <c r="AL370" i="25" s="1"/>
  <c r="AK371" i="25"/>
  <c r="AK370" i="25" s="1"/>
  <c r="AJ371" i="25"/>
  <c r="S371" i="25"/>
  <c r="S370" i="25" s="1"/>
  <c r="P371" i="25"/>
  <c r="I371" i="25"/>
  <c r="H371" i="25" s="1"/>
  <c r="H370" i="25" s="1"/>
  <c r="C371" i="25"/>
  <c r="AM370" i="25"/>
  <c r="AH370" i="25"/>
  <c r="AG370" i="25"/>
  <c r="AF370" i="25"/>
  <c r="AE370" i="25"/>
  <c r="AD370" i="25"/>
  <c r="AC370" i="25"/>
  <c r="AB370" i="25"/>
  <c r="AA370" i="25"/>
  <c r="Z370" i="25"/>
  <c r="Y370" i="25"/>
  <c r="X370" i="25"/>
  <c r="W370" i="25"/>
  <c r="V370" i="25"/>
  <c r="U370" i="25"/>
  <c r="T370" i="25"/>
  <c r="R370" i="25"/>
  <c r="Q370" i="25"/>
  <c r="N370" i="25"/>
  <c r="M370" i="25"/>
  <c r="L370" i="25"/>
  <c r="K370" i="25"/>
  <c r="J370" i="25"/>
  <c r="G370" i="25"/>
  <c r="F370" i="25"/>
  <c r="E370" i="25"/>
  <c r="D370" i="25"/>
  <c r="C370" i="25"/>
  <c r="AM369" i="25"/>
  <c r="AL369" i="25"/>
  <c r="AL368" i="25" s="1"/>
  <c r="AK369" i="25"/>
  <c r="AK368" i="25" s="1"/>
  <c r="AJ369" i="25"/>
  <c r="S369" i="25"/>
  <c r="S368" i="25" s="1"/>
  <c r="P369" i="25"/>
  <c r="I369" i="25"/>
  <c r="H369" i="25" s="1"/>
  <c r="H368" i="25" s="1"/>
  <c r="C369" i="25"/>
  <c r="AM368" i="25"/>
  <c r="AH368" i="25"/>
  <c r="AG368" i="25"/>
  <c r="AF368" i="25"/>
  <c r="AE368" i="25"/>
  <c r="AD368" i="25"/>
  <c r="AC368" i="25"/>
  <c r="AB368" i="25"/>
  <c r="AA368" i="25"/>
  <c r="Z368" i="25"/>
  <c r="Y368" i="25"/>
  <c r="X368" i="25"/>
  <c r="W368" i="25"/>
  <c r="V368" i="25"/>
  <c r="U368" i="25"/>
  <c r="T368" i="25"/>
  <c r="R368" i="25"/>
  <c r="Q368" i="25"/>
  <c r="N368" i="25"/>
  <c r="M368" i="25"/>
  <c r="L368" i="25"/>
  <c r="K368" i="25"/>
  <c r="J368" i="25"/>
  <c r="G368" i="25"/>
  <c r="F368" i="25"/>
  <c r="E368" i="25"/>
  <c r="D368" i="25"/>
  <c r="C368" i="25"/>
  <c r="AM367" i="25"/>
  <c r="AL367" i="25"/>
  <c r="AJ367" i="25"/>
  <c r="W367" i="25"/>
  <c r="V367" i="25" s="1"/>
  <c r="I367" i="25"/>
  <c r="H367" i="25" s="1"/>
  <c r="G367" i="25"/>
  <c r="E367" i="25"/>
  <c r="C367" i="25" s="1"/>
  <c r="AM366" i="25"/>
  <c r="AL366" i="25"/>
  <c r="AJ366" i="25"/>
  <c r="S366" i="25"/>
  <c r="P366" i="25"/>
  <c r="L366" i="25"/>
  <c r="K366" i="25"/>
  <c r="C366" i="25"/>
  <c r="AL365" i="25"/>
  <c r="AK365" i="25"/>
  <c r="AJ365" i="25"/>
  <c r="U365" i="25"/>
  <c r="S365" i="25" s="1"/>
  <c r="P365" i="25"/>
  <c r="L365" i="25"/>
  <c r="I365" i="25"/>
  <c r="G365" i="25"/>
  <c r="AM365" i="25" s="1"/>
  <c r="AL364" i="25"/>
  <c r="AK364" i="25"/>
  <c r="AJ364" i="25"/>
  <c r="U364" i="25"/>
  <c r="AM364" i="25" s="1"/>
  <c r="P364" i="25"/>
  <c r="L364" i="25"/>
  <c r="I364" i="25"/>
  <c r="C364" i="25"/>
  <c r="AM363" i="25"/>
  <c r="AL363" i="25"/>
  <c r="AK363" i="25"/>
  <c r="AJ363" i="25"/>
  <c r="S363" i="25"/>
  <c r="P363" i="25"/>
  <c r="L363" i="25"/>
  <c r="I363" i="25"/>
  <c r="C363" i="25"/>
  <c r="AL362" i="25"/>
  <c r="AK362" i="25"/>
  <c r="AJ362" i="25"/>
  <c r="U362" i="25"/>
  <c r="P362" i="25"/>
  <c r="L362" i="25"/>
  <c r="I362" i="25"/>
  <c r="G362" i="25"/>
  <c r="AM362" i="25" s="1"/>
  <c r="AL361" i="25"/>
  <c r="AK361" i="25"/>
  <c r="AJ361" i="25"/>
  <c r="U361" i="25"/>
  <c r="AM361" i="25" s="1"/>
  <c r="P361" i="25"/>
  <c r="L361" i="25"/>
  <c r="I361" i="25"/>
  <c r="C361" i="25"/>
  <c r="AL360" i="25"/>
  <c r="AK360" i="25"/>
  <c r="AJ360" i="25"/>
  <c r="U360" i="25"/>
  <c r="AM360" i="25" s="1"/>
  <c r="P360" i="25"/>
  <c r="L360" i="25"/>
  <c r="I360" i="25"/>
  <c r="C360" i="25"/>
  <c r="AL359" i="25"/>
  <c r="AK359" i="25"/>
  <c r="AJ359" i="25"/>
  <c r="U359" i="25"/>
  <c r="AM359" i="25" s="1"/>
  <c r="P359" i="25"/>
  <c r="L359" i="25"/>
  <c r="I359" i="25"/>
  <c r="C359" i="25"/>
  <c r="AL358" i="25"/>
  <c r="AK358" i="25"/>
  <c r="AJ358" i="25"/>
  <c r="U358" i="25"/>
  <c r="AM358" i="25" s="1"/>
  <c r="P358" i="25"/>
  <c r="L358" i="25"/>
  <c r="I358" i="25"/>
  <c r="C358" i="25"/>
  <c r="AL357" i="25"/>
  <c r="AK357" i="25"/>
  <c r="AJ357" i="25"/>
  <c r="U357" i="25"/>
  <c r="P357" i="25"/>
  <c r="L357" i="25"/>
  <c r="I357" i="25"/>
  <c r="C357" i="25"/>
  <c r="AL356" i="25"/>
  <c r="AK356" i="25"/>
  <c r="AJ356" i="25"/>
  <c r="AB356" i="25"/>
  <c r="W356" i="25"/>
  <c r="U356" i="25"/>
  <c r="P356" i="25"/>
  <c r="L356" i="25"/>
  <c r="I356" i="25"/>
  <c r="C356" i="25"/>
  <c r="AH355" i="25"/>
  <c r="AG355" i="25"/>
  <c r="AF355" i="25"/>
  <c r="AE355" i="25"/>
  <c r="AD355" i="25"/>
  <c r="AC355" i="25"/>
  <c r="AA355" i="25"/>
  <c r="Y355" i="25"/>
  <c r="X355" i="25"/>
  <c r="T355" i="25"/>
  <c r="R355" i="25"/>
  <c r="Q355" i="25"/>
  <c r="N355" i="25"/>
  <c r="M355" i="25"/>
  <c r="K355" i="25"/>
  <c r="J355" i="25"/>
  <c r="G355" i="25"/>
  <c r="F355" i="25"/>
  <c r="E355" i="25"/>
  <c r="D355" i="25"/>
  <c r="AM354" i="25"/>
  <c r="AL354" i="25"/>
  <c r="AK354" i="25"/>
  <c r="AJ354" i="25"/>
  <c r="S354" i="25"/>
  <c r="P354" i="25"/>
  <c r="L354" i="25"/>
  <c r="I354" i="25"/>
  <c r="C354" i="25"/>
  <c r="AL353" i="25"/>
  <c r="AK353" i="25"/>
  <c r="AJ353" i="25"/>
  <c r="U353" i="25"/>
  <c r="AM353" i="25" s="1"/>
  <c r="P353" i="25"/>
  <c r="L353" i="25"/>
  <c r="I353" i="25"/>
  <c r="C353" i="25"/>
  <c r="AL352" i="25"/>
  <c r="AK352" i="25"/>
  <c r="AJ352" i="25"/>
  <c r="U352" i="25"/>
  <c r="AM352" i="25" s="1"/>
  <c r="P352" i="25"/>
  <c r="L352" i="25"/>
  <c r="I352" i="25"/>
  <c r="C352" i="25"/>
  <c r="AL351" i="25"/>
  <c r="AK351" i="25"/>
  <c r="AJ351" i="25"/>
  <c r="U351" i="25"/>
  <c r="P351" i="25"/>
  <c r="L351" i="25"/>
  <c r="I351" i="25"/>
  <c r="C351" i="25"/>
  <c r="AM350" i="25"/>
  <c r="AL350" i="25"/>
  <c r="AK350" i="25"/>
  <c r="AJ350" i="25"/>
  <c r="S350" i="25"/>
  <c r="P350" i="25"/>
  <c r="L350" i="25"/>
  <c r="I350" i="25"/>
  <c r="C350" i="25"/>
  <c r="AL349" i="25"/>
  <c r="AK349" i="25"/>
  <c r="AJ349" i="25"/>
  <c r="U349" i="25"/>
  <c r="AM349" i="25" s="1"/>
  <c r="P349" i="25"/>
  <c r="L349" i="25"/>
  <c r="I349" i="25"/>
  <c r="C349" i="25"/>
  <c r="AL348" i="25"/>
  <c r="AK348" i="25"/>
  <c r="AJ348" i="25"/>
  <c r="U348" i="25"/>
  <c r="AM348" i="25" s="1"/>
  <c r="P348" i="25"/>
  <c r="L348" i="25"/>
  <c r="I348" i="25"/>
  <c r="C348" i="25"/>
  <c r="AL347" i="25"/>
  <c r="AK347" i="25"/>
  <c r="AJ347" i="25"/>
  <c r="U347" i="25"/>
  <c r="AM347" i="25" s="1"/>
  <c r="P347" i="25"/>
  <c r="L347" i="25"/>
  <c r="I347" i="25"/>
  <c r="C347" i="25"/>
  <c r="AL346" i="25"/>
  <c r="AK346" i="25"/>
  <c r="AJ346" i="25"/>
  <c r="U346" i="25"/>
  <c r="AM346" i="25" s="1"/>
  <c r="P346" i="25"/>
  <c r="L346" i="25"/>
  <c r="I346" i="25"/>
  <c r="C346" i="25"/>
  <c r="AH345" i="25"/>
  <c r="AG345" i="25"/>
  <c r="AF345" i="25"/>
  <c r="AE345" i="25"/>
  <c r="AD345" i="25"/>
  <c r="AC345" i="25"/>
  <c r="AB345" i="25"/>
  <c r="AA345" i="25"/>
  <c r="Z345" i="25"/>
  <c r="Y345" i="25"/>
  <c r="X345" i="25"/>
  <c r="W345" i="25"/>
  <c r="V345" i="25"/>
  <c r="T345" i="25"/>
  <c r="R345" i="25"/>
  <c r="Q345" i="25"/>
  <c r="N345" i="25"/>
  <c r="M345" i="25"/>
  <c r="K345" i="25"/>
  <c r="J345" i="25"/>
  <c r="G345" i="25"/>
  <c r="F345" i="25"/>
  <c r="E345" i="25"/>
  <c r="D345" i="25"/>
  <c r="AM344" i="25"/>
  <c r="AL344" i="25"/>
  <c r="AK344" i="25"/>
  <c r="AJ344" i="25"/>
  <c r="AF344" i="25"/>
  <c r="AF343" i="25" s="1"/>
  <c r="AC344" i="25"/>
  <c r="AC343" i="25" s="1"/>
  <c r="Z344" i="25"/>
  <c r="W344" i="25"/>
  <c r="P344" i="25"/>
  <c r="O344" i="25" s="1"/>
  <c r="O343" i="25" s="1"/>
  <c r="L344" i="25"/>
  <c r="I344" i="25"/>
  <c r="C344" i="25"/>
  <c r="AH343" i="25"/>
  <c r="AG343" i="25"/>
  <c r="AE343" i="25"/>
  <c r="AD343" i="25"/>
  <c r="AB343" i="25"/>
  <c r="AA343" i="25"/>
  <c r="Z343" i="25"/>
  <c r="Y343" i="25"/>
  <c r="X343" i="25"/>
  <c r="U343" i="25"/>
  <c r="T343" i="25"/>
  <c r="S343" i="25"/>
  <c r="R343" i="25"/>
  <c r="Q343" i="25"/>
  <c r="P343" i="25"/>
  <c r="H104" i="18" s="1"/>
  <c r="N343" i="25"/>
  <c r="M343" i="25"/>
  <c r="L343" i="25"/>
  <c r="K343" i="25"/>
  <c r="J343" i="25"/>
  <c r="I343" i="25"/>
  <c r="C343" i="25"/>
  <c r="AM342" i="25"/>
  <c r="AL342" i="25"/>
  <c r="AJ342" i="25"/>
  <c r="AF342" i="25"/>
  <c r="AC342" i="25"/>
  <c r="Z342" i="25"/>
  <c r="W342" i="25"/>
  <c r="P342" i="25"/>
  <c r="O342" i="25" s="1"/>
  <c r="L342" i="25"/>
  <c r="I342" i="25"/>
  <c r="E342" i="25"/>
  <c r="AK342" i="25" s="1"/>
  <c r="AM341" i="25"/>
  <c r="AL341" i="25"/>
  <c r="AJ341" i="25"/>
  <c r="AF341" i="25"/>
  <c r="AC341" i="25"/>
  <c r="Z341" i="25"/>
  <c r="W341" i="25"/>
  <c r="P341" i="25"/>
  <c r="O341" i="25" s="1"/>
  <c r="L341" i="25"/>
  <c r="K341" i="25"/>
  <c r="I341" i="25" s="1"/>
  <c r="E341" i="25"/>
  <c r="C341" i="25"/>
  <c r="AH340" i="25"/>
  <c r="AG340" i="25"/>
  <c r="AE340" i="25"/>
  <c r="AD340" i="25"/>
  <c r="AB340" i="25"/>
  <c r="AA340" i="25"/>
  <c r="Y340" i="25"/>
  <c r="X340" i="25"/>
  <c r="U340" i="25"/>
  <c r="T340" i="25"/>
  <c r="S340" i="25"/>
  <c r="R340" i="25"/>
  <c r="Q340" i="25"/>
  <c r="N340" i="25"/>
  <c r="M340" i="25"/>
  <c r="K340" i="25"/>
  <c r="J340" i="25"/>
  <c r="G340" i="25"/>
  <c r="F340" i="25"/>
  <c r="E340" i="25"/>
  <c r="D340" i="25"/>
  <c r="AL339" i="25"/>
  <c r="AJ339" i="25"/>
  <c r="W339" i="25"/>
  <c r="V339" i="25" s="1"/>
  <c r="S339" i="25"/>
  <c r="O339" i="25" s="1"/>
  <c r="L339" i="25"/>
  <c r="I339" i="25"/>
  <c r="G339" i="25"/>
  <c r="AM339" i="25" s="1"/>
  <c r="E339" i="25"/>
  <c r="AK339" i="25" s="1"/>
  <c r="AL338" i="25"/>
  <c r="AK338" i="25"/>
  <c r="AJ338" i="25"/>
  <c r="W338" i="25"/>
  <c r="S338" i="25"/>
  <c r="O338" i="25" s="1"/>
  <c r="L338" i="25"/>
  <c r="H338" i="25" s="1"/>
  <c r="G338" i="25"/>
  <c r="AB338" i="25" s="1"/>
  <c r="AM337" i="25"/>
  <c r="AL337" i="25"/>
  <c r="AK337" i="25"/>
  <c r="AJ337" i="25"/>
  <c r="Z337" i="25"/>
  <c r="W337" i="25"/>
  <c r="S337" i="25"/>
  <c r="O337" i="25" s="1"/>
  <c r="L337" i="25"/>
  <c r="H337" i="25" s="1"/>
  <c r="C337" i="25"/>
  <c r="AM336" i="25"/>
  <c r="AL336" i="25"/>
  <c r="AK336" i="25"/>
  <c r="AJ336" i="25"/>
  <c r="W336" i="25"/>
  <c r="V336" i="25" s="1"/>
  <c r="S336" i="25"/>
  <c r="O336" i="25" s="1"/>
  <c r="L336" i="25"/>
  <c r="H336" i="25" s="1"/>
  <c r="C336" i="25"/>
  <c r="AL335" i="25"/>
  <c r="AK335" i="25"/>
  <c r="AJ335" i="25"/>
  <c r="W335" i="25"/>
  <c r="V335" i="25" s="1"/>
  <c r="U335" i="25"/>
  <c r="AM335" i="25" s="1"/>
  <c r="L335" i="25"/>
  <c r="H335" i="25" s="1"/>
  <c r="C335" i="25"/>
  <c r="AL334" i="25"/>
  <c r="AK334" i="25"/>
  <c r="AJ334" i="25"/>
  <c r="W334" i="25"/>
  <c r="V334" i="25" s="1"/>
  <c r="U334" i="25"/>
  <c r="N334" i="25"/>
  <c r="L334" i="25"/>
  <c r="H334" i="25" s="1"/>
  <c r="C334" i="25"/>
  <c r="AL333" i="25"/>
  <c r="AK333" i="25"/>
  <c r="AJ333" i="25"/>
  <c r="W333" i="25"/>
  <c r="V333" i="25" s="1"/>
  <c r="U333" i="25"/>
  <c r="S333" i="25" s="1"/>
  <c r="O333" i="25" s="1"/>
  <c r="L333" i="25"/>
  <c r="H333" i="25" s="1"/>
  <c r="G333" i="25"/>
  <c r="C333" i="25" s="1"/>
  <c r="AL332" i="25"/>
  <c r="AK332" i="25"/>
  <c r="AJ332" i="25"/>
  <c r="W332" i="25"/>
  <c r="V332" i="25" s="1"/>
  <c r="U332" i="25"/>
  <c r="AM332" i="25" s="1"/>
  <c r="L332" i="25"/>
  <c r="H332" i="25" s="1"/>
  <c r="C332" i="25"/>
  <c r="AL331" i="25"/>
  <c r="AK331" i="25"/>
  <c r="AJ331" i="25"/>
  <c r="AB331" i="25"/>
  <c r="AM331" i="25" s="1"/>
  <c r="W331" i="25"/>
  <c r="S331" i="25"/>
  <c r="O331" i="25" s="1"/>
  <c r="L331" i="25"/>
  <c r="H331" i="25" s="1"/>
  <c r="C331" i="25"/>
  <c r="AL330" i="25"/>
  <c r="AK330" i="25"/>
  <c r="AJ330" i="25"/>
  <c r="AB330" i="25"/>
  <c r="AM330" i="25" s="1"/>
  <c r="W330" i="25"/>
  <c r="S330" i="25"/>
  <c r="O330" i="25" s="1"/>
  <c r="L330" i="25"/>
  <c r="H330" i="25" s="1"/>
  <c r="C330" i="25"/>
  <c r="AM329" i="25"/>
  <c r="AL329" i="25"/>
  <c r="AJ329" i="25"/>
  <c r="W329" i="25"/>
  <c r="S329" i="25"/>
  <c r="P329" i="25"/>
  <c r="L329" i="25"/>
  <c r="K329" i="25"/>
  <c r="I329" i="25" s="1"/>
  <c r="E329" i="25"/>
  <c r="C329" i="25"/>
  <c r="AH328" i="25"/>
  <c r="AG328" i="25"/>
  <c r="AF328" i="25"/>
  <c r="AE328" i="25"/>
  <c r="AD328" i="25"/>
  <c r="AC328" i="25"/>
  <c r="AA328" i="25"/>
  <c r="Y328" i="25"/>
  <c r="X328" i="25"/>
  <c r="T328" i="25"/>
  <c r="R328" i="25"/>
  <c r="Q328" i="25"/>
  <c r="N328" i="25"/>
  <c r="M328" i="25"/>
  <c r="J328" i="25"/>
  <c r="G328" i="25"/>
  <c r="F328" i="25"/>
  <c r="E328" i="25"/>
  <c r="D328" i="25"/>
  <c r="AM327" i="25"/>
  <c r="AL327" i="25"/>
  <c r="AK327" i="25"/>
  <c r="AJ327" i="25"/>
  <c r="Z327" i="25"/>
  <c r="Z325" i="25" s="1"/>
  <c r="W327" i="25"/>
  <c r="I327" i="25"/>
  <c r="H327" i="25" s="1"/>
  <c r="C327" i="25"/>
  <c r="AM326" i="25"/>
  <c r="AL326" i="25"/>
  <c r="AK326" i="25"/>
  <c r="AJ326" i="25"/>
  <c r="AF326" i="25"/>
  <c r="AF325" i="25" s="1"/>
  <c r="AC326" i="25"/>
  <c r="AC325" i="25" s="1"/>
  <c r="P326" i="25"/>
  <c r="O326" i="25" s="1"/>
  <c r="O325" i="25" s="1"/>
  <c r="I326" i="25"/>
  <c r="C326" i="25"/>
  <c r="AH325" i="25"/>
  <c r="AG325" i="25"/>
  <c r="AE325" i="25"/>
  <c r="AD325" i="25"/>
  <c r="AB325" i="25"/>
  <c r="AA325" i="25"/>
  <c r="Y325" i="25"/>
  <c r="X325" i="25"/>
  <c r="U325" i="25"/>
  <c r="T325" i="25"/>
  <c r="S325" i="25"/>
  <c r="R325" i="25"/>
  <c r="Q325" i="25"/>
  <c r="N325" i="25"/>
  <c r="M325" i="25"/>
  <c r="L325" i="25"/>
  <c r="K325" i="25"/>
  <c r="J325" i="25"/>
  <c r="G325" i="25"/>
  <c r="F325" i="25"/>
  <c r="E325" i="25"/>
  <c r="D325" i="25"/>
  <c r="AM324" i="25"/>
  <c r="AL324" i="25"/>
  <c r="AK324" i="25"/>
  <c r="AJ324" i="25"/>
  <c r="I324" i="25"/>
  <c r="H324" i="25" s="1"/>
  <c r="C324" i="25"/>
  <c r="AK323" i="25"/>
  <c r="AI323" i="25" s="1"/>
  <c r="C323" i="25"/>
  <c r="AL322" i="25"/>
  <c r="AK322" i="25"/>
  <c r="AJ322" i="25"/>
  <c r="N322" i="25"/>
  <c r="U322" i="25" s="1"/>
  <c r="I322" i="25"/>
  <c r="C322" i="25"/>
  <c r="AK321" i="25"/>
  <c r="U321" i="25"/>
  <c r="S321" i="25" s="1"/>
  <c r="N321" i="25"/>
  <c r="AM321" i="25" s="1"/>
  <c r="C321" i="25"/>
  <c r="AL320" i="25"/>
  <c r="AK320" i="25"/>
  <c r="AJ320" i="25"/>
  <c r="U320" i="25"/>
  <c r="S320" i="25" s="1"/>
  <c r="O320" i="25" s="1"/>
  <c r="N320" i="25"/>
  <c r="L320" i="25" s="1"/>
  <c r="I320" i="25"/>
  <c r="C320" i="25"/>
  <c r="AM319" i="25"/>
  <c r="S319" i="25"/>
  <c r="R319" i="25"/>
  <c r="AK319" i="25" s="1"/>
  <c r="AI319" i="25" s="1"/>
  <c r="L319" i="25"/>
  <c r="I319" i="25"/>
  <c r="C319" i="25"/>
  <c r="AM318" i="25"/>
  <c r="AL318" i="25"/>
  <c r="AJ318" i="25"/>
  <c r="S318" i="25"/>
  <c r="R318" i="25"/>
  <c r="P318" i="25" s="1"/>
  <c r="L318" i="25"/>
  <c r="I318" i="25"/>
  <c r="C318" i="25"/>
  <c r="AH317" i="25"/>
  <c r="AG317" i="25"/>
  <c r="AF317" i="25"/>
  <c r="AE317" i="25"/>
  <c r="AD317" i="25"/>
  <c r="AC317" i="25"/>
  <c r="AB317" i="25"/>
  <c r="AA317" i="25"/>
  <c r="Z317" i="25"/>
  <c r="Y317" i="25"/>
  <c r="X317" i="25"/>
  <c r="W317" i="25"/>
  <c r="V317" i="25"/>
  <c r="T317" i="25"/>
  <c r="Q317" i="25"/>
  <c r="M317" i="25"/>
  <c r="K317" i="25"/>
  <c r="J317" i="25"/>
  <c r="G317" i="25"/>
  <c r="F317" i="25"/>
  <c r="E317" i="25"/>
  <c r="D317" i="25"/>
  <c r="AL316" i="25"/>
  <c r="AJ316" i="25"/>
  <c r="AF316" i="25"/>
  <c r="AC316" i="25"/>
  <c r="AB316" i="25"/>
  <c r="AM316" i="25" s="1"/>
  <c r="S316" i="25"/>
  <c r="O316" i="25" s="1"/>
  <c r="L316" i="25"/>
  <c r="K316" i="25"/>
  <c r="I316" i="25" s="1"/>
  <c r="E316" i="25"/>
  <c r="C316" i="25"/>
  <c r="AL315" i="25"/>
  <c r="AK315" i="25"/>
  <c r="AJ315" i="25"/>
  <c r="AF315" i="25"/>
  <c r="AC315" i="25"/>
  <c r="AB315" i="25"/>
  <c r="W315" i="25"/>
  <c r="S315" i="25"/>
  <c r="N315" i="25"/>
  <c r="L315" i="25"/>
  <c r="I315" i="25"/>
  <c r="C315" i="25"/>
  <c r="AM314" i="25"/>
  <c r="AL314" i="25"/>
  <c r="AJ314" i="25"/>
  <c r="Z314" i="25"/>
  <c r="W314" i="25"/>
  <c r="P314" i="25"/>
  <c r="O314" i="25" s="1"/>
  <c r="K314" i="25"/>
  <c r="I314" i="25" s="1"/>
  <c r="E314" i="25"/>
  <c r="AK314" i="25" s="1"/>
  <c r="AM313" i="25"/>
  <c r="AL313" i="25"/>
  <c r="AK313" i="25"/>
  <c r="AJ313" i="25"/>
  <c r="AF313" i="25"/>
  <c r="AC313" i="25"/>
  <c r="Z313" i="25"/>
  <c r="W313" i="25"/>
  <c r="P313" i="25"/>
  <c r="L313" i="25"/>
  <c r="I313" i="25"/>
  <c r="C313" i="25"/>
  <c r="AH312" i="25"/>
  <c r="AG312" i="25"/>
  <c r="AE312" i="25"/>
  <c r="AD312" i="25"/>
  <c r="AA312" i="25"/>
  <c r="Y312" i="25"/>
  <c r="X312" i="25"/>
  <c r="U312" i="25"/>
  <c r="T312" i="25"/>
  <c r="R312" i="25"/>
  <c r="Q312" i="25"/>
  <c r="N312" i="25"/>
  <c r="M312" i="25"/>
  <c r="K312" i="25"/>
  <c r="J312" i="25"/>
  <c r="G312" i="25"/>
  <c r="F312" i="25"/>
  <c r="E312" i="25"/>
  <c r="D312" i="25"/>
  <c r="AM311" i="25"/>
  <c r="AL311" i="25"/>
  <c r="AJ311" i="25"/>
  <c r="AF311" i="25"/>
  <c r="AC311" i="25"/>
  <c r="Z311" i="25"/>
  <c r="W311" i="25"/>
  <c r="S311" i="25"/>
  <c r="P311" i="25"/>
  <c r="L311" i="25"/>
  <c r="K311" i="25"/>
  <c r="AK311" i="25" s="1"/>
  <c r="I311" i="25"/>
  <c r="H311" i="25" s="1"/>
  <c r="C311" i="25"/>
  <c r="AM310" i="25"/>
  <c r="AL310" i="25"/>
  <c r="AK310" i="25"/>
  <c r="AJ310" i="25"/>
  <c r="S310" i="25"/>
  <c r="O310" i="25" s="1"/>
  <c r="L310" i="25"/>
  <c r="I310" i="25"/>
  <c r="C310" i="25"/>
  <c r="AM309" i="25"/>
  <c r="AL309" i="25"/>
  <c r="AK309" i="25"/>
  <c r="AJ309" i="25"/>
  <c r="AF309" i="25"/>
  <c r="AC309" i="25"/>
  <c r="S309" i="25"/>
  <c r="P309" i="25"/>
  <c r="L309" i="25"/>
  <c r="I309" i="25"/>
  <c r="C309" i="25"/>
  <c r="AM308" i="25"/>
  <c r="AJ308" i="25"/>
  <c r="AF308" i="25"/>
  <c r="AC308" i="25"/>
  <c r="Z308" i="25"/>
  <c r="W308" i="25"/>
  <c r="R308" i="25"/>
  <c r="P308" i="25" s="1"/>
  <c r="L308" i="25"/>
  <c r="K308" i="25"/>
  <c r="I308" i="25" s="1"/>
  <c r="C308" i="25"/>
  <c r="AH307" i="25"/>
  <c r="AG307" i="25"/>
  <c r="AE307" i="25"/>
  <c r="AD307" i="25"/>
  <c r="AB307" i="25"/>
  <c r="AA307" i="25"/>
  <c r="Y307" i="25"/>
  <c r="X307" i="25"/>
  <c r="U307" i="25"/>
  <c r="R307" i="25"/>
  <c r="Q307" i="25"/>
  <c r="N307" i="25"/>
  <c r="M307" i="25"/>
  <c r="J307" i="25"/>
  <c r="G307" i="25"/>
  <c r="F307" i="25"/>
  <c r="E307" i="25"/>
  <c r="D307" i="25"/>
  <c r="AL306" i="25"/>
  <c r="AJ306" i="25"/>
  <c r="AF306" i="25"/>
  <c r="AC306" i="25"/>
  <c r="Z306" i="25"/>
  <c r="W306" i="25"/>
  <c r="O306" i="25"/>
  <c r="L306" i="25"/>
  <c r="K306" i="25"/>
  <c r="I306" i="25"/>
  <c r="H306" i="25" s="1"/>
  <c r="G306" i="25"/>
  <c r="AM306" i="25" s="1"/>
  <c r="E306" i="25"/>
  <c r="AK306" i="25" s="1"/>
  <c r="AM305" i="25"/>
  <c r="AL305" i="25"/>
  <c r="AK305" i="25"/>
  <c r="AJ305" i="25"/>
  <c r="AF305" i="25"/>
  <c r="AC305" i="25"/>
  <c r="Z305" i="25"/>
  <c r="W305" i="25"/>
  <c r="O305" i="25"/>
  <c r="L305" i="25"/>
  <c r="I305" i="25"/>
  <c r="C305" i="25"/>
  <c r="AM304" i="25"/>
  <c r="AL304" i="25"/>
  <c r="AK304" i="25"/>
  <c r="AJ304" i="25"/>
  <c r="AF304" i="25"/>
  <c r="AC304" i="25"/>
  <c r="Z304" i="25"/>
  <c r="W304" i="25"/>
  <c r="P304" i="25"/>
  <c r="O304" i="25" s="1"/>
  <c r="L304" i="25"/>
  <c r="I304" i="25"/>
  <c r="C304" i="25"/>
  <c r="AM303" i="25"/>
  <c r="AL303" i="25"/>
  <c r="AK303" i="25"/>
  <c r="AJ303" i="25"/>
  <c r="AF303" i="25"/>
  <c r="AC303" i="25"/>
  <c r="Z303" i="25"/>
  <c r="W303" i="25"/>
  <c r="P303" i="25"/>
  <c r="O303" i="25" s="1"/>
  <c r="L303" i="25"/>
  <c r="I303" i="25"/>
  <c r="C303" i="25"/>
  <c r="AM302" i="25"/>
  <c r="AL302" i="25"/>
  <c r="AJ302" i="25"/>
  <c r="AF302" i="25"/>
  <c r="AC302" i="25"/>
  <c r="Z302" i="25"/>
  <c r="W302" i="25"/>
  <c r="R302" i="25"/>
  <c r="P302" i="25" s="1"/>
  <c r="O302" i="25" s="1"/>
  <c r="L302" i="25"/>
  <c r="K302" i="25"/>
  <c r="I302" i="25" s="1"/>
  <c r="E302" i="25"/>
  <c r="C302" i="25" s="1"/>
  <c r="AM301" i="25"/>
  <c r="AL301" i="25"/>
  <c r="AJ301" i="25"/>
  <c r="AF301" i="25"/>
  <c r="AC301" i="25"/>
  <c r="Z301" i="25"/>
  <c r="W301" i="25"/>
  <c r="L301" i="25"/>
  <c r="K301" i="25"/>
  <c r="I301" i="25" s="1"/>
  <c r="E301" i="25"/>
  <c r="C301" i="25" s="1"/>
  <c r="AL300" i="25"/>
  <c r="AK300" i="25"/>
  <c r="AJ300" i="25"/>
  <c r="AF300" i="25"/>
  <c r="AC300" i="25"/>
  <c r="Z300" i="25"/>
  <c r="W300" i="25"/>
  <c r="U300" i="25"/>
  <c r="S300" i="25" s="1"/>
  <c r="O300" i="25" s="1"/>
  <c r="N300" i="25"/>
  <c r="L300" i="25" s="1"/>
  <c r="I300" i="25"/>
  <c r="G300" i="25"/>
  <c r="C300" i="25"/>
  <c r="AL299" i="25"/>
  <c r="AK299" i="25"/>
  <c r="AJ299" i="25"/>
  <c r="AF299" i="25"/>
  <c r="AC299" i="25"/>
  <c r="Z299" i="25"/>
  <c r="W299" i="25"/>
  <c r="U299" i="25"/>
  <c r="S299" i="25" s="1"/>
  <c r="O299" i="25" s="1"/>
  <c r="N299" i="25"/>
  <c r="L299" i="25"/>
  <c r="I299" i="25"/>
  <c r="C299" i="25"/>
  <c r="AL298" i="25"/>
  <c r="AK298" i="25"/>
  <c r="AJ298" i="25"/>
  <c r="AF298" i="25"/>
  <c r="AC298" i="25"/>
  <c r="W298" i="25"/>
  <c r="S298" i="25"/>
  <c r="O298" i="25" s="1"/>
  <c r="N298" i="25"/>
  <c r="L298" i="25" s="1"/>
  <c r="I298" i="25"/>
  <c r="G298" i="25"/>
  <c r="AL297" i="25"/>
  <c r="AK297" i="25"/>
  <c r="AJ297" i="25"/>
  <c r="AF297" i="25"/>
  <c r="AC297" i="25"/>
  <c r="Z297" i="25"/>
  <c r="S297" i="25"/>
  <c r="O297" i="25" s="1"/>
  <c r="N297" i="25"/>
  <c r="AM297" i="25" s="1"/>
  <c r="C297" i="25"/>
  <c r="AL296" i="25"/>
  <c r="AK296" i="25"/>
  <c r="AJ296" i="25"/>
  <c r="AF296" i="25"/>
  <c r="AC296" i="25"/>
  <c r="AB296" i="25"/>
  <c r="Z296" i="25" s="1"/>
  <c r="W296" i="25"/>
  <c r="S296" i="25"/>
  <c r="O296" i="25" s="1"/>
  <c r="N296" i="25"/>
  <c r="L296" i="25" s="1"/>
  <c r="I296" i="25"/>
  <c r="G296" i="25"/>
  <c r="AM296" i="25" s="1"/>
  <c r="AL295" i="25"/>
  <c r="AK295" i="25"/>
  <c r="AJ295" i="25"/>
  <c r="AF295" i="25"/>
  <c r="AC295" i="25"/>
  <c r="Z295" i="25"/>
  <c r="W295" i="25"/>
  <c r="U295" i="25"/>
  <c r="S295" i="25" s="1"/>
  <c r="P295" i="25"/>
  <c r="N295" i="25"/>
  <c r="L295" i="25"/>
  <c r="I295" i="25"/>
  <c r="C295" i="25"/>
  <c r="AL294" i="25"/>
  <c r="AK294" i="25"/>
  <c r="AJ294" i="25"/>
  <c r="AF294" i="25"/>
  <c r="AC294" i="25"/>
  <c r="Z294" i="25"/>
  <c r="W294" i="25"/>
  <c r="U294" i="25"/>
  <c r="S294" i="25" s="1"/>
  <c r="O294" i="25" s="1"/>
  <c r="N294" i="25"/>
  <c r="AM294" i="25" s="1"/>
  <c r="I294" i="25"/>
  <c r="C294" i="25"/>
  <c r="AL293" i="25"/>
  <c r="AK293" i="25"/>
  <c r="AJ293" i="25"/>
  <c r="AF293" i="25"/>
  <c r="AC293" i="25"/>
  <c r="Z293" i="25"/>
  <c r="W293" i="25"/>
  <c r="U293" i="25"/>
  <c r="S293" i="25" s="1"/>
  <c r="O293" i="25" s="1"/>
  <c r="N293" i="25"/>
  <c r="L293" i="25"/>
  <c r="I293" i="25"/>
  <c r="G293" i="25"/>
  <c r="C293" i="25" s="1"/>
  <c r="AL292" i="25"/>
  <c r="AK292" i="25"/>
  <c r="AJ292" i="25"/>
  <c r="AF292" i="25"/>
  <c r="AC292" i="25"/>
  <c r="Z292" i="25"/>
  <c r="W292" i="25"/>
  <c r="U292" i="25"/>
  <c r="S292" i="25" s="1"/>
  <c r="N292" i="25"/>
  <c r="L292" i="25" s="1"/>
  <c r="I292" i="25"/>
  <c r="G292" i="25"/>
  <c r="C292" i="25"/>
  <c r="AL291" i="25"/>
  <c r="AK291" i="25"/>
  <c r="AJ291" i="25"/>
  <c r="AF291" i="25"/>
  <c r="AC291" i="25"/>
  <c r="AB291" i="25"/>
  <c r="Z291" i="25" s="1"/>
  <c r="W291" i="25"/>
  <c r="U291" i="25"/>
  <c r="S291" i="25" s="1"/>
  <c r="O291" i="25" s="1"/>
  <c r="N291" i="25"/>
  <c r="L291" i="25" s="1"/>
  <c r="I291" i="25"/>
  <c r="C291" i="25"/>
  <c r="AH290" i="25"/>
  <c r="AG290" i="25"/>
  <c r="AE290" i="25"/>
  <c r="AD290" i="25"/>
  <c r="AA290" i="25"/>
  <c r="Y290" i="25"/>
  <c r="X290" i="25"/>
  <c r="T290" i="25"/>
  <c r="Q290" i="25"/>
  <c r="M290" i="25"/>
  <c r="K290" i="25"/>
  <c r="J290" i="25"/>
  <c r="G290" i="25"/>
  <c r="F290" i="25"/>
  <c r="E290" i="25"/>
  <c r="D290" i="25"/>
  <c r="AM289" i="25"/>
  <c r="AL289" i="25"/>
  <c r="AK289" i="25"/>
  <c r="AJ289" i="25"/>
  <c r="AF289" i="25"/>
  <c r="AC289" i="25"/>
  <c r="Z289" i="25"/>
  <c r="W289" i="25"/>
  <c r="O289" i="25"/>
  <c r="K289" i="25"/>
  <c r="I289" i="25"/>
  <c r="H289" i="25" s="1"/>
  <c r="C289" i="25"/>
  <c r="AM288" i="25"/>
  <c r="AL288" i="25"/>
  <c r="AK288" i="25"/>
  <c r="AJ288" i="25"/>
  <c r="AF288" i="25"/>
  <c r="AC288" i="25"/>
  <c r="Z288" i="25"/>
  <c r="W288" i="25"/>
  <c r="O288" i="25"/>
  <c r="I288" i="25"/>
  <c r="H288" i="25" s="1"/>
  <c r="C288" i="25"/>
  <c r="AM287" i="25"/>
  <c r="AL287" i="25"/>
  <c r="AK287" i="25"/>
  <c r="AJ287" i="25"/>
  <c r="AF287" i="25"/>
  <c r="AC287" i="25"/>
  <c r="Z287" i="25"/>
  <c r="W287" i="25"/>
  <c r="P287" i="25"/>
  <c r="O287" i="25" s="1"/>
  <c r="L287" i="25"/>
  <c r="I287" i="25"/>
  <c r="C287" i="25"/>
  <c r="AM286" i="25"/>
  <c r="AL286" i="25"/>
  <c r="AK286" i="25"/>
  <c r="AJ286" i="25"/>
  <c r="AF286" i="25"/>
  <c r="AC286" i="25"/>
  <c r="Z286" i="25"/>
  <c r="W286" i="25"/>
  <c r="S286" i="25"/>
  <c r="O286" i="25" s="1"/>
  <c r="L286" i="25"/>
  <c r="I286" i="25"/>
  <c r="C286" i="25"/>
  <c r="AL285" i="25"/>
  <c r="AK285" i="25"/>
  <c r="AJ285" i="25"/>
  <c r="AF285" i="25"/>
  <c r="AC285" i="25"/>
  <c r="Z285" i="25"/>
  <c r="W285" i="25"/>
  <c r="S285" i="25"/>
  <c r="O285" i="25" s="1"/>
  <c r="N285" i="25"/>
  <c r="AM285" i="25" s="1"/>
  <c r="L285" i="25"/>
  <c r="I285" i="25"/>
  <c r="C285" i="25"/>
  <c r="AM284" i="25"/>
  <c r="AL284" i="25"/>
  <c r="AK284" i="25"/>
  <c r="AJ284" i="25"/>
  <c r="AF284" i="25"/>
  <c r="AC284" i="25"/>
  <c r="Z284" i="25"/>
  <c r="W284" i="25"/>
  <c r="S284" i="25"/>
  <c r="O284" i="25" s="1"/>
  <c r="L284" i="25"/>
  <c r="I284" i="25"/>
  <c r="C284" i="25"/>
  <c r="AL283" i="25"/>
  <c r="AK283" i="25"/>
  <c r="AJ283" i="25"/>
  <c r="AF283" i="25"/>
  <c r="AC283" i="25"/>
  <c r="Z283" i="25"/>
  <c r="W283" i="25"/>
  <c r="U283" i="25"/>
  <c r="S283" i="25" s="1"/>
  <c r="O283" i="25" s="1"/>
  <c r="L283" i="25"/>
  <c r="I283" i="25"/>
  <c r="C283" i="25"/>
  <c r="AL282" i="25"/>
  <c r="AK282" i="25"/>
  <c r="AJ282" i="25"/>
  <c r="AF282" i="25"/>
  <c r="AC282" i="25"/>
  <c r="Z282" i="25"/>
  <c r="W282" i="25"/>
  <c r="U282" i="25"/>
  <c r="S282" i="25" s="1"/>
  <c r="O282" i="25" s="1"/>
  <c r="L282" i="25"/>
  <c r="I282" i="25"/>
  <c r="C282" i="25"/>
  <c r="AM281" i="25"/>
  <c r="AL281" i="25"/>
  <c r="AK281" i="25"/>
  <c r="AJ281" i="25"/>
  <c r="AF281" i="25"/>
  <c r="AC281" i="25"/>
  <c r="Z281" i="25"/>
  <c r="W281" i="25"/>
  <c r="S281" i="25"/>
  <c r="P281" i="25"/>
  <c r="L281" i="25"/>
  <c r="I281" i="25"/>
  <c r="C281" i="25"/>
  <c r="AL280" i="25"/>
  <c r="AK280" i="25"/>
  <c r="AJ280" i="25"/>
  <c r="AF280" i="25"/>
  <c r="AC280" i="25"/>
  <c r="Z280" i="25"/>
  <c r="W280" i="25"/>
  <c r="U280" i="25"/>
  <c r="S280" i="25" s="1"/>
  <c r="L280" i="25"/>
  <c r="I280" i="25"/>
  <c r="C280" i="25"/>
  <c r="AM279" i="25"/>
  <c r="AL279" i="25"/>
  <c r="AK279" i="25"/>
  <c r="AJ279" i="25"/>
  <c r="AF279" i="25"/>
  <c r="AC279" i="25"/>
  <c r="Z279" i="25"/>
  <c r="W279" i="25"/>
  <c r="S279" i="25"/>
  <c r="O279" i="25" s="1"/>
  <c r="L279" i="25"/>
  <c r="I279" i="25"/>
  <c r="C279" i="25"/>
  <c r="AL278" i="25"/>
  <c r="AK278" i="25"/>
  <c r="AJ278" i="25"/>
  <c r="AF278" i="25"/>
  <c r="AC278" i="25"/>
  <c r="Z278" i="25"/>
  <c r="W278" i="25"/>
  <c r="U278" i="25"/>
  <c r="AM278" i="25" s="1"/>
  <c r="L278" i="25"/>
  <c r="I278" i="25"/>
  <c r="C278" i="25"/>
  <c r="AM277" i="25"/>
  <c r="AL277" i="25"/>
  <c r="AK277" i="25"/>
  <c r="AJ277" i="25"/>
  <c r="AF277" i="25"/>
  <c r="AC277" i="25"/>
  <c r="Z277" i="25"/>
  <c r="W277" i="25"/>
  <c r="S277" i="25"/>
  <c r="O277" i="25" s="1"/>
  <c r="L277" i="25"/>
  <c r="I277" i="25"/>
  <c r="C277" i="25"/>
  <c r="AH276" i="25"/>
  <c r="AG276" i="25"/>
  <c r="AE276" i="25"/>
  <c r="AD276" i="25"/>
  <c r="AB276" i="25"/>
  <c r="AA276" i="25"/>
  <c r="Y276" i="25"/>
  <c r="X276" i="25"/>
  <c r="T276" i="25"/>
  <c r="R276" i="25"/>
  <c r="Q276" i="25"/>
  <c r="N276" i="25"/>
  <c r="M276" i="25"/>
  <c r="K276" i="25"/>
  <c r="J276" i="25"/>
  <c r="G276" i="25"/>
  <c r="F276" i="25"/>
  <c r="E276" i="25"/>
  <c r="D276" i="25"/>
  <c r="AM275" i="25"/>
  <c r="AL275" i="25"/>
  <c r="AK275" i="25"/>
  <c r="AJ275" i="25"/>
  <c r="C275" i="25"/>
  <c r="AM274" i="25"/>
  <c r="AL274" i="25"/>
  <c r="AJ274" i="25"/>
  <c r="R274" i="25"/>
  <c r="I274" i="25"/>
  <c r="H274" i="25" s="1"/>
  <c r="H273" i="25" s="1"/>
  <c r="C274" i="25"/>
  <c r="C273" i="25" s="1"/>
  <c r="AH273" i="25"/>
  <c r="AG273" i="25"/>
  <c r="AF273" i="25"/>
  <c r="AE273" i="25"/>
  <c r="AD273" i="25"/>
  <c r="AC273" i="25"/>
  <c r="AB273" i="25"/>
  <c r="AA273" i="25"/>
  <c r="Z273" i="25"/>
  <c r="Y273" i="25"/>
  <c r="X273" i="25"/>
  <c r="W273" i="25"/>
  <c r="V273" i="25"/>
  <c r="U273" i="25"/>
  <c r="T273" i="25"/>
  <c r="S273" i="25"/>
  <c r="Q273" i="25"/>
  <c r="N273" i="25"/>
  <c r="M273" i="25"/>
  <c r="L273" i="25"/>
  <c r="K273" i="25"/>
  <c r="J273" i="25"/>
  <c r="G273" i="25"/>
  <c r="F273" i="25"/>
  <c r="E273" i="25"/>
  <c r="D273" i="25"/>
  <c r="AL272" i="25"/>
  <c r="AJ272" i="25"/>
  <c r="AF272" i="25"/>
  <c r="AC272" i="25"/>
  <c r="Z272" i="25"/>
  <c r="W272" i="25"/>
  <c r="O272" i="25"/>
  <c r="L272" i="25"/>
  <c r="I272" i="25"/>
  <c r="G272" i="25"/>
  <c r="AM272" i="25" s="1"/>
  <c r="E272" i="25"/>
  <c r="AK272" i="25" s="1"/>
  <c r="AM271" i="25"/>
  <c r="AL271" i="25"/>
  <c r="AK271" i="25"/>
  <c r="AJ271" i="25"/>
  <c r="AF271" i="25"/>
  <c r="AC271" i="25"/>
  <c r="Z271" i="25"/>
  <c r="W271" i="25"/>
  <c r="O271" i="25"/>
  <c r="L271" i="25"/>
  <c r="I271" i="25"/>
  <c r="C271" i="25"/>
  <c r="AM270" i="25"/>
  <c r="AL270" i="25"/>
  <c r="AK270" i="25"/>
  <c r="AJ270" i="25"/>
  <c r="AF270" i="25"/>
  <c r="AC270" i="25"/>
  <c r="Z270" i="25"/>
  <c r="W270" i="25"/>
  <c r="S270" i="25"/>
  <c r="P270" i="25"/>
  <c r="L270" i="25"/>
  <c r="I270" i="25"/>
  <c r="C270" i="25"/>
  <c r="AI269" i="25"/>
  <c r="N269" i="25"/>
  <c r="U269" i="25" s="1"/>
  <c r="S269" i="25" s="1"/>
  <c r="O269" i="25" s="1"/>
  <c r="C269" i="25"/>
  <c r="AM268" i="25"/>
  <c r="AL268" i="25"/>
  <c r="AK268" i="25"/>
  <c r="AJ268" i="25"/>
  <c r="AF268" i="25"/>
  <c r="AC268" i="25"/>
  <c r="Z268" i="25"/>
  <c r="W268" i="25"/>
  <c r="S268" i="25"/>
  <c r="O268" i="25" s="1"/>
  <c r="L268" i="25"/>
  <c r="I268" i="25"/>
  <c r="C268" i="25"/>
  <c r="AI267" i="25"/>
  <c r="U267" i="25"/>
  <c r="S267" i="25" s="1"/>
  <c r="O267" i="25" s="1"/>
  <c r="N267" i="25"/>
  <c r="L267" i="25"/>
  <c r="H267" i="25" s="1"/>
  <c r="C267" i="25"/>
  <c r="AM266" i="25"/>
  <c r="AL266" i="25"/>
  <c r="AK266" i="25"/>
  <c r="AJ266" i="25"/>
  <c r="AF266" i="25"/>
  <c r="AC266" i="25"/>
  <c r="Z266" i="25"/>
  <c r="W266" i="25"/>
  <c r="S266" i="25"/>
  <c r="O266" i="25" s="1"/>
  <c r="L266" i="25"/>
  <c r="I266" i="25"/>
  <c r="C266" i="25"/>
  <c r="AL265" i="25"/>
  <c r="AK265" i="25"/>
  <c r="AJ265" i="25"/>
  <c r="AF265" i="25"/>
  <c r="AC265" i="25"/>
  <c r="Z265" i="25"/>
  <c r="W265" i="25"/>
  <c r="U265" i="25"/>
  <c r="AM265" i="25" s="1"/>
  <c r="L265" i="25"/>
  <c r="I265" i="25"/>
  <c r="C265" i="25"/>
  <c r="AF264" i="25"/>
  <c r="AC264" i="25"/>
  <c r="Z264" i="25"/>
  <c r="W264" i="25"/>
  <c r="U264" i="25"/>
  <c r="AM264" i="25" s="1"/>
  <c r="T264" i="25"/>
  <c r="R264" i="25"/>
  <c r="AK264" i="25" s="1"/>
  <c r="Q264" i="25"/>
  <c r="Q259" i="25" s="1"/>
  <c r="P264" i="25"/>
  <c r="L264" i="25"/>
  <c r="I264" i="25"/>
  <c r="C264" i="25"/>
  <c r="AL263" i="25"/>
  <c r="AK263" i="25"/>
  <c r="AJ263" i="25"/>
  <c r="AF263" i="25"/>
  <c r="AC263" i="25"/>
  <c r="Z263" i="25"/>
  <c r="W263" i="25"/>
  <c r="U263" i="25"/>
  <c r="AM263" i="25" s="1"/>
  <c r="L263" i="25"/>
  <c r="I263" i="25"/>
  <c r="C263" i="25"/>
  <c r="AL262" i="25"/>
  <c r="AK262" i="25"/>
  <c r="AJ262" i="25"/>
  <c r="AF262" i="25"/>
  <c r="AC262" i="25"/>
  <c r="Z262" i="25"/>
  <c r="W262" i="25"/>
  <c r="N262" i="25"/>
  <c r="L262" i="25" s="1"/>
  <c r="I262" i="25"/>
  <c r="G262" i="25"/>
  <c r="AL261" i="25"/>
  <c r="AK261" i="25"/>
  <c r="AJ261" i="25"/>
  <c r="AF261" i="25"/>
  <c r="AC261" i="25"/>
  <c r="Z261" i="25"/>
  <c r="W261" i="25"/>
  <c r="U261" i="25"/>
  <c r="AM261" i="25" s="1"/>
  <c r="L261" i="25"/>
  <c r="I261" i="25"/>
  <c r="C261" i="25"/>
  <c r="AL260" i="25"/>
  <c r="AK260" i="25"/>
  <c r="AJ260" i="25"/>
  <c r="AF260" i="25"/>
  <c r="AC260" i="25"/>
  <c r="Z260" i="25"/>
  <c r="W260" i="25"/>
  <c r="U260" i="25"/>
  <c r="S260" i="25" s="1"/>
  <c r="O260" i="25" s="1"/>
  <c r="N260" i="25"/>
  <c r="AM260" i="25" s="1"/>
  <c r="I260" i="25"/>
  <c r="C260" i="25"/>
  <c r="AH259" i="25"/>
  <c r="AG259" i="25"/>
  <c r="AE259" i="25"/>
  <c r="AD259" i="25"/>
  <c r="AB259" i="25"/>
  <c r="AA259" i="25"/>
  <c r="Y259" i="25"/>
  <c r="X259" i="25"/>
  <c r="M259" i="25"/>
  <c r="K259" i="25"/>
  <c r="J259" i="25"/>
  <c r="G259" i="25"/>
  <c r="F259" i="25"/>
  <c r="E259" i="25"/>
  <c r="D259" i="25"/>
  <c r="AM258" i="25"/>
  <c r="AL258" i="25"/>
  <c r="AK258" i="25"/>
  <c r="AJ258" i="25"/>
  <c r="AF258" i="25"/>
  <c r="AC258" i="25"/>
  <c r="Z258" i="25"/>
  <c r="W258" i="25"/>
  <c r="P258" i="25"/>
  <c r="O258" i="25" s="1"/>
  <c r="I258" i="25"/>
  <c r="H258" i="25" s="1"/>
  <c r="C258" i="25"/>
  <c r="AM257" i="25"/>
  <c r="AL257" i="25"/>
  <c r="AK257" i="25"/>
  <c r="AJ257" i="25"/>
  <c r="I257" i="25"/>
  <c r="H257" i="25" s="1"/>
  <c r="C257" i="25"/>
  <c r="AM256" i="25"/>
  <c r="AL256" i="25"/>
  <c r="AJ256" i="25"/>
  <c r="K256" i="25"/>
  <c r="AK256" i="25" s="1"/>
  <c r="C256" i="25"/>
  <c r="AM255" i="25"/>
  <c r="AL255" i="25"/>
  <c r="AK255" i="25"/>
  <c r="AJ255" i="25"/>
  <c r="AF255" i="25"/>
  <c r="AC255" i="25"/>
  <c r="Z255" i="25"/>
  <c r="W255" i="25"/>
  <c r="S255" i="25"/>
  <c r="O255" i="25" s="1"/>
  <c r="L255" i="25"/>
  <c r="I255" i="25"/>
  <c r="C255" i="25"/>
  <c r="AL254" i="25"/>
  <c r="AK254" i="25"/>
  <c r="AJ254" i="25"/>
  <c r="AF254" i="25"/>
  <c r="AC254" i="25"/>
  <c r="Z254" i="25"/>
  <c r="W254" i="25"/>
  <c r="N254" i="25"/>
  <c r="U254" i="25" s="1"/>
  <c r="S254" i="25" s="1"/>
  <c r="O254" i="25" s="1"/>
  <c r="I254" i="25"/>
  <c r="C254" i="25"/>
  <c r="AL253" i="25"/>
  <c r="AK253" i="25"/>
  <c r="AJ253" i="25"/>
  <c r="AF253" i="25"/>
  <c r="AC253" i="25"/>
  <c r="Z253" i="25"/>
  <c r="W253" i="25"/>
  <c r="S253" i="25"/>
  <c r="O253" i="25" s="1"/>
  <c r="N253" i="25"/>
  <c r="AM253" i="25" s="1"/>
  <c r="I253" i="25"/>
  <c r="C253" i="25"/>
  <c r="AL252" i="25"/>
  <c r="AK252" i="25"/>
  <c r="AJ252" i="25"/>
  <c r="AF252" i="25"/>
  <c r="AC252" i="25"/>
  <c r="Z252" i="25"/>
  <c r="W252" i="25"/>
  <c r="U252" i="25"/>
  <c r="L252" i="25"/>
  <c r="H252" i="25" s="1"/>
  <c r="C252" i="25"/>
  <c r="AL251" i="25"/>
  <c r="AK251" i="25"/>
  <c r="AJ251" i="25"/>
  <c r="AF251" i="25"/>
  <c r="AC251" i="25"/>
  <c r="Z251" i="25"/>
  <c r="W251" i="25"/>
  <c r="U251" i="25"/>
  <c r="S251" i="25" s="1"/>
  <c r="L251" i="25"/>
  <c r="I251" i="25"/>
  <c r="C251" i="25"/>
  <c r="AF250" i="25"/>
  <c r="AC250" i="25"/>
  <c r="Z250" i="25"/>
  <c r="W250" i="25"/>
  <c r="T250" i="25"/>
  <c r="R250" i="25"/>
  <c r="AK250" i="25" s="1"/>
  <c r="Q250" i="25"/>
  <c r="P250" i="25"/>
  <c r="P245" i="25" s="1"/>
  <c r="N250" i="25"/>
  <c r="U250" i="25" s="1"/>
  <c r="AM250" i="25" s="1"/>
  <c r="I250" i="25"/>
  <c r="C250" i="25"/>
  <c r="AL249" i="25"/>
  <c r="AK249" i="25"/>
  <c r="AJ249" i="25"/>
  <c r="AF249" i="25"/>
  <c r="AC249" i="25"/>
  <c r="Z249" i="25"/>
  <c r="W249" i="25"/>
  <c r="U249" i="25"/>
  <c r="L249" i="25"/>
  <c r="I249" i="25"/>
  <c r="C249" i="25"/>
  <c r="AL248" i="25"/>
  <c r="AK248" i="25"/>
  <c r="AJ248" i="25"/>
  <c r="AF248" i="25"/>
  <c r="AC248" i="25"/>
  <c r="Z248" i="25"/>
  <c r="W248" i="25"/>
  <c r="U248" i="25"/>
  <c r="AM248" i="25" s="1"/>
  <c r="L248" i="25"/>
  <c r="I248" i="25"/>
  <c r="C248" i="25"/>
  <c r="AL247" i="25"/>
  <c r="AK247" i="25"/>
  <c r="AJ247" i="25"/>
  <c r="AF247" i="25"/>
  <c r="AC247" i="25"/>
  <c r="Z247" i="25"/>
  <c r="W247" i="25"/>
  <c r="U247" i="25"/>
  <c r="L247" i="25"/>
  <c r="I247" i="25"/>
  <c r="C247" i="25"/>
  <c r="AL246" i="25"/>
  <c r="AK246" i="25"/>
  <c r="AJ246" i="25"/>
  <c r="AF246" i="25"/>
  <c r="AC246" i="25"/>
  <c r="Z246" i="25"/>
  <c r="W246" i="25"/>
  <c r="U246" i="25"/>
  <c r="S246" i="25" s="1"/>
  <c r="O246" i="25" s="1"/>
  <c r="N246" i="25"/>
  <c r="AM246" i="25" s="1"/>
  <c r="I246" i="25"/>
  <c r="C246" i="25"/>
  <c r="AH245" i="25"/>
  <c r="AH244" i="25" s="1"/>
  <c r="AG245" i="25"/>
  <c r="AG244" i="25" s="1"/>
  <c r="AE245" i="25"/>
  <c r="AE244" i="25" s="1"/>
  <c r="AD245" i="25"/>
  <c r="AD244" i="25" s="1"/>
  <c r="AB245" i="25"/>
  <c r="AB244" i="25" s="1"/>
  <c r="AA245" i="25"/>
  <c r="AA244" i="25" s="1"/>
  <c r="Y245" i="25"/>
  <c r="Y244" i="25" s="1"/>
  <c r="X245" i="25"/>
  <c r="X244" i="25" s="1"/>
  <c r="R245" i="25"/>
  <c r="R244" i="25" s="1"/>
  <c r="M245" i="25"/>
  <c r="M244" i="25" s="1"/>
  <c r="K245" i="25"/>
  <c r="K244" i="25" s="1"/>
  <c r="J245" i="25"/>
  <c r="J244" i="25" s="1"/>
  <c r="G245" i="25"/>
  <c r="G244" i="25" s="1"/>
  <c r="F245" i="25"/>
  <c r="F244" i="25" s="1"/>
  <c r="E245" i="25"/>
  <c r="D245" i="25"/>
  <c r="D244" i="25" s="1"/>
  <c r="AM242" i="25"/>
  <c r="AL242" i="25"/>
  <c r="AK242" i="25"/>
  <c r="AJ242" i="25"/>
  <c r="W242" i="25"/>
  <c r="V242" i="25" s="1"/>
  <c r="I242" i="25"/>
  <c r="H242" i="25" s="1"/>
  <c r="C242" i="25"/>
  <c r="AM241" i="25"/>
  <c r="AL241" i="25"/>
  <c r="AK241" i="25"/>
  <c r="AJ241" i="25"/>
  <c r="W241" i="25"/>
  <c r="P241" i="25"/>
  <c r="O241" i="25" s="1"/>
  <c r="O240" i="25" s="1"/>
  <c r="I241" i="25"/>
  <c r="H241" i="25" s="1"/>
  <c r="C241" i="25"/>
  <c r="C240" i="25" s="1"/>
  <c r="AH240" i="25"/>
  <c r="AG240" i="25"/>
  <c r="AF240" i="25"/>
  <c r="AE240" i="25"/>
  <c r="AD240" i="25"/>
  <c r="AC240" i="25"/>
  <c r="AB240" i="25"/>
  <c r="AA240" i="25"/>
  <c r="Z240" i="25"/>
  <c r="Y240" i="25"/>
  <c r="X240" i="25"/>
  <c r="U240" i="25"/>
  <c r="T240" i="25"/>
  <c r="S240" i="25"/>
  <c r="R240" i="25"/>
  <c r="Q240" i="25"/>
  <c r="N240" i="25"/>
  <c r="M240" i="25"/>
  <c r="L240" i="25"/>
  <c r="K240" i="25"/>
  <c r="J240" i="25"/>
  <c r="G240" i="25"/>
  <c r="F240" i="25"/>
  <c r="E240" i="25"/>
  <c r="D240" i="25"/>
  <c r="AM239" i="25"/>
  <c r="AL239" i="25"/>
  <c r="AK239" i="25"/>
  <c r="AJ239" i="25"/>
  <c r="W239" i="25"/>
  <c r="V239" i="25" s="1"/>
  <c r="P239" i="25"/>
  <c r="O239" i="25" s="1"/>
  <c r="I239" i="25"/>
  <c r="H239" i="25" s="1"/>
  <c r="C239" i="25"/>
  <c r="AM238" i="25"/>
  <c r="AL238" i="25"/>
  <c r="AJ238" i="25"/>
  <c r="AF238" i="25"/>
  <c r="AF236" i="25" s="1"/>
  <c r="AC238" i="25"/>
  <c r="Z238" i="25"/>
  <c r="Z236" i="25" s="1"/>
  <c r="W238" i="25"/>
  <c r="R238" i="25"/>
  <c r="I238" i="25"/>
  <c r="H238" i="25" s="1"/>
  <c r="C238" i="25"/>
  <c r="AM237" i="25"/>
  <c r="AM236" i="25" s="1"/>
  <c r="AL237" i="25"/>
  <c r="AL236" i="25" s="1"/>
  <c r="AK237" i="25"/>
  <c r="AJ237" i="25"/>
  <c r="W237" i="25"/>
  <c r="P237" i="25"/>
  <c r="O237" i="25" s="1"/>
  <c r="I237" i="25"/>
  <c r="C237" i="25"/>
  <c r="AH236" i="25"/>
  <c r="AG236" i="25"/>
  <c r="AE236" i="25"/>
  <c r="AD236" i="25"/>
  <c r="AC236" i="25"/>
  <c r="AB236" i="25"/>
  <c r="AA236" i="25"/>
  <c r="Y236" i="25"/>
  <c r="X236" i="25"/>
  <c r="U236" i="25"/>
  <c r="T236" i="25"/>
  <c r="S236" i="25"/>
  <c r="Q236" i="25"/>
  <c r="N236" i="25"/>
  <c r="L236" i="25"/>
  <c r="K236" i="25"/>
  <c r="J236" i="25"/>
  <c r="G236" i="25"/>
  <c r="F236" i="25"/>
  <c r="E236" i="25"/>
  <c r="D236" i="25"/>
  <c r="AM234" i="25"/>
  <c r="AL234" i="25"/>
  <c r="AJ234" i="25"/>
  <c r="P234" i="25"/>
  <c r="O234" i="25" s="1"/>
  <c r="O233" i="25" s="1"/>
  <c r="I234" i="25"/>
  <c r="H234" i="25" s="1"/>
  <c r="H233" i="25" s="1"/>
  <c r="C234" i="25"/>
  <c r="AM233" i="25"/>
  <c r="AL233" i="25"/>
  <c r="AK233" i="25"/>
  <c r="AH233" i="25"/>
  <c r="AG233" i="25"/>
  <c r="AF233" i="25"/>
  <c r="AE233" i="25"/>
  <c r="AD233" i="25"/>
  <c r="AC233" i="25"/>
  <c r="AB233" i="25"/>
  <c r="AA233" i="25"/>
  <c r="Z233" i="25"/>
  <c r="Y233" i="25"/>
  <c r="X233" i="25"/>
  <c r="W233" i="25"/>
  <c r="V233" i="25"/>
  <c r="U233" i="25"/>
  <c r="T233" i="25"/>
  <c r="S233" i="25"/>
  <c r="R233" i="25"/>
  <c r="Q233" i="25"/>
  <c r="N233" i="25"/>
  <c r="M233" i="25"/>
  <c r="L233" i="25"/>
  <c r="K233" i="25"/>
  <c r="J233" i="25"/>
  <c r="I233" i="25"/>
  <c r="G233" i="25"/>
  <c r="F233" i="25"/>
  <c r="E233" i="25"/>
  <c r="D233" i="25"/>
  <c r="C233" i="25"/>
  <c r="AM232" i="25"/>
  <c r="AM231" i="25" s="1"/>
  <c r="AL232" i="25"/>
  <c r="AL231" i="25" s="1"/>
  <c r="AJ232" i="25"/>
  <c r="R232" i="25"/>
  <c r="AK232" i="25" s="1"/>
  <c r="AK231" i="25" s="1"/>
  <c r="P232" i="25"/>
  <c r="O232" i="25" s="1"/>
  <c r="O231" i="25" s="1"/>
  <c r="I232" i="25"/>
  <c r="C232" i="25"/>
  <c r="AH231" i="25"/>
  <c r="AG231" i="25"/>
  <c r="AF231" i="25"/>
  <c r="AE231" i="25"/>
  <c r="AD231" i="25"/>
  <c r="AC231" i="25"/>
  <c r="AB231" i="25"/>
  <c r="AA231" i="25"/>
  <c r="Z231" i="25"/>
  <c r="Y231" i="25"/>
  <c r="X231" i="25"/>
  <c r="W231" i="25"/>
  <c r="V231" i="25"/>
  <c r="U231" i="25"/>
  <c r="T231" i="25"/>
  <c r="S231" i="25"/>
  <c r="R231" i="25"/>
  <c r="Q231" i="25"/>
  <c r="N231" i="25"/>
  <c r="M231" i="25"/>
  <c r="L231" i="25"/>
  <c r="K231" i="25"/>
  <c r="J231" i="25"/>
  <c r="G231" i="25"/>
  <c r="F231" i="25"/>
  <c r="E231" i="25"/>
  <c r="D231" i="25"/>
  <c r="C231" i="25"/>
  <c r="AM230" i="25"/>
  <c r="AL230" i="25"/>
  <c r="AJ230" i="25"/>
  <c r="P230" i="25"/>
  <c r="O230" i="25" s="1"/>
  <c r="O229" i="25" s="1"/>
  <c r="I230" i="25"/>
  <c r="H230" i="25" s="1"/>
  <c r="H229" i="25" s="1"/>
  <c r="C230" i="25"/>
  <c r="AM229" i="25"/>
  <c r="AL229" i="25"/>
  <c r="AK229" i="25"/>
  <c r="AH229" i="25"/>
  <c r="AG229" i="25"/>
  <c r="AF229" i="25"/>
  <c r="AE229" i="25"/>
  <c r="AD229" i="25"/>
  <c r="AC229" i="25"/>
  <c r="AB229" i="25"/>
  <c r="AA229" i="25"/>
  <c r="Z229" i="25"/>
  <c r="Y229" i="25"/>
  <c r="X229" i="25"/>
  <c r="W229" i="25"/>
  <c r="V229" i="25"/>
  <c r="U229" i="25"/>
  <c r="T229" i="25"/>
  <c r="S229" i="25"/>
  <c r="R229" i="25"/>
  <c r="Q229" i="25"/>
  <c r="N229" i="25"/>
  <c r="M229" i="25"/>
  <c r="L229" i="25"/>
  <c r="K229" i="25"/>
  <c r="J229" i="25"/>
  <c r="I229" i="25"/>
  <c r="G229" i="25"/>
  <c r="F229" i="25"/>
  <c r="E229" i="25"/>
  <c r="D229" i="25"/>
  <c r="C229" i="25"/>
  <c r="AM228" i="25"/>
  <c r="AL228" i="25"/>
  <c r="AJ228" i="25"/>
  <c r="P228" i="25"/>
  <c r="O228" i="25" s="1"/>
  <c r="I228" i="25"/>
  <c r="H228" i="25" s="1"/>
  <c r="C228" i="25"/>
  <c r="AM227" i="25"/>
  <c r="AL227" i="25"/>
  <c r="AJ227" i="25"/>
  <c r="P227" i="25"/>
  <c r="O227" i="25" s="1"/>
  <c r="I227" i="25"/>
  <c r="H227" i="25" s="1"/>
  <c r="C227" i="25"/>
  <c r="AM226" i="25"/>
  <c r="AM225" i="25" s="1"/>
  <c r="AL226" i="25"/>
  <c r="AL225" i="25" s="1"/>
  <c r="AJ226" i="25"/>
  <c r="AJ225" i="25" s="1"/>
  <c r="R226" i="25"/>
  <c r="P226" i="25" s="1"/>
  <c r="I226" i="25"/>
  <c r="H226" i="25" s="1"/>
  <c r="C226" i="25"/>
  <c r="AK225" i="25"/>
  <c r="AH225" i="25"/>
  <c r="AG225" i="25"/>
  <c r="AF225" i="25"/>
  <c r="AE225" i="25"/>
  <c r="AD225" i="25"/>
  <c r="AC225" i="25"/>
  <c r="AB225" i="25"/>
  <c r="AA225" i="25"/>
  <c r="Z225" i="25"/>
  <c r="Y225" i="25"/>
  <c r="X225" i="25"/>
  <c r="W225" i="25"/>
  <c r="V225" i="25"/>
  <c r="U225" i="25"/>
  <c r="T225" i="25"/>
  <c r="S225" i="25"/>
  <c r="R225" i="25"/>
  <c r="Q225" i="25"/>
  <c r="N225" i="25"/>
  <c r="M225" i="25"/>
  <c r="L225" i="25"/>
  <c r="K225" i="25"/>
  <c r="J225" i="25"/>
  <c r="G225" i="25"/>
  <c r="F225" i="25"/>
  <c r="E225" i="25"/>
  <c r="D225" i="25"/>
  <c r="AM224" i="25"/>
  <c r="AM223" i="25" s="1"/>
  <c r="AL224" i="25"/>
  <c r="AL223" i="25" s="1"/>
  <c r="AJ224" i="25"/>
  <c r="AJ223" i="25" s="1"/>
  <c r="P224" i="25"/>
  <c r="O224" i="25" s="1"/>
  <c r="O223" i="25" s="1"/>
  <c r="I224" i="25"/>
  <c r="H224" i="25" s="1"/>
  <c r="C224" i="25"/>
  <c r="C223" i="25" s="1"/>
  <c r="AK223" i="25"/>
  <c r="AH223" i="25"/>
  <c r="AG223" i="25"/>
  <c r="AF223" i="25"/>
  <c r="AE223" i="25"/>
  <c r="AD223" i="25"/>
  <c r="AC223" i="25"/>
  <c r="AB223" i="25"/>
  <c r="AA223" i="25"/>
  <c r="Z223" i="25"/>
  <c r="Y223" i="25"/>
  <c r="X223" i="25"/>
  <c r="W223" i="25"/>
  <c r="V223" i="25"/>
  <c r="U223" i="25"/>
  <c r="T223" i="25"/>
  <c r="S223" i="25"/>
  <c r="R223" i="25"/>
  <c r="Q223" i="25"/>
  <c r="N223" i="25"/>
  <c r="M223" i="25"/>
  <c r="L223" i="25"/>
  <c r="K223" i="25"/>
  <c r="J223" i="25"/>
  <c r="G223" i="25"/>
  <c r="F223" i="25"/>
  <c r="E223" i="25"/>
  <c r="D223" i="25"/>
  <c r="AM222" i="25"/>
  <c r="AM221" i="25" s="1"/>
  <c r="AL222" i="25"/>
  <c r="AL221" i="25" s="1"/>
  <c r="AJ222" i="25"/>
  <c r="P222" i="25"/>
  <c r="O222" i="25" s="1"/>
  <c r="O221" i="25" s="1"/>
  <c r="I222" i="25"/>
  <c r="H222" i="25" s="1"/>
  <c r="H221" i="25" s="1"/>
  <c r="C222" i="25"/>
  <c r="C221" i="25" s="1"/>
  <c r="AH221" i="25"/>
  <c r="AG221" i="25"/>
  <c r="AF221" i="25"/>
  <c r="AE221" i="25"/>
  <c r="AD221" i="25"/>
  <c r="AC221" i="25"/>
  <c r="AB221" i="25"/>
  <c r="AA221" i="25"/>
  <c r="Z221" i="25"/>
  <c r="Y221" i="25"/>
  <c r="X221" i="25"/>
  <c r="W221" i="25"/>
  <c r="V221" i="25"/>
  <c r="U221" i="25"/>
  <c r="T221" i="25"/>
  <c r="S221" i="25"/>
  <c r="R221" i="25"/>
  <c r="Q221" i="25"/>
  <c r="N221" i="25"/>
  <c r="M221" i="25"/>
  <c r="L221" i="25"/>
  <c r="K221" i="25"/>
  <c r="J221" i="25"/>
  <c r="G221" i="25"/>
  <c r="F221" i="25"/>
  <c r="E221" i="25"/>
  <c r="D221" i="25"/>
  <c r="AM220" i="25"/>
  <c r="AL220" i="25"/>
  <c r="AJ220" i="25"/>
  <c r="P220" i="25"/>
  <c r="O220" i="25" s="1"/>
  <c r="O219" i="25" s="1"/>
  <c r="I220" i="25"/>
  <c r="H220" i="25" s="1"/>
  <c r="H219" i="25" s="1"/>
  <c r="C220" i="25"/>
  <c r="AM219" i="25"/>
  <c r="AL219" i="25"/>
  <c r="AK219" i="25"/>
  <c r="AH219" i="25"/>
  <c r="AG219" i="25"/>
  <c r="AF219" i="25"/>
  <c r="AE219" i="25"/>
  <c r="AD219" i="25"/>
  <c r="AC219" i="25"/>
  <c r="AB219" i="25"/>
  <c r="AA219" i="25"/>
  <c r="Z219" i="25"/>
  <c r="Y219" i="25"/>
  <c r="X219" i="25"/>
  <c r="W219" i="25"/>
  <c r="V219" i="25"/>
  <c r="U219" i="25"/>
  <c r="T219" i="25"/>
  <c r="S219" i="25"/>
  <c r="R219" i="25"/>
  <c r="Q219" i="25"/>
  <c r="N219" i="25"/>
  <c r="M219" i="25"/>
  <c r="L219" i="25"/>
  <c r="K219" i="25"/>
  <c r="J219" i="25"/>
  <c r="I219" i="25"/>
  <c r="G219" i="25"/>
  <c r="F219" i="25"/>
  <c r="E219" i="25"/>
  <c r="D219" i="25"/>
  <c r="C219" i="25"/>
  <c r="AM218" i="25"/>
  <c r="AL218" i="25"/>
  <c r="AK218" i="25"/>
  <c r="AJ218" i="25"/>
  <c r="AF218" i="25"/>
  <c r="AF217" i="25" s="1"/>
  <c r="AC218" i="25"/>
  <c r="AC217" i="25" s="1"/>
  <c r="Z218" i="25"/>
  <c r="W218" i="25"/>
  <c r="S218" i="25"/>
  <c r="O218" i="25" s="1"/>
  <c r="O217" i="25" s="1"/>
  <c r="L218" i="25"/>
  <c r="L217" i="25" s="1"/>
  <c r="I218" i="25"/>
  <c r="C218" i="25"/>
  <c r="C217" i="25" s="1"/>
  <c r="AH217" i="25"/>
  <c r="AG217" i="25"/>
  <c r="AE217" i="25"/>
  <c r="AD217" i="25"/>
  <c r="AB217" i="25"/>
  <c r="AA217" i="25"/>
  <c r="Z217" i="25"/>
  <c r="Y217" i="25"/>
  <c r="X217" i="25"/>
  <c r="U217" i="25"/>
  <c r="T217" i="25"/>
  <c r="R217" i="25"/>
  <c r="Q217" i="25"/>
  <c r="P217" i="25"/>
  <c r="N217" i="25"/>
  <c r="M217" i="25"/>
  <c r="K217" i="25"/>
  <c r="J217" i="25"/>
  <c r="I217" i="25"/>
  <c r="G217" i="25"/>
  <c r="F217" i="25"/>
  <c r="E217" i="25"/>
  <c r="D217" i="25"/>
  <c r="AM212" i="25"/>
  <c r="AL212" i="25"/>
  <c r="AK212" i="25"/>
  <c r="AJ212" i="25"/>
  <c r="W212" i="25"/>
  <c r="V212" i="25" s="1"/>
  <c r="S212" i="25"/>
  <c r="P212" i="25"/>
  <c r="I212" i="25"/>
  <c r="H212" i="25" s="1"/>
  <c r="C212" i="25"/>
  <c r="AM211" i="25"/>
  <c r="AL211" i="25"/>
  <c r="AK211" i="25"/>
  <c r="AJ211" i="25"/>
  <c r="W211" i="25"/>
  <c r="V211" i="25" s="1"/>
  <c r="S211" i="25"/>
  <c r="P211" i="25"/>
  <c r="I211" i="25"/>
  <c r="H211" i="25" s="1"/>
  <c r="C211" i="25"/>
  <c r="AH210" i="25"/>
  <c r="AH205" i="25" s="1"/>
  <c r="AG210" i="25"/>
  <c r="AG205" i="25" s="1"/>
  <c r="AF210" i="25"/>
  <c r="AF205" i="25" s="1"/>
  <c r="AE210" i="25"/>
  <c r="AE205" i="25" s="1"/>
  <c r="AD210" i="25"/>
  <c r="AD205" i="25" s="1"/>
  <c r="AC210" i="25"/>
  <c r="AC205" i="25" s="1"/>
  <c r="AB210" i="25"/>
  <c r="AB205" i="25" s="1"/>
  <c r="AA210" i="25"/>
  <c r="AA205" i="25" s="1"/>
  <c r="Z210" i="25"/>
  <c r="Z205" i="25" s="1"/>
  <c r="Y210" i="25"/>
  <c r="Y205" i="25" s="1"/>
  <c r="X210" i="25"/>
  <c r="X205" i="25" s="1"/>
  <c r="U210" i="25"/>
  <c r="U205" i="25" s="1"/>
  <c r="T210" i="25"/>
  <c r="T205" i="25" s="1"/>
  <c r="R210" i="25"/>
  <c r="R205" i="25" s="1"/>
  <c r="Q210" i="25"/>
  <c r="Q205" i="25" s="1"/>
  <c r="N210" i="25"/>
  <c r="N205" i="25" s="1"/>
  <c r="M210" i="25"/>
  <c r="M205" i="25" s="1"/>
  <c r="L210" i="25"/>
  <c r="L205" i="25" s="1"/>
  <c r="K210" i="25"/>
  <c r="K205" i="25" s="1"/>
  <c r="J210" i="25"/>
  <c r="J205" i="25" s="1"/>
  <c r="G210" i="25"/>
  <c r="G205" i="25" s="1"/>
  <c r="F210" i="25"/>
  <c r="F205" i="25" s="1"/>
  <c r="E210" i="25"/>
  <c r="E205" i="25" s="1"/>
  <c r="D210" i="25"/>
  <c r="D205" i="25" s="1"/>
  <c r="AM209" i="25"/>
  <c r="AL209" i="25"/>
  <c r="AK209" i="25"/>
  <c r="W209" i="25"/>
  <c r="V209" i="25" s="1"/>
  <c r="S209" i="25"/>
  <c r="P209" i="25"/>
  <c r="I209" i="25"/>
  <c r="H209" i="25" s="1"/>
  <c r="C209" i="25"/>
  <c r="AM208" i="25"/>
  <c r="AL208" i="25"/>
  <c r="AK208" i="25"/>
  <c r="W208" i="25"/>
  <c r="V208" i="25" s="1"/>
  <c r="S208" i="25"/>
  <c r="P208" i="25"/>
  <c r="O208" i="25" s="1"/>
  <c r="I208" i="25"/>
  <c r="H208" i="25" s="1"/>
  <c r="C208" i="25"/>
  <c r="AM207" i="25"/>
  <c r="AL207" i="25"/>
  <c r="AK207" i="25"/>
  <c r="W207" i="25"/>
  <c r="V207" i="25" s="1"/>
  <c r="S207" i="25"/>
  <c r="P207" i="25"/>
  <c r="I207" i="25"/>
  <c r="C207" i="25"/>
  <c r="AM206" i="25"/>
  <c r="AL206" i="25"/>
  <c r="AK206" i="25"/>
  <c r="W206" i="25"/>
  <c r="S206" i="25"/>
  <c r="P206" i="25"/>
  <c r="I206" i="25"/>
  <c r="H206" i="25" s="1"/>
  <c r="C206" i="25"/>
  <c r="AM204" i="25"/>
  <c r="AL204" i="25"/>
  <c r="AK204" i="25"/>
  <c r="S204" i="25"/>
  <c r="Q204" i="25"/>
  <c r="P204" i="25" s="1"/>
  <c r="L204" i="25"/>
  <c r="I204" i="25"/>
  <c r="C204" i="25"/>
  <c r="AM203" i="25"/>
  <c r="AL203" i="25"/>
  <c r="AK203" i="25"/>
  <c r="S203" i="25"/>
  <c r="Q203" i="25"/>
  <c r="P203" i="25" s="1"/>
  <c r="L203" i="25"/>
  <c r="I203" i="25"/>
  <c r="C203" i="25"/>
  <c r="AM202" i="25"/>
  <c r="AL202" i="25"/>
  <c r="AK202" i="25"/>
  <c r="S202" i="25"/>
  <c r="P202" i="25"/>
  <c r="L202" i="25"/>
  <c r="I202" i="25"/>
  <c r="C202" i="25"/>
  <c r="AM201" i="25"/>
  <c r="AL201" i="25"/>
  <c r="AK201" i="25"/>
  <c r="W201" i="25"/>
  <c r="V201" i="25" s="1"/>
  <c r="V199" i="25" s="1"/>
  <c r="S201" i="25"/>
  <c r="P201" i="25"/>
  <c r="I201" i="25"/>
  <c r="H201" i="25" s="1"/>
  <c r="C201" i="25"/>
  <c r="AM200" i="25"/>
  <c r="AL200" i="25"/>
  <c r="AK200" i="25"/>
  <c r="P200" i="25"/>
  <c r="I200" i="25"/>
  <c r="H200" i="25" s="1"/>
  <c r="C200" i="25"/>
  <c r="AJ199" i="25"/>
  <c r="AH199" i="25"/>
  <c r="AG199" i="25"/>
  <c r="AF199" i="25"/>
  <c r="AE199" i="25"/>
  <c r="AD199" i="25"/>
  <c r="AC199" i="25"/>
  <c r="AB199" i="25"/>
  <c r="AA199" i="25"/>
  <c r="Z199" i="25"/>
  <c r="Y199" i="25"/>
  <c r="X199" i="25"/>
  <c r="U199" i="25"/>
  <c r="T199" i="25"/>
  <c r="R199" i="25"/>
  <c r="N199" i="25"/>
  <c r="M199" i="25"/>
  <c r="K199" i="25"/>
  <c r="J199" i="25"/>
  <c r="G199" i="25"/>
  <c r="F199" i="25"/>
  <c r="E199" i="25"/>
  <c r="D199" i="25"/>
  <c r="AM197" i="25"/>
  <c r="AL197" i="25"/>
  <c r="AK197" i="25"/>
  <c r="AF197" i="25"/>
  <c r="AC197" i="25"/>
  <c r="Z197" i="25"/>
  <c r="W197" i="25"/>
  <c r="P197" i="25"/>
  <c r="O197" i="25" s="1"/>
  <c r="I197" i="25"/>
  <c r="H197" i="25" s="1"/>
  <c r="C197" i="25"/>
  <c r="AM196" i="25"/>
  <c r="AL196" i="25"/>
  <c r="AK196" i="25"/>
  <c r="AF196" i="25"/>
  <c r="AC196" i="25"/>
  <c r="Z196" i="25"/>
  <c r="W196" i="25"/>
  <c r="P196" i="25"/>
  <c r="O196" i="25" s="1"/>
  <c r="I196" i="25"/>
  <c r="H196" i="25" s="1"/>
  <c r="C196" i="25"/>
  <c r="AM195" i="25"/>
  <c r="AL195" i="25"/>
  <c r="AK195" i="25"/>
  <c r="AF195" i="25"/>
  <c r="AC195" i="25"/>
  <c r="Z195" i="25"/>
  <c r="W195" i="25"/>
  <c r="P195" i="25"/>
  <c r="O195" i="25" s="1"/>
  <c r="I195" i="25"/>
  <c r="H195" i="25" s="1"/>
  <c r="C195" i="25"/>
  <c r="AI194" i="25"/>
  <c r="P194" i="25"/>
  <c r="O194" i="25" s="1"/>
  <c r="I194" i="25"/>
  <c r="C194" i="25"/>
  <c r="AI193" i="25"/>
  <c r="P193" i="25"/>
  <c r="O193" i="25" s="1"/>
  <c r="I193" i="25"/>
  <c r="H193" i="25" s="1"/>
  <c r="C193" i="25"/>
  <c r="AI192" i="25"/>
  <c r="AF192" i="25"/>
  <c r="AC192" i="25"/>
  <c r="Z192" i="25"/>
  <c r="W192" i="25"/>
  <c r="P192" i="25"/>
  <c r="O192" i="25" s="1"/>
  <c r="I192" i="25"/>
  <c r="H192" i="25" s="1"/>
  <c r="C192" i="25"/>
  <c r="AJ191" i="25"/>
  <c r="AH191" i="25"/>
  <c r="AG191" i="25"/>
  <c r="AE191" i="25"/>
  <c r="AD191" i="25"/>
  <c r="AB191" i="25"/>
  <c r="AA191" i="25"/>
  <c r="Y191" i="25"/>
  <c r="X191" i="25"/>
  <c r="U191" i="25"/>
  <c r="T191" i="25"/>
  <c r="S191" i="25"/>
  <c r="R191" i="25"/>
  <c r="Q191" i="25"/>
  <c r="N191" i="25"/>
  <c r="M191" i="25"/>
  <c r="L191" i="25"/>
  <c r="K191" i="25"/>
  <c r="J191" i="25"/>
  <c r="G191" i="25"/>
  <c r="F191" i="25"/>
  <c r="E191" i="25"/>
  <c r="D191" i="25"/>
  <c r="AM190" i="25"/>
  <c r="AL190" i="25"/>
  <c r="AK190" i="25"/>
  <c r="AJ190" i="25"/>
  <c r="S190" i="25"/>
  <c r="P190" i="25"/>
  <c r="I190" i="25"/>
  <c r="H190" i="25" s="1"/>
  <c r="C190" i="25"/>
  <c r="AM189" i="25"/>
  <c r="AK189" i="25"/>
  <c r="AJ189" i="25"/>
  <c r="T189" i="25"/>
  <c r="P189" i="25"/>
  <c r="L189" i="25"/>
  <c r="I189" i="25"/>
  <c r="C189" i="25"/>
  <c r="AM188" i="25"/>
  <c r="AK188" i="25"/>
  <c r="AJ188" i="25"/>
  <c r="T188" i="25"/>
  <c r="S188" i="25" s="1"/>
  <c r="P188" i="25"/>
  <c r="L188" i="25"/>
  <c r="I188" i="25"/>
  <c r="C188" i="25"/>
  <c r="AM187" i="25"/>
  <c r="AK187" i="25"/>
  <c r="AJ187" i="25"/>
  <c r="T187" i="25"/>
  <c r="S187" i="25" s="1"/>
  <c r="P187" i="25"/>
  <c r="L187" i="25"/>
  <c r="I187" i="25"/>
  <c r="C187" i="25"/>
  <c r="AH186" i="25"/>
  <c r="AH162" i="25" s="1"/>
  <c r="AG186" i="25"/>
  <c r="AG162" i="25" s="1"/>
  <c r="AG161" i="25" s="1"/>
  <c r="AF186" i="25"/>
  <c r="AE186" i="25"/>
  <c r="AD186" i="25"/>
  <c r="AD162" i="25" s="1"/>
  <c r="AC186" i="25"/>
  <c r="AB186" i="25"/>
  <c r="AB162" i="25" s="1"/>
  <c r="AA186" i="25"/>
  <c r="AA162" i="25" s="1"/>
  <c r="AA161" i="25" s="1"/>
  <c r="Z186" i="25"/>
  <c r="Y186" i="25"/>
  <c r="Y162" i="25" s="1"/>
  <c r="X186" i="25"/>
  <c r="W186" i="25"/>
  <c r="V186" i="25"/>
  <c r="U186" i="25"/>
  <c r="U162" i="25" s="1"/>
  <c r="R186" i="25"/>
  <c r="R162" i="25" s="1"/>
  <c r="Q186" i="25"/>
  <c r="N186" i="25"/>
  <c r="N162" i="25" s="1"/>
  <c r="M186" i="25"/>
  <c r="M162" i="25" s="1"/>
  <c r="K186" i="25"/>
  <c r="K162" i="25" s="1"/>
  <c r="K161" i="25" s="1"/>
  <c r="J186" i="25"/>
  <c r="J162" i="25" s="1"/>
  <c r="J161" i="25" s="1"/>
  <c r="G186" i="25"/>
  <c r="G162" i="25" s="1"/>
  <c r="G161" i="25" s="1"/>
  <c r="F186" i="25"/>
  <c r="F162" i="25" s="1"/>
  <c r="F161" i="25" s="1"/>
  <c r="E186" i="25"/>
  <c r="E162" i="25" s="1"/>
  <c r="D186" i="25"/>
  <c r="AJ185" i="25"/>
  <c r="AI185" i="25" s="1"/>
  <c r="P185" i="25"/>
  <c r="O185" i="25" s="1"/>
  <c r="I185" i="25"/>
  <c r="H185" i="25" s="1"/>
  <c r="C185" i="25"/>
  <c r="AM184" i="25"/>
  <c r="AL184" i="25"/>
  <c r="AK184" i="25"/>
  <c r="AF184" i="25"/>
  <c r="AC184" i="25"/>
  <c r="Z184" i="25"/>
  <c r="W184" i="25"/>
  <c r="Q184" i="25"/>
  <c r="AJ184" i="25" s="1"/>
  <c r="I184" i="25"/>
  <c r="H184" i="25" s="1"/>
  <c r="C184" i="25"/>
  <c r="AM183" i="25"/>
  <c r="AL183" i="25"/>
  <c r="AK183" i="25"/>
  <c r="AF183" i="25"/>
  <c r="AC183" i="25"/>
  <c r="Z183" i="25"/>
  <c r="X183" i="25"/>
  <c r="P183" i="25"/>
  <c r="O183" i="25" s="1"/>
  <c r="I183" i="25"/>
  <c r="H183" i="25" s="1"/>
  <c r="C183" i="25"/>
  <c r="AM182" i="25"/>
  <c r="AL182" i="25"/>
  <c r="AK182" i="25"/>
  <c r="AF182" i="25"/>
  <c r="AC182" i="25"/>
  <c r="Z182" i="25"/>
  <c r="W182" i="25"/>
  <c r="P182" i="25"/>
  <c r="O182" i="25" s="1"/>
  <c r="I182" i="25"/>
  <c r="H182" i="25" s="1"/>
  <c r="D182" i="25"/>
  <c r="AJ182" i="25" s="1"/>
  <c r="AM181" i="25"/>
  <c r="AL181" i="25"/>
  <c r="AK181" i="25"/>
  <c r="AF181" i="25"/>
  <c r="AC181" i="25"/>
  <c r="Z181" i="25"/>
  <c r="W181" i="25"/>
  <c r="Q181" i="25"/>
  <c r="P181" i="25" s="1"/>
  <c r="O181" i="25" s="1"/>
  <c r="I181" i="25"/>
  <c r="H181" i="25" s="1"/>
  <c r="D181" i="25"/>
  <c r="AJ181" i="25" s="1"/>
  <c r="C181" i="25"/>
  <c r="AM180" i="25"/>
  <c r="AL180" i="25"/>
  <c r="AK180" i="25"/>
  <c r="AF180" i="25"/>
  <c r="AC180" i="25"/>
  <c r="Z180" i="25"/>
  <c r="W180" i="25"/>
  <c r="Q180" i="25"/>
  <c r="I180" i="25"/>
  <c r="H180" i="25" s="1"/>
  <c r="C180" i="25"/>
  <c r="AM179" i="25"/>
  <c r="AL179" i="25"/>
  <c r="AK179" i="25"/>
  <c r="AF179" i="25"/>
  <c r="AC179" i="25"/>
  <c r="Z179" i="25"/>
  <c r="X179" i="25"/>
  <c r="W179" i="25" s="1"/>
  <c r="P179" i="25"/>
  <c r="O179" i="25" s="1"/>
  <c r="I179" i="25"/>
  <c r="H179" i="25" s="1"/>
  <c r="C179" i="25"/>
  <c r="AM178" i="25"/>
  <c r="AL178" i="25"/>
  <c r="AK178" i="25"/>
  <c r="AF178" i="25"/>
  <c r="AC178" i="25"/>
  <c r="Z178" i="25"/>
  <c r="X178" i="25"/>
  <c r="P178" i="25"/>
  <c r="O178" i="25" s="1"/>
  <c r="I178" i="25"/>
  <c r="H178" i="25" s="1"/>
  <c r="C178" i="25"/>
  <c r="AM177" i="25"/>
  <c r="AL177" i="25"/>
  <c r="AK177" i="25"/>
  <c r="AJ177" i="25"/>
  <c r="AF177" i="25"/>
  <c r="AC177" i="25"/>
  <c r="Z177" i="25"/>
  <c r="W177" i="25"/>
  <c r="P177" i="25"/>
  <c r="O177" i="25" s="1"/>
  <c r="I177" i="25"/>
  <c r="H177" i="25" s="1"/>
  <c r="C177" i="25"/>
  <c r="AM176" i="25"/>
  <c r="AL176" i="25"/>
  <c r="AK176" i="25"/>
  <c r="AJ176" i="25"/>
  <c r="AF176" i="25"/>
  <c r="AC176" i="25"/>
  <c r="Z176" i="25"/>
  <c r="W176" i="25"/>
  <c r="P176" i="25"/>
  <c r="O176" i="25" s="1"/>
  <c r="I176" i="25"/>
  <c r="H176" i="25" s="1"/>
  <c r="C176" i="25"/>
  <c r="AM175" i="25"/>
  <c r="AL175" i="25"/>
  <c r="AK175" i="25"/>
  <c r="AF175" i="25"/>
  <c r="AC175" i="25"/>
  <c r="Z175" i="25"/>
  <c r="X175" i="25"/>
  <c r="W175" i="25" s="1"/>
  <c r="P175" i="25"/>
  <c r="O175" i="25" s="1"/>
  <c r="I175" i="25"/>
  <c r="H175" i="25" s="1"/>
  <c r="C175" i="25"/>
  <c r="AM174" i="25"/>
  <c r="AL174" i="25"/>
  <c r="AK174" i="25"/>
  <c r="AF174" i="25"/>
  <c r="AC174" i="25"/>
  <c r="Z174" i="25"/>
  <c r="W174" i="25"/>
  <c r="Q174" i="25"/>
  <c r="I174" i="25"/>
  <c r="H174" i="25" s="1"/>
  <c r="C174" i="25"/>
  <c r="AM173" i="25"/>
  <c r="AL173" i="25"/>
  <c r="AK173" i="25"/>
  <c r="AJ173" i="25"/>
  <c r="AF173" i="25"/>
  <c r="AC173" i="25"/>
  <c r="Z173" i="25"/>
  <c r="W173" i="25"/>
  <c r="P173" i="25"/>
  <c r="O173" i="25" s="1"/>
  <c r="I173" i="25"/>
  <c r="H173" i="25" s="1"/>
  <c r="C173" i="25"/>
  <c r="AM172" i="25"/>
  <c r="AL172" i="25"/>
  <c r="AK172" i="25"/>
  <c r="AJ172" i="25"/>
  <c r="AF172" i="25"/>
  <c r="AC172" i="25"/>
  <c r="Z172" i="25"/>
  <c r="W172" i="25"/>
  <c r="P172" i="25"/>
  <c r="O172" i="25" s="1"/>
  <c r="I172" i="25"/>
  <c r="H172" i="25" s="1"/>
  <c r="C172" i="25"/>
  <c r="AM171" i="25"/>
  <c r="AL171" i="25"/>
  <c r="AK171" i="25"/>
  <c r="AF171" i="25"/>
  <c r="AC171" i="25"/>
  <c r="Z171" i="25"/>
  <c r="W171" i="25"/>
  <c r="Q171" i="25"/>
  <c r="AJ171" i="25" s="1"/>
  <c r="I171" i="25"/>
  <c r="H171" i="25" s="1"/>
  <c r="C171" i="25"/>
  <c r="AM170" i="25"/>
  <c r="AL170" i="25"/>
  <c r="AK170" i="25"/>
  <c r="AF170" i="25"/>
  <c r="AC170" i="25"/>
  <c r="Z170" i="25"/>
  <c r="W170" i="25"/>
  <c r="P170" i="25"/>
  <c r="O170" i="25" s="1"/>
  <c r="I170" i="25"/>
  <c r="H170" i="25" s="1"/>
  <c r="D170" i="25"/>
  <c r="AM169" i="25"/>
  <c r="AL169" i="25"/>
  <c r="AK169" i="25"/>
  <c r="AJ169" i="25"/>
  <c r="AF169" i="25"/>
  <c r="AC169" i="25"/>
  <c r="Z169" i="25"/>
  <c r="W169" i="25"/>
  <c r="P169" i="25"/>
  <c r="O169" i="25" s="1"/>
  <c r="I169" i="25"/>
  <c r="C169" i="25"/>
  <c r="AM168" i="25"/>
  <c r="AL168" i="25"/>
  <c r="AK168" i="25"/>
  <c r="AJ168" i="25"/>
  <c r="AF168" i="25"/>
  <c r="AC168" i="25"/>
  <c r="Z168" i="25"/>
  <c r="W168" i="25"/>
  <c r="P168" i="25"/>
  <c r="O168" i="25" s="1"/>
  <c r="I168" i="25"/>
  <c r="H168" i="25" s="1"/>
  <c r="C168" i="25"/>
  <c r="AM167" i="25"/>
  <c r="AL167" i="25"/>
  <c r="AK167" i="25"/>
  <c r="AF167" i="25"/>
  <c r="AC167" i="25"/>
  <c r="Z167" i="25"/>
  <c r="W167" i="25"/>
  <c r="Q167" i="25"/>
  <c r="AJ167" i="25" s="1"/>
  <c r="I167" i="25"/>
  <c r="H167" i="25" s="1"/>
  <c r="C167" i="25"/>
  <c r="AM166" i="25"/>
  <c r="AL166" i="25"/>
  <c r="AK166" i="25"/>
  <c r="AJ166" i="25"/>
  <c r="AF166" i="25"/>
  <c r="AC166" i="25"/>
  <c r="Z166" i="25"/>
  <c r="W166" i="25"/>
  <c r="P166" i="25"/>
  <c r="O166" i="25" s="1"/>
  <c r="I166" i="25"/>
  <c r="H166" i="25" s="1"/>
  <c r="C166" i="25"/>
  <c r="AM165" i="25"/>
  <c r="AL165" i="25"/>
  <c r="AK165" i="25"/>
  <c r="AJ165" i="25"/>
  <c r="AF165" i="25"/>
  <c r="AC165" i="25"/>
  <c r="Z165" i="25"/>
  <c r="W165" i="25"/>
  <c r="P165" i="25"/>
  <c r="O165" i="25" s="1"/>
  <c r="I165" i="25"/>
  <c r="H165" i="25" s="1"/>
  <c r="C165" i="25"/>
  <c r="AM164" i="25"/>
  <c r="AL164" i="25"/>
  <c r="AK164" i="25"/>
  <c r="AJ164" i="25"/>
  <c r="AF164" i="25"/>
  <c r="AC164" i="25"/>
  <c r="Z164" i="25"/>
  <c r="W164" i="25"/>
  <c r="P164" i="25"/>
  <c r="O164" i="25" s="1"/>
  <c r="I164" i="25"/>
  <c r="H164" i="25" s="1"/>
  <c r="C164" i="25"/>
  <c r="AM163" i="25"/>
  <c r="AL163" i="25"/>
  <c r="AK163" i="25"/>
  <c r="AJ163" i="25"/>
  <c r="AF163" i="25"/>
  <c r="AC163" i="25"/>
  <c r="Z163" i="25"/>
  <c r="W163" i="25"/>
  <c r="P163" i="25"/>
  <c r="I163" i="25"/>
  <c r="H163" i="25" s="1"/>
  <c r="C163" i="25"/>
  <c r="AE162" i="25"/>
  <c r="AL159" i="25"/>
  <c r="AJ159" i="25"/>
  <c r="W159" i="25"/>
  <c r="V159" i="25" s="1"/>
  <c r="V157" i="25" s="1"/>
  <c r="S159" i="25"/>
  <c r="P159" i="25"/>
  <c r="P157" i="25" s="1"/>
  <c r="L159" i="25"/>
  <c r="L157" i="25" s="1"/>
  <c r="I159" i="25"/>
  <c r="G159" i="25"/>
  <c r="AM159" i="25" s="1"/>
  <c r="E159" i="25"/>
  <c r="AK159" i="25" s="1"/>
  <c r="AL158" i="25"/>
  <c r="AK158" i="25"/>
  <c r="AJ158" i="25"/>
  <c r="W158" i="25"/>
  <c r="V158" i="25" s="1"/>
  <c r="S158" i="25"/>
  <c r="P158" i="25"/>
  <c r="L158" i="25"/>
  <c r="I158" i="25"/>
  <c r="G158" i="25"/>
  <c r="AH157" i="25"/>
  <c r="AG157" i="25"/>
  <c r="AF157" i="25"/>
  <c r="AE157" i="25"/>
  <c r="AD157" i="25"/>
  <c r="AC157" i="25"/>
  <c r="AB157" i="25"/>
  <c r="AA157" i="25"/>
  <c r="Z157" i="25"/>
  <c r="Y157" i="25"/>
  <c r="X157" i="25"/>
  <c r="U157" i="25"/>
  <c r="T157" i="25"/>
  <c r="S157" i="25"/>
  <c r="R157" i="25"/>
  <c r="Q157" i="25"/>
  <c r="N157" i="25"/>
  <c r="M157" i="25"/>
  <c r="K157" i="25"/>
  <c r="J157" i="25"/>
  <c r="G157" i="25"/>
  <c r="F157" i="25"/>
  <c r="D157" i="25"/>
  <c r="AL156" i="25"/>
  <c r="AJ156" i="25"/>
  <c r="S156" i="25"/>
  <c r="P156" i="25"/>
  <c r="L156" i="25"/>
  <c r="I156" i="25"/>
  <c r="G156" i="25"/>
  <c r="AM156" i="25" s="1"/>
  <c r="E156" i="25"/>
  <c r="AK156" i="25" s="1"/>
  <c r="C156" i="25"/>
  <c r="AL155" i="25"/>
  <c r="AK155" i="25"/>
  <c r="AJ155" i="25"/>
  <c r="S155" i="25"/>
  <c r="P155" i="25"/>
  <c r="L155" i="25"/>
  <c r="I155" i="25"/>
  <c r="G155" i="25"/>
  <c r="AM155" i="25" s="1"/>
  <c r="C155" i="25"/>
  <c r="AM154" i="25"/>
  <c r="AL154" i="25"/>
  <c r="AK154" i="25"/>
  <c r="AJ154" i="25"/>
  <c r="AF154" i="25"/>
  <c r="AF153" i="25" s="1"/>
  <c r="AC154" i="25"/>
  <c r="AC153" i="25" s="1"/>
  <c r="Z154" i="25"/>
  <c r="Z153" i="25" s="1"/>
  <c r="W154" i="25"/>
  <c r="S154" i="25"/>
  <c r="P154" i="25"/>
  <c r="L154" i="25"/>
  <c r="I154" i="25"/>
  <c r="C154" i="25"/>
  <c r="AH153" i="25"/>
  <c r="AG153" i="25"/>
  <c r="AE153" i="25"/>
  <c r="AD153" i="25"/>
  <c r="AB153" i="25"/>
  <c r="AA153" i="25"/>
  <c r="Y153" i="25"/>
  <c r="X153" i="25"/>
  <c r="U153" i="25"/>
  <c r="T153" i="25"/>
  <c r="R153" i="25"/>
  <c r="Q153" i="25"/>
  <c r="N153" i="25"/>
  <c r="M153" i="25"/>
  <c r="K153" i="25"/>
  <c r="J153" i="25"/>
  <c r="G153" i="25"/>
  <c r="F153" i="25"/>
  <c r="E153" i="25"/>
  <c r="D153" i="25"/>
  <c r="AM152" i="25"/>
  <c r="AL152" i="25"/>
  <c r="AK152" i="25"/>
  <c r="AJ152" i="25"/>
  <c r="AF152" i="25"/>
  <c r="AC152" i="25"/>
  <c r="Z152" i="25"/>
  <c r="W152" i="25"/>
  <c r="S152" i="25"/>
  <c r="P152" i="25"/>
  <c r="L152" i="25"/>
  <c r="I152" i="25"/>
  <c r="C152" i="25"/>
  <c r="AM151" i="25"/>
  <c r="AL151" i="25"/>
  <c r="AK151" i="25"/>
  <c r="AJ151" i="25"/>
  <c r="Z151" i="25"/>
  <c r="V151" i="25" s="1"/>
  <c r="S151" i="25"/>
  <c r="P151" i="25"/>
  <c r="L151" i="25"/>
  <c r="I151" i="25"/>
  <c r="C151" i="25"/>
  <c r="AM150" i="25"/>
  <c r="AL150" i="25"/>
  <c r="AK150" i="25"/>
  <c r="AJ150" i="25"/>
  <c r="Z150" i="25"/>
  <c r="S150" i="25"/>
  <c r="P150" i="25"/>
  <c r="L150" i="25"/>
  <c r="I150" i="25"/>
  <c r="C150" i="25"/>
  <c r="AM149" i="25"/>
  <c r="AL149" i="25"/>
  <c r="AK149" i="25"/>
  <c r="AJ149" i="25"/>
  <c r="Z149" i="25"/>
  <c r="W149" i="25"/>
  <c r="S149" i="25"/>
  <c r="P149" i="25"/>
  <c r="L149" i="25"/>
  <c r="I149" i="25"/>
  <c r="C149" i="25"/>
  <c r="AM148" i="25"/>
  <c r="AL148" i="25"/>
  <c r="AK148" i="25"/>
  <c r="AJ148" i="25"/>
  <c r="AF148" i="25"/>
  <c r="AC148" i="25"/>
  <c r="Z148" i="25"/>
  <c r="W148" i="25"/>
  <c r="S148" i="25"/>
  <c r="P148" i="25"/>
  <c r="L148" i="25"/>
  <c r="I148" i="25"/>
  <c r="C148" i="25"/>
  <c r="AM147" i="25"/>
  <c r="AL147" i="25"/>
  <c r="AK147" i="25"/>
  <c r="AJ147" i="25"/>
  <c r="AF147" i="25"/>
  <c r="AC147" i="25"/>
  <c r="Z147" i="25"/>
  <c r="W147" i="25"/>
  <c r="S147" i="25"/>
  <c r="P147" i="25"/>
  <c r="L147" i="25"/>
  <c r="I147" i="25"/>
  <c r="C147" i="25"/>
  <c r="AH146" i="25"/>
  <c r="AG146" i="25"/>
  <c r="AE146" i="25"/>
  <c r="AD146" i="25"/>
  <c r="AB146" i="25"/>
  <c r="AA146" i="25"/>
  <c r="Y146" i="25"/>
  <c r="X146" i="25"/>
  <c r="U146" i="25"/>
  <c r="T146" i="25"/>
  <c r="R146" i="25"/>
  <c r="Q146" i="25"/>
  <c r="N146" i="25"/>
  <c r="M146" i="25"/>
  <c r="K146" i="25"/>
  <c r="J146" i="25"/>
  <c r="C146" i="25"/>
  <c r="AL142" i="25"/>
  <c r="AJ142" i="25"/>
  <c r="W142" i="25"/>
  <c r="V142" i="25" s="1"/>
  <c r="L142" i="25"/>
  <c r="K142" i="25"/>
  <c r="I142" i="25"/>
  <c r="H142" i="25" s="1"/>
  <c r="G142" i="25"/>
  <c r="AM142" i="25" s="1"/>
  <c r="E142" i="25"/>
  <c r="AK142" i="25" s="1"/>
  <c r="AL141" i="25"/>
  <c r="AK141" i="25"/>
  <c r="AJ141" i="25"/>
  <c r="Z141" i="25"/>
  <c r="W141" i="25"/>
  <c r="U141" i="25"/>
  <c r="S141" i="25" s="1"/>
  <c r="P141" i="25"/>
  <c r="L141" i="25"/>
  <c r="I141" i="25"/>
  <c r="C141" i="25"/>
  <c r="AL140" i="25"/>
  <c r="AK140" i="25"/>
  <c r="AJ140" i="25"/>
  <c r="Z140" i="25"/>
  <c r="W140" i="25"/>
  <c r="U140" i="25"/>
  <c r="AM140" i="25" s="1"/>
  <c r="S140" i="25"/>
  <c r="P140" i="25"/>
  <c r="L140" i="25"/>
  <c r="I140" i="25"/>
  <c r="C140" i="25"/>
  <c r="AL139" i="25"/>
  <c r="AK139" i="25"/>
  <c r="AJ139" i="25"/>
  <c r="AB139" i="25"/>
  <c r="Z139" i="25" s="1"/>
  <c r="W139" i="25"/>
  <c r="U139" i="25"/>
  <c r="AM139" i="25" s="1"/>
  <c r="P139" i="25"/>
  <c r="L139" i="25"/>
  <c r="I139" i="25"/>
  <c r="C139" i="25"/>
  <c r="AL138" i="25"/>
  <c r="AK138" i="25"/>
  <c r="AJ138" i="25"/>
  <c r="Z138" i="25"/>
  <c r="W138" i="25"/>
  <c r="U138" i="25"/>
  <c r="S138" i="25" s="1"/>
  <c r="P138" i="25"/>
  <c r="L138" i="25"/>
  <c r="I138" i="25"/>
  <c r="C138" i="25"/>
  <c r="AL137" i="25"/>
  <c r="AK137" i="25"/>
  <c r="AJ137" i="25"/>
  <c r="Z137" i="25"/>
  <c r="W137" i="25"/>
  <c r="U137" i="25"/>
  <c r="S137" i="25" s="1"/>
  <c r="P137" i="25"/>
  <c r="N137" i="25"/>
  <c r="L137" i="25"/>
  <c r="I137" i="25"/>
  <c r="G137" i="25"/>
  <c r="AM137" i="25" s="1"/>
  <c r="AM136" i="25"/>
  <c r="AL136" i="25"/>
  <c r="AK136" i="25"/>
  <c r="AJ136" i="25"/>
  <c r="Z136" i="25"/>
  <c r="W136" i="25"/>
  <c r="S136" i="25"/>
  <c r="P136" i="25"/>
  <c r="L136" i="25"/>
  <c r="I136" i="25"/>
  <c r="C136" i="25"/>
  <c r="AL135" i="25"/>
  <c r="AK135" i="25"/>
  <c r="AJ135" i="25"/>
  <c r="AB135" i="25"/>
  <c r="Z135" i="25" s="1"/>
  <c r="W135" i="25"/>
  <c r="U135" i="25"/>
  <c r="AM135" i="25" s="1"/>
  <c r="P135" i="25"/>
  <c r="L135" i="25"/>
  <c r="I135" i="25"/>
  <c r="C135" i="25"/>
  <c r="AL134" i="25"/>
  <c r="AK134" i="25"/>
  <c r="AJ134" i="25"/>
  <c r="Z134" i="25"/>
  <c r="W134" i="25"/>
  <c r="U134" i="25"/>
  <c r="S134" i="25" s="1"/>
  <c r="P134" i="25"/>
  <c r="L134" i="25"/>
  <c r="I134" i="25"/>
  <c r="G134" i="25"/>
  <c r="C134" i="25" s="1"/>
  <c r="AL133" i="25"/>
  <c r="AK133" i="25"/>
  <c r="AJ133" i="25"/>
  <c r="AB133" i="25"/>
  <c r="Z133" i="25" s="1"/>
  <c r="W133" i="25"/>
  <c r="U133" i="25"/>
  <c r="AM133" i="25" s="1"/>
  <c r="P133" i="25"/>
  <c r="L133" i="25"/>
  <c r="I133" i="25"/>
  <c r="C133" i="25"/>
  <c r="AL132" i="25"/>
  <c r="AK132" i="25"/>
  <c r="AJ132" i="25"/>
  <c r="AB132" i="25"/>
  <c r="Z132" i="25" s="1"/>
  <c r="W132" i="25"/>
  <c r="U132" i="25"/>
  <c r="P132" i="25"/>
  <c r="L132" i="25"/>
  <c r="I132" i="25"/>
  <c r="C132" i="25"/>
  <c r="AM131" i="25"/>
  <c r="AL131" i="25"/>
  <c r="AJ131" i="25"/>
  <c r="Z131" i="25"/>
  <c r="W131" i="25"/>
  <c r="S131" i="25"/>
  <c r="P131" i="25"/>
  <c r="K131" i="25"/>
  <c r="AK131" i="25" s="1"/>
  <c r="C131" i="25"/>
  <c r="AH130" i="25"/>
  <c r="AG130" i="25"/>
  <c r="AF130" i="25"/>
  <c r="AE130" i="25"/>
  <c r="AD130" i="25"/>
  <c r="AC130" i="25"/>
  <c r="AA130" i="25"/>
  <c r="Y130" i="25"/>
  <c r="X130" i="25"/>
  <c r="T130" i="25"/>
  <c r="R130" i="25"/>
  <c r="Q130" i="25"/>
  <c r="N130" i="25"/>
  <c r="M130" i="25"/>
  <c r="J130" i="25"/>
  <c r="G130" i="25"/>
  <c r="F130" i="25"/>
  <c r="E130" i="25"/>
  <c r="D130" i="25"/>
  <c r="AL129" i="25"/>
  <c r="AJ129" i="25"/>
  <c r="W129" i="25"/>
  <c r="V129" i="25" s="1"/>
  <c r="N129" i="25"/>
  <c r="L129" i="25"/>
  <c r="K129" i="25"/>
  <c r="I129" i="25"/>
  <c r="H129" i="25" s="1"/>
  <c r="G129" i="25"/>
  <c r="AM129" i="25" s="1"/>
  <c r="E129" i="25"/>
  <c r="AK129" i="25" s="1"/>
  <c r="AL128" i="25"/>
  <c r="AK128" i="25"/>
  <c r="AJ128" i="25"/>
  <c r="Z128" i="25"/>
  <c r="W128" i="25"/>
  <c r="U128" i="25"/>
  <c r="S128" i="25" s="1"/>
  <c r="P128" i="25"/>
  <c r="L128" i="25"/>
  <c r="I128" i="25"/>
  <c r="C128" i="25"/>
  <c r="AL127" i="25"/>
  <c r="AK127" i="25"/>
  <c r="AJ127" i="25"/>
  <c r="Z127" i="25"/>
  <c r="W127" i="25"/>
  <c r="U127" i="25"/>
  <c r="AM127" i="25" s="1"/>
  <c r="S127" i="25"/>
  <c r="P127" i="25"/>
  <c r="L127" i="25"/>
  <c r="I127" i="25"/>
  <c r="C127" i="25"/>
  <c r="AL126" i="25"/>
  <c r="AK126" i="25"/>
  <c r="AJ126" i="25"/>
  <c r="Z126" i="25"/>
  <c r="W126" i="25"/>
  <c r="U126" i="25"/>
  <c r="S126" i="25" s="1"/>
  <c r="P126" i="25"/>
  <c r="L126" i="25"/>
  <c r="I126" i="25"/>
  <c r="C126" i="25"/>
  <c r="AL125" i="25"/>
  <c r="AK125" i="25"/>
  <c r="AJ125" i="25"/>
  <c r="Z125" i="25"/>
  <c r="W125" i="25"/>
  <c r="U125" i="25"/>
  <c r="P125" i="25"/>
  <c r="L125" i="25"/>
  <c r="I125" i="25"/>
  <c r="C125" i="25"/>
  <c r="AL124" i="25"/>
  <c r="AK124" i="25"/>
  <c r="AJ124" i="25"/>
  <c r="Z124" i="25"/>
  <c r="W124" i="25"/>
  <c r="S124" i="25"/>
  <c r="P124" i="25"/>
  <c r="N124" i="25"/>
  <c r="L124" i="25"/>
  <c r="I124" i="25"/>
  <c r="G124" i="25"/>
  <c r="AM124" i="25" s="1"/>
  <c r="AM123" i="25"/>
  <c r="AL123" i="25"/>
  <c r="AK123" i="25"/>
  <c r="AJ123" i="25"/>
  <c r="Z123" i="25"/>
  <c r="W123" i="25"/>
  <c r="S123" i="25"/>
  <c r="P123" i="25"/>
  <c r="L123" i="25"/>
  <c r="I123" i="25"/>
  <c r="C123" i="25"/>
  <c r="AL122" i="25"/>
  <c r="AK122" i="25"/>
  <c r="AJ122" i="25"/>
  <c r="AB122" i="25"/>
  <c r="Z122" i="25"/>
  <c r="W122" i="25"/>
  <c r="U122" i="25"/>
  <c r="S122" i="25" s="1"/>
  <c r="P122" i="25"/>
  <c r="N122" i="25"/>
  <c r="AM122" i="25" s="1"/>
  <c r="L122" i="25"/>
  <c r="I122" i="25"/>
  <c r="C122" i="25"/>
  <c r="AL121" i="25"/>
  <c r="AK121" i="25"/>
  <c r="AJ121" i="25"/>
  <c r="Z121" i="25"/>
  <c r="W121" i="25"/>
  <c r="U121" i="25"/>
  <c r="AM121" i="25" s="1"/>
  <c r="P121" i="25"/>
  <c r="L121" i="25"/>
  <c r="I121" i="25"/>
  <c r="C121" i="25"/>
  <c r="AL120" i="25"/>
  <c r="AK120" i="25"/>
  <c r="AJ120" i="25"/>
  <c r="Z120" i="25"/>
  <c r="W120" i="25"/>
  <c r="U120" i="25"/>
  <c r="S120" i="25" s="1"/>
  <c r="P120" i="25"/>
  <c r="L120" i="25"/>
  <c r="I120" i="25"/>
  <c r="C120" i="25"/>
  <c r="AL119" i="25"/>
  <c r="AK119" i="25"/>
  <c r="AJ119" i="25"/>
  <c r="AB119" i="25"/>
  <c r="Z119" i="25" s="1"/>
  <c r="W119" i="25"/>
  <c r="U119" i="25"/>
  <c r="AM119" i="25" s="1"/>
  <c r="P119" i="25"/>
  <c r="L119" i="25"/>
  <c r="I119" i="25"/>
  <c r="C119" i="25"/>
  <c r="AM118" i="25"/>
  <c r="AL118" i="25"/>
  <c r="AJ118" i="25"/>
  <c r="Z118" i="25"/>
  <c r="W118" i="25"/>
  <c r="S118" i="25"/>
  <c r="P118" i="25"/>
  <c r="K118" i="25"/>
  <c r="AK118" i="25" s="1"/>
  <c r="C118" i="25"/>
  <c r="AM117" i="25"/>
  <c r="AL117" i="25"/>
  <c r="AK117" i="25"/>
  <c r="AJ117" i="25"/>
  <c r="Z117" i="25"/>
  <c r="W117" i="25"/>
  <c r="S117" i="25"/>
  <c r="P117" i="25"/>
  <c r="I117" i="25"/>
  <c r="H117" i="25" s="1"/>
  <c r="C117" i="25"/>
  <c r="AH116" i="25"/>
  <c r="AG116" i="25"/>
  <c r="AF116" i="25"/>
  <c r="AE116" i="25"/>
  <c r="AD116" i="25"/>
  <c r="AC116" i="25"/>
  <c r="AA116" i="25"/>
  <c r="Y116" i="25"/>
  <c r="X116" i="25"/>
  <c r="T116" i="25"/>
  <c r="R116" i="25"/>
  <c r="Q116" i="25"/>
  <c r="N116" i="25"/>
  <c r="M116" i="25"/>
  <c r="K116" i="25"/>
  <c r="J116" i="25"/>
  <c r="G116" i="25"/>
  <c r="F116" i="25"/>
  <c r="E116" i="25"/>
  <c r="D116" i="25"/>
  <c r="AL115" i="25"/>
  <c r="AJ115" i="25"/>
  <c r="Z115" i="25"/>
  <c r="W115" i="25"/>
  <c r="P115" i="25"/>
  <c r="N115" i="25"/>
  <c r="L115" i="25" s="1"/>
  <c r="K115" i="25"/>
  <c r="I115" i="25" s="1"/>
  <c r="C115" i="25"/>
  <c r="AL114" i="25"/>
  <c r="AK114" i="25"/>
  <c r="AJ114" i="25"/>
  <c r="Z114" i="25"/>
  <c r="W114" i="25"/>
  <c r="U114" i="25"/>
  <c r="AM114" i="25" s="1"/>
  <c r="P114" i="25"/>
  <c r="L114" i="25"/>
  <c r="I114" i="25"/>
  <c r="C114" i="25"/>
  <c r="AL113" i="25"/>
  <c r="AK113" i="25"/>
  <c r="AJ113" i="25"/>
  <c r="Z113" i="25"/>
  <c r="W113" i="25"/>
  <c r="U113" i="25"/>
  <c r="S113" i="25" s="1"/>
  <c r="P113" i="25"/>
  <c r="L113" i="25"/>
  <c r="I113" i="25"/>
  <c r="C113" i="25"/>
  <c r="AM112" i="25"/>
  <c r="AL112" i="25"/>
  <c r="AK112" i="25"/>
  <c r="AJ112" i="25"/>
  <c r="Z112" i="25"/>
  <c r="W112" i="25"/>
  <c r="S112" i="25"/>
  <c r="P112" i="25"/>
  <c r="L112" i="25"/>
  <c r="I112" i="25"/>
  <c r="C112" i="25"/>
  <c r="AL111" i="25"/>
  <c r="AK111" i="25"/>
  <c r="AJ111" i="25"/>
  <c r="Z111" i="25"/>
  <c r="W111" i="25"/>
  <c r="U111" i="25"/>
  <c r="P111" i="25"/>
  <c r="L111" i="25"/>
  <c r="I111" i="25"/>
  <c r="C111" i="25"/>
  <c r="AM110" i="25"/>
  <c r="AL110" i="25"/>
  <c r="AK110" i="25"/>
  <c r="AJ110" i="25"/>
  <c r="Z110" i="25"/>
  <c r="W110" i="25"/>
  <c r="S110" i="25"/>
  <c r="P110" i="25"/>
  <c r="L110" i="25"/>
  <c r="I110" i="25"/>
  <c r="C110" i="25"/>
  <c r="AL109" i="25"/>
  <c r="AK109" i="25"/>
  <c r="AJ109" i="25"/>
  <c r="AB109" i="25"/>
  <c r="W109" i="25"/>
  <c r="U109" i="25"/>
  <c r="S109" i="25"/>
  <c r="P109" i="25"/>
  <c r="N109" i="25"/>
  <c r="L109" i="25" s="1"/>
  <c r="I109" i="25"/>
  <c r="C109" i="25"/>
  <c r="AM108" i="25"/>
  <c r="AL108" i="25"/>
  <c r="AK108" i="25"/>
  <c r="AJ108" i="25"/>
  <c r="Z108" i="25"/>
  <c r="W108" i="25"/>
  <c r="S108" i="25"/>
  <c r="P108" i="25"/>
  <c r="L108" i="25"/>
  <c r="I108" i="25"/>
  <c r="C108" i="25"/>
  <c r="AM107" i="25"/>
  <c r="AL107" i="25"/>
  <c r="AJ107" i="25"/>
  <c r="Z107" i="25"/>
  <c r="W107" i="25"/>
  <c r="S107" i="25"/>
  <c r="P107" i="25"/>
  <c r="L107" i="25"/>
  <c r="K107" i="25"/>
  <c r="AK107" i="25" s="1"/>
  <c r="I107" i="25"/>
  <c r="H107" i="25" s="1"/>
  <c r="C107" i="25"/>
  <c r="AH106" i="25"/>
  <c r="AG106" i="25"/>
  <c r="AF106" i="25"/>
  <c r="AE106" i="25"/>
  <c r="AD106" i="25"/>
  <c r="AC106" i="25"/>
  <c r="AA106" i="25"/>
  <c r="Y106" i="25"/>
  <c r="X106" i="25"/>
  <c r="T106" i="25"/>
  <c r="R106" i="25"/>
  <c r="Q106" i="25"/>
  <c r="M106" i="25"/>
  <c r="K106" i="25"/>
  <c r="J106" i="25"/>
  <c r="G106" i="25"/>
  <c r="F106" i="25"/>
  <c r="E106" i="25"/>
  <c r="D106" i="25"/>
  <c r="AM105" i="25"/>
  <c r="AL105" i="25"/>
  <c r="AK105" i="25"/>
  <c r="AJ105" i="25"/>
  <c r="W105" i="25"/>
  <c r="P105" i="25"/>
  <c r="O105" i="25" s="1"/>
  <c r="O104" i="25" s="1"/>
  <c r="I105" i="25"/>
  <c r="C105" i="25"/>
  <c r="C104" i="25" s="1"/>
  <c r="AH104" i="25"/>
  <c r="AG104" i="25"/>
  <c r="AF104" i="25"/>
  <c r="AE104" i="25"/>
  <c r="AD104" i="25"/>
  <c r="AC104" i="25"/>
  <c r="AB104" i="25"/>
  <c r="AA104" i="25"/>
  <c r="Z104" i="25"/>
  <c r="Y104" i="25"/>
  <c r="X104" i="25"/>
  <c r="U104" i="25"/>
  <c r="T104" i="25"/>
  <c r="S104" i="25"/>
  <c r="R104" i="25"/>
  <c r="Q104" i="25"/>
  <c r="N104" i="25"/>
  <c r="M104" i="25"/>
  <c r="L104" i="25"/>
  <c r="K104" i="25"/>
  <c r="J104" i="25"/>
  <c r="G104" i="25"/>
  <c r="F104" i="25"/>
  <c r="E104" i="25"/>
  <c r="D104" i="25"/>
  <c r="AL103" i="25"/>
  <c r="AJ103" i="25"/>
  <c r="Z103" i="25"/>
  <c r="W103" i="25"/>
  <c r="S103" i="25"/>
  <c r="P103" i="25"/>
  <c r="N103" i="25"/>
  <c r="L103" i="25" s="1"/>
  <c r="K103" i="25"/>
  <c r="I103" i="25" s="1"/>
  <c r="G103" i="25"/>
  <c r="AM103" i="25" s="1"/>
  <c r="E103" i="25"/>
  <c r="AK103" i="25" s="1"/>
  <c r="AL102" i="25"/>
  <c r="AK102" i="25"/>
  <c r="AJ102" i="25"/>
  <c r="Z102" i="25"/>
  <c r="W102" i="25"/>
  <c r="U102" i="25"/>
  <c r="P102" i="25"/>
  <c r="L102" i="25"/>
  <c r="I102" i="25"/>
  <c r="C102" i="25"/>
  <c r="AL101" i="25"/>
  <c r="AK101" i="25"/>
  <c r="AJ101" i="25"/>
  <c r="Z101" i="25"/>
  <c r="W101" i="25"/>
  <c r="U101" i="25"/>
  <c r="S101" i="25" s="1"/>
  <c r="P101" i="25"/>
  <c r="L101" i="25"/>
  <c r="I101" i="25"/>
  <c r="C101" i="25"/>
  <c r="AL100" i="25"/>
  <c r="AK100" i="25"/>
  <c r="AJ100" i="25"/>
  <c r="Z100" i="25"/>
  <c r="W100" i="25"/>
  <c r="P100" i="25"/>
  <c r="N100" i="25"/>
  <c r="U100" i="25" s="1"/>
  <c r="I100" i="25"/>
  <c r="G100" i="25"/>
  <c r="C100" i="25"/>
  <c r="AL99" i="25"/>
  <c r="AK99" i="25"/>
  <c r="AJ99" i="25"/>
  <c r="AB99" i="25"/>
  <c r="W99" i="25"/>
  <c r="U99" i="25"/>
  <c r="S99" i="25" s="1"/>
  <c r="P99" i="25"/>
  <c r="L99" i="25"/>
  <c r="I99" i="25"/>
  <c r="C99" i="25"/>
  <c r="AL98" i="25"/>
  <c r="AK98" i="25"/>
  <c r="AJ98" i="25"/>
  <c r="Z98" i="25"/>
  <c r="W98" i="25"/>
  <c r="U98" i="25"/>
  <c r="S98" i="25" s="1"/>
  <c r="P98" i="25"/>
  <c r="L98" i="25"/>
  <c r="I98" i="25"/>
  <c r="C98" i="25"/>
  <c r="AL97" i="25"/>
  <c r="AK97" i="25"/>
  <c r="AJ97" i="25"/>
  <c r="AB97" i="25"/>
  <c r="Z97" i="25" s="1"/>
  <c r="W97" i="25"/>
  <c r="U97" i="25"/>
  <c r="S97" i="25" s="1"/>
  <c r="P97" i="25"/>
  <c r="N97" i="25"/>
  <c r="AM97" i="25" s="1"/>
  <c r="I97" i="25"/>
  <c r="C97" i="25"/>
  <c r="AM96" i="25"/>
  <c r="AL96" i="25"/>
  <c r="AK96" i="25"/>
  <c r="AJ96" i="25"/>
  <c r="Z96" i="25"/>
  <c r="W96" i="25"/>
  <c r="S96" i="25"/>
  <c r="P96" i="25"/>
  <c r="L96" i="25"/>
  <c r="I96" i="25"/>
  <c r="C96" i="25"/>
  <c r="AL95" i="25"/>
  <c r="AK95" i="25"/>
  <c r="AJ95" i="25"/>
  <c r="Z95" i="25"/>
  <c r="W95" i="25"/>
  <c r="U95" i="25"/>
  <c r="S95" i="25" s="1"/>
  <c r="P95" i="25"/>
  <c r="L95" i="25"/>
  <c r="I95" i="25"/>
  <c r="C95" i="25"/>
  <c r="AL94" i="25"/>
  <c r="AK94" i="25"/>
  <c r="AJ94" i="25"/>
  <c r="W94" i="25"/>
  <c r="U94" i="25"/>
  <c r="S94" i="25" s="1"/>
  <c r="P94" i="25"/>
  <c r="L94" i="25"/>
  <c r="I94" i="25"/>
  <c r="G94" i="25"/>
  <c r="AL93" i="25"/>
  <c r="AK93" i="25"/>
  <c r="AJ93" i="25"/>
  <c r="Z93" i="25"/>
  <c r="W93" i="25"/>
  <c r="S93" i="25"/>
  <c r="P93" i="25"/>
  <c r="L93" i="25"/>
  <c r="I93" i="25"/>
  <c r="G93" i="25"/>
  <c r="C93" i="25" s="1"/>
  <c r="AM92" i="25"/>
  <c r="AL92" i="25"/>
  <c r="AJ92" i="25"/>
  <c r="Z92" i="25"/>
  <c r="W92" i="25"/>
  <c r="P92" i="25"/>
  <c r="O92" i="25" s="1"/>
  <c r="I92" i="25"/>
  <c r="H92" i="25" s="1"/>
  <c r="E92" i="25"/>
  <c r="AK92" i="25" s="1"/>
  <c r="C92" i="25"/>
  <c r="AH91" i="25"/>
  <c r="AG91" i="25"/>
  <c r="AF91" i="25"/>
  <c r="AE91" i="25"/>
  <c r="AD91" i="25"/>
  <c r="AC91" i="25"/>
  <c r="AA91" i="25"/>
  <c r="Y91" i="25"/>
  <c r="X91" i="25"/>
  <c r="T91" i="25"/>
  <c r="R91" i="25"/>
  <c r="Q91" i="25"/>
  <c r="M91" i="25"/>
  <c r="K91" i="25"/>
  <c r="J91" i="25"/>
  <c r="G91" i="25"/>
  <c r="F91" i="25"/>
  <c r="E91" i="25"/>
  <c r="D91" i="25"/>
  <c r="AL90" i="25"/>
  <c r="AJ90" i="25"/>
  <c r="Z90" i="25"/>
  <c r="V90" i="25" s="1"/>
  <c r="S90" i="25"/>
  <c r="P90" i="25"/>
  <c r="N90" i="25"/>
  <c r="L90" i="25" s="1"/>
  <c r="K90" i="25"/>
  <c r="I90" i="25" s="1"/>
  <c r="G90" i="25"/>
  <c r="E90" i="25"/>
  <c r="C90" i="25" s="1"/>
  <c r="AL89" i="25"/>
  <c r="AK89" i="25"/>
  <c r="AJ89" i="25"/>
  <c r="Z89" i="25"/>
  <c r="V89" i="25" s="1"/>
  <c r="U89" i="25"/>
  <c r="AM89" i="25" s="1"/>
  <c r="P89" i="25"/>
  <c r="L89" i="25"/>
  <c r="I89" i="25"/>
  <c r="C89" i="25"/>
  <c r="AL88" i="25"/>
  <c r="AK88" i="25"/>
  <c r="AJ88" i="25"/>
  <c r="Z88" i="25"/>
  <c r="V88" i="25" s="1"/>
  <c r="U88" i="25"/>
  <c r="AM88" i="25" s="1"/>
  <c r="P88" i="25"/>
  <c r="L88" i="25"/>
  <c r="I88" i="25"/>
  <c r="C88" i="25"/>
  <c r="AL87" i="25"/>
  <c r="AK87" i="25"/>
  <c r="AJ87" i="25"/>
  <c r="Z87" i="25"/>
  <c r="V87" i="25" s="1"/>
  <c r="P87" i="25"/>
  <c r="N87" i="25"/>
  <c r="L87" i="25" s="1"/>
  <c r="I87" i="25"/>
  <c r="G87" i="25"/>
  <c r="AL86" i="25"/>
  <c r="AK86" i="25"/>
  <c r="AJ86" i="25"/>
  <c r="Z86" i="25"/>
  <c r="V86" i="25" s="1"/>
  <c r="U86" i="25"/>
  <c r="AM86" i="25" s="1"/>
  <c r="P86" i="25"/>
  <c r="L86" i="25"/>
  <c r="I86" i="25"/>
  <c r="C86" i="25"/>
  <c r="AL85" i="25"/>
  <c r="AK85" i="25"/>
  <c r="AJ85" i="25"/>
  <c r="Z85" i="25"/>
  <c r="V85" i="25" s="1"/>
  <c r="U85" i="25"/>
  <c r="AM85" i="25" s="1"/>
  <c r="P85" i="25"/>
  <c r="L85" i="25"/>
  <c r="I85" i="25"/>
  <c r="C85" i="25"/>
  <c r="AL84" i="25"/>
  <c r="AK84" i="25"/>
  <c r="AJ84" i="25"/>
  <c r="AB84" i="25"/>
  <c r="Z84" i="25" s="1"/>
  <c r="V84" i="25" s="1"/>
  <c r="P84" i="25"/>
  <c r="N84" i="25"/>
  <c r="L84" i="25" s="1"/>
  <c r="I84" i="25"/>
  <c r="C84" i="25"/>
  <c r="AM83" i="25"/>
  <c r="AL83" i="25"/>
  <c r="AK83" i="25"/>
  <c r="AJ83" i="25"/>
  <c r="Z83" i="25"/>
  <c r="V83" i="25" s="1"/>
  <c r="S83" i="25"/>
  <c r="P83" i="25"/>
  <c r="L83" i="25"/>
  <c r="I83" i="25"/>
  <c r="C83" i="25"/>
  <c r="AL82" i="25"/>
  <c r="AK82" i="25"/>
  <c r="AJ82" i="25"/>
  <c r="U82" i="25"/>
  <c r="S82" i="25" s="1"/>
  <c r="P82" i="25"/>
  <c r="N82" i="25"/>
  <c r="AB82" i="25" s="1"/>
  <c r="Z82" i="25" s="1"/>
  <c r="V82" i="25" s="1"/>
  <c r="I82" i="25"/>
  <c r="C82" i="25"/>
  <c r="AL81" i="25"/>
  <c r="AK81" i="25"/>
  <c r="AJ81" i="25"/>
  <c r="U81" i="25"/>
  <c r="S81" i="25" s="1"/>
  <c r="P81" i="25"/>
  <c r="L81" i="25"/>
  <c r="I81" i="25"/>
  <c r="G81" i="25"/>
  <c r="AB81" i="25" s="1"/>
  <c r="C81" i="25"/>
  <c r="AL80" i="25"/>
  <c r="AK80" i="25"/>
  <c r="AJ80" i="25"/>
  <c r="Z80" i="25"/>
  <c r="V80" i="25" s="1"/>
  <c r="U80" i="25"/>
  <c r="S80" i="25"/>
  <c r="P80" i="25"/>
  <c r="L80" i="25"/>
  <c r="I80" i="25"/>
  <c r="G80" i="25"/>
  <c r="C80" i="25" s="1"/>
  <c r="AH79" i="25"/>
  <c r="AG79" i="25"/>
  <c r="AF79" i="25"/>
  <c r="AE79" i="25"/>
  <c r="AD79" i="25"/>
  <c r="AC79" i="25"/>
  <c r="AA79" i="25"/>
  <c r="Y79" i="25"/>
  <c r="X79" i="25"/>
  <c r="W79" i="25"/>
  <c r="T79" i="25"/>
  <c r="R79" i="25"/>
  <c r="Q79" i="25"/>
  <c r="N79" i="25"/>
  <c r="M79" i="25"/>
  <c r="J79" i="25"/>
  <c r="F79" i="25"/>
  <c r="D79" i="25"/>
  <c r="AM78" i="25"/>
  <c r="AK78" i="25"/>
  <c r="Z78" i="25"/>
  <c r="W78" i="25"/>
  <c r="S78" i="25"/>
  <c r="P78" i="25"/>
  <c r="M78" i="25"/>
  <c r="L78" i="25" s="1"/>
  <c r="J78" i="25"/>
  <c r="I78" i="25" s="1"/>
  <c r="F78" i="25"/>
  <c r="D78" i="25"/>
  <c r="C78" i="25" s="1"/>
  <c r="AM77" i="25"/>
  <c r="AK77" i="25"/>
  <c r="AJ77" i="25"/>
  <c r="AA77" i="25"/>
  <c r="Z77" i="25" s="1"/>
  <c r="W77" i="25"/>
  <c r="T77" i="25"/>
  <c r="S77" i="25" s="1"/>
  <c r="P77" i="25"/>
  <c r="L77" i="25"/>
  <c r="I77" i="25"/>
  <c r="C77" i="25"/>
  <c r="AM76" i="25"/>
  <c r="AL76" i="25"/>
  <c r="AK76" i="25"/>
  <c r="AJ76" i="25"/>
  <c r="Z76" i="25"/>
  <c r="W76" i="25"/>
  <c r="T76" i="25"/>
  <c r="S76" i="25"/>
  <c r="P76" i="25"/>
  <c r="L76" i="25"/>
  <c r="I76" i="25"/>
  <c r="C76" i="25"/>
  <c r="AM75" i="25"/>
  <c r="AK75" i="25"/>
  <c r="AJ75" i="25"/>
  <c r="Z75" i="25"/>
  <c r="W75" i="25"/>
  <c r="S75" i="25"/>
  <c r="P75" i="25"/>
  <c r="L75" i="25"/>
  <c r="I75" i="25"/>
  <c r="F75" i="25"/>
  <c r="AL75" i="25" s="1"/>
  <c r="AM74" i="25"/>
  <c r="AK74" i="25"/>
  <c r="AJ74" i="25"/>
  <c r="AA74" i="25"/>
  <c r="Z74" i="25" s="1"/>
  <c r="W74" i="25"/>
  <c r="T74" i="25"/>
  <c r="S74" i="25" s="1"/>
  <c r="P74" i="25"/>
  <c r="L74" i="25"/>
  <c r="I74" i="25"/>
  <c r="C74" i="25"/>
  <c r="AM73" i="25"/>
  <c r="AL73" i="25"/>
  <c r="AK73" i="25"/>
  <c r="AJ73" i="25"/>
  <c r="Z73" i="25"/>
  <c r="W73" i="25"/>
  <c r="T73" i="25"/>
  <c r="S73" i="25"/>
  <c r="P73" i="25"/>
  <c r="L73" i="25"/>
  <c r="I73" i="25"/>
  <c r="C73" i="25"/>
  <c r="AM72" i="25"/>
  <c r="AK72" i="25"/>
  <c r="AJ72" i="25"/>
  <c r="AA72" i="25"/>
  <c r="Z72" i="25" s="1"/>
  <c r="W72" i="25"/>
  <c r="T72" i="25"/>
  <c r="S72" i="25"/>
  <c r="P72" i="25"/>
  <c r="M72" i="25"/>
  <c r="L72" i="25" s="1"/>
  <c r="I72" i="25"/>
  <c r="F72" i="25"/>
  <c r="C72" i="25"/>
  <c r="AM71" i="25"/>
  <c r="AL71" i="25"/>
  <c r="AK71" i="25"/>
  <c r="AJ71" i="25"/>
  <c r="Z71" i="25"/>
  <c r="W71" i="25"/>
  <c r="S71" i="25"/>
  <c r="P71" i="25"/>
  <c r="L71" i="25"/>
  <c r="I71" i="25"/>
  <c r="C71" i="25"/>
  <c r="AM70" i="25"/>
  <c r="AK70" i="25"/>
  <c r="AJ70" i="25"/>
  <c r="W70" i="25"/>
  <c r="P70" i="25"/>
  <c r="M70" i="25"/>
  <c r="L70" i="25"/>
  <c r="I70" i="25"/>
  <c r="F70" i="25"/>
  <c r="C70" i="25" s="1"/>
  <c r="AM69" i="25"/>
  <c r="AK69" i="25"/>
  <c r="AJ69" i="25"/>
  <c r="Z69" i="25"/>
  <c r="W69" i="25"/>
  <c r="T69" i="25"/>
  <c r="S69" i="25" s="1"/>
  <c r="P69" i="25"/>
  <c r="L69" i="25"/>
  <c r="I69" i="25"/>
  <c r="F69" i="25"/>
  <c r="AL69" i="25" s="1"/>
  <c r="C69" i="25"/>
  <c r="AM68" i="25"/>
  <c r="AK68" i="25"/>
  <c r="AJ68" i="25"/>
  <c r="Z68" i="25"/>
  <c r="T68" i="25"/>
  <c r="S68" i="25" s="1"/>
  <c r="P68" i="25"/>
  <c r="M68" i="25"/>
  <c r="L68" i="25" s="1"/>
  <c r="I68" i="25"/>
  <c r="F68" i="25"/>
  <c r="AL68" i="25" s="1"/>
  <c r="AH67" i="25"/>
  <c r="AG67" i="25"/>
  <c r="AF67" i="25"/>
  <c r="AE67" i="25"/>
  <c r="AD67" i="25"/>
  <c r="AC67" i="25"/>
  <c r="AB67" i="25"/>
  <c r="Y67" i="25"/>
  <c r="X67" i="25"/>
  <c r="U67" i="25"/>
  <c r="R67" i="25"/>
  <c r="Q67" i="25"/>
  <c r="N67" i="25"/>
  <c r="K67" i="25"/>
  <c r="J67" i="25"/>
  <c r="G67" i="25"/>
  <c r="F67" i="25"/>
  <c r="E67" i="25"/>
  <c r="D67" i="25"/>
  <c r="AM65" i="25"/>
  <c r="AL65" i="25"/>
  <c r="AK65" i="25"/>
  <c r="AJ65" i="25"/>
  <c r="W65" i="25"/>
  <c r="V65" i="25" s="1"/>
  <c r="I65" i="25"/>
  <c r="H65" i="25" s="1"/>
  <c r="C65" i="25"/>
  <c r="AM64" i="25"/>
  <c r="AL64" i="25"/>
  <c r="AJ64" i="25"/>
  <c r="AJ63" i="25" s="1"/>
  <c r="W64" i="25"/>
  <c r="V64" i="25" s="1"/>
  <c r="P64" i="25"/>
  <c r="O64" i="25" s="1"/>
  <c r="O63" i="25" s="1"/>
  <c r="L64" i="25"/>
  <c r="L63" i="25" s="1"/>
  <c r="K64" i="25"/>
  <c r="I64" i="25" s="1"/>
  <c r="C64" i="25"/>
  <c r="AH63" i="25"/>
  <c r="AG63" i="25"/>
  <c r="AF63" i="25"/>
  <c r="AE63" i="25"/>
  <c r="AD63" i="25"/>
  <c r="AC63" i="25"/>
  <c r="AB63" i="25"/>
  <c r="AA63" i="25"/>
  <c r="Z63" i="25"/>
  <c r="Y63" i="25"/>
  <c r="X63" i="25"/>
  <c r="U63" i="25"/>
  <c r="T63" i="25"/>
  <c r="S63" i="25"/>
  <c r="R63" i="25"/>
  <c r="Q63" i="25"/>
  <c r="P63" i="25"/>
  <c r="N63" i="25"/>
  <c r="M63" i="25"/>
  <c r="J63" i="25"/>
  <c r="G63" i="25"/>
  <c r="F63" i="25"/>
  <c r="E63" i="25"/>
  <c r="D63" i="25"/>
  <c r="AL62" i="25"/>
  <c r="AJ62" i="25"/>
  <c r="Z62" i="25"/>
  <c r="W62" i="25"/>
  <c r="S62" i="25"/>
  <c r="P62" i="25"/>
  <c r="N62" i="25"/>
  <c r="L62" i="25" s="1"/>
  <c r="K62" i="25"/>
  <c r="I62" i="25" s="1"/>
  <c r="G62" i="25"/>
  <c r="AM62" i="25" s="1"/>
  <c r="E62" i="25"/>
  <c r="AK62" i="25" s="1"/>
  <c r="AM61" i="25"/>
  <c r="AL61" i="25"/>
  <c r="AK61" i="25"/>
  <c r="AJ61" i="25"/>
  <c r="Z61" i="25"/>
  <c r="W61" i="25"/>
  <c r="S61" i="25"/>
  <c r="P61" i="25"/>
  <c r="L61" i="25"/>
  <c r="I61" i="25"/>
  <c r="C61" i="25"/>
  <c r="AL60" i="25"/>
  <c r="AK60" i="25"/>
  <c r="AJ60" i="25"/>
  <c r="AB60" i="25"/>
  <c r="AM60" i="25" s="1"/>
  <c r="W60" i="25"/>
  <c r="S60" i="25"/>
  <c r="P60" i="25"/>
  <c r="L60" i="25"/>
  <c r="I60" i="25"/>
  <c r="C60" i="25"/>
  <c r="AL59" i="25"/>
  <c r="AK59" i="25"/>
  <c r="AJ59" i="25"/>
  <c r="Z59" i="25"/>
  <c r="W59" i="25"/>
  <c r="S59" i="25"/>
  <c r="P59" i="25"/>
  <c r="L59" i="25"/>
  <c r="I59" i="25"/>
  <c r="G59" i="25"/>
  <c r="C59" i="25" s="1"/>
  <c r="AL58" i="25"/>
  <c r="AK58" i="25"/>
  <c r="AJ58" i="25"/>
  <c r="Z58" i="25"/>
  <c r="W58" i="25"/>
  <c r="S58" i="25"/>
  <c r="P58" i="25"/>
  <c r="N58" i="25"/>
  <c r="AM58" i="25" s="1"/>
  <c r="I58" i="25"/>
  <c r="C58" i="25"/>
  <c r="AL57" i="25"/>
  <c r="AK57" i="25"/>
  <c r="AJ57" i="25"/>
  <c r="W57" i="25"/>
  <c r="U57" i="25"/>
  <c r="S57" i="25"/>
  <c r="P57" i="25"/>
  <c r="N57" i="25"/>
  <c r="AB57" i="25" s="1"/>
  <c r="I57" i="25"/>
  <c r="C57" i="25"/>
  <c r="AL56" i="25"/>
  <c r="AK56" i="25"/>
  <c r="AJ56" i="25"/>
  <c r="AB56" i="25"/>
  <c r="Z56" i="25" s="1"/>
  <c r="W56" i="25"/>
  <c r="U56" i="25"/>
  <c r="AM56" i="25" s="1"/>
  <c r="P56" i="25"/>
  <c r="L56" i="25"/>
  <c r="I56" i="25"/>
  <c r="C56" i="25"/>
  <c r="AM55" i="25"/>
  <c r="AL55" i="25"/>
  <c r="AJ55" i="25"/>
  <c r="P55" i="25"/>
  <c r="O55" i="25" s="1"/>
  <c r="L55" i="25"/>
  <c r="K55" i="25"/>
  <c r="I55" i="25" s="1"/>
  <c r="E55" i="25"/>
  <c r="C55" i="25"/>
  <c r="AH54" i="25"/>
  <c r="AG54" i="25"/>
  <c r="AF54" i="25"/>
  <c r="AE54" i="25"/>
  <c r="AD54" i="25"/>
  <c r="AC54" i="25"/>
  <c r="AA54" i="25"/>
  <c r="X54" i="25"/>
  <c r="U54" i="25"/>
  <c r="T54" i="25"/>
  <c r="R54" i="25"/>
  <c r="Q54" i="25"/>
  <c r="M54" i="25"/>
  <c r="K54" i="25"/>
  <c r="J54" i="25"/>
  <c r="G54" i="25"/>
  <c r="F54" i="25"/>
  <c r="E54" i="25"/>
  <c r="D54" i="25"/>
  <c r="AL53" i="25"/>
  <c r="AJ53" i="25"/>
  <c r="Z53" i="25"/>
  <c r="W53" i="25"/>
  <c r="S53" i="25"/>
  <c r="P53" i="25"/>
  <c r="N53" i="25"/>
  <c r="L53" i="25"/>
  <c r="K53" i="25"/>
  <c r="I53" i="25"/>
  <c r="H53" i="25" s="1"/>
  <c r="G53" i="25"/>
  <c r="AM53" i="25" s="1"/>
  <c r="E53" i="25"/>
  <c r="AK53" i="25" s="1"/>
  <c r="AM52" i="25"/>
  <c r="AL52" i="25"/>
  <c r="AK52" i="25"/>
  <c r="AJ52" i="25"/>
  <c r="Z52" i="25"/>
  <c r="W52" i="25"/>
  <c r="S52" i="25"/>
  <c r="P52" i="25"/>
  <c r="L52" i="25"/>
  <c r="I52" i="25"/>
  <c r="C52" i="25"/>
  <c r="AL51" i="25"/>
  <c r="AK51" i="25"/>
  <c r="AJ51" i="25"/>
  <c r="Z51" i="25"/>
  <c r="W51" i="25"/>
  <c r="U51" i="25"/>
  <c r="S51" i="25" s="1"/>
  <c r="P51" i="25"/>
  <c r="N51" i="25"/>
  <c r="L51" i="25" s="1"/>
  <c r="I51" i="25"/>
  <c r="C51" i="25"/>
  <c r="AL50" i="25"/>
  <c r="AK50" i="25"/>
  <c r="AJ50" i="25"/>
  <c r="AB50" i="25"/>
  <c r="Z50" i="25" s="1"/>
  <c r="W50" i="25"/>
  <c r="U50" i="25"/>
  <c r="S50" i="25"/>
  <c r="P50" i="25"/>
  <c r="L50" i="25"/>
  <c r="I50" i="25"/>
  <c r="G50" i="25"/>
  <c r="C50" i="25" s="1"/>
  <c r="AL49" i="25"/>
  <c r="AK49" i="25"/>
  <c r="AJ49" i="25"/>
  <c r="Z49" i="25"/>
  <c r="W49" i="25"/>
  <c r="S49" i="25"/>
  <c r="P49" i="25"/>
  <c r="L49" i="25"/>
  <c r="I49" i="25"/>
  <c r="G49" i="25"/>
  <c r="AM49" i="25" s="1"/>
  <c r="AL48" i="25"/>
  <c r="AK48" i="25"/>
  <c r="AJ48" i="25"/>
  <c r="W48" i="25"/>
  <c r="U48" i="25"/>
  <c r="S48" i="25" s="1"/>
  <c r="P48" i="25"/>
  <c r="N48" i="25"/>
  <c r="L48" i="25"/>
  <c r="I48" i="25"/>
  <c r="C48" i="25"/>
  <c r="AL47" i="25"/>
  <c r="AK47" i="25"/>
  <c r="AJ47" i="25"/>
  <c r="Z47" i="25"/>
  <c r="W47" i="25"/>
  <c r="U47" i="25"/>
  <c r="AM47" i="25" s="1"/>
  <c r="P47" i="25"/>
  <c r="L47" i="25"/>
  <c r="I47" i="25"/>
  <c r="C47" i="25"/>
  <c r="AH46" i="25"/>
  <c r="AG46" i="25"/>
  <c r="AF46" i="25"/>
  <c r="AE46" i="25"/>
  <c r="AD46" i="25"/>
  <c r="AC46" i="25"/>
  <c r="AA46" i="25"/>
  <c r="Y46" i="25"/>
  <c r="X46" i="25"/>
  <c r="T46" i="25"/>
  <c r="R46" i="25"/>
  <c r="Q46" i="25"/>
  <c r="M46" i="25"/>
  <c r="K46" i="25"/>
  <c r="J46" i="25"/>
  <c r="G46" i="25"/>
  <c r="F46" i="25"/>
  <c r="E46" i="25"/>
  <c r="D46" i="25"/>
  <c r="AM45" i="25"/>
  <c r="AK45" i="25"/>
  <c r="Z45" i="25"/>
  <c r="V45" i="25" s="1"/>
  <c r="S45" i="25"/>
  <c r="P45" i="25"/>
  <c r="M45" i="25"/>
  <c r="L45" i="25" s="1"/>
  <c r="J45" i="25"/>
  <c r="I45" i="25" s="1"/>
  <c r="F45" i="25"/>
  <c r="AL45" i="25" s="1"/>
  <c r="D45" i="25"/>
  <c r="AJ45" i="25" s="1"/>
  <c r="AM44" i="25"/>
  <c r="AL44" i="25"/>
  <c r="AK44" i="25"/>
  <c r="AJ44" i="25"/>
  <c r="Z44" i="25"/>
  <c r="V44" i="25" s="1"/>
  <c r="S44" i="25"/>
  <c r="P44" i="25"/>
  <c r="L44" i="25"/>
  <c r="I44" i="25"/>
  <c r="C44" i="25"/>
  <c r="AM43" i="25"/>
  <c r="AL43" i="25"/>
  <c r="AK43" i="25"/>
  <c r="Z43" i="25"/>
  <c r="V43" i="25" s="1"/>
  <c r="S43" i="25"/>
  <c r="P43" i="25"/>
  <c r="L43" i="25"/>
  <c r="J43" i="25"/>
  <c r="AJ43" i="25" s="1"/>
  <c r="C43" i="25"/>
  <c r="AM42" i="25"/>
  <c r="AK42" i="25"/>
  <c r="Z42" i="25"/>
  <c r="W42" i="25"/>
  <c r="S42" i="25"/>
  <c r="P42" i="25"/>
  <c r="L42" i="25"/>
  <c r="J42" i="25"/>
  <c r="AJ42" i="25" s="1"/>
  <c r="F42" i="25"/>
  <c r="AL42" i="25" s="1"/>
  <c r="C42" i="25"/>
  <c r="AM41" i="25"/>
  <c r="AK41" i="25"/>
  <c r="Z41" i="25"/>
  <c r="W41" i="25"/>
  <c r="S41" i="25"/>
  <c r="P41" i="25"/>
  <c r="L41" i="25"/>
  <c r="J41" i="25"/>
  <c r="AJ41" i="25" s="1"/>
  <c r="F41" i="25"/>
  <c r="AL41" i="25" s="1"/>
  <c r="C41" i="25"/>
  <c r="AM40" i="25"/>
  <c r="AK40" i="25"/>
  <c r="Z40" i="25"/>
  <c r="V40" i="25" s="1"/>
  <c r="S40" i="25"/>
  <c r="P40" i="25"/>
  <c r="M40" i="25"/>
  <c r="AL40" i="25" s="1"/>
  <c r="J40" i="25"/>
  <c r="AJ40" i="25" s="1"/>
  <c r="C40" i="25"/>
  <c r="AM39" i="25"/>
  <c r="AK39" i="25"/>
  <c r="Z39" i="25"/>
  <c r="V39" i="25" s="1"/>
  <c r="T39" i="25"/>
  <c r="S39" i="25" s="1"/>
  <c r="P39" i="25"/>
  <c r="M39" i="25"/>
  <c r="L39" i="25" s="1"/>
  <c r="J39" i="25"/>
  <c r="I39" i="25" s="1"/>
  <c r="C39" i="25"/>
  <c r="AH38" i="25"/>
  <c r="AG38" i="25"/>
  <c r="AF38" i="25"/>
  <c r="AE38" i="25"/>
  <c r="AD38" i="25"/>
  <c r="AC38" i="25"/>
  <c r="AB38" i="25"/>
  <c r="AA38" i="25"/>
  <c r="Y38" i="25"/>
  <c r="X38" i="25"/>
  <c r="X37" i="25" s="1"/>
  <c r="U38" i="25"/>
  <c r="T38" i="25"/>
  <c r="R38" i="25"/>
  <c r="Q38" i="25"/>
  <c r="N38" i="25"/>
  <c r="K38" i="25"/>
  <c r="G38" i="25"/>
  <c r="F38" i="25"/>
  <c r="E38" i="25"/>
  <c r="D38" i="25"/>
  <c r="AF35" i="25"/>
  <c r="AC35" i="25"/>
  <c r="Z35" i="25"/>
  <c r="W35" i="25"/>
  <c r="P35" i="25"/>
  <c r="O35" i="25" s="1"/>
  <c r="N35" i="25"/>
  <c r="AM35" i="25" s="1"/>
  <c r="M35" i="25"/>
  <c r="K35" i="25"/>
  <c r="J35" i="25"/>
  <c r="I35" i="25"/>
  <c r="E35" i="25"/>
  <c r="D35" i="25"/>
  <c r="C35" i="25" s="1"/>
  <c r="AM34" i="25"/>
  <c r="AL34" i="25"/>
  <c r="AK34" i="25"/>
  <c r="AJ34" i="25"/>
  <c r="W34" i="25"/>
  <c r="V34" i="25" s="1"/>
  <c r="P34" i="25"/>
  <c r="O34" i="25" s="1"/>
  <c r="I34" i="25"/>
  <c r="H34" i="25" s="1"/>
  <c r="C34" i="25"/>
  <c r="AM33" i="25"/>
  <c r="AL33" i="25"/>
  <c r="AK33" i="25"/>
  <c r="AJ33" i="25"/>
  <c r="W33" i="25"/>
  <c r="V33" i="25" s="1"/>
  <c r="P33" i="25"/>
  <c r="O33" i="25" s="1"/>
  <c r="I33" i="25"/>
  <c r="H33" i="25" s="1"/>
  <c r="C33" i="25"/>
  <c r="AM32" i="25"/>
  <c r="AL32" i="25"/>
  <c r="AJ32" i="25"/>
  <c r="W32" i="25"/>
  <c r="V32" i="25" s="1"/>
  <c r="P32" i="25"/>
  <c r="O32" i="25" s="1"/>
  <c r="K32" i="25"/>
  <c r="I32" i="25" s="1"/>
  <c r="H32" i="25" s="1"/>
  <c r="C32" i="25"/>
  <c r="AM31" i="25"/>
  <c r="AL31" i="25"/>
  <c r="AJ31" i="25"/>
  <c r="W31" i="25"/>
  <c r="V31" i="25" s="1"/>
  <c r="R31" i="25"/>
  <c r="P31" i="25"/>
  <c r="O31" i="25" s="1"/>
  <c r="K31" i="25"/>
  <c r="I31" i="25" s="1"/>
  <c r="H31" i="25" s="1"/>
  <c r="C31" i="25"/>
  <c r="AM30" i="25"/>
  <c r="AL30" i="25"/>
  <c r="AJ30" i="25"/>
  <c r="W30" i="25"/>
  <c r="V30" i="25" s="1"/>
  <c r="R30" i="25"/>
  <c r="AK30" i="25" s="1"/>
  <c r="I30" i="25"/>
  <c r="H30" i="25" s="1"/>
  <c r="C30" i="25"/>
  <c r="AL29" i="25"/>
  <c r="AK29" i="25"/>
  <c r="AJ29" i="25"/>
  <c r="W29" i="25"/>
  <c r="V29" i="25" s="1"/>
  <c r="P29" i="25"/>
  <c r="O29" i="25" s="1"/>
  <c r="I29" i="25"/>
  <c r="H29" i="25" s="1"/>
  <c r="C29" i="25"/>
  <c r="AM28" i="25"/>
  <c r="AL28" i="25"/>
  <c r="AJ28" i="25"/>
  <c r="K28" i="25"/>
  <c r="R28" i="25" s="1"/>
  <c r="E28" i="25"/>
  <c r="C28" i="25" s="1"/>
  <c r="AM27" i="25"/>
  <c r="AL27" i="25"/>
  <c r="AJ27" i="25"/>
  <c r="AC27" i="25"/>
  <c r="Z27" i="25"/>
  <c r="W27" i="25"/>
  <c r="P27" i="25"/>
  <c r="O27" i="25" s="1"/>
  <c r="K27" i="25"/>
  <c r="I27" i="25" s="1"/>
  <c r="H27" i="25" s="1"/>
  <c r="C27" i="25"/>
  <c r="AK26" i="25"/>
  <c r="AJ26" i="25"/>
  <c r="AC26" i="25"/>
  <c r="Z26" i="25"/>
  <c r="W26" i="25"/>
  <c r="T26" i="25"/>
  <c r="S26" i="25" s="1"/>
  <c r="O26" i="25" s="1"/>
  <c r="N26" i="25"/>
  <c r="M26" i="25"/>
  <c r="L26" i="25"/>
  <c r="I26" i="25"/>
  <c r="G26" i="25"/>
  <c r="F26" i="25"/>
  <c r="AK25" i="25"/>
  <c r="AJ25" i="25"/>
  <c r="AC25" i="25"/>
  <c r="Z25" i="25"/>
  <c r="W25" i="25"/>
  <c r="T25" i="25"/>
  <c r="N25" i="25"/>
  <c r="M25" i="25"/>
  <c r="L25" i="25" s="1"/>
  <c r="I25" i="25"/>
  <c r="C25" i="25"/>
  <c r="AM24" i="25"/>
  <c r="AL24" i="25"/>
  <c r="AK24" i="25"/>
  <c r="AJ24" i="25"/>
  <c r="AC24" i="25"/>
  <c r="Z24" i="25"/>
  <c r="W24" i="25"/>
  <c r="S24" i="25"/>
  <c r="O24" i="25" s="1"/>
  <c r="L24" i="25"/>
  <c r="I24" i="25"/>
  <c r="C24" i="25"/>
  <c r="AK23" i="25"/>
  <c r="AJ23" i="25"/>
  <c r="AF23" i="25"/>
  <c r="AC23" i="25"/>
  <c r="Z23" i="25"/>
  <c r="W23" i="25"/>
  <c r="S23" i="25"/>
  <c r="O23" i="25" s="1"/>
  <c r="M23" i="25"/>
  <c r="L23" i="25" s="1"/>
  <c r="I23" i="25"/>
  <c r="G23" i="25"/>
  <c r="AM23" i="25" s="1"/>
  <c r="F23" i="25"/>
  <c r="C23" i="25" s="1"/>
  <c r="AK22" i="25"/>
  <c r="AJ22" i="25"/>
  <c r="AF22" i="25"/>
  <c r="AC22" i="25"/>
  <c r="AB22" i="25"/>
  <c r="Z22" i="25" s="1"/>
  <c r="W22" i="25"/>
  <c r="U22" i="25"/>
  <c r="T22" i="25"/>
  <c r="S22" i="25"/>
  <c r="O22" i="25" s="1"/>
  <c r="N22" i="25"/>
  <c r="M22" i="25"/>
  <c r="AL22" i="25" s="1"/>
  <c r="I22" i="25"/>
  <c r="C22" i="25"/>
  <c r="AK21" i="25"/>
  <c r="AJ21" i="25"/>
  <c r="AF21" i="25"/>
  <c r="AC21" i="25"/>
  <c r="Z21" i="25"/>
  <c r="W21" i="25"/>
  <c r="U21" i="25"/>
  <c r="T21" i="25"/>
  <c r="P21" i="25"/>
  <c r="M21" i="25"/>
  <c r="L21" i="25" s="1"/>
  <c r="I21" i="25"/>
  <c r="G21" i="25"/>
  <c r="F21" i="25"/>
  <c r="C21" i="25" s="1"/>
  <c r="AK20" i="25"/>
  <c r="AJ20" i="25"/>
  <c r="AF20" i="25"/>
  <c r="AC20" i="25"/>
  <c r="W20" i="25"/>
  <c r="T20" i="25"/>
  <c r="S20" i="25" s="1"/>
  <c r="P20" i="25"/>
  <c r="M20" i="25"/>
  <c r="L20" i="25"/>
  <c r="I20" i="25"/>
  <c r="G20" i="25"/>
  <c r="AM20" i="25" s="1"/>
  <c r="F20" i="25"/>
  <c r="AK19" i="25"/>
  <c r="AJ19" i="25"/>
  <c r="AF19" i="25"/>
  <c r="AC19" i="25"/>
  <c r="Z19" i="25"/>
  <c r="W19" i="25"/>
  <c r="U19" i="25"/>
  <c r="T19" i="25"/>
  <c r="M19" i="25"/>
  <c r="L19" i="25" s="1"/>
  <c r="I19" i="25"/>
  <c r="G19" i="25"/>
  <c r="F19" i="25"/>
  <c r="C19" i="25" s="1"/>
  <c r="AK18" i="25"/>
  <c r="AF18" i="25"/>
  <c r="AC18" i="25"/>
  <c r="AB18" i="25"/>
  <c r="Z18" i="25" s="1"/>
  <c r="W18" i="25"/>
  <c r="U18" i="25"/>
  <c r="T18" i="25"/>
  <c r="S18" i="25"/>
  <c r="M18" i="25"/>
  <c r="L18" i="25" s="1"/>
  <c r="I18" i="25"/>
  <c r="G18" i="25"/>
  <c r="D18" i="25"/>
  <c r="Q18" i="25" s="1"/>
  <c r="AK17" i="25"/>
  <c r="AF17" i="25"/>
  <c r="AC17" i="25"/>
  <c r="AB17" i="25"/>
  <c r="AA17" i="25"/>
  <c r="Z17" i="25" s="1"/>
  <c r="W17" i="25"/>
  <c r="U17" i="25"/>
  <c r="T17" i="25"/>
  <c r="S17" i="25"/>
  <c r="M17" i="25"/>
  <c r="I17" i="25"/>
  <c r="D17" i="25"/>
  <c r="AH16" i="25"/>
  <c r="AG16" i="25"/>
  <c r="AE16" i="25"/>
  <c r="AD16" i="25"/>
  <c r="AB16" i="25"/>
  <c r="X16" i="25"/>
  <c r="T16" i="25"/>
  <c r="N16" i="25"/>
  <c r="J16" i="25"/>
  <c r="F16" i="25"/>
  <c r="D16" i="25"/>
  <c r="AE145" i="25" l="1"/>
  <c r="AE144" i="25" s="1"/>
  <c r="AE143" i="25" s="1"/>
  <c r="U198" i="25"/>
  <c r="O203" i="25"/>
  <c r="U290" i="25"/>
  <c r="H419" i="25"/>
  <c r="O672" i="25"/>
  <c r="O671" i="25" s="1"/>
  <c r="AK673" i="25"/>
  <c r="AM673" i="25"/>
  <c r="AL25" i="25"/>
  <c r="AM26" i="25"/>
  <c r="AK27" i="25"/>
  <c r="Y28" i="25"/>
  <c r="W28" i="25" s="1"/>
  <c r="V28" i="25" s="1"/>
  <c r="AK32" i="25"/>
  <c r="AJ35" i="25"/>
  <c r="AB94" i="25"/>
  <c r="Z94" i="25" s="1"/>
  <c r="AM99" i="25"/>
  <c r="S121" i="25"/>
  <c r="C124" i="25"/>
  <c r="C129" i="25"/>
  <c r="K130" i="25"/>
  <c r="I131" i="25"/>
  <c r="C137" i="25"/>
  <c r="C142" i="25"/>
  <c r="P167" i="25"/>
  <c r="O167" i="25" s="1"/>
  <c r="P171" i="25"/>
  <c r="O171" i="25" s="1"/>
  <c r="O206" i="25"/>
  <c r="L250" i="25"/>
  <c r="L253" i="25"/>
  <c r="L254" i="25"/>
  <c r="L269" i="25"/>
  <c r="H269" i="25" s="1"/>
  <c r="AM295" i="25"/>
  <c r="C575" i="25"/>
  <c r="AL17" i="25"/>
  <c r="C18" i="25"/>
  <c r="AM18" i="25"/>
  <c r="AM19" i="25"/>
  <c r="S19" i="25"/>
  <c r="O19" i="25" s="1"/>
  <c r="AM21" i="25"/>
  <c r="S21" i="25"/>
  <c r="L22" i="25"/>
  <c r="AM22" i="25"/>
  <c r="AL26" i="25"/>
  <c r="AI26" i="25" s="1"/>
  <c r="AK35" i="25"/>
  <c r="L35" i="25"/>
  <c r="H35" i="25" s="1"/>
  <c r="J38" i="25"/>
  <c r="I43" i="25"/>
  <c r="H43" i="25" s="1"/>
  <c r="U46" i="25"/>
  <c r="S47" i="25"/>
  <c r="AB48" i="25"/>
  <c r="C49" i="25"/>
  <c r="C53" i="25"/>
  <c r="AK55" i="25"/>
  <c r="AI55" i="25" s="1"/>
  <c r="Y55" i="25"/>
  <c r="W55" i="25" s="1"/>
  <c r="L57" i="25"/>
  <c r="AL72" i="25"/>
  <c r="C94" i="25"/>
  <c r="L100" i="25"/>
  <c r="AM109" i="25"/>
  <c r="C182" i="25"/>
  <c r="P184" i="25"/>
  <c r="O184" i="25" s="1"/>
  <c r="G397" i="25"/>
  <c r="AM415" i="25"/>
  <c r="AK419" i="25"/>
  <c r="AK425" i="25"/>
  <c r="AM479" i="25"/>
  <c r="AM485" i="25"/>
  <c r="AK577" i="25"/>
  <c r="AM674" i="25"/>
  <c r="C306" i="25"/>
  <c r="C314" i="25"/>
  <c r="L321" i="25"/>
  <c r="H321" i="25" s="1"/>
  <c r="L322" i="25"/>
  <c r="K328" i="25"/>
  <c r="AK329" i="25"/>
  <c r="C338" i="25"/>
  <c r="C339" i="25"/>
  <c r="AK341" i="25"/>
  <c r="C362" i="25"/>
  <c r="C365" i="25"/>
  <c r="C388" i="25"/>
  <c r="AM391" i="25"/>
  <c r="AM395" i="25"/>
  <c r="G408" i="25"/>
  <c r="C409" i="25"/>
  <c r="S413" i="25"/>
  <c r="I422" i="25"/>
  <c r="H422" i="25" s="1"/>
  <c r="I423" i="25"/>
  <c r="H423" i="25" s="1"/>
  <c r="I435" i="25"/>
  <c r="H435" i="25" s="1"/>
  <c r="I441" i="25"/>
  <c r="I464" i="25"/>
  <c r="H464" i="25" s="1"/>
  <c r="AM473" i="25"/>
  <c r="C476" i="25"/>
  <c r="AM487" i="25"/>
  <c r="K490" i="25"/>
  <c r="I491" i="25"/>
  <c r="H491" i="25" s="1"/>
  <c r="K494" i="25"/>
  <c r="I495" i="25"/>
  <c r="AK496" i="25"/>
  <c r="P518" i="25"/>
  <c r="O518" i="25" s="1"/>
  <c r="AM544" i="25"/>
  <c r="C551" i="25"/>
  <c r="E552" i="25"/>
  <c r="E575" i="25"/>
  <c r="AK580" i="25"/>
  <c r="I590" i="25"/>
  <c r="H590" i="25" s="1"/>
  <c r="P594" i="25"/>
  <c r="L600" i="25"/>
  <c r="K647" i="25"/>
  <c r="AF66" i="25"/>
  <c r="V92" i="25"/>
  <c r="C199" i="25"/>
  <c r="H254" i="25"/>
  <c r="H266" i="25"/>
  <c r="O147" i="25"/>
  <c r="AF146" i="25"/>
  <c r="O149" i="25"/>
  <c r="Q162" i="25"/>
  <c r="Q161" i="25" s="1"/>
  <c r="V246" i="25"/>
  <c r="AC245" i="25"/>
  <c r="AC244" i="25" s="1"/>
  <c r="V248" i="25"/>
  <c r="H265" i="25"/>
  <c r="AI266" i="25"/>
  <c r="W665" i="25"/>
  <c r="AI148" i="25"/>
  <c r="H151" i="25"/>
  <c r="AI201" i="25"/>
  <c r="AK199" i="25"/>
  <c r="AI207" i="25"/>
  <c r="AI208" i="25"/>
  <c r="AO208" i="25" s="1"/>
  <c r="AI209" i="25"/>
  <c r="R37" i="25"/>
  <c r="O75" i="25"/>
  <c r="AI124" i="25"/>
  <c r="M145" i="25"/>
  <c r="M144" i="25" s="1"/>
  <c r="M143" i="25" s="1"/>
  <c r="Q145" i="25"/>
  <c r="Q144" i="25" s="1"/>
  <c r="Q143" i="25" s="1"/>
  <c r="AA145" i="25"/>
  <c r="AA144" i="25" s="1"/>
  <c r="AA143" i="25" s="1"/>
  <c r="H147" i="25"/>
  <c r="O148" i="25"/>
  <c r="H149" i="25"/>
  <c r="O150" i="25"/>
  <c r="AI151" i="25"/>
  <c r="G145" i="25"/>
  <c r="G144" i="25" s="1"/>
  <c r="G143" i="25" s="1"/>
  <c r="H159" i="25"/>
  <c r="H157" i="25" s="1"/>
  <c r="V252" i="25"/>
  <c r="H253" i="25"/>
  <c r="V253" i="25"/>
  <c r="V255" i="25"/>
  <c r="AI255" i="25"/>
  <c r="AI258" i="25"/>
  <c r="H261" i="25"/>
  <c r="V263" i="25"/>
  <c r="V265" i="25"/>
  <c r="H270" i="25"/>
  <c r="V238" i="25"/>
  <c r="AM240" i="25"/>
  <c r="Z245" i="25"/>
  <c r="Z244" i="25" s="1"/>
  <c r="AF245" i="25"/>
  <c r="AF244" i="25" s="1"/>
  <c r="V249" i="25"/>
  <c r="V250" i="25"/>
  <c r="AI405" i="25"/>
  <c r="AI428" i="25"/>
  <c r="O436" i="25"/>
  <c r="H445" i="25"/>
  <c r="O446" i="25"/>
  <c r="O448" i="25"/>
  <c r="AI448" i="25"/>
  <c r="AI452" i="25"/>
  <c r="AI453" i="25"/>
  <c r="AI454" i="25"/>
  <c r="AI455" i="25"/>
  <c r="AI456" i="25"/>
  <c r="AI457" i="25"/>
  <c r="O487" i="25"/>
  <c r="O488" i="25"/>
  <c r="V277" i="25"/>
  <c r="H279" i="25"/>
  <c r="H313" i="25"/>
  <c r="O596" i="25"/>
  <c r="AJ595" i="25"/>
  <c r="C607" i="25"/>
  <c r="AM607" i="25"/>
  <c r="AL638" i="25"/>
  <c r="AI644" i="25"/>
  <c r="AI649" i="25"/>
  <c r="V666" i="25"/>
  <c r="AC665" i="25"/>
  <c r="AI123" i="25"/>
  <c r="AG198" i="25"/>
  <c r="AG160" i="25" s="1"/>
  <c r="H596" i="25"/>
  <c r="Y145" i="25"/>
  <c r="Y144" i="25" s="1"/>
  <c r="Y143" i="25" s="1"/>
  <c r="C245" i="25"/>
  <c r="C244" i="25" s="1"/>
  <c r="H248" i="25"/>
  <c r="S248" i="25"/>
  <c r="O248" i="25" s="1"/>
  <c r="AI268" i="25"/>
  <c r="AF307" i="25"/>
  <c r="V668" i="25"/>
  <c r="H237" i="25"/>
  <c r="H236" i="25" s="1"/>
  <c r="I236" i="25"/>
  <c r="V237" i="25"/>
  <c r="W236" i="25"/>
  <c r="Y243" i="25"/>
  <c r="Y235" i="25" s="1"/>
  <c r="C647" i="25"/>
  <c r="V50" i="25"/>
  <c r="AI71" i="25"/>
  <c r="AI72" i="25"/>
  <c r="O72" i="25"/>
  <c r="O73" i="25"/>
  <c r="H74" i="25"/>
  <c r="O74" i="25"/>
  <c r="V74" i="25"/>
  <c r="H75" i="25"/>
  <c r="V76" i="25"/>
  <c r="AI76" i="25"/>
  <c r="V78" i="25"/>
  <c r="AJ79" i="25"/>
  <c r="O83" i="25"/>
  <c r="H84" i="25"/>
  <c r="H86" i="25"/>
  <c r="H89" i="25"/>
  <c r="H90" i="25"/>
  <c r="O90" i="25"/>
  <c r="AJ91" i="25"/>
  <c r="AL91" i="25"/>
  <c r="W91" i="25"/>
  <c r="H94" i="25"/>
  <c r="H95" i="25"/>
  <c r="O96" i="25"/>
  <c r="V96" i="25"/>
  <c r="AI96" i="25"/>
  <c r="AK104" i="25"/>
  <c r="P104" i="25"/>
  <c r="X66" i="25"/>
  <c r="AB106" i="25"/>
  <c r="AI110" i="25"/>
  <c r="H113" i="25"/>
  <c r="C116" i="25"/>
  <c r="L116" i="25"/>
  <c r="AM132" i="25"/>
  <c r="U130" i="25"/>
  <c r="E198" i="25"/>
  <c r="AK238" i="25"/>
  <c r="AK236" i="25" s="1"/>
  <c r="P238" i="25"/>
  <c r="O238" i="25" s="1"/>
  <c r="O236" i="25" s="1"/>
  <c r="R236" i="25"/>
  <c r="AM356" i="25"/>
  <c r="AI356" i="25" s="1"/>
  <c r="S356" i="25"/>
  <c r="O356" i="25" s="1"/>
  <c r="Z356" i="25"/>
  <c r="Z355" i="25" s="1"/>
  <c r="AB355" i="25"/>
  <c r="AM357" i="25"/>
  <c r="S357" i="25"/>
  <c r="O357" i="25" s="1"/>
  <c r="H499" i="25"/>
  <c r="H497" i="25" s="1"/>
  <c r="I497" i="25"/>
  <c r="H122" i="25"/>
  <c r="V122" i="25"/>
  <c r="O123" i="25"/>
  <c r="V123" i="25"/>
  <c r="O124" i="25"/>
  <c r="V124" i="25"/>
  <c r="V125" i="25"/>
  <c r="H126" i="25"/>
  <c r="O126" i="25"/>
  <c r="V126" i="25"/>
  <c r="W130" i="25"/>
  <c r="AE161" i="25"/>
  <c r="Y161" i="25"/>
  <c r="D216" i="25"/>
  <c r="F216" i="25"/>
  <c r="N216" i="25"/>
  <c r="X216" i="25"/>
  <c r="Z216" i="25"/>
  <c r="AB216" i="25"/>
  <c r="H218" i="25"/>
  <c r="H217" i="25" s="1"/>
  <c r="AF216" i="25"/>
  <c r="AI239" i="25"/>
  <c r="AK240" i="25"/>
  <c r="AI242" i="25"/>
  <c r="AO242" i="25" s="1"/>
  <c r="AI354" i="25"/>
  <c r="H356" i="25"/>
  <c r="H357" i="25"/>
  <c r="O383" i="25"/>
  <c r="O386" i="25"/>
  <c r="Z490" i="25"/>
  <c r="AF490" i="25"/>
  <c r="O493" i="25"/>
  <c r="AJ490" i="25"/>
  <c r="C494" i="25"/>
  <c r="AK494" i="25"/>
  <c r="AI496" i="25"/>
  <c r="AI501" i="25"/>
  <c r="H522" i="25"/>
  <c r="AI528" i="25"/>
  <c r="AI544" i="25"/>
  <c r="V549" i="25"/>
  <c r="V551" i="25"/>
  <c r="O564" i="25"/>
  <c r="O565" i="25"/>
  <c r="AL569" i="25"/>
  <c r="AI582" i="25"/>
  <c r="H584" i="25"/>
  <c r="AI589" i="25"/>
  <c r="O600" i="25"/>
  <c r="H602" i="25"/>
  <c r="O603" i="25"/>
  <c r="AI603" i="25"/>
  <c r="AI606" i="25"/>
  <c r="H620" i="25"/>
  <c r="AF618" i="25"/>
  <c r="C627" i="25"/>
  <c r="AI629" i="25"/>
  <c r="AK274" i="25"/>
  <c r="R273" i="25"/>
  <c r="O329" i="25"/>
  <c r="P328" i="25"/>
  <c r="H101" i="18" s="1"/>
  <c r="V329" i="25"/>
  <c r="W328" i="25"/>
  <c r="H19" i="25"/>
  <c r="H22" i="25"/>
  <c r="V23" i="25"/>
  <c r="O52" i="25"/>
  <c r="AF37" i="25"/>
  <c r="AF36" i="25" s="1"/>
  <c r="V58" i="25"/>
  <c r="O60" i="25"/>
  <c r="V61" i="25"/>
  <c r="V62" i="25"/>
  <c r="AL63" i="25"/>
  <c r="O80" i="25"/>
  <c r="H108" i="25"/>
  <c r="V112" i="25"/>
  <c r="AI136" i="25"/>
  <c r="S153" i="25"/>
  <c r="I153" i="25"/>
  <c r="O156" i="25"/>
  <c r="V171" i="25"/>
  <c r="V173" i="25"/>
  <c r="N161" i="25"/>
  <c r="AD161" i="25"/>
  <c r="H188" i="25"/>
  <c r="G198" i="25"/>
  <c r="W199" i="25"/>
  <c r="O211" i="25"/>
  <c r="AM210" i="25"/>
  <c r="AM205" i="25" s="1"/>
  <c r="I221" i="25"/>
  <c r="M243" i="25"/>
  <c r="M235" i="25" s="1"/>
  <c r="S322" i="25"/>
  <c r="O322" i="25" s="1"/>
  <c r="U317" i="25"/>
  <c r="V492" i="25"/>
  <c r="W490" i="25"/>
  <c r="W642" i="25"/>
  <c r="O644" i="25"/>
  <c r="P642" i="25"/>
  <c r="H649" i="25"/>
  <c r="I647" i="25"/>
  <c r="AI225" i="25"/>
  <c r="H278" i="25"/>
  <c r="C276" i="25"/>
  <c r="AI279" i="25"/>
  <c r="P276" i="25"/>
  <c r="AI281" i="25"/>
  <c r="V282" i="25"/>
  <c r="H283" i="25"/>
  <c r="V284" i="25"/>
  <c r="W290" i="25"/>
  <c r="AC290" i="25"/>
  <c r="V303" i="25"/>
  <c r="AI304" i="25"/>
  <c r="AI305" i="25"/>
  <c r="Z307" i="25"/>
  <c r="AI309" i="25"/>
  <c r="AI310" i="25"/>
  <c r="AI313" i="25"/>
  <c r="V316" i="25"/>
  <c r="AI327" i="25"/>
  <c r="AL325" i="25"/>
  <c r="H351" i="25"/>
  <c r="H353" i="25"/>
  <c r="H354" i="25"/>
  <c r="O354" i="25"/>
  <c r="H365" i="25"/>
  <c r="H384" i="25"/>
  <c r="O387" i="25"/>
  <c r="AC385" i="25"/>
  <c r="AI393" i="25"/>
  <c r="O395" i="25"/>
  <c r="V396" i="25"/>
  <c r="AI401" i="25"/>
  <c r="O404" i="25"/>
  <c r="AI404" i="25"/>
  <c r="O405" i="25"/>
  <c r="AO405" i="25" s="1"/>
  <c r="H406" i="25"/>
  <c r="O406" i="25"/>
  <c r="AI406" i="25"/>
  <c r="H412" i="25"/>
  <c r="AI416" i="25"/>
  <c r="O429" i="25"/>
  <c r="O468" i="25"/>
  <c r="AI473" i="25"/>
  <c r="V475" i="25"/>
  <c r="O478" i="25"/>
  <c r="H481" i="25"/>
  <c r="AI487" i="25"/>
  <c r="AI492" i="25"/>
  <c r="O495" i="25"/>
  <c r="V496" i="25"/>
  <c r="C497" i="25"/>
  <c r="AI513" i="25"/>
  <c r="H542" i="25"/>
  <c r="H564" i="25"/>
  <c r="AI564" i="25"/>
  <c r="H566" i="25"/>
  <c r="O583" i="25"/>
  <c r="H617" i="25"/>
  <c r="O628" i="25"/>
  <c r="AC627" i="25"/>
  <c r="O630" i="25"/>
  <c r="O655" i="25"/>
  <c r="T216" i="25"/>
  <c r="P384" i="25"/>
  <c r="O384" i="25" s="1"/>
  <c r="R372" i="25"/>
  <c r="W385" i="25"/>
  <c r="AM387" i="25"/>
  <c r="Z387" i="25"/>
  <c r="AK465" i="25"/>
  <c r="R463" i="25"/>
  <c r="H536" i="25"/>
  <c r="H535" i="25" s="1"/>
  <c r="I535" i="25"/>
  <c r="O573" i="25"/>
  <c r="O572" i="25" s="1"/>
  <c r="P572" i="25"/>
  <c r="H146" i="18" s="1"/>
  <c r="AM620" i="25"/>
  <c r="S620" i="25"/>
  <c r="O620" i="25" s="1"/>
  <c r="V21" i="25"/>
  <c r="H24" i="25"/>
  <c r="V26" i="25"/>
  <c r="AI27" i="25"/>
  <c r="AK38" i="25"/>
  <c r="X36" i="25"/>
  <c r="X15" i="25" s="1"/>
  <c r="Z38" i="25"/>
  <c r="AD37" i="25"/>
  <c r="AH37" i="25"/>
  <c r="O39" i="25"/>
  <c r="O40" i="25"/>
  <c r="AI41" i="25"/>
  <c r="I46" i="25"/>
  <c r="O47" i="25"/>
  <c r="O48" i="25"/>
  <c r="O50" i="25"/>
  <c r="H51" i="25"/>
  <c r="O51" i="25"/>
  <c r="V51" i="25"/>
  <c r="H52" i="25"/>
  <c r="O53" i="25"/>
  <c r="V53" i="25"/>
  <c r="H56" i="25"/>
  <c r="H57" i="25"/>
  <c r="AJ67" i="25"/>
  <c r="F66" i="25"/>
  <c r="J66" i="25"/>
  <c r="R66" i="25"/>
  <c r="AD66" i="25"/>
  <c r="AH66" i="25"/>
  <c r="H69" i="25"/>
  <c r="O69" i="25"/>
  <c r="V69" i="25"/>
  <c r="H80" i="25"/>
  <c r="O97" i="25"/>
  <c r="O99" i="25"/>
  <c r="H100" i="25"/>
  <c r="V100" i="25"/>
  <c r="H101" i="25"/>
  <c r="V101" i="25"/>
  <c r="H102" i="25"/>
  <c r="V102" i="25"/>
  <c r="AL104" i="25"/>
  <c r="V107" i="25"/>
  <c r="H109" i="25"/>
  <c r="O110" i="25"/>
  <c r="V110" i="25"/>
  <c r="H111" i="25"/>
  <c r="V111" i="25"/>
  <c r="H112" i="25"/>
  <c r="O112" i="25"/>
  <c r="U116" i="25"/>
  <c r="AL116" i="25"/>
  <c r="H119" i="25"/>
  <c r="V127" i="25"/>
  <c r="H128" i="25"/>
  <c r="AB130" i="25"/>
  <c r="O131" i="25"/>
  <c r="H134" i="25"/>
  <c r="O136" i="25"/>
  <c r="V136" i="25"/>
  <c r="O137" i="25"/>
  <c r="H141" i="25"/>
  <c r="AI155" i="25"/>
  <c r="I157" i="25"/>
  <c r="W157" i="25"/>
  <c r="AI163" i="25"/>
  <c r="AI165" i="25"/>
  <c r="V172" i="25"/>
  <c r="V184" i="25"/>
  <c r="M161" i="25"/>
  <c r="T186" i="25"/>
  <c r="T162" i="25" s="1"/>
  <c r="T161" i="25" s="1"/>
  <c r="AB161" i="25"/>
  <c r="AH161" i="25"/>
  <c r="H187" i="25"/>
  <c r="AM186" i="25"/>
  <c r="V195" i="25"/>
  <c r="AI196" i="25"/>
  <c r="V197" i="25"/>
  <c r="M198" i="25"/>
  <c r="S210" i="25"/>
  <c r="S205" i="25" s="1"/>
  <c r="AL210" i="25"/>
  <c r="AL205" i="25" s="1"/>
  <c r="AI218" i="25"/>
  <c r="AI222" i="25"/>
  <c r="AI224" i="25"/>
  <c r="AO224" i="25" s="1"/>
  <c r="G243" i="25"/>
  <c r="U245" i="25"/>
  <c r="U244" i="25" s="1"/>
  <c r="AI257" i="25"/>
  <c r="AO257" i="25" s="1"/>
  <c r="AK276" i="25"/>
  <c r="AC276" i="25"/>
  <c r="AJ307" i="25"/>
  <c r="O313" i="25"/>
  <c r="P312" i="25"/>
  <c r="AF312" i="25"/>
  <c r="W355" i="25"/>
  <c r="AM386" i="25"/>
  <c r="AI386" i="25" s="1"/>
  <c r="Z386" i="25"/>
  <c r="V386" i="25" s="1"/>
  <c r="V387" i="25"/>
  <c r="AI387" i="25"/>
  <c r="AC490" i="25"/>
  <c r="AL494" i="25"/>
  <c r="H271" i="25"/>
  <c r="V272" i="25"/>
  <c r="Z276" i="25"/>
  <c r="AF276" i="25"/>
  <c r="V279" i="25"/>
  <c r="H280" i="25"/>
  <c r="AI288" i="25"/>
  <c r="V289" i="25"/>
  <c r="AI289" i="25"/>
  <c r="H291" i="25"/>
  <c r="V291" i="25"/>
  <c r="V293" i="25"/>
  <c r="V294" i="25"/>
  <c r="H304" i="25"/>
  <c r="O309" i="25"/>
  <c r="V309" i="25"/>
  <c r="H310" i="25"/>
  <c r="AO310" i="25" s="1"/>
  <c r="L312" i="25"/>
  <c r="V313" i="25"/>
  <c r="AC312" i="25"/>
  <c r="AI324" i="25"/>
  <c r="AO324" i="25" s="1"/>
  <c r="V327" i="25"/>
  <c r="AI336" i="25"/>
  <c r="AO336" i="25" s="1"/>
  <c r="O340" i="25"/>
  <c r="V342" i="25"/>
  <c r="AK343" i="25"/>
  <c r="H344" i="25"/>
  <c r="H343" i="25" s="1"/>
  <c r="AK345" i="25"/>
  <c r="AI346" i="25"/>
  <c r="AI347" i="25"/>
  <c r="AI348" i="25"/>
  <c r="AI349" i="25"/>
  <c r="O350" i="25"/>
  <c r="H363" i="25"/>
  <c r="AI363" i="25"/>
  <c r="C372" i="25"/>
  <c r="H375" i="25"/>
  <c r="V376" i="25"/>
  <c r="V378" i="25"/>
  <c r="V379" i="25"/>
  <c r="H381" i="25"/>
  <c r="V382" i="25"/>
  <c r="H386" i="25"/>
  <c r="H387" i="25"/>
  <c r="O388" i="25"/>
  <c r="V390" i="25"/>
  <c r="O391" i="25"/>
  <c r="H395" i="25"/>
  <c r="V395" i="25"/>
  <c r="AI399" i="25"/>
  <c r="O402" i="25"/>
  <c r="H409" i="25"/>
  <c r="AF408" i="25"/>
  <c r="O414" i="25"/>
  <c r="V414" i="25"/>
  <c r="V417" i="25"/>
  <c r="AI419" i="25"/>
  <c r="O425" i="25"/>
  <c r="AI425" i="25"/>
  <c r="O427" i="25"/>
  <c r="AI427" i="25"/>
  <c r="O428" i="25"/>
  <c r="AO428" i="25" s="1"/>
  <c r="O433" i="25"/>
  <c r="O435" i="25"/>
  <c r="H440" i="25"/>
  <c r="AI440" i="25"/>
  <c r="O443" i="25"/>
  <c r="AI450" i="25"/>
  <c r="AI458" i="25"/>
  <c r="H460" i="25"/>
  <c r="H461" i="25"/>
  <c r="V470" i="25"/>
  <c r="O472" i="25"/>
  <c r="H479" i="25"/>
  <c r="H482" i="25"/>
  <c r="O485" i="25"/>
  <c r="AI485" i="25"/>
  <c r="H486" i="25"/>
  <c r="H487" i="25"/>
  <c r="H488" i="25"/>
  <c r="C490" i="25"/>
  <c r="S490" i="25"/>
  <c r="AL490" i="25"/>
  <c r="O492" i="25"/>
  <c r="AM490" i="25"/>
  <c r="S494" i="25"/>
  <c r="AK497" i="25"/>
  <c r="O499" i="25"/>
  <c r="AI499" i="25"/>
  <c r="O501" i="25"/>
  <c r="AJ500" i="25"/>
  <c r="O505" i="25"/>
  <c r="AI505" i="25"/>
  <c r="AI511" i="25"/>
  <c r="AI512" i="25"/>
  <c r="O513" i="25"/>
  <c r="H519" i="25"/>
  <c r="V519" i="25"/>
  <c r="AI519" i="25"/>
  <c r="V521" i="25"/>
  <c r="AI523" i="25"/>
  <c r="AI524" i="25"/>
  <c r="O525" i="25"/>
  <c r="AI525" i="25"/>
  <c r="Q578" i="25"/>
  <c r="P618" i="25"/>
  <c r="O536" i="25"/>
  <c r="O535" i="25" s="1"/>
  <c r="H102" i="18" s="1"/>
  <c r="O540" i="25"/>
  <c r="W539" i="25"/>
  <c r="H541" i="25"/>
  <c r="V541" i="25"/>
  <c r="H543" i="25"/>
  <c r="V543" i="25"/>
  <c r="O544" i="25"/>
  <c r="V544" i="25"/>
  <c r="H563" i="25"/>
  <c r="AI563" i="25"/>
  <c r="O568" i="25"/>
  <c r="AC569" i="25"/>
  <c r="AM569" i="25"/>
  <c r="O571" i="25"/>
  <c r="G578" i="25"/>
  <c r="H582" i="25"/>
  <c r="O582" i="25"/>
  <c r="H583" i="25"/>
  <c r="O586" i="25"/>
  <c r="H600" i="25"/>
  <c r="C612" i="25"/>
  <c r="H614" i="25"/>
  <c r="AI614" i="25"/>
  <c r="H616" i="25"/>
  <c r="U612" i="25"/>
  <c r="H619" i="25"/>
  <c r="V619" i="25"/>
  <c r="AJ618" i="25"/>
  <c r="AL618" i="25"/>
  <c r="O622" i="25"/>
  <c r="AI622" i="25"/>
  <c r="O624" i="25"/>
  <c r="AI624" i="25"/>
  <c r="O626" i="25"/>
  <c r="AI626" i="25"/>
  <c r="S627" i="25"/>
  <c r="H628" i="25"/>
  <c r="O629" i="25"/>
  <c r="V629" i="25"/>
  <c r="H630" i="25"/>
  <c r="O631" i="25"/>
  <c r="H633" i="25"/>
  <c r="V633" i="25"/>
  <c r="AI633" i="25"/>
  <c r="H636" i="25"/>
  <c r="V636" i="25"/>
  <c r="AI636" i="25"/>
  <c r="AI654" i="25"/>
  <c r="H656" i="25"/>
  <c r="V662" i="25"/>
  <c r="V661" i="25" s="1"/>
  <c r="AJ663" i="25"/>
  <c r="C665" i="25"/>
  <c r="S665" i="25"/>
  <c r="Z665" i="25"/>
  <c r="Z641" i="25" s="1"/>
  <c r="AF665" i="25"/>
  <c r="H667" i="25"/>
  <c r="AI330" i="25"/>
  <c r="AI357" i="25"/>
  <c r="AI358" i="25"/>
  <c r="AI359" i="25"/>
  <c r="AI360" i="25"/>
  <c r="AI361" i="25"/>
  <c r="F37" i="25"/>
  <c r="O71" i="25"/>
  <c r="V71" i="25"/>
  <c r="C106" i="25"/>
  <c r="V118" i="25"/>
  <c r="O127" i="25"/>
  <c r="AG145" i="25"/>
  <c r="AG144" i="25" s="1"/>
  <c r="AG143" i="25" s="1"/>
  <c r="L186" i="25"/>
  <c r="L162" i="25" s="1"/>
  <c r="L161" i="25" s="1"/>
  <c r="O201" i="25"/>
  <c r="AI202" i="25"/>
  <c r="AM199" i="25"/>
  <c r="AI211" i="25"/>
  <c r="C210" i="25"/>
  <c r="C205" i="25" s="1"/>
  <c r="O212" i="25"/>
  <c r="AK210" i="25"/>
  <c r="AO269" i="25"/>
  <c r="H293" i="25"/>
  <c r="O295" i="25"/>
  <c r="H300" i="25"/>
  <c r="AK325" i="25"/>
  <c r="AM325" i="25"/>
  <c r="H358" i="25"/>
  <c r="S358" i="25"/>
  <c r="O358" i="25" s="1"/>
  <c r="H359" i="25"/>
  <c r="S359" i="25"/>
  <c r="O359" i="25" s="1"/>
  <c r="H360" i="25"/>
  <c r="S360" i="25"/>
  <c r="O360" i="25" s="1"/>
  <c r="H361" i="25"/>
  <c r="S361" i="25"/>
  <c r="O361" i="25" s="1"/>
  <c r="H374" i="25"/>
  <c r="V380" i="25"/>
  <c r="O389" i="25"/>
  <c r="O390" i="25"/>
  <c r="O392" i="25"/>
  <c r="O393" i="25"/>
  <c r="V393" i="25"/>
  <c r="H394" i="25"/>
  <c r="O396" i="25"/>
  <c r="AJ397" i="25"/>
  <c r="H398" i="25"/>
  <c r="AI398" i="25"/>
  <c r="O399" i="25"/>
  <c r="V399" i="25"/>
  <c r="O401" i="25"/>
  <c r="V401" i="25"/>
  <c r="H402" i="25"/>
  <c r="AF397" i="25"/>
  <c r="O403" i="25"/>
  <c r="AJ408" i="25"/>
  <c r="AL408" i="25"/>
  <c r="I408" i="25"/>
  <c r="U408" i="25"/>
  <c r="AC408" i="25"/>
  <c r="AM417" i="25"/>
  <c r="AI417" i="25" s="1"/>
  <c r="S417" i="25"/>
  <c r="O417" i="25" s="1"/>
  <c r="T37" i="25"/>
  <c r="AI40" i="25"/>
  <c r="AF16" i="25"/>
  <c r="V19" i="25"/>
  <c r="H20" i="25"/>
  <c r="O20" i="25"/>
  <c r="H23" i="25"/>
  <c r="H25" i="25"/>
  <c r="AI29" i="25"/>
  <c r="AO29" i="25" s="1"/>
  <c r="AI32" i="25"/>
  <c r="AI34" i="25"/>
  <c r="AO34" i="25" s="1"/>
  <c r="O41" i="25"/>
  <c r="O44" i="25"/>
  <c r="H48" i="25"/>
  <c r="H49" i="25"/>
  <c r="V49" i="25"/>
  <c r="H50" i="25"/>
  <c r="O59" i="25"/>
  <c r="V59" i="25"/>
  <c r="H60" i="25"/>
  <c r="V97" i="25"/>
  <c r="H98" i="25"/>
  <c r="V98" i="25"/>
  <c r="H99" i="25"/>
  <c r="Z99" i="25"/>
  <c r="V99" i="25" s="1"/>
  <c r="AM100" i="25"/>
  <c r="AI100" i="25" s="1"/>
  <c r="V103" i="25"/>
  <c r="AM104" i="25"/>
  <c r="H120" i="25"/>
  <c r="O121" i="25"/>
  <c r="O122" i="25"/>
  <c r="O128" i="25"/>
  <c r="V128" i="25"/>
  <c r="H138" i="25"/>
  <c r="O140" i="25"/>
  <c r="C130" i="25"/>
  <c r="AI152" i="25"/>
  <c r="AI154" i="25"/>
  <c r="H155" i="25"/>
  <c r="H156" i="25"/>
  <c r="O158" i="25"/>
  <c r="AI159" i="25"/>
  <c r="AI164" i="25"/>
  <c r="AI166" i="25"/>
  <c r="V167" i="25"/>
  <c r="AI167" i="25"/>
  <c r="V169" i="25"/>
  <c r="AI169" i="25"/>
  <c r="V177" i="25"/>
  <c r="AI177" i="25"/>
  <c r="V181" i="25"/>
  <c r="AO185" i="25"/>
  <c r="Y198" i="25"/>
  <c r="Y160" i="25" s="1"/>
  <c r="H250" i="25"/>
  <c r="AI256" i="25"/>
  <c r="V258" i="25"/>
  <c r="AO258" i="25" s="1"/>
  <c r="H263" i="25"/>
  <c r="S263" i="25"/>
  <c r="O263" i="25" s="1"/>
  <c r="V264" i="25"/>
  <c r="H272" i="25"/>
  <c r="AI275" i="25"/>
  <c r="AO275" i="25" s="1"/>
  <c r="AI284" i="25"/>
  <c r="AI286" i="25"/>
  <c r="V287" i="25"/>
  <c r="AI287" i="25"/>
  <c r="H299" i="25"/>
  <c r="C312" i="25"/>
  <c r="H316" i="25"/>
  <c r="H322" i="25"/>
  <c r="AO323" i="25"/>
  <c r="AI329" i="25"/>
  <c r="Z330" i="25"/>
  <c r="V330" i="25" s="1"/>
  <c r="AI331" i="25"/>
  <c r="L340" i="25"/>
  <c r="AM340" i="25"/>
  <c r="H346" i="25"/>
  <c r="S346" i="25"/>
  <c r="O346" i="25" s="1"/>
  <c r="H347" i="25"/>
  <c r="S347" i="25"/>
  <c r="O347" i="25" s="1"/>
  <c r="H348" i="25"/>
  <c r="S348" i="25"/>
  <c r="O348" i="25" s="1"/>
  <c r="H349" i="25"/>
  <c r="S349" i="25"/>
  <c r="O349" i="25" s="1"/>
  <c r="H350" i="25"/>
  <c r="C345" i="25"/>
  <c r="O470" i="25"/>
  <c r="AI403" i="25"/>
  <c r="AO403" i="25" s="1"/>
  <c r="H410" i="25"/>
  <c r="V411" i="25"/>
  <c r="V413" i="25"/>
  <c r="H414" i="25"/>
  <c r="V415" i="25"/>
  <c r="O416" i="25"/>
  <c r="V416" i="25"/>
  <c r="H417" i="25"/>
  <c r="S421" i="25"/>
  <c r="V423" i="25"/>
  <c r="AC421" i="25"/>
  <c r="H424" i="25"/>
  <c r="O424" i="25"/>
  <c r="V424" i="25"/>
  <c r="AI426" i="25"/>
  <c r="AI442" i="25"/>
  <c r="H444" i="25"/>
  <c r="H450" i="25"/>
  <c r="O450" i="25"/>
  <c r="H451" i="25"/>
  <c r="O451" i="25"/>
  <c r="H452" i="25"/>
  <c r="S452" i="25"/>
  <c r="O452" i="25" s="1"/>
  <c r="H453" i="25"/>
  <c r="S453" i="25"/>
  <c r="O453" i="25" s="1"/>
  <c r="H454" i="25"/>
  <c r="S454" i="25"/>
  <c r="O454" i="25" s="1"/>
  <c r="H455" i="25"/>
  <c r="S455" i="25"/>
  <c r="O455" i="25" s="1"/>
  <c r="H456" i="25"/>
  <c r="S456" i="25"/>
  <c r="O456" i="25" s="1"/>
  <c r="H457" i="25"/>
  <c r="S457" i="25"/>
  <c r="O457" i="25" s="1"/>
  <c r="O459" i="25"/>
  <c r="H465" i="25"/>
  <c r="P465" i="25"/>
  <c r="O465" i="25" s="1"/>
  <c r="V468" i="25"/>
  <c r="O469" i="25"/>
  <c r="V469" i="25"/>
  <c r="H470" i="25"/>
  <c r="V472" i="25"/>
  <c r="H473" i="25"/>
  <c r="O473" i="25"/>
  <c r="V473" i="25"/>
  <c r="V480" i="25"/>
  <c r="V534" i="25"/>
  <c r="V530" i="25" s="1"/>
  <c r="W530" i="25"/>
  <c r="AJ431" i="25"/>
  <c r="C477" i="25"/>
  <c r="U557" i="25"/>
  <c r="V485" i="25"/>
  <c r="AI506" i="25"/>
  <c r="V507" i="25"/>
  <c r="AI507" i="25"/>
  <c r="O508" i="25"/>
  <c r="AI508" i="25"/>
  <c r="O509" i="25"/>
  <c r="AI509" i="25"/>
  <c r="AI515" i="25"/>
  <c r="AI516" i="25"/>
  <c r="H527" i="25"/>
  <c r="H528" i="25"/>
  <c r="O528" i="25"/>
  <c r="O529" i="25"/>
  <c r="AL530" i="25"/>
  <c r="O533" i="25"/>
  <c r="O534" i="25"/>
  <c r="H547" i="25"/>
  <c r="V547" i="25"/>
  <c r="AI547" i="25"/>
  <c r="V548" i="25"/>
  <c r="H549" i="25"/>
  <c r="S549" i="25"/>
  <c r="O549" i="25" s="1"/>
  <c r="O555" i="25"/>
  <c r="O554" i="25" s="1"/>
  <c r="AJ554" i="25"/>
  <c r="O558" i="25"/>
  <c r="O559" i="25"/>
  <c r="O561" i="25"/>
  <c r="AI567" i="25"/>
  <c r="M578" i="25"/>
  <c r="Y578" i="25"/>
  <c r="AG578" i="25"/>
  <c r="AL579" i="25"/>
  <c r="AI585" i="25"/>
  <c r="H587" i="25"/>
  <c r="AI587" i="25"/>
  <c r="H589" i="25"/>
  <c r="O589" i="25"/>
  <c r="H598" i="25"/>
  <c r="H599" i="25"/>
  <c r="P610" i="25"/>
  <c r="O610" i="25" s="1"/>
  <c r="O613" i="25"/>
  <c r="H622" i="25"/>
  <c r="H624" i="25"/>
  <c r="H626" i="25"/>
  <c r="V632" i="25"/>
  <c r="V634" i="25"/>
  <c r="O635" i="25"/>
  <c r="V640" i="25"/>
  <c r="V638" i="25" s="1"/>
  <c r="AM638" i="25"/>
  <c r="H654" i="25"/>
  <c r="O658" i="25"/>
  <c r="AI658" i="25"/>
  <c r="V664" i="25"/>
  <c r="V663" i="25" s="1"/>
  <c r="AJ665" i="25"/>
  <c r="AL665" i="25"/>
  <c r="L665" i="25"/>
  <c r="H668" i="25"/>
  <c r="O668" i="25"/>
  <c r="AI670" i="25"/>
  <c r="AL677" i="25"/>
  <c r="H678" i="25"/>
  <c r="H677" i="25" s="1"/>
  <c r="AK679" i="25"/>
  <c r="AM679" i="25"/>
  <c r="AI49" i="25"/>
  <c r="H105" i="25"/>
  <c r="H104" i="25" s="1"/>
  <c r="I104" i="25"/>
  <c r="V117" i="25"/>
  <c r="W116" i="25"/>
  <c r="H131" i="25"/>
  <c r="I130" i="25"/>
  <c r="H169" i="25"/>
  <c r="S189" i="25"/>
  <c r="O189" i="25" s="1"/>
  <c r="AL189" i="25"/>
  <c r="AI189" i="25" s="1"/>
  <c r="AK245" i="25"/>
  <c r="AK244" i="25" s="1"/>
  <c r="E244" i="25"/>
  <c r="E243" i="25" s="1"/>
  <c r="AM249" i="25"/>
  <c r="AI249" i="25" s="1"/>
  <c r="S249" i="25"/>
  <c r="O249" i="25" s="1"/>
  <c r="V262" i="25"/>
  <c r="W259" i="25"/>
  <c r="V266" i="25"/>
  <c r="AO266" i="25" s="1"/>
  <c r="H277" i="25"/>
  <c r="I276" i="25"/>
  <c r="V278" i="25"/>
  <c r="W276" i="25"/>
  <c r="O315" i="25"/>
  <c r="S312" i="25"/>
  <c r="I96" i="18" s="1"/>
  <c r="AM315" i="25"/>
  <c r="AB312" i="25"/>
  <c r="AM312" i="25" s="1"/>
  <c r="S334" i="25"/>
  <c r="O334" i="25" s="1"/>
  <c r="U328" i="25"/>
  <c r="AM351" i="25"/>
  <c r="AI351" i="25" s="1"/>
  <c r="U345" i="25"/>
  <c r="AM345" i="25" s="1"/>
  <c r="O432" i="25"/>
  <c r="AK444" i="25"/>
  <c r="AI444" i="25" s="1"/>
  <c r="R439" i="25"/>
  <c r="AK449" i="25"/>
  <c r="AI449" i="25" s="1"/>
  <c r="P449" i="25"/>
  <c r="O449" i="25" s="1"/>
  <c r="V464" i="25"/>
  <c r="W463" i="25"/>
  <c r="AM466" i="25"/>
  <c r="AI466" i="25" s="1"/>
  <c r="U463" i="25"/>
  <c r="Z466" i="25"/>
  <c r="Z463" i="25" s="1"/>
  <c r="AB463" i="25"/>
  <c r="S474" i="25"/>
  <c r="O474" i="25" s="1"/>
  <c r="AM474" i="25"/>
  <c r="AI474" i="25" s="1"/>
  <c r="AM475" i="25"/>
  <c r="AI475" i="25" s="1"/>
  <c r="S475" i="25"/>
  <c r="O475" i="25" s="1"/>
  <c r="C557" i="25"/>
  <c r="H576" i="25"/>
  <c r="H575" i="25" s="1"/>
  <c r="I575" i="25"/>
  <c r="AI577" i="25"/>
  <c r="AO577" i="25" s="1"/>
  <c r="AJ575" i="25"/>
  <c r="AL575" i="25"/>
  <c r="H670" i="25"/>
  <c r="H669" i="25" s="1"/>
  <c r="I669" i="25"/>
  <c r="AM102" i="25"/>
  <c r="AI102" i="25" s="1"/>
  <c r="S102" i="25"/>
  <c r="O102" i="25" s="1"/>
  <c r="V105" i="25"/>
  <c r="V104" i="25" s="1"/>
  <c r="W104" i="25"/>
  <c r="AO201" i="25"/>
  <c r="AI232" i="25"/>
  <c r="AJ231" i="25"/>
  <c r="AI231" i="25" s="1"/>
  <c r="AM247" i="25"/>
  <c r="S247" i="25"/>
  <c r="O247" i="25" s="1"/>
  <c r="AM252" i="25"/>
  <c r="AI252" i="25" s="1"/>
  <c r="S252" i="25"/>
  <c r="O252" i="25" s="1"/>
  <c r="AJ264" i="25"/>
  <c r="AC16" i="25"/>
  <c r="AI24" i="25"/>
  <c r="H26" i="25"/>
  <c r="V27" i="25"/>
  <c r="V35" i="25"/>
  <c r="AJ38" i="25"/>
  <c r="J37" i="25"/>
  <c r="J36" i="25" s="1"/>
  <c r="J15" i="25" s="1"/>
  <c r="O42" i="25"/>
  <c r="V42" i="25"/>
  <c r="AI43" i="25"/>
  <c r="O43" i="25"/>
  <c r="H44" i="25"/>
  <c r="AI44" i="25"/>
  <c r="AI45" i="25"/>
  <c r="H45" i="25"/>
  <c r="O45" i="25"/>
  <c r="AJ46" i="25"/>
  <c r="AL46" i="25"/>
  <c r="W46" i="25"/>
  <c r="V47" i="25"/>
  <c r="AI52" i="25"/>
  <c r="AI53" i="25"/>
  <c r="Y54" i="25"/>
  <c r="AK54" i="25" s="1"/>
  <c r="O57" i="25"/>
  <c r="O58" i="25"/>
  <c r="H61" i="25"/>
  <c r="O61" i="25"/>
  <c r="AM63" i="25"/>
  <c r="AI65" i="25"/>
  <c r="AO65" i="25" s="1"/>
  <c r="D66" i="25"/>
  <c r="AI68" i="25"/>
  <c r="L67" i="25"/>
  <c r="AI69" i="25"/>
  <c r="H70" i="25"/>
  <c r="H72" i="25"/>
  <c r="V72" i="25"/>
  <c r="V73" i="25"/>
  <c r="AI73" i="25"/>
  <c r="AI75" i="25"/>
  <c r="O76" i="25"/>
  <c r="H77" i="25"/>
  <c r="O77" i="25"/>
  <c r="V77" i="25"/>
  <c r="AL79" i="25"/>
  <c r="P79" i="25"/>
  <c r="H81" i="25"/>
  <c r="O81" i="25"/>
  <c r="O82" i="25"/>
  <c r="H83" i="25"/>
  <c r="AI83" i="25"/>
  <c r="H85" i="25"/>
  <c r="H88" i="25"/>
  <c r="O93" i="25"/>
  <c r="V93" i="25"/>
  <c r="W106" i="25"/>
  <c r="L106" i="25"/>
  <c r="AM111" i="25"/>
  <c r="S111" i="25"/>
  <c r="O111" i="25" s="1"/>
  <c r="AM125" i="25"/>
  <c r="AI125" i="25" s="1"/>
  <c r="S125" i="25"/>
  <c r="O125" i="25" s="1"/>
  <c r="V148" i="25"/>
  <c r="W146" i="25"/>
  <c r="AL153" i="25"/>
  <c r="I186" i="25"/>
  <c r="I162" i="25" s="1"/>
  <c r="C186" i="25"/>
  <c r="H203" i="25"/>
  <c r="I199" i="25"/>
  <c r="S199" i="25"/>
  <c r="J216" i="25"/>
  <c r="R216" i="25"/>
  <c r="H232" i="25"/>
  <c r="H231" i="25" s="1"/>
  <c r="I231" i="25"/>
  <c r="AI237" i="25"/>
  <c r="AJ236" i="25"/>
  <c r="V241" i="25"/>
  <c r="V240" i="25" s="1"/>
  <c r="W240" i="25"/>
  <c r="AA243" i="25"/>
  <c r="AA235" i="25" s="1"/>
  <c r="AE243" i="25"/>
  <c r="AE235" i="25" s="1"/>
  <c r="V247" i="25"/>
  <c r="W245" i="25"/>
  <c r="W244" i="25" s="1"/>
  <c r="AJ250" i="25"/>
  <c r="Q245" i="25"/>
  <c r="Q244" i="25" s="1"/>
  <c r="Q243" i="25" s="1"/>
  <c r="Q235" i="25" s="1"/>
  <c r="AL250" i="25"/>
  <c r="T245" i="25"/>
  <c r="T244" i="25" s="1"/>
  <c r="I273" i="25"/>
  <c r="U276" i="25"/>
  <c r="AM276" i="25" s="1"/>
  <c r="I317" i="25"/>
  <c r="H326" i="25"/>
  <c r="H325" i="25" s="1"/>
  <c r="I325" i="25"/>
  <c r="AI326" i="25"/>
  <c r="AJ325" i="25"/>
  <c r="P340" i="25"/>
  <c r="H103" i="18" s="1"/>
  <c r="W340" i="25"/>
  <c r="S362" i="25"/>
  <c r="O362" i="25" s="1"/>
  <c r="U355" i="25"/>
  <c r="C355" i="25"/>
  <c r="W372" i="25"/>
  <c r="AL397" i="25"/>
  <c r="H495" i="25"/>
  <c r="H494" i="25" s="1"/>
  <c r="I494" i="25"/>
  <c r="V498" i="25"/>
  <c r="V497" i="25" s="1"/>
  <c r="W497" i="25"/>
  <c r="I552" i="25"/>
  <c r="V680" i="25"/>
  <c r="V679" i="25" s="1"/>
  <c r="W679" i="25"/>
  <c r="O94" i="25"/>
  <c r="V94" i="25"/>
  <c r="O103" i="25"/>
  <c r="AJ104" i="25"/>
  <c r="AI105" i="25"/>
  <c r="O107" i="25"/>
  <c r="AL106" i="25"/>
  <c r="V108" i="25"/>
  <c r="AI108" i="25"/>
  <c r="O109" i="25"/>
  <c r="V114" i="25"/>
  <c r="O117" i="25"/>
  <c r="Z116" i="25"/>
  <c r="V121" i="25"/>
  <c r="AI122" i="25"/>
  <c r="H124" i="25"/>
  <c r="AI129" i="25"/>
  <c r="AO129" i="25" s="1"/>
  <c r="AI131" i="25"/>
  <c r="Z130" i="25"/>
  <c r="H137" i="25"/>
  <c r="V137" i="25"/>
  <c r="V140" i="25"/>
  <c r="AI147" i="25"/>
  <c r="AI149" i="25"/>
  <c r="O152" i="25"/>
  <c r="V152" i="25"/>
  <c r="O154" i="25"/>
  <c r="V154" i="25"/>
  <c r="V153" i="25" s="1"/>
  <c r="AK153" i="25"/>
  <c r="AM153" i="25"/>
  <c r="E161" i="25"/>
  <c r="U161" i="25"/>
  <c r="U160" i="25" s="1"/>
  <c r="V163" i="25"/>
  <c r="AC162" i="25"/>
  <c r="V164" i="25"/>
  <c r="V165" i="25"/>
  <c r="V166" i="25"/>
  <c r="V168" i="25"/>
  <c r="AI168" i="25"/>
  <c r="V175" i="25"/>
  <c r="V176" i="25"/>
  <c r="AI176" i="25"/>
  <c r="V179" i="25"/>
  <c r="V180" i="25"/>
  <c r="AI181" i="25"/>
  <c r="V182" i="25"/>
  <c r="AI182" i="25"/>
  <c r="AK186" i="25"/>
  <c r="AK162" i="25" s="1"/>
  <c r="H189" i="25"/>
  <c r="O190" i="25"/>
  <c r="V192" i="25"/>
  <c r="AO192" i="25" s="1"/>
  <c r="Z191" i="25"/>
  <c r="AF191" i="25"/>
  <c r="AL191" i="25"/>
  <c r="K198" i="25"/>
  <c r="K160" i="25" s="1"/>
  <c r="AA198" i="25"/>
  <c r="AA160" i="25" s="1"/>
  <c r="AC198" i="25"/>
  <c r="AE198" i="25"/>
  <c r="H202" i="25"/>
  <c r="O202" i="25"/>
  <c r="AI204" i="25"/>
  <c r="H210" i="25"/>
  <c r="AK217" i="25"/>
  <c r="AK216" i="25" s="1"/>
  <c r="AM217" i="25"/>
  <c r="AM216" i="25" s="1"/>
  <c r="AD216" i="25"/>
  <c r="AH216" i="25"/>
  <c r="L216" i="25"/>
  <c r="V218" i="25"/>
  <c r="V217" i="25" s="1"/>
  <c r="V216" i="25" s="1"/>
  <c r="AC216" i="25"/>
  <c r="Q216" i="25"/>
  <c r="AI220" i="25"/>
  <c r="AI234" i="25"/>
  <c r="AO234" i="25" s="1"/>
  <c r="V236" i="25"/>
  <c r="AI241" i="25"/>
  <c r="AL240" i="25"/>
  <c r="AG243" i="25"/>
  <c r="AG235" i="25" s="1"/>
  <c r="H247" i="25"/>
  <c r="H249" i="25"/>
  <c r="H251" i="25"/>
  <c r="V260" i="25"/>
  <c r="AC259" i="25"/>
  <c r="V261" i="25"/>
  <c r="H262" i="25"/>
  <c r="H264" i="25"/>
  <c r="H268" i="25"/>
  <c r="V270" i="25"/>
  <c r="AI270" i="25"/>
  <c r="V271" i="25"/>
  <c r="AI271" i="25"/>
  <c r="O281" i="25"/>
  <c r="V281" i="25"/>
  <c r="H282" i="25"/>
  <c r="V283" i="25"/>
  <c r="H285" i="25"/>
  <c r="V285" i="25"/>
  <c r="H286" i="25"/>
  <c r="H287" i="25"/>
  <c r="AO287" i="25" s="1"/>
  <c r="H292" i="25"/>
  <c r="V292" i="25"/>
  <c r="H295" i="25"/>
  <c r="V295" i="25"/>
  <c r="H296" i="25"/>
  <c r="AI297" i="25"/>
  <c r="H298" i="25"/>
  <c r="V301" i="25"/>
  <c r="V302" i="25"/>
  <c r="H303" i="25"/>
  <c r="V304" i="25"/>
  <c r="H305" i="25"/>
  <c r="V306" i="25"/>
  <c r="L307" i="25"/>
  <c r="V308" i="25"/>
  <c r="AC307" i="25"/>
  <c r="V311" i="25"/>
  <c r="AI311" i="25"/>
  <c r="AJ312" i="25"/>
  <c r="AL312" i="25"/>
  <c r="H315" i="25"/>
  <c r="AI315" i="25"/>
  <c r="C317" i="25"/>
  <c r="AM334" i="25"/>
  <c r="AI334" i="25" s="1"/>
  <c r="AO334" i="25" s="1"/>
  <c r="AI337" i="25"/>
  <c r="AI339" i="25"/>
  <c r="AK340" i="25"/>
  <c r="V341" i="25"/>
  <c r="V340" i="25" s="1"/>
  <c r="AC340" i="25"/>
  <c r="H342" i="25"/>
  <c r="AI344" i="25"/>
  <c r="H352" i="25"/>
  <c r="H345" i="25" s="1"/>
  <c r="AI352" i="25"/>
  <c r="H362" i="25"/>
  <c r="AI364" i="25"/>
  <c r="O366" i="25"/>
  <c r="AI369" i="25"/>
  <c r="AI371" i="25"/>
  <c r="V373" i="25"/>
  <c r="V377" i="25"/>
  <c r="H380" i="25"/>
  <c r="O380" i="25"/>
  <c r="V384" i="25"/>
  <c r="H388" i="25"/>
  <c r="V388" i="25"/>
  <c r="H389" i="25"/>
  <c r="V391" i="25"/>
  <c r="H392" i="25"/>
  <c r="L397" i="25"/>
  <c r="AI400" i="25"/>
  <c r="AI402" i="25"/>
  <c r="H404" i="25"/>
  <c r="V420" i="25"/>
  <c r="W408" i="25"/>
  <c r="P434" i="25"/>
  <c r="O434" i="25" s="1"/>
  <c r="R431" i="25"/>
  <c r="H438" i="25"/>
  <c r="H437" i="25" s="1"/>
  <c r="I437" i="25"/>
  <c r="AM462" i="25"/>
  <c r="S462" i="25"/>
  <c r="O462" i="25" s="1"/>
  <c r="AM484" i="25"/>
  <c r="AI484" i="25" s="1"/>
  <c r="S484" i="25"/>
  <c r="O484" i="25" s="1"/>
  <c r="V529" i="25"/>
  <c r="W500" i="25"/>
  <c r="H581" i="25"/>
  <c r="I579" i="25"/>
  <c r="AM602" i="25"/>
  <c r="AI602" i="25" s="1"/>
  <c r="S602" i="25"/>
  <c r="O602" i="25" s="1"/>
  <c r="N641" i="25"/>
  <c r="V676" i="25"/>
  <c r="V675" i="25" s="1"/>
  <c r="W675" i="25"/>
  <c r="O407" i="25"/>
  <c r="V407" i="25"/>
  <c r="AK408" i="25"/>
  <c r="AM408" i="25"/>
  <c r="L408" i="25"/>
  <c r="O413" i="25"/>
  <c r="O415" i="25"/>
  <c r="AI415" i="25"/>
  <c r="H418" i="25"/>
  <c r="O418" i="25"/>
  <c r="V418" i="25"/>
  <c r="V419" i="25"/>
  <c r="O420" i="25"/>
  <c r="V422" i="25"/>
  <c r="AM421" i="25"/>
  <c r="H425" i="25"/>
  <c r="O426" i="25"/>
  <c r="V426" i="25"/>
  <c r="H427" i="25"/>
  <c r="O430" i="25"/>
  <c r="O438" i="25"/>
  <c r="O437" i="25" s="1"/>
  <c r="AL439" i="25"/>
  <c r="H442" i="25"/>
  <c r="O442" i="25"/>
  <c r="H443" i="25"/>
  <c r="H449" i="25"/>
  <c r="H458" i="25"/>
  <c r="O458" i="25"/>
  <c r="H459" i="25"/>
  <c r="H462" i="25"/>
  <c r="V467" i="25"/>
  <c r="H468" i="25"/>
  <c r="V471" i="25"/>
  <c r="H472" i="25"/>
  <c r="H474" i="25"/>
  <c r="V474" i="25"/>
  <c r="H475" i="25"/>
  <c r="AI479" i="25"/>
  <c r="H483" i="25"/>
  <c r="AI483" i="25"/>
  <c r="H484" i="25"/>
  <c r="H485" i="25"/>
  <c r="H490" i="25"/>
  <c r="AI493" i="25"/>
  <c r="V502" i="25"/>
  <c r="AI502" i="25"/>
  <c r="V504" i="25"/>
  <c r="O506" i="25"/>
  <c r="V506" i="25"/>
  <c r="AI510" i="25"/>
  <c r="O511" i="25"/>
  <c r="AI514" i="25"/>
  <c r="O515" i="25"/>
  <c r="O517" i="25"/>
  <c r="L500" i="25"/>
  <c r="H520" i="25"/>
  <c r="AI522" i="25"/>
  <c r="H526" i="25"/>
  <c r="O538" i="25"/>
  <c r="O537" i="25" s="1"/>
  <c r="V542" i="25"/>
  <c r="H546" i="25"/>
  <c r="V546" i="25"/>
  <c r="O548" i="25"/>
  <c r="V550" i="25"/>
  <c r="AI556" i="25"/>
  <c r="AL554" i="25"/>
  <c r="AI558" i="25"/>
  <c r="AI559" i="25"/>
  <c r="AI561" i="25"/>
  <c r="H567" i="25"/>
  <c r="O567" i="25"/>
  <c r="H568" i="25"/>
  <c r="V570" i="25"/>
  <c r="AF569" i="25"/>
  <c r="C579" i="25"/>
  <c r="H585" i="25"/>
  <c r="O585" i="25"/>
  <c r="AK608" i="25"/>
  <c r="AI608" i="25" s="1"/>
  <c r="P608" i="25"/>
  <c r="H643" i="25"/>
  <c r="H642" i="25" s="1"/>
  <c r="I642" i="25"/>
  <c r="M641" i="25"/>
  <c r="AL663" i="25"/>
  <c r="AJ669" i="25"/>
  <c r="AL669" i="25"/>
  <c r="H586" i="25"/>
  <c r="O588" i="25"/>
  <c r="AI588" i="25"/>
  <c r="O592" i="25"/>
  <c r="O591" i="25" s="1"/>
  <c r="H597" i="25"/>
  <c r="P595" i="25"/>
  <c r="H152" i="18" s="1"/>
  <c r="H601" i="25"/>
  <c r="S607" i="25"/>
  <c r="AL607" i="25"/>
  <c r="H613" i="25"/>
  <c r="L612" i="25"/>
  <c r="O615" i="25"/>
  <c r="AI615" i="25"/>
  <c r="V621" i="25"/>
  <c r="V623" i="25"/>
  <c r="V625" i="25"/>
  <c r="O627" i="25"/>
  <c r="AI628" i="25"/>
  <c r="AI630" i="25"/>
  <c r="H632" i="25"/>
  <c r="O632" i="25"/>
  <c r="H634" i="25"/>
  <c r="O634" i="25"/>
  <c r="O637" i="25"/>
  <c r="AI637" i="25"/>
  <c r="F641" i="25"/>
  <c r="T641" i="25"/>
  <c r="AD641" i="25"/>
  <c r="AH641" i="25"/>
  <c r="AJ653" i="25"/>
  <c r="AI656" i="25"/>
  <c r="H664" i="25"/>
  <c r="H663" i="25" s="1"/>
  <c r="V667" i="25"/>
  <c r="V665" i="25" s="1"/>
  <c r="AI667" i="25"/>
  <c r="AI674" i="25"/>
  <c r="AK675" i="25"/>
  <c r="AI678" i="25"/>
  <c r="V17" i="25"/>
  <c r="V18" i="25"/>
  <c r="H21" i="25"/>
  <c r="O21" i="25"/>
  <c r="AI99" i="25"/>
  <c r="AI109" i="25"/>
  <c r="V132" i="25"/>
  <c r="AI132" i="25"/>
  <c r="V133" i="25"/>
  <c r="AI133" i="25"/>
  <c r="V135" i="25"/>
  <c r="AI135" i="25"/>
  <c r="V139" i="25"/>
  <c r="AI139" i="25"/>
  <c r="V24" i="25"/>
  <c r="V25" i="25"/>
  <c r="AI33" i="25"/>
  <c r="AO33" i="25" s="1"/>
  <c r="D37" i="25"/>
  <c r="AM38" i="25"/>
  <c r="P38" i="25"/>
  <c r="S38" i="25"/>
  <c r="V41" i="25"/>
  <c r="E37" i="25"/>
  <c r="G37" i="25"/>
  <c r="U37" i="25"/>
  <c r="AA37" i="25"/>
  <c r="H47" i="25"/>
  <c r="O49" i="25"/>
  <c r="S46" i="25"/>
  <c r="V52" i="25"/>
  <c r="AJ54" i="25"/>
  <c r="AL54" i="25"/>
  <c r="H59" i="25"/>
  <c r="AI61" i="25"/>
  <c r="O62" i="25"/>
  <c r="C63" i="25"/>
  <c r="V63" i="25"/>
  <c r="AK67" i="25"/>
  <c r="AM67" i="25"/>
  <c r="P67" i="25"/>
  <c r="H71" i="25"/>
  <c r="H73" i="25"/>
  <c r="V75" i="25"/>
  <c r="H76" i="25"/>
  <c r="O78" i="25"/>
  <c r="AK91" i="25"/>
  <c r="Q66" i="25"/>
  <c r="H93" i="25"/>
  <c r="V95" i="25"/>
  <c r="H96" i="25"/>
  <c r="O108" i="25"/>
  <c r="Z109" i="25"/>
  <c r="V109" i="25" s="1"/>
  <c r="H110" i="25"/>
  <c r="AI112" i="25"/>
  <c r="V113" i="25"/>
  <c r="H114" i="25"/>
  <c r="S114" i="25"/>
  <c r="O114" i="25" s="1"/>
  <c r="V115" i="25"/>
  <c r="AI117" i="25"/>
  <c r="O118" i="25"/>
  <c r="H123" i="25"/>
  <c r="L130" i="25"/>
  <c r="AL130" i="25"/>
  <c r="AM146" i="25"/>
  <c r="L146" i="25"/>
  <c r="F145" i="25"/>
  <c r="F144" i="25" s="1"/>
  <c r="F143" i="25" s="1"/>
  <c r="J145" i="25"/>
  <c r="J144" i="25" s="1"/>
  <c r="J143" i="25" s="1"/>
  <c r="N145" i="25"/>
  <c r="N144" i="25" s="1"/>
  <c r="N143" i="25" s="1"/>
  <c r="AJ175" i="25"/>
  <c r="AI175" i="25" s="1"/>
  <c r="AJ179" i="25"/>
  <c r="AI179" i="25" s="1"/>
  <c r="AL199" i="25"/>
  <c r="R198" i="25"/>
  <c r="AI376" i="25"/>
  <c r="AI378" i="25"/>
  <c r="O411" i="25"/>
  <c r="Q37" i="25"/>
  <c r="AC37" i="25"/>
  <c r="AE37" i="25"/>
  <c r="AG37" i="25"/>
  <c r="L46" i="25"/>
  <c r="Y66" i="25"/>
  <c r="AC66" i="25"/>
  <c r="AE66" i="25"/>
  <c r="AG66" i="25"/>
  <c r="AI97" i="25"/>
  <c r="AI107" i="25"/>
  <c r="AK116" i="25"/>
  <c r="O120" i="25"/>
  <c r="V120" i="25"/>
  <c r="H121" i="25"/>
  <c r="H125" i="25"/>
  <c r="H127" i="25"/>
  <c r="V131" i="25"/>
  <c r="H132" i="25"/>
  <c r="S132" i="25"/>
  <c r="O132" i="25" s="1"/>
  <c r="H133" i="25"/>
  <c r="S133" i="25"/>
  <c r="O133" i="25" s="1"/>
  <c r="O134" i="25"/>
  <c r="V134" i="25"/>
  <c r="H135" i="25"/>
  <c r="S135" i="25"/>
  <c r="O135" i="25" s="1"/>
  <c r="H136" i="25"/>
  <c r="O138" i="25"/>
  <c r="V138" i="25"/>
  <c r="H139" i="25"/>
  <c r="S139" i="25"/>
  <c r="O139" i="25" s="1"/>
  <c r="H140" i="25"/>
  <c r="O141" i="25"/>
  <c r="V141" i="25"/>
  <c r="AK130" i="25"/>
  <c r="U145" i="25"/>
  <c r="U144" i="25" s="1"/>
  <c r="U143" i="25" s="1"/>
  <c r="AJ146" i="25"/>
  <c r="AL146" i="25"/>
  <c r="AK146" i="25"/>
  <c r="V147" i="25"/>
  <c r="AC146" i="25"/>
  <c r="AC145" i="25" s="1"/>
  <c r="AC144" i="25" s="1"/>
  <c r="AC143" i="25" s="1"/>
  <c r="H148" i="25"/>
  <c r="S146" i="25"/>
  <c r="S145" i="25" s="1"/>
  <c r="S144" i="25" s="1"/>
  <c r="S143" i="25" s="1"/>
  <c r="V149" i="25"/>
  <c r="H150" i="25"/>
  <c r="AI150" i="25"/>
  <c r="H152" i="25"/>
  <c r="K145" i="25"/>
  <c r="K144" i="25" s="1"/>
  <c r="K143" i="25" s="1"/>
  <c r="H154" i="25"/>
  <c r="L153" i="25"/>
  <c r="D145" i="25"/>
  <c r="D144" i="25" s="1"/>
  <c r="D143" i="25" s="1"/>
  <c r="AM157" i="25"/>
  <c r="R145" i="25"/>
  <c r="R144" i="25" s="1"/>
  <c r="R143" i="25" s="1"/>
  <c r="T145" i="25"/>
  <c r="T144" i="25" s="1"/>
  <c r="T143" i="25" s="1"/>
  <c r="X145" i="25"/>
  <c r="X144" i="25" s="1"/>
  <c r="X143" i="25" s="1"/>
  <c r="AB145" i="25"/>
  <c r="AB144" i="25" s="1"/>
  <c r="AB143" i="25" s="1"/>
  <c r="AD145" i="25"/>
  <c r="AD144" i="25" s="1"/>
  <c r="AD143" i="25" s="1"/>
  <c r="AF145" i="25"/>
  <c r="AF144" i="25" s="1"/>
  <c r="AF143" i="25" s="1"/>
  <c r="AH145" i="25"/>
  <c r="AH144" i="25" s="1"/>
  <c r="AH143" i="25" s="1"/>
  <c r="H158" i="25"/>
  <c r="O159" i="25"/>
  <c r="O157" i="25" s="1"/>
  <c r="AO167" i="25"/>
  <c r="Z162" i="25"/>
  <c r="AF162" i="25"/>
  <c r="AF161" i="25" s="1"/>
  <c r="V170" i="25"/>
  <c r="AM162" i="25"/>
  <c r="AI171" i="25"/>
  <c r="AI172" i="25"/>
  <c r="AO172" i="25" s="1"/>
  <c r="AI173" i="25"/>
  <c r="V174" i="25"/>
  <c r="AI184" i="25"/>
  <c r="O187" i="25"/>
  <c r="AL187" i="25"/>
  <c r="AI187" i="25" s="1"/>
  <c r="P191" i="25"/>
  <c r="AO193" i="25"/>
  <c r="C191" i="25"/>
  <c r="AC191" i="25"/>
  <c r="AI197" i="25"/>
  <c r="AO197" i="25" s="1"/>
  <c r="AI200" i="25"/>
  <c r="L199" i="25"/>
  <c r="L198" i="25" s="1"/>
  <c r="L160" i="25" s="1"/>
  <c r="AI203" i="25"/>
  <c r="H204" i="25"/>
  <c r="O204" i="25"/>
  <c r="D198" i="25"/>
  <c r="F198" i="25"/>
  <c r="F160" i="25" s="1"/>
  <c r="J198" i="25"/>
  <c r="J160" i="25" s="1"/>
  <c r="N198" i="25"/>
  <c r="T198" i="25"/>
  <c r="T160" i="25" s="1"/>
  <c r="X198" i="25"/>
  <c r="Z198" i="25"/>
  <c r="AB198" i="25"/>
  <c r="AD198" i="25"/>
  <c r="AD160" i="25" s="1"/>
  <c r="AF198" i="25"/>
  <c r="AH198" i="25"/>
  <c r="AH160" i="25" s="1"/>
  <c r="H223" i="25"/>
  <c r="AI377" i="25"/>
  <c r="K216" i="25"/>
  <c r="M216" i="25"/>
  <c r="U216" i="25"/>
  <c r="Y216" i="25"/>
  <c r="AA216" i="25"/>
  <c r="AA215" i="25" s="1"/>
  <c r="AE216" i="25"/>
  <c r="AG216" i="25"/>
  <c r="AG215" i="25" s="1"/>
  <c r="AI223" i="25"/>
  <c r="AO237" i="25"/>
  <c r="AO239" i="25"/>
  <c r="D243" i="25"/>
  <c r="D235" i="25" s="1"/>
  <c r="D215" i="25" s="1"/>
  <c r="F243" i="25"/>
  <c r="F235" i="25" s="1"/>
  <c r="F215" i="25" s="1"/>
  <c r="J243" i="25"/>
  <c r="J235" i="25" s="1"/>
  <c r="X243" i="25"/>
  <c r="X235" i="25" s="1"/>
  <c r="X215" i="25" s="1"/>
  <c r="AD243" i="25"/>
  <c r="AH243" i="25"/>
  <c r="AH235" i="25" s="1"/>
  <c r="AH215" i="25" s="1"/>
  <c r="L276" i="25"/>
  <c r="H284" i="25"/>
  <c r="AO284" i="25" s="1"/>
  <c r="V288" i="25"/>
  <c r="L317" i="25"/>
  <c r="AL343" i="25"/>
  <c r="L345" i="25"/>
  <c r="AL355" i="25"/>
  <c r="L372" i="25"/>
  <c r="AC372" i="25"/>
  <c r="AK384" i="25"/>
  <c r="AI384" i="25" s="1"/>
  <c r="AL385" i="25"/>
  <c r="AK385" i="25"/>
  <c r="AI409" i="25"/>
  <c r="AM418" i="25"/>
  <c r="AI418" i="25" s="1"/>
  <c r="O207" i="25"/>
  <c r="O209" i="25"/>
  <c r="AO209" i="25" s="1"/>
  <c r="I210" i="25"/>
  <c r="I205" i="25" s="1"/>
  <c r="P210" i="25"/>
  <c r="P205" i="25" s="1"/>
  <c r="AJ210" i="25"/>
  <c r="AI212" i="25"/>
  <c r="AJ217" i="25"/>
  <c r="AL217" i="25"/>
  <c r="AL216" i="25" s="1"/>
  <c r="E216" i="25"/>
  <c r="G216" i="25"/>
  <c r="P221" i="25"/>
  <c r="H79" i="18" s="1"/>
  <c r="AJ221" i="25"/>
  <c r="AI221" i="25" s="1"/>
  <c r="AO221" i="25" s="1"/>
  <c r="I223" i="25"/>
  <c r="P223" i="25"/>
  <c r="H80" i="18" s="1"/>
  <c r="AI226" i="25"/>
  <c r="H225" i="25"/>
  <c r="AI227" i="25"/>
  <c r="AO227" i="25" s="1"/>
  <c r="AI228" i="25"/>
  <c r="AO228" i="25" s="1"/>
  <c r="AI230" i="25"/>
  <c r="AO230" i="25" s="1"/>
  <c r="C236" i="25"/>
  <c r="I240" i="25"/>
  <c r="H240" i="25"/>
  <c r="AL245" i="25"/>
  <c r="AL244" i="25" s="1"/>
  <c r="S250" i="25"/>
  <c r="O250" i="25" s="1"/>
  <c r="V251" i="25"/>
  <c r="V254" i="25"/>
  <c r="H255" i="25"/>
  <c r="AO255" i="25" s="1"/>
  <c r="AJ259" i="25"/>
  <c r="I259" i="25"/>
  <c r="Z259" i="25"/>
  <c r="AF259" i="25"/>
  <c r="S261" i="25"/>
  <c r="O261" i="25" s="1"/>
  <c r="S264" i="25"/>
  <c r="O264" i="25" s="1"/>
  <c r="S265" i="25"/>
  <c r="O265" i="25" s="1"/>
  <c r="V268" i="25"/>
  <c r="O270" i="25"/>
  <c r="AK273" i="25"/>
  <c r="AM273" i="25"/>
  <c r="AJ276" i="25"/>
  <c r="AL276" i="25"/>
  <c r="AI277" i="25"/>
  <c r="S278" i="25"/>
  <c r="O278" i="25" s="1"/>
  <c r="V280" i="25"/>
  <c r="H281" i="25"/>
  <c r="V286" i="25"/>
  <c r="V297" i="25"/>
  <c r="V299" i="25"/>
  <c r="V300" i="25"/>
  <c r="H302" i="25"/>
  <c r="AI303" i="25"/>
  <c r="V305" i="25"/>
  <c r="AF290" i="25"/>
  <c r="AL290" i="25"/>
  <c r="AM307" i="25"/>
  <c r="H309" i="25"/>
  <c r="O311" i="25"/>
  <c r="AK312" i="25"/>
  <c r="Z315" i="25"/>
  <c r="Z312" i="25" s="1"/>
  <c r="H318" i="25"/>
  <c r="H319" i="25"/>
  <c r="AM322" i="25"/>
  <c r="AI322" i="25" s="1"/>
  <c r="AL317" i="25"/>
  <c r="C325" i="25"/>
  <c r="W325" i="25"/>
  <c r="V326" i="25"/>
  <c r="AK328" i="25"/>
  <c r="AL328" i="25"/>
  <c r="V337" i="25"/>
  <c r="AO337" i="25" s="1"/>
  <c r="H339" i="25"/>
  <c r="Z340" i="25"/>
  <c r="AF340" i="25"/>
  <c r="AL340" i="25"/>
  <c r="AJ343" i="25"/>
  <c r="AM343" i="25"/>
  <c r="V344" i="25"/>
  <c r="V343" i="25" s="1"/>
  <c r="AJ345" i="25"/>
  <c r="AL345" i="25"/>
  <c r="I345" i="25"/>
  <c r="AI350" i="25"/>
  <c r="L355" i="25"/>
  <c r="O363" i="25"/>
  <c r="H364" i="25"/>
  <c r="S364" i="25"/>
  <c r="O364" i="25" s="1"/>
  <c r="O365" i="25"/>
  <c r="AJ368" i="25"/>
  <c r="AI368" i="25" s="1"/>
  <c r="AJ370" i="25"/>
  <c r="AI370" i="25" s="1"/>
  <c r="H373" i="25"/>
  <c r="S373" i="25"/>
  <c r="O373" i="25" s="1"/>
  <c r="Z372" i="25"/>
  <c r="AF372" i="25"/>
  <c r="V374" i="25"/>
  <c r="V375" i="25"/>
  <c r="H376" i="25"/>
  <c r="S376" i="25"/>
  <c r="O376" i="25" s="1"/>
  <c r="H377" i="25"/>
  <c r="S377" i="25"/>
  <c r="O377" i="25" s="1"/>
  <c r="H378" i="25"/>
  <c r="S378" i="25"/>
  <c r="O378" i="25" s="1"/>
  <c r="AI380" i="25"/>
  <c r="V381" i="25"/>
  <c r="H382" i="25"/>
  <c r="S382" i="25"/>
  <c r="O382" i="25" s="1"/>
  <c r="AI383" i="25"/>
  <c r="AO383" i="25" s="1"/>
  <c r="I385" i="25"/>
  <c r="L385" i="25"/>
  <c r="AF385" i="25"/>
  <c r="H391" i="25"/>
  <c r="V392" i="25"/>
  <c r="H393" i="25"/>
  <c r="V394" i="25"/>
  <c r="AK397" i="25"/>
  <c r="S397" i="25"/>
  <c r="O397" i="25" s="1"/>
  <c r="AB397" i="25"/>
  <c r="AM397" i="25" s="1"/>
  <c r="O398" i="25"/>
  <c r="Z398" i="25"/>
  <c r="Z397" i="25" s="1"/>
  <c r="AC397" i="25"/>
  <c r="H399" i="25"/>
  <c r="O400" i="25"/>
  <c r="H401" i="25"/>
  <c r="V402" i="25"/>
  <c r="V404" i="25"/>
  <c r="V406" i="25"/>
  <c r="H407" i="25"/>
  <c r="V409" i="25"/>
  <c r="V410" i="25"/>
  <c r="H411" i="25"/>
  <c r="O412" i="25"/>
  <c r="V412" i="25"/>
  <c r="AM412" i="25"/>
  <c r="AI412" i="25" s="1"/>
  <c r="H413" i="25"/>
  <c r="H415" i="25"/>
  <c r="H416" i="25"/>
  <c r="O423" i="25"/>
  <c r="Z421" i="25"/>
  <c r="AF421" i="25"/>
  <c r="AL421" i="25"/>
  <c r="AI465" i="25"/>
  <c r="O471" i="25"/>
  <c r="V425" i="25"/>
  <c r="H426" i="25"/>
  <c r="V427" i="25"/>
  <c r="S431" i="25"/>
  <c r="AL431" i="25"/>
  <c r="AM431" i="25"/>
  <c r="AI438" i="25"/>
  <c r="AJ439" i="25"/>
  <c r="O440" i="25"/>
  <c r="L439" i="25"/>
  <c r="AI441" i="25"/>
  <c r="AI443" i="25"/>
  <c r="P444" i="25"/>
  <c r="O444" i="25" s="1"/>
  <c r="P445" i="25"/>
  <c r="O445" i="25" s="1"/>
  <c r="H447" i="25"/>
  <c r="O447" i="25"/>
  <c r="H448" i="25"/>
  <c r="AO448" i="25" s="1"/>
  <c r="AI459" i="25"/>
  <c r="L463" i="25"/>
  <c r="V465" i="25"/>
  <c r="H466" i="25"/>
  <c r="S466" i="25"/>
  <c r="O466" i="25" s="1"/>
  <c r="H467" i="25"/>
  <c r="S467" i="25"/>
  <c r="O467" i="25" s="1"/>
  <c r="H469" i="25"/>
  <c r="H471" i="25"/>
  <c r="AM494" i="25"/>
  <c r="AL500" i="25"/>
  <c r="AI560" i="25"/>
  <c r="AI562" i="25"/>
  <c r="AI437" i="25"/>
  <c r="AC463" i="25"/>
  <c r="V478" i="25"/>
  <c r="AL477" i="25"/>
  <c r="V479" i="25"/>
  <c r="H480" i="25"/>
  <c r="S480" i="25"/>
  <c r="O480" i="25" s="1"/>
  <c r="V481" i="25"/>
  <c r="S483" i="25"/>
  <c r="O483" i="25" s="1"/>
  <c r="AI488" i="25"/>
  <c r="V491" i="25"/>
  <c r="V493" i="25"/>
  <c r="V495" i="25"/>
  <c r="R497" i="25"/>
  <c r="P498" i="25"/>
  <c r="P497" i="25" s="1"/>
  <c r="H144" i="18" s="1"/>
  <c r="S497" i="25"/>
  <c r="O502" i="25"/>
  <c r="AF500" i="25"/>
  <c r="V505" i="25"/>
  <c r="O507" i="25"/>
  <c r="O510" i="25"/>
  <c r="O512" i="25"/>
  <c r="AO512" i="25" s="1"/>
  <c r="O514" i="25"/>
  <c r="O516" i="25"/>
  <c r="AO516" i="25" s="1"/>
  <c r="O519" i="25"/>
  <c r="V520" i="25"/>
  <c r="H521" i="25"/>
  <c r="S521" i="25"/>
  <c r="O521" i="25" s="1"/>
  <c r="O522" i="25"/>
  <c r="H523" i="25"/>
  <c r="S523" i="25"/>
  <c r="O523" i="25" s="1"/>
  <c r="H524" i="25"/>
  <c r="S524" i="25"/>
  <c r="O524" i="25" s="1"/>
  <c r="H525" i="25"/>
  <c r="AI535" i="25"/>
  <c r="AL539" i="25"/>
  <c r="AC539" i="25"/>
  <c r="L557" i="25"/>
  <c r="AK557" i="25"/>
  <c r="D578" i="25"/>
  <c r="F578" i="25"/>
  <c r="J578" i="25"/>
  <c r="N578" i="25"/>
  <c r="C595" i="25"/>
  <c r="AL595" i="25"/>
  <c r="W648" i="25"/>
  <c r="V648" i="25" s="1"/>
  <c r="V647" i="25" s="1"/>
  <c r="Y647" i="25"/>
  <c r="Y641" i="25" s="1"/>
  <c r="AM657" i="25"/>
  <c r="AI657" i="25" s="1"/>
  <c r="S657" i="25"/>
  <c r="O657" i="25" s="1"/>
  <c r="U653" i="25"/>
  <c r="U641" i="25" s="1"/>
  <c r="O660" i="25"/>
  <c r="O659" i="25" s="1"/>
  <c r="P659" i="25"/>
  <c r="J641" i="25"/>
  <c r="H666" i="25"/>
  <c r="I665" i="25"/>
  <c r="O666" i="25"/>
  <c r="P665" i="25"/>
  <c r="AI672" i="25"/>
  <c r="AJ671" i="25"/>
  <c r="AI671" i="25" s="1"/>
  <c r="H674" i="25"/>
  <c r="H673" i="25" s="1"/>
  <c r="I673" i="25"/>
  <c r="X641" i="25"/>
  <c r="AB641" i="25"/>
  <c r="AI536" i="25"/>
  <c r="I537" i="25"/>
  <c r="P537" i="25"/>
  <c r="H115" i="18" s="1"/>
  <c r="R537" i="25"/>
  <c r="V540" i="25"/>
  <c r="V545" i="25"/>
  <c r="O547" i="25"/>
  <c r="H548" i="25"/>
  <c r="AN548" i="25" s="1"/>
  <c r="O550" i="25"/>
  <c r="AO556" i="25"/>
  <c r="H558" i="25"/>
  <c r="H559" i="25"/>
  <c r="H560" i="25"/>
  <c r="S560" i="25"/>
  <c r="O560" i="25" s="1"/>
  <c r="H561" i="25"/>
  <c r="H562" i="25"/>
  <c r="S562" i="25"/>
  <c r="O562" i="25" s="1"/>
  <c r="S569" i="25"/>
  <c r="AM572" i="25"/>
  <c r="AM575" i="25"/>
  <c r="AK579" i="25"/>
  <c r="AI583" i="25"/>
  <c r="AO583" i="25" s="1"/>
  <c r="AI586" i="25"/>
  <c r="O587" i="25"/>
  <c r="H588" i="25"/>
  <c r="I591" i="25"/>
  <c r="P591" i="25"/>
  <c r="H150" i="18" s="1"/>
  <c r="G150" i="18" s="1"/>
  <c r="R591" i="25"/>
  <c r="X578" i="25"/>
  <c r="AB578" i="25"/>
  <c r="AA578" i="25"/>
  <c r="AE578" i="25"/>
  <c r="O604" i="25"/>
  <c r="W605" i="25"/>
  <c r="AJ605" i="25"/>
  <c r="AI605" i="25" s="1"/>
  <c r="H607" i="25"/>
  <c r="O611" i="25"/>
  <c r="I612" i="25"/>
  <c r="AK612" i="25"/>
  <c r="H615" i="25"/>
  <c r="Z618" i="25"/>
  <c r="AI620" i="25"/>
  <c r="O621" i="25"/>
  <c r="V622" i="25"/>
  <c r="O623" i="25"/>
  <c r="V624" i="25"/>
  <c r="O625" i="25"/>
  <c r="V626" i="25"/>
  <c r="AK627" i="25"/>
  <c r="AM627" i="25"/>
  <c r="V630" i="25"/>
  <c r="H631" i="25"/>
  <c r="AI632" i="25"/>
  <c r="O633" i="25"/>
  <c r="AI634" i="25"/>
  <c r="AI635" i="25"/>
  <c r="AO635" i="25" s="1"/>
  <c r="O636" i="25"/>
  <c r="W638" i="25"/>
  <c r="S638" i="25"/>
  <c r="AK642" i="25"/>
  <c r="AM642" i="25"/>
  <c r="K641" i="25"/>
  <c r="AI648" i="25"/>
  <c r="AJ647" i="25"/>
  <c r="H651" i="25"/>
  <c r="H650" i="25" s="1"/>
  <c r="I650" i="25"/>
  <c r="O654" i="25"/>
  <c r="P653" i="25"/>
  <c r="AK659" i="25"/>
  <c r="AM659" i="25"/>
  <c r="AJ661" i="25"/>
  <c r="AL661" i="25"/>
  <c r="H662" i="25"/>
  <c r="I661" i="25"/>
  <c r="O662" i="25"/>
  <c r="O661" i="25" s="1"/>
  <c r="P661" i="25"/>
  <c r="O664" i="25"/>
  <c r="O663" i="25" s="1"/>
  <c r="P663" i="25"/>
  <c r="AF641" i="25"/>
  <c r="AI643" i="25"/>
  <c r="AL653" i="25"/>
  <c r="L653" i="25"/>
  <c r="C653" i="25"/>
  <c r="AI655" i="25"/>
  <c r="O656" i="25"/>
  <c r="H657" i="25"/>
  <c r="H658" i="25"/>
  <c r="AJ659" i="25"/>
  <c r="AL659" i="25"/>
  <c r="AI660" i="25"/>
  <c r="AK661" i="25"/>
  <c r="AI662" i="25"/>
  <c r="AK663" i="25"/>
  <c r="AI664" i="25"/>
  <c r="AK665" i="25"/>
  <c r="AI666" i="25"/>
  <c r="O667" i="25"/>
  <c r="AI668" i="25"/>
  <c r="AK669" i="25"/>
  <c r="V672" i="25"/>
  <c r="V671" i="25" s="1"/>
  <c r="AL673" i="25"/>
  <c r="AM675" i="25"/>
  <c r="AI676" i="25"/>
  <c r="AK677" i="25"/>
  <c r="AJ679" i="25"/>
  <c r="AL679" i="25"/>
  <c r="AI680" i="25"/>
  <c r="Z81" i="25"/>
  <c r="AB79" i="25"/>
  <c r="AI103" i="25"/>
  <c r="AI114" i="25"/>
  <c r="I106" i="25"/>
  <c r="H115" i="25"/>
  <c r="AI118" i="25"/>
  <c r="AI142" i="25"/>
  <c r="AO142" i="25" s="1"/>
  <c r="P28" i="25"/>
  <c r="O28" i="25" s="1"/>
  <c r="R16" i="25"/>
  <c r="H39" i="25"/>
  <c r="AI47" i="25"/>
  <c r="AM57" i="25"/>
  <c r="AI57" i="25" s="1"/>
  <c r="Z57" i="25"/>
  <c r="V57" i="25" s="1"/>
  <c r="AI62" i="25"/>
  <c r="I63" i="25"/>
  <c r="H64" i="25"/>
  <c r="H63" i="25" s="1"/>
  <c r="AJ18" i="25"/>
  <c r="P18" i="25"/>
  <c r="O18" i="25" s="1"/>
  <c r="H18" i="25"/>
  <c r="V22" i="25"/>
  <c r="AI22" i="25"/>
  <c r="AK28" i="25"/>
  <c r="AI28" i="25" s="1"/>
  <c r="AI30" i="25"/>
  <c r="AO32" i="25"/>
  <c r="AI42" i="25"/>
  <c r="AB46" i="25"/>
  <c r="AM48" i="25"/>
  <c r="AI48" i="25" s="1"/>
  <c r="Z48" i="25"/>
  <c r="V48" i="25" s="1"/>
  <c r="H55" i="25"/>
  <c r="I54" i="25"/>
  <c r="V55" i="25"/>
  <c r="W54" i="25"/>
  <c r="V56" i="25"/>
  <c r="AI56" i="25"/>
  <c r="AI58" i="25"/>
  <c r="AI60" i="25"/>
  <c r="H62" i="25"/>
  <c r="H68" i="25"/>
  <c r="O68" i="25"/>
  <c r="H78" i="25"/>
  <c r="AI85" i="25"/>
  <c r="AI86" i="25"/>
  <c r="H87" i="25"/>
  <c r="AI88" i="25"/>
  <c r="AI89" i="25"/>
  <c r="AI92" i="25"/>
  <c r="AO92" i="25" s="1"/>
  <c r="O95" i="25"/>
  <c r="O98" i="25"/>
  <c r="S100" i="25"/>
  <c r="O100" i="25" s="1"/>
  <c r="U91" i="25"/>
  <c r="O101" i="25"/>
  <c r="H103" i="25"/>
  <c r="I91" i="25"/>
  <c r="AI111" i="25"/>
  <c r="O113" i="25"/>
  <c r="V119" i="25"/>
  <c r="AI119" i="25"/>
  <c r="AI121" i="25"/>
  <c r="AI127" i="25"/>
  <c r="AI137" i="25"/>
  <c r="AI140" i="25"/>
  <c r="G160" i="25"/>
  <c r="AM17" i="25"/>
  <c r="AL18" i="25"/>
  <c r="AL19" i="25"/>
  <c r="AI19" i="25" s="1"/>
  <c r="AM113" i="25"/>
  <c r="AI113" i="25" s="1"/>
  <c r="U115" i="25"/>
  <c r="AK115" i="25"/>
  <c r="AM115" i="25"/>
  <c r="AM120" i="25"/>
  <c r="AI120" i="25" s="1"/>
  <c r="AM126" i="25"/>
  <c r="AI126" i="25" s="1"/>
  <c r="AM128" i="25"/>
  <c r="AI128" i="25" s="1"/>
  <c r="AM134" i="25"/>
  <c r="AM138" i="25"/>
  <c r="AI138" i="25" s="1"/>
  <c r="AM141" i="25"/>
  <c r="AI141" i="25" s="1"/>
  <c r="O155" i="25"/>
  <c r="P153" i="25"/>
  <c r="AL157" i="25"/>
  <c r="AM158" i="25"/>
  <c r="AI158" i="25" s="1"/>
  <c r="C158" i="25"/>
  <c r="O163" i="25"/>
  <c r="AJ170" i="25"/>
  <c r="AI170" i="25" s="1"/>
  <c r="C170" i="25"/>
  <c r="D162" i="25"/>
  <c r="D161" i="25" s="1"/>
  <c r="AJ180" i="25"/>
  <c r="AI180" i="25" s="1"/>
  <c r="P180" i="25"/>
  <c r="O180" i="25" s="1"/>
  <c r="O200" i="25"/>
  <c r="P199" i="25"/>
  <c r="AI206" i="25"/>
  <c r="H207" i="25"/>
  <c r="O226" i="25"/>
  <c r="O225" i="25" s="1"/>
  <c r="O216" i="25" s="1"/>
  <c r="P225" i="25"/>
  <c r="H81" i="18" s="1"/>
  <c r="O251" i="25"/>
  <c r="AI253" i="25"/>
  <c r="AO253" i="25" s="1"/>
  <c r="AI260" i="25"/>
  <c r="AI261" i="25"/>
  <c r="AO261" i="25" s="1"/>
  <c r="AI265" i="25"/>
  <c r="AI278" i="25"/>
  <c r="O280" i="25"/>
  <c r="O276" i="25" s="1"/>
  <c r="S276" i="25"/>
  <c r="I98" i="18" s="1"/>
  <c r="AI295" i="25"/>
  <c r="H301" i="25"/>
  <c r="I290" i="25"/>
  <c r="AI306" i="25"/>
  <c r="T308" i="25"/>
  <c r="V307" i="25"/>
  <c r="AI321" i="25"/>
  <c r="H329" i="25"/>
  <c r="I328" i="25"/>
  <c r="AI332" i="25"/>
  <c r="AI341" i="25"/>
  <c r="AI362" i="25"/>
  <c r="AL21" i="25"/>
  <c r="AI21" i="25" s="1"/>
  <c r="AL23" i="25"/>
  <c r="AI23" i="25" s="1"/>
  <c r="U25" i="25"/>
  <c r="AK31" i="25"/>
  <c r="AI31" i="25" s="1"/>
  <c r="AO31" i="25" s="1"/>
  <c r="AL35" i="25"/>
  <c r="AI35" i="25" s="1"/>
  <c r="AJ39" i="25"/>
  <c r="AL39" i="25"/>
  <c r="AK46" i="25"/>
  <c r="AM50" i="25"/>
  <c r="AI50" i="25" s="1"/>
  <c r="AM51" i="25"/>
  <c r="AI51" i="25" s="1"/>
  <c r="AM59" i="25"/>
  <c r="AI59" i="25" s="1"/>
  <c r="AK64" i="25"/>
  <c r="AL74" i="25"/>
  <c r="AI74" i="25" s="1"/>
  <c r="AO74" i="25" s="1"/>
  <c r="AL77" i="25"/>
  <c r="AI77" i="25" s="1"/>
  <c r="AJ78" i="25"/>
  <c r="AL78" i="25"/>
  <c r="AM80" i="25"/>
  <c r="AI80" i="25" s="1"/>
  <c r="AO80" i="25" s="1"/>
  <c r="AM81" i="25"/>
  <c r="AI81" i="25" s="1"/>
  <c r="AM82" i="25"/>
  <c r="AI82" i="25" s="1"/>
  <c r="U87" i="25"/>
  <c r="S87" i="25" s="1"/>
  <c r="O87" i="25" s="1"/>
  <c r="AK90" i="25"/>
  <c r="AM90" i="25"/>
  <c r="AM93" i="25"/>
  <c r="AI93" i="25" s="1"/>
  <c r="AM95" i="25"/>
  <c r="AI95" i="25" s="1"/>
  <c r="AM98" i="25"/>
  <c r="AI98" i="25" s="1"/>
  <c r="AM101" i="25"/>
  <c r="AI101" i="25" s="1"/>
  <c r="E16" i="25"/>
  <c r="G16" i="25"/>
  <c r="K16" i="25"/>
  <c r="M16" i="25"/>
  <c r="W16" i="25"/>
  <c r="C17" i="25"/>
  <c r="L17" i="25"/>
  <c r="Q17" i="25"/>
  <c r="C20" i="25"/>
  <c r="AA20" i="25"/>
  <c r="Z20" i="25" s="1"/>
  <c r="V20" i="25" s="1"/>
  <c r="C26" i="25"/>
  <c r="I28" i="25"/>
  <c r="H28" i="25" s="1"/>
  <c r="P30" i="25"/>
  <c r="O30" i="25" s="1"/>
  <c r="M38" i="25"/>
  <c r="M37" i="25" s="1"/>
  <c r="W38" i="25"/>
  <c r="I40" i="25"/>
  <c r="L40" i="25"/>
  <c r="L38" i="25" s="1"/>
  <c r="I41" i="25"/>
  <c r="H41" i="25" s="1"/>
  <c r="I42" i="25"/>
  <c r="H42" i="25" s="1"/>
  <c r="C45" i="25"/>
  <c r="N46" i="25"/>
  <c r="P46" i="25"/>
  <c r="N54" i="25"/>
  <c r="P54" i="25"/>
  <c r="AB54" i="25"/>
  <c r="S56" i="25"/>
  <c r="S54" i="25" s="1"/>
  <c r="S37" i="25" s="1"/>
  <c r="L58" i="25"/>
  <c r="H58" i="25" s="1"/>
  <c r="Z60" i="25"/>
  <c r="V60" i="25" s="1"/>
  <c r="C62" i="25"/>
  <c r="K63" i="25"/>
  <c r="K37" i="25" s="1"/>
  <c r="W63" i="25"/>
  <c r="I67" i="25"/>
  <c r="M67" i="25"/>
  <c r="M66" i="25" s="1"/>
  <c r="W67" i="25"/>
  <c r="W66" i="25" s="1"/>
  <c r="C68" i="25"/>
  <c r="T70" i="25"/>
  <c r="AA70" i="25" s="1"/>
  <c r="C75" i="25"/>
  <c r="E79" i="25"/>
  <c r="G79" i="25"/>
  <c r="I79" i="25"/>
  <c r="K79" i="25"/>
  <c r="K66" i="25" s="1"/>
  <c r="L82" i="25"/>
  <c r="L79" i="25" s="1"/>
  <c r="U84" i="25"/>
  <c r="S84" i="25" s="1"/>
  <c r="O84" i="25" s="1"/>
  <c r="S85" i="25"/>
  <c r="O85" i="25" s="1"/>
  <c r="S86" i="25"/>
  <c r="O86" i="25" s="1"/>
  <c r="C87" i="25"/>
  <c r="S88" i="25"/>
  <c r="O88" i="25" s="1"/>
  <c r="S89" i="25"/>
  <c r="O89" i="25" s="1"/>
  <c r="N91" i="25"/>
  <c r="N66" i="25" s="1"/>
  <c r="P91" i="25"/>
  <c r="AB91" i="25"/>
  <c r="L97" i="25"/>
  <c r="H97" i="25" s="1"/>
  <c r="C103" i="25"/>
  <c r="N106" i="25"/>
  <c r="P106" i="25"/>
  <c r="AJ106" i="25"/>
  <c r="P116" i="25"/>
  <c r="AB116" i="25"/>
  <c r="AJ116" i="25"/>
  <c r="I118" i="25"/>
  <c r="S119" i="25"/>
  <c r="P130" i="25"/>
  <c r="AJ130" i="25"/>
  <c r="I146" i="25"/>
  <c r="V150" i="25"/>
  <c r="Z146" i="25"/>
  <c r="Z145" i="25" s="1"/>
  <c r="Z144" i="25" s="1"/>
  <c r="Z143" i="25" s="1"/>
  <c r="O151" i="25"/>
  <c r="O146" i="25" s="1"/>
  <c r="P146" i="25"/>
  <c r="C153" i="25"/>
  <c r="W153" i="25"/>
  <c r="AI156" i="25"/>
  <c r="AJ153" i="25"/>
  <c r="AJ157" i="25"/>
  <c r="C159" i="25"/>
  <c r="E157" i="25"/>
  <c r="AJ174" i="25"/>
  <c r="AI174" i="25" s="1"/>
  <c r="P174" i="25"/>
  <c r="O174" i="25" s="1"/>
  <c r="AJ178" i="25"/>
  <c r="AI178" i="25" s="1"/>
  <c r="W178" i="25"/>
  <c r="V178" i="25" s="1"/>
  <c r="X162" i="25"/>
  <c r="X161" i="25" s="1"/>
  <c r="X160" i="25" s="1"/>
  <c r="AJ183" i="25"/>
  <c r="AI183" i="25" s="1"/>
  <c r="W183" i="25"/>
  <c r="V183" i="25" s="1"/>
  <c r="P186" i="25"/>
  <c r="R161" i="25"/>
  <c r="R160" i="25" s="1"/>
  <c r="AJ186" i="25"/>
  <c r="O188" i="25"/>
  <c r="AL188" i="25"/>
  <c r="AI190" i="25"/>
  <c r="O191" i="25"/>
  <c r="H194" i="25"/>
  <c r="H191" i="25" s="1"/>
  <c r="I191" i="25"/>
  <c r="AI195" i="25"/>
  <c r="AK191" i="25"/>
  <c r="AK161" i="25" s="1"/>
  <c r="AM191" i="25"/>
  <c r="V196" i="25"/>
  <c r="W191" i="25"/>
  <c r="Q199" i="25"/>
  <c r="Q198" i="25" s="1"/>
  <c r="V206" i="25"/>
  <c r="V210" i="25"/>
  <c r="AO220" i="25"/>
  <c r="AD235" i="25"/>
  <c r="AD215" i="25" s="1"/>
  <c r="AI238" i="25"/>
  <c r="AO238" i="25" s="1"/>
  <c r="AI246" i="25"/>
  <c r="AI247" i="25"/>
  <c r="AI248" i="25"/>
  <c r="AI250" i="25"/>
  <c r="AI263" i="25"/>
  <c r="AO267" i="25"/>
  <c r="AI272" i="25"/>
  <c r="AI274" i="25"/>
  <c r="AI285" i="25"/>
  <c r="O292" i="25"/>
  <c r="S290" i="25"/>
  <c r="I88" i="18" s="1"/>
  <c r="AI294" i="25"/>
  <c r="V296" i="25"/>
  <c r="AI296" i="25"/>
  <c r="AO304" i="25"/>
  <c r="I307" i="25"/>
  <c r="H308" i="25"/>
  <c r="P307" i="25"/>
  <c r="H97" i="18" s="1"/>
  <c r="I312" i="25"/>
  <c r="H314" i="25"/>
  <c r="AI314" i="25"/>
  <c r="O318" i="25"/>
  <c r="H320" i="25"/>
  <c r="O321" i="25"/>
  <c r="S317" i="25"/>
  <c r="I92" i="18" s="1"/>
  <c r="C328" i="25"/>
  <c r="AI335" i="25"/>
  <c r="AM338" i="25"/>
  <c r="AI338" i="25" s="1"/>
  <c r="Z338" i="25"/>
  <c r="V338" i="25" s="1"/>
  <c r="H341" i="25"/>
  <c r="I340" i="25"/>
  <c r="AI342" i="25"/>
  <c r="AI353" i="25"/>
  <c r="AO222" i="25"/>
  <c r="AM251" i="25"/>
  <c r="AI251" i="25" s="1"/>
  <c r="AM254" i="25"/>
  <c r="AI254" i="25" s="1"/>
  <c r="AO254" i="25" s="1"/>
  <c r="AL264" i="25"/>
  <c r="AJ273" i="25"/>
  <c r="AL273" i="25"/>
  <c r="AM280" i="25"/>
  <c r="AI280" i="25" s="1"/>
  <c r="AM282" i="25"/>
  <c r="AI282" i="25" s="1"/>
  <c r="AO282" i="25" s="1"/>
  <c r="AM283" i="25"/>
  <c r="AI283" i="25" s="1"/>
  <c r="AM291" i="25"/>
  <c r="AI291" i="25" s="1"/>
  <c r="AM292" i="25"/>
  <c r="AI292" i="25" s="1"/>
  <c r="AM293" i="25"/>
  <c r="AI293" i="25" s="1"/>
  <c r="AB298" i="25"/>
  <c r="Z298" i="25" s="1"/>
  <c r="V298" i="25" s="1"/>
  <c r="AM299" i="25"/>
  <c r="AI299" i="25" s="1"/>
  <c r="AM300" i="25"/>
  <c r="AI300" i="25" s="1"/>
  <c r="R301" i="25"/>
  <c r="AK301" i="25" s="1"/>
  <c r="AK302" i="25"/>
  <c r="AI302" i="25" s="1"/>
  <c r="AK308" i="25"/>
  <c r="AK316" i="25"/>
  <c r="AI316" i="25" s="1"/>
  <c r="AK318" i="25"/>
  <c r="AM320" i="25"/>
  <c r="AM333" i="25"/>
  <c r="AI333" i="25" s="1"/>
  <c r="AO333" i="25" s="1"/>
  <c r="AI365" i="25"/>
  <c r="AK366" i="25"/>
  <c r="AI366" i="25" s="1"/>
  <c r="I366" i="25"/>
  <c r="S381" i="25"/>
  <c r="AM381" i="25"/>
  <c r="AI381" i="25" s="1"/>
  <c r="AI382" i="25"/>
  <c r="AI388" i="25"/>
  <c r="AI391" i="25"/>
  <c r="W210" i="25"/>
  <c r="W205" i="25" s="1"/>
  <c r="S217" i="25"/>
  <c r="S216" i="25" s="1"/>
  <c r="W217" i="25"/>
  <c r="W216" i="25" s="1"/>
  <c r="P219" i="25"/>
  <c r="H78" i="18" s="1"/>
  <c r="AJ219" i="25"/>
  <c r="AI219" i="25" s="1"/>
  <c r="AO219" i="25" s="1"/>
  <c r="C225" i="25"/>
  <c r="I225" i="25"/>
  <c r="P229" i="25"/>
  <c r="AJ229" i="25"/>
  <c r="AI229" i="25" s="1"/>
  <c r="AO229" i="25" s="1"/>
  <c r="P231" i="25"/>
  <c r="H84" i="18" s="1"/>
  <c r="P233" i="25"/>
  <c r="AJ233" i="25"/>
  <c r="AI233" i="25" s="1"/>
  <c r="AO233" i="25" s="1"/>
  <c r="P240" i="25"/>
  <c r="AJ240" i="25"/>
  <c r="P244" i="25"/>
  <c r="N245" i="25"/>
  <c r="N244" i="25" s="1"/>
  <c r="L246" i="25"/>
  <c r="L245" i="25" s="1"/>
  <c r="L244" i="25" s="1"/>
  <c r="I256" i="25"/>
  <c r="N259" i="25"/>
  <c r="P259" i="25"/>
  <c r="R259" i="25"/>
  <c r="AK259" i="25" s="1"/>
  <c r="T259" i="25"/>
  <c r="L260" i="25"/>
  <c r="L259" i="25" s="1"/>
  <c r="C262" i="25"/>
  <c r="U262" i="25"/>
  <c r="AM262" i="25" s="1"/>
  <c r="AI262" i="25" s="1"/>
  <c r="C272" i="25"/>
  <c r="P274" i="25"/>
  <c r="N290" i="25"/>
  <c r="AB290" i="25"/>
  <c r="AB243" i="25" s="1"/>
  <c r="AJ290" i="25"/>
  <c r="L294" i="25"/>
  <c r="H294" i="25" s="1"/>
  <c r="C296" i="25"/>
  <c r="L297" i="25"/>
  <c r="H297" i="25" s="1"/>
  <c r="C298" i="25"/>
  <c r="C307" i="25"/>
  <c r="K307" i="25"/>
  <c r="K243" i="25" s="1"/>
  <c r="W307" i="25"/>
  <c r="W312" i="25"/>
  <c r="N317" i="25"/>
  <c r="R317" i="25"/>
  <c r="AJ317" i="25"/>
  <c r="P319" i="25"/>
  <c r="O319" i="25" s="1"/>
  <c r="P325" i="25"/>
  <c r="H100" i="18" s="1"/>
  <c r="L328" i="25"/>
  <c r="AB328" i="25"/>
  <c r="AJ328" i="25"/>
  <c r="Z331" i="25"/>
  <c r="S332" i="25"/>
  <c r="S335" i="25"/>
  <c r="O335" i="25" s="1"/>
  <c r="AJ340" i="25"/>
  <c r="C342" i="25"/>
  <c r="W343" i="25"/>
  <c r="P345" i="25"/>
  <c r="S351" i="25"/>
  <c r="S352" i="25"/>
  <c r="O352" i="25" s="1"/>
  <c r="S353" i="25"/>
  <c r="O353" i="25" s="1"/>
  <c r="P355" i="25"/>
  <c r="H107" i="18" s="1"/>
  <c r="AJ355" i="25"/>
  <c r="AK367" i="25"/>
  <c r="AI367" i="25" s="1"/>
  <c r="AO367" i="25" s="1"/>
  <c r="I368" i="25"/>
  <c r="O369" i="25"/>
  <c r="O368" i="25" s="1"/>
  <c r="P368" i="25"/>
  <c r="H108" i="18" s="1"/>
  <c r="I370" i="25"/>
  <c r="O371" i="25"/>
  <c r="O370" i="25" s="1"/>
  <c r="P370" i="25"/>
  <c r="H109" i="18" s="1"/>
  <c r="I372" i="25"/>
  <c r="U372" i="25"/>
  <c r="AI373" i="25"/>
  <c r="AJ372" i="25"/>
  <c r="AL372" i="25"/>
  <c r="O374" i="25"/>
  <c r="AM374" i="25"/>
  <c r="O375" i="25"/>
  <c r="AM375" i="25"/>
  <c r="AI375" i="25" s="1"/>
  <c r="AM379" i="25"/>
  <c r="AI379" i="25" s="1"/>
  <c r="S379" i="25"/>
  <c r="O379" i="25" s="1"/>
  <c r="AB385" i="25"/>
  <c r="Z389" i="25"/>
  <c r="V389" i="25" s="1"/>
  <c r="AI390" i="25"/>
  <c r="AI395" i="25"/>
  <c r="AI396" i="25"/>
  <c r="O409" i="25"/>
  <c r="S520" i="25"/>
  <c r="O520" i="25" s="1"/>
  <c r="U500" i="25"/>
  <c r="AM520" i="25"/>
  <c r="AI520" i="25" s="1"/>
  <c r="AM389" i="25"/>
  <c r="AI389" i="25" s="1"/>
  <c r="AM392" i="25"/>
  <c r="AI392" i="25" s="1"/>
  <c r="U394" i="25"/>
  <c r="AM394" i="25" s="1"/>
  <c r="AI394" i="25" s="1"/>
  <c r="AM407" i="25"/>
  <c r="AI407" i="25" s="1"/>
  <c r="AI410" i="25"/>
  <c r="AM411" i="25"/>
  <c r="C411" i="25"/>
  <c r="AI411" i="25"/>
  <c r="P422" i="25"/>
  <c r="AK422" i="25"/>
  <c r="AI423" i="25"/>
  <c r="AJ421" i="25"/>
  <c r="AI429" i="25"/>
  <c r="AO429" i="25" s="1"/>
  <c r="AK430" i="25"/>
  <c r="AI430" i="25" s="1"/>
  <c r="C430" i="25"/>
  <c r="AI435" i="25"/>
  <c r="AK436" i="25"/>
  <c r="AI436" i="25" s="1"/>
  <c r="C436" i="25"/>
  <c r="V438" i="25"/>
  <c r="V437" i="25" s="1"/>
  <c r="W437" i="25"/>
  <c r="H441" i="25"/>
  <c r="AI445" i="25"/>
  <c r="I446" i="25"/>
  <c r="H446" i="25" s="1"/>
  <c r="K439" i="25"/>
  <c r="AK447" i="25"/>
  <c r="AI447" i="25" s="1"/>
  <c r="AK451" i="25"/>
  <c r="AI451" i="25" s="1"/>
  <c r="C462" i="25"/>
  <c r="C439" i="25" s="1"/>
  <c r="E439" i="25"/>
  <c r="AI464" i="25"/>
  <c r="AJ463" i="25"/>
  <c r="AI467" i="25"/>
  <c r="AM468" i="25"/>
  <c r="AI468" i="25" s="1"/>
  <c r="C468" i="25"/>
  <c r="AM469" i="25"/>
  <c r="C469" i="25"/>
  <c r="AI469" i="25"/>
  <c r="AM470" i="25"/>
  <c r="AI470" i="25" s="1"/>
  <c r="C470" i="25"/>
  <c r="AM471" i="25"/>
  <c r="C471" i="25"/>
  <c r="AI471" i="25"/>
  <c r="AM472" i="25"/>
  <c r="C472" i="25"/>
  <c r="AI472" i="25"/>
  <c r="AI478" i="25"/>
  <c r="AJ477" i="25"/>
  <c r="O479" i="25"/>
  <c r="P477" i="25"/>
  <c r="H130" i="18" s="1"/>
  <c r="AK491" i="25"/>
  <c r="O496" i="25"/>
  <c r="O494" i="25" s="1"/>
  <c r="P494" i="25"/>
  <c r="H143" i="18" s="1"/>
  <c r="AK503" i="25"/>
  <c r="AI503" i="25" s="1"/>
  <c r="C503" i="25"/>
  <c r="E500" i="25"/>
  <c r="AI521" i="25"/>
  <c r="I529" i="25"/>
  <c r="H529" i="25" s="1"/>
  <c r="K500" i="25"/>
  <c r="AJ530" i="25"/>
  <c r="AK532" i="25"/>
  <c r="C532" i="25"/>
  <c r="I540" i="25"/>
  <c r="AK540" i="25"/>
  <c r="K539" i="25"/>
  <c r="S541" i="25"/>
  <c r="O541" i="25" s="1"/>
  <c r="AM541" i="25"/>
  <c r="AJ539" i="25"/>
  <c r="C545" i="25"/>
  <c r="U545" i="25"/>
  <c r="S545" i="25" s="1"/>
  <c r="O545" i="25" s="1"/>
  <c r="S546" i="25"/>
  <c r="O546" i="25" s="1"/>
  <c r="AN546" i="25" s="1"/>
  <c r="AM546" i="25"/>
  <c r="AI546" i="25" s="1"/>
  <c r="N385" i="25"/>
  <c r="P385" i="25"/>
  <c r="H112" i="18" s="1"/>
  <c r="AJ385" i="25"/>
  <c r="C389" i="25"/>
  <c r="C391" i="25"/>
  <c r="C396" i="25"/>
  <c r="C397" i="25"/>
  <c r="I397" i="25"/>
  <c r="W397" i="25"/>
  <c r="P408" i="25"/>
  <c r="H113" i="18" s="1"/>
  <c r="Z408" i="25"/>
  <c r="S410" i="25"/>
  <c r="S408" i="25" s="1"/>
  <c r="I113" i="18" s="1"/>
  <c r="AI413" i="25"/>
  <c r="AM414" i="25"/>
  <c r="C414" i="25"/>
  <c r="AI414" i="25"/>
  <c r="AK420" i="25"/>
  <c r="AI420" i="25" s="1"/>
  <c r="AO420" i="25" s="1"/>
  <c r="I421" i="25"/>
  <c r="K421" i="25"/>
  <c r="W421" i="25"/>
  <c r="H421" i="25"/>
  <c r="L421" i="25"/>
  <c r="AK424" i="25"/>
  <c r="AI424" i="25" s="1"/>
  <c r="AO424" i="25" s="1"/>
  <c r="AK432" i="25"/>
  <c r="AI432" i="25" s="1"/>
  <c r="I432" i="25"/>
  <c r="K431" i="25"/>
  <c r="C433" i="25"/>
  <c r="E431" i="25"/>
  <c r="AK433" i="25"/>
  <c r="AI433" i="25" s="1"/>
  <c r="AK434" i="25"/>
  <c r="AI434" i="25" s="1"/>
  <c r="AO434" i="25" s="1"/>
  <c r="AO441" i="25"/>
  <c r="AK446" i="25"/>
  <c r="AI446" i="25" s="1"/>
  <c r="AO458" i="25"/>
  <c r="AM460" i="25"/>
  <c r="AI460" i="25" s="1"/>
  <c r="S460" i="25"/>
  <c r="O460" i="25" s="1"/>
  <c r="U439" i="25"/>
  <c r="S439" i="25" s="1"/>
  <c r="I119" i="18" s="1"/>
  <c r="AM461" i="25"/>
  <c r="AI461" i="25" s="1"/>
  <c r="S461" i="25"/>
  <c r="O461" i="25" s="1"/>
  <c r="AK462" i="25"/>
  <c r="AI462" i="25" s="1"/>
  <c r="I463" i="25"/>
  <c r="O464" i="25"/>
  <c r="AF463" i="25"/>
  <c r="AL463" i="25"/>
  <c r="AK476" i="25"/>
  <c r="AI476" i="25" s="1"/>
  <c r="AO476" i="25" s="1"/>
  <c r="I477" i="25"/>
  <c r="U477" i="25"/>
  <c r="AC477" i="25"/>
  <c r="AF477" i="25"/>
  <c r="L477" i="25"/>
  <c r="AI480" i="25"/>
  <c r="O481" i="25"/>
  <c r="AM481" i="25"/>
  <c r="AM482" i="25"/>
  <c r="AI482" i="25" s="1"/>
  <c r="O482" i="25"/>
  <c r="AM486" i="25"/>
  <c r="O486" i="25"/>
  <c r="AI486" i="25"/>
  <c r="AK489" i="25"/>
  <c r="AI489" i="25" s="1"/>
  <c r="AO489" i="25" s="1"/>
  <c r="I490" i="25"/>
  <c r="P491" i="25"/>
  <c r="R490" i="25"/>
  <c r="AI495" i="25"/>
  <c r="AI494" i="25" s="1"/>
  <c r="AJ494" i="25"/>
  <c r="O498" i="25"/>
  <c r="O497" i="25" s="1"/>
  <c r="AI498" i="25"/>
  <c r="AJ497" i="25"/>
  <c r="AI497" i="25" s="1"/>
  <c r="V501" i="25"/>
  <c r="AC500" i="25"/>
  <c r="H502" i="25"/>
  <c r="AK504" i="25"/>
  <c r="P504" i="25"/>
  <c r="AO513" i="25"/>
  <c r="AK517" i="25"/>
  <c r="AI517" i="25" s="1"/>
  <c r="AI518" i="25"/>
  <c r="AO518" i="25" s="1"/>
  <c r="AM526" i="25"/>
  <c r="AI526" i="25" s="1"/>
  <c r="S526" i="25"/>
  <c r="AM527" i="25"/>
  <c r="AI527" i="25" s="1"/>
  <c r="S527" i="25"/>
  <c r="O527" i="25" s="1"/>
  <c r="AK529" i="25"/>
  <c r="AI529" i="25" s="1"/>
  <c r="I530" i="25"/>
  <c r="H530" i="25"/>
  <c r="AM531" i="25"/>
  <c r="S531" i="25"/>
  <c r="O531" i="25" s="1"/>
  <c r="L530" i="25"/>
  <c r="AK533" i="25"/>
  <c r="AI533" i="25" s="1"/>
  <c r="C533" i="25"/>
  <c r="AK534" i="25"/>
  <c r="AI534" i="25" s="1"/>
  <c r="C534" i="25"/>
  <c r="G539" i="25"/>
  <c r="S543" i="25"/>
  <c r="O543" i="25" s="1"/>
  <c r="AM543" i="25"/>
  <c r="AI543" i="25" s="1"/>
  <c r="AK538" i="25"/>
  <c r="Z539" i="25"/>
  <c r="AF539" i="25"/>
  <c r="L544" i="25"/>
  <c r="H544" i="25" s="1"/>
  <c r="N539" i="25"/>
  <c r="H545" i="25"/>
  <c r="AI548" i="25"/>
  <c r="AI549" i="25"/>
  <c r="AM550" i="25"/>
  <c r="AI550" i="25" s="1"/>
  <c r="L550" i="25"/>
  <c r="H550" i="25" s="1"/>
  <c r="P551" i="25"/>
  <c r="O551" i="25" s="1"/>
  <c r="AN551" i="25" s="1"/>
  <c r="R539" i="25"/>
  <c r="C552" i="25"/>
  <c r="P554" i="25"/>
  <c r="H123" i="18" s="1"/>
  <c r="H121" i="18" s="1"/>
  <c r="R570" i="25"/>
  <c r="AK570" i="25" s="1"/>
  <c r="AI571" i="25"/>
  <c r="AJ569" i="25"/>
  <c r="AK573" i="25"/>
  <c r="C573" i="25"/>
  <c r="E572" i="25"/>
  <c r="AJ572" i="25"/>
  <c r="H594" i="25"/>
  <c r="H593" i="25" s="1"/>
  <c r="I593" i="25"/>
  <c r="AI594" i="25"/>
  <c r="AJ593" i="25"/>
  <c r="AI593" i="25" s="1"/>
  <c r="AM597" i="25"/>
  <c r="AI597" i="25" s="1"/>
  <c r="S597" i="25"/>
  <c r="O597" i="25" s="1"/>
  <c r="U595" i="25"/>
  <c r="AM598" i="25"/>
  <c r="AI598" i="25" s="1"/>
  <c r="S598" i="25"/>
  <c r="AM599" i="25"/>
  <c r="AI599" i="25" s="1"/>
  <c r="S599" i="25"/>
  <c r="O599" i="25" s="1"/>
  <c r="AM601" i="25"/>
  <c r="AI601" i="25" s="1"/>
  <c r="S601" i="25"/>
  <c r="O601" i="25" s="1"/>
  <c r="L604" i="25"/>
  <c r="L595" i="25" s="1"/>
  <c r="AM604" i="25"/>
  <c r="AJ607" i="25"/>
  <c r="P609" i="25"/>
  <c r="O609" i="25" s="1"/>
  <c r="R607" i="25"/>
  <c r="AK609" i="25"/>
  <c r="AI609" i="25" s="1"/>
  <c r="AI610" i="25"/>
  <c r="AK611" i="25"/>
  <c r="AI611" i="25" s="1"/>
  <c r="AO611" i="25" s="1"/>
  <c r="AI551" i="25"/>
  <c r="C555" i="25"/>
  <c r="E554" i="25"/>
  <c r="AK555" i="25"/>
  <c r="H565" i="25"/>
  <c r="I557" i="25"/>
  <c r="C570" i="25"/>
  <c r="E569" i="25"/>
  <c r="C574" i="25"/>
  <c r="AK574" i="25"/>
  <c r="AI574" i="25" s="1"/>
  <c r="O580" i="25"/>
  <c r="P579" i="25"/>
  <c r="H149" i="18" s="1"/>
  <c r="AM581" i="25"/>
  <c r="S581" i="25"/>
  <c r="U579" i="25"/>
  <c r="AM584" i="25"/>
  <c r="AI584" i="25" s="1"/>
  <c r="S584" i="25"/>
  <c r="O584" i="25" s="1"/>
  <c r="O606" i="25"/>
  <c r="O605" i="25" s="1"/>
  <c r="P605" i="25"/>
  <c r="I607" i="25"/>
  <c r="O614" i="25"/>
  <c r="P612" i="25"/>
  <c r="H154" i="18" s="1"/>
  <c r="V628" i="25"/>
  <c r="W627" i="25"/>
  <c r="H629" i="25"/>
  <c r="I627" i="25"/>
  <c r="H639" i="25"/>
  <c r="H638" i="25" s="1"/>
  <c r="I638" i="25"/>
  <c r="AJ638" i="25"/>
  <c r="P651" i="25"/>
  <c r="R650" i="25"/>
  <c r="H660" i="25"/>
  <c r="I659" i="25"/>
  <c r="H672" i="25"/>
  <c r="H671" i="25" s="1"/>
  <c r="AO671" i="25" s="1"/>
  <c r="I671" i="25"/>
  <c r="C675" i="25"/>
  <c r="O676" i="25"/>
  <c r="O675" i="25" s="1"/>
  <c r="P675" i="25"/>
  <c r="AJ677" i="25"/>
  <c r="H680" i="25"/>
  <c r="H679" i="25" s="1"/>
  <c r="I679" i="25"/>
  <c r="U532" i="25"/>
  <c r="U542" i="25"/>
  <c r="S542" i="25" s="1"/>
  <c r="O542" i="25" s="1"/>
  <c r="AN542" i="25" s="1"/>
  <c r="R553" i="25"/>
  <c r="H555" i="25"/>
  <c r="H554" i="25" s="1"/>
  <c r="I554" i="25"/>
  <c r="O563" i="25"/>
  <c r="P557" i="25"/>
  <c r="AI565" i="25"/>
  <c r="AJ557" i="25"/>
  <c r="AL557" i="25"/>
  <c r="AM566" i="25"/>
  <c r="AI566" i="25" s="1"/>
  <c r="S566" i="25"/>
  <c r="O566" i="25" s="1"/>
  <c r="AI568" i="25"/>
  <c r="H570" i="25"/>
  <c r="H569" i="25" s="1"/>
  <c r="I569" i="25"/>
  <c r="V571" i="25"/>
  <c r="V569" i="25" s="1"/>
  <c r="W569" i="25"/>
  <c r="H573" i="25"/>
  <c r="H572" i="25" s="1"/>
  <c r="I572" i="25"/>
  <c r="P576" i="25"/>
  <c r="R575" i="25"/>
  <c r="AK576" i="25"/>
  <c r="L579" i="25"/>
  <c r="AI580" i="25"/>
  <c r="AJ579" i="25"/>
  <c r="AI581" i="25"/>
  <c r="AI590" i="25"/>
  <c r="AO590" i="25" s="1"/>
  <c r="T578" i="25"/>
  <c r="AD578" i="25"/>
  <c r="AH578" i="25"/>
  <c r="AK592" i="25"/>
  <c r="O594" i="25"/>
  <c r="O593" i="25" s="1"/>
  <c r="P593" i="25"/>
  <c r="H151" i="18" s="1"/>
  <c r="G151" i="18" s="1"/>
  <c r="AI596" i="25"/>
  <c r="O598" i="25"/>
  <c r="AI600" i="25"/>
  <c r="H603" i="25"/>
  <c r="I604" i="25"/>
  <c r="K595" i="25"/>
  <c r="K578" i="25" s="1"/>
  <c r="AK604" i="25"/>
  <c r="O608" i="25"/>
  <c r="AI613" i="25"/>
  <c r="AO613" i="25" s="1"/>
  <c r="AJ612" i="25"/>
  <c r="AL612" i="25"/>
  <c r="AM616" i="25"/>
  <c r="S616" i="25"/>
  <c r="AM617" i="25"/>
  <c r="AI617" i="25" s="1"/>
  <c r="S617" i="25"/>
  <c r="O617" i="25" s="1"/>
  <c r="V620" i="25"/>
  <c r="W618" i="25"/>
  <c r="AC618" i="25"/>
  <c r="AK618" i="25"/>
  <c r="I618" i="25"/>
  <c r="C618" i="25"/>
  <c r="AM623" i="25"/>
  <c r="AI623" i="25" s="1"/>
  <c r="L623" i="25"/>
  <c r="H623" i="25" s="1"/>
  <c r="Z627" i="25"/>
  <c r="AF627" i="25"/>
  <c r="AK640" i="25"/>
  <c r="AI640" i="25" s="1"/>
  <c r="C640" i="25"/>
  <c r="O640" i="25"/>
  <c r="O638" i="25" s="1"/>
  <c r="P638" i="25"/>
  <c r="H156" i="18" s="1"/>
  <c r="G156" i="18" s="1"/>
  <c r="AJ642" i="25"/>
  <c r="H647" i="25"/>
  <c r="AI647" i="25"/>
  <c r="AK651" i="25"/>
  <c r="AI651" i="25" s="1"/>
  <c r="D641" i="25"/>
  <c r="AO664" i="25"/>
  <c r="O674" i="25"/>
  <c r="O673" i="25" s="1"/>
  <c r="P673" i="25"/>
  <c r="V674" i="25"/>
  <c r="V673" i="25" s="1"/>
  <c r="AC673" i="25"/>
  <c r="AC641" i="25" s="1"/>
  <c r="U619" i="25"/>
  <c r="AM621" i="25"/>
  <c r="AI621" i="25" s="1"/>
  <c r="L621" i="25"/>
  <c r="AM625" i="25"/>
  <c r="AI625" i="25" s="1"/>
  <c r="L625" i="25"/>
  <c r="H625" i="25" s="1"/>
  <c r="AI631" i="25"/>
  <c r="AJ627" i="25"/>
  <c r="AL627" i="25"/>
  <c r="L627" i="25"/>
  <c r="AK639" i="25"/>
  <c r="C639" i="25"/>
  <c r="E638" i="25"/>
  <c r="E578" i="25" s="1"/>
  <c r="O643" i="25"/>
  <c r="O642" i="25" s="1"/>
  <c r="S642" i="25"/>
  <c r="AO644" i="25"/>
  <c r="E641" i="25"/>
  <c r="G641" i="25"/>
  <c r="Q641" i="25"/>
  <c r="AA641" i="25"/>
  <c r="AE641" i="25"/>
  <c r="AG641" i="25"/>
  <c r="P648" i="25"/>
  <c r="R647" i="25"/>
  <c r="AO649" i="25"/>
  <c r="AJ650" i="25"/>
  <c r="AK652" i="25"/>
  <c r="AI652" i="25" s="1"/>
  <c r="C652" i="25"/>
  <c r="AK653" i="25"/>
  <c r="H655" i="25"/>
  <c r="I653" i="25"/>
  <c r="O670" i="25"/>
  <c r="O669" i="25" s="1"/>
  <c r="S669" i="25"/>
  <c r="AJ675" i="25"/>
  <c r="AL675" i="25"/>
  <c r="AM677" i="25"/>
  <c r="V678" i="25"/>
  <c r="V677" i="25" s="1"/>
  <c r="W677" i="25"/>
  <c r="AM661" i="25"/>
  <c r="AM663" i="25"/>
  <c r="AM665" i="25"/>
  <c r="AM669" i="25"/>
  <c r="V670" i="25"/>
  <c r="V669" i="25" s="1"/>
  <c r="W669" i="25"/>
  <c r="AJ673" i="25"/>
  <c r="H676" i="25"/>
  <c r="H675" i="25" s="1"/>
  <c r="L675" i="25"/>
  <c r="O678" i="25"/>
  <c r="O677" i="25" s="1"/>
  <c r="S677" i="25"/>
  <c r="O680" i="25"/>
  <c r="O679" i="25" s="1"/>
  <c r="P679" i="25"/>
  <c r="C46" i="25" l="1"/>
  <c r="L16" i="25"/>
  <c r="Y16" i="25"/>
  <c r="AM94" i="25"/>
  <c r="AI94" i="25" s="1"/>
  <c r="AI343" i="25"/>
  <c r="Q160" i="25"/>
  <c r="V205" i="25"/>
  <c r="AO204" i="25"/>
  <c r="Q215" i="25"/>
  <c r="H205" i="25"/>
  <c r="AF15" i="25"/>
  <c r="O210" i="25"/>
  <c r="O205" i="25" s="1"/>
  <c r="AO211" i="25"/>
  <c r="AO487" i="25"/>
  <c r="R36" i="25"/>
  <c r="AO53" i="25"/>
  <c r="AJ205" i="25"/>
  <c r="AJ198" i="25" s="1"/>
  <c r="AK205" i="25"/>
  <c r="AK198" i="25" s="1"/>
  <c r="AK160" i="25" s="1"/>
  <c r="AO123" i="25"/>
  <c r="AO124" i="25"/>
  <c r="AI104" i="25"/>
  <c r="AO104" i="25" s="1"/>
  <c r="AO173" i="25"/>
  <c r="AE160" i="25"/>
  <c r="R641" i="25"/>
  <c r="S653" i="25"/>
  <c r="I158" i="18" s="1"/>
  <c r="G158" i="18" s="1"/>
  <c r="AO508" i="25"/>
  <c r="AO311" i="25"/>
  <c r="AO303" i="25"/>
  <c r="AI604" i="25"/>
  <c r="H627" i="25"/>
  <c r="AO335" i="25"/>
  <c r="X214" i="25"/>
  <c r="H579" i="25"/>
  <c r="AO567" i="25"/>
  <c r="AO506" i="25"/>
  <c r="AO94" i="25"/>
  <c r="AO148" i="25"/>
  <c r="AO155" i="25"/>
  <c r="AO402" i="25"/>
  <c r="AO165" i="25"/>
  <c r="AO69" i="25"/>
  <c r="AO564" i="25"/>
  <c r="AO354" i="25"/>
  <c r="AM198" i="25"/>
  <c r="AO181" i="25"/>
  <c r="AO633" i="25"/>
  <c r="AO350" i="25"/>
  <c r="AO271" i="25"/>
  <c r="AO384" i="25"/>
  <c r="AI673" i="25"/>
  <c r="AO673" i="25" s="1"/>
  <c r="W647" i="25"/>
  <c r="AF578" i="25"/>
  <c r="S579" i="25"/>
  <c r="I149" i="18" s="1"/>
  <c r="G149" i="18" s="1"/>
  <c r="AN550" i="25"/>
  <c r="AO550" i="25" s="1"/>
  <c r="AK439" i="25"/>
  <c r="AI264" i="25"/>
  <c r="AO248" i="25"/>
  <c r="V191" i="25"/>
  <c r="AL186" i="25"/>
  <c r="AL162" i="25" s="1"/>
  <c r="P145" i="25"/>
  <c r="P144" i="25" s="1"/>
  <c r="P143" i="25" s="1"/>
  <c r="AO26" i="25"/>
  <c r="D160" i="25"/>
  <c r="AL145" i="25"/>
  <c r="AL144" i="25" s="1"/>
  <c r="AL143" i="25" s="1"/>
  <c r="AO137" i="25"/>
  <c r="AM653" i="25"/>
  <c r="V477" i="25"/>
  <c r="AO465" i="25"/>
  <c r="AO459" i="25"/>
  <c r="AO443" i="25"/>
  <c r="P236" i="25"/>
  <c r="H87" i="18" s="1"/>
  <c r="AI217" i="25"/>
  <c r="I198" i="25"/>
  <c r="AF14" i="25"/>
  <c r="AO149" i="25"/>
  <c r="AI146" i="25"/>
  <c r="D36" i="25"/>
  <c r="D15" i="25" s="1"/>
  <c r="D14" i="25" s="1"/>
  <c r="Q214" i="25"/>
  <c r="Z161" i="25"/>
  <c r="AO83" i="25"/>
  <c r="AO72" i="25"/>
  <c r="AO61" i="25"/>
  <c r="AO44" i="25"/>
  <c r="AO43" i="25"/>
  <c r="AO27" i="25"/>
  <c r="V259" i="25"/>
  <c r="AO357" i="25"/>
  <c r="H397" i="25"/>
  <c r="AO226" i="25"/>
  <c r="AO343" i="25"/>
  <c r="AO295" i="25"/>
  <c r="AO231" i="25"/>
  <c r="AO406" i="25"/>
  <c r="AO387" i="25"/>
  <c r="AO492" i="25"/>
  <c r="AO108" i="25"/>
  <c r="V356" i="25"/>
  <c r="V355" i="25" s="1"/>
  <c r="AO672" i="25"/>
  <c r="AI665" i="25"/>
  <c r="AI661" i="25"/>
  <c r="AL641" i="25"/>
  <c r="Z578" i="25"/>
  <c r="AO600" i="25"/>
  <c r="R578" i="25"/>
  <c r="AO396" i="25"/>
  <c r="AO451" i="25"/>
  <c r="AO445" i="25"/>
  <c r="AO435" i="25"/>
  <c r="AO409" i="25"/>
  <c r="P372" i="25"/>
  <c r="H111" i="18" s="1"/>
  <c r="AO353" i="25"/>
  <c r="AO319" i="25"/>
  <c r="AO272" i="25"/>
  <c r="AO299" i="25"/>
  <c r="AO321" i="25"/>
  <c r="AL161" i="25"/>
  <c r="S186" i="25"/>
  <c r="S162" i="25" s="1"/>
  <c r="S161" i="25" s="1"/>
  <c r="AI153" i="25"/>
  <c r="S116" i="25"/>
  <c r="AO103" i="25"/>
  <c r="AO88" i="25"/>
  <c r="AO86" i="25"/>
  <c r="AO75" i="25"/>
  <c r="AO30" i="25"/>
  <c r="AO51" i="25"/>
  <c r="AO23" i="25"/>
  <c r="H328" i="25"/>
  <c r="AO278" i="25"/>
  <c r="O199" i="25"/>
  <c r="AO126" i="25"/>
  <c r="AO127" i="25"/>
  <c r="V46" i="25"/>
  <c r="AO668" i="25"/>
  <c r="AO654" i="25"/>
  <c r="AO624" i="25"/>
  <c r="AO615" i="25"/>
  <c r="AO588" i="25"/>
  <c r="AO586" i="25"/>
  <c r="AO559" i="25"/>
  <c r="AO525" i="25"/>
  <c r="AO507" i="25"/>
  <c r="AO493" i="25"/>
  <c r="AO488" i="25"/>
  <c r="V466" i="25"/>
  <c r="AI210" i="25"/>
  <c r="AI205" i="25" s="1"/>
  <c r="AM355" i="25"/>
  <c r="AO288" i="25"/>
  <c r="J215" i="25"/>
  <c r="Y215" i="25"/>
  <c r="Y214" i="25" s="1"/>
  <c r="M215" i="25"/>
  <c r="M214" i="25" s="1"/>
  <c r="H153" i="25"/>
  <c r="H146" i="25"/>
  <c r="AO136" i="25"/>
  <c r="Q36" i="25"/>
  <c r="AO179" i="25"/>
  <c r="AO96" i="25"/>
  <c r="AO76" i="25"/>
  <c r="AO73" i="25"/>
  <c r="AO515" i="25"/>
  <c r="AO511" i="25"/>
  <c r="AO442" i="25"/>
  <c r="AO602" i="25"/>
  <c r="AO241" i="25"/>
  <c r="AO182" i="25"/>
  <c r="AO168" i="25"/>
  <c r="E160" i="25"/>
  <c r="AO122" i="25"/>
  <c r="AO105" i="25"/>
  <c r="AI236" i="25"/>
  <c r="AO236" i="25" s="1"/>
  <c r="O312" i="25"/>
  <c r="AO277" i="25"/>
  <c r="AO169" i="25"/>
  <c r="H130" i="25"/>
  <c r="AO587" i="25"/>
  <c r="AO473" i="25"/>
  <c r="AO416" i="25"/>
  <c r="AO177" i="25"/>
  <c r="AO166" i="25"/>
  <c r="AO361" i="25"/>
  <c r="AO360" i="25"/>
  <c r="AO359" i="25"/>
  <c r="AO358" i="25"/>
  <c r="F36" i="25"/>
  <c r="F15" i="25" s="1"/>
  <c r="F14" i="25" s="1"/>
  <c r="AO628" i="25"/>
  <c r="AO582" i="25"/>
  <c r="AO499" i="25"/>
  <c r="AO419" i="25"/>
  <c r="AO327" i="25"/>
  <c r="AO289" i="25"/>
  <c r="AD36" i="25"/>
  <c r="AD15" i="25" s="1"/>
  <c r="AD14" i="25" s="1"/>
  <c r="AO535" i="25"/>
  <c r="AO418" i="25"/>
  <c r="AO305" i="25"/>
  <c r="AO189" i="25"/>
  <c r="AO102" i="25"/>
  <c r="AO49" i="25"/>
  <c r="AI408" i="25"/>
  <c r="AO656" i="25"/>
  <c r="O431" i="25"/>
  <c r="AO386" i="25"/>
  <c r="AO426" i="25"/>
  <c r="AO415" i="25"/>
  <c r="AO404" i="25"/>
  <c r="AC243" i="25"/>
  <c r="Z160" i="25"/>
  <c r="H199" i="25"/>
  <c r="I641" i="25"/>
  <c r="AL578" i="25"/>
  <c r="AO631" i="25"/>
  <c r="AC578" i="25"/>
  <c r="AO568" i="25"/>
  <c r="H557" i="25"/>
  <c r="AO629" i="25"/>
  <c r="V627" i="25"/>
  <c r="AN543" i="25"/>
  <c r="AO543" i="25" s="1"/>
  <c r="V463" i="25"/>
  <c r="AO449" i="25"/>
  <c r="AO444" i="25"/>
  <c r="AO395" i="25"/>
  <c r="V385" i="25"/>
  <c r="AO368" i="25"/>
  <c r="AO352" i="25"/>
  <c r="Z328" i="25"/>
  <c r="AO297" i="25"/>
  <c r="I216" i="25"/>
  <c r="W198" i="25"/>
  <c r="AO388" i="25"/>
  <c r="AO365" i="25"/>
  <c r="AO316" i="25"/>
  <c r="AO302" i="25"/>
  <c r="AO300" i="25"/>
  <c r="AO283" i="25"/>
  <c r="AO280" i="25"/>
  <c r="AO322" i="25"/>
  <c r="H312" i="25"/>
  <c r="AO156" i="25"/>
  <c r="W145" i="25"/>
  <c r="W144" i="25" s="1"/>
  <c r="W143" i="25" s="1"/>
  <c r="I145" i="25"/>
  <c r="I144" i="25" s="1"/>
  <c r="I143" i="25" s="1"/>
  <c r="AO60" i="25"/>
  <c r="AO45" i="25"/>
  <c r="AO41" i="25"/>
  <c r="AO28" i="25"/>
  <c r="V16" i="25"/>
  <c r="AO98" i="25"/>
  <c r="AO93" i="25"/>
  <c r="AO207" i="25"/>
  <c r="AO141" i="25"/>
  <c r="AO19" i="25"/>
  <c r="AO121" i="25"/>
  <c r="AJ37" i="25"/>
  <c r="AJ36" i="25" s="1"/>
  <c r="AO630" i="25"/>
  <c r="AO561" i="25"/>
  <c r="AO558" i="25"/>
  <c r="AN547" i="25"/>
  <c r="AO547" i="25" s="1"/>
  <c r="AO536" i="25"/>
  <c r="AO522" i="25"/>
  <c r="V494" i="25"/>
  <c r="AO483" i="25"/>
  <c r="AO427" i="25"/>
  <c r="AO425" i="25"/>
  <c r="AO400" i="25"/>
  <c r="AO281" i="25"/>
  <c r="AO270" i="25"/>
  <c r="H216" i="25"/>
  <c r="AG214" i="25"/>
  <c r="AB160" i="25"/>
  <c r="N160" i="25"/>
  <c r="AO171" i="25"/>
  <c r="AO117" i="25"/>
  <c r="AO110" i="25"/>
  <c r="AJ66" i="25"/>
  <c r="H46" i="25"/>
  <c r="P607" i="25"/>
  <c r="AO585" i="25"/>
  <c r="V539" i="25"/>
  <c r="AO485" i="25"/>
  <c r="H186" i="25"/>
  <c r="H162" i="25" s="1"/>
  <c r="H161" i="25" s="1"/>
  <c r="AO475" i="25"/>
  <c r="AO474" i="25"/>
  <c r="AO249" i="25"/>
  <c r="AO626" i="25"/>
  <c r="AO622" i="25"/>
  <c r="AO589" i="25"/>
  <c r="AO528" i="25"/>
  <c r="AO509" i="25"/>
  <c r="AO450" i="25"/>
  <c r="AO349" i="25"/>
  <c r="AO348" i="25"/>
  <c r="AO347" i="25"/>
  <c r="AO346" i="25"/>
  <c r="AO164" i="25"/>
  <c r="AO279" i="25"/>
  <c r="AO313" i="25"/>
  <c r="AO112" i="25"/>
  <c r="AO107" i="25"/>
  <c r="AH36" i="25"/>
  <c r="AH15" i="25" s="1"/>
  <c r="AH14" i="25" s="1"/>
  <c r="AO52" i="25"/>
  <c r="O46" i="25"/>
  <c r="O38" i="25"/>
  <c r="AO24" i="25"/>
  <c r="AO466" i="25"/>
  <c r="AO362" i="25"/>
  <c r="AI345" i="25"/>
  <c r="V91" i="25"/>
  <c r="AO71" i="25"/>
  <c r="L641" i="25"/>
  <c r="AI669" i="25"/>
  <c r="AO669" i="25" s="1"/>
  <c r="AI663" i="25"/>
  <c r="AO663" i="25" s="1"/>
  <c r="H653" i="25"/>
  <c r="AI653" i="25"/>
  <c r="V618" i="25"/>
  <c r="V578" i="25" s="1"/>
  <c r="H604" i="25"/>
  <c r="AO604" i="25" s="1"/>
  <c r="AO614" i="25"/>
  <c r="AO610" i="25"/>
  <c r="AO548" i="25"/>
  <c r="AN544" i="25"/>
  <c r="AO544" i="25" s="1"/>
  <c r="G235" i="25"/>
  <c r="G215" i="25" s="1"/>
  <c r="G214" i="25" s="1"/>
  <c r="AO520" i="25"/>
  <c r="AO517" i="25"/>
  <c r="V500" i="25"/>
  <c r="P463" i="25"/>
  <c r="H125" i="18" s="1"/>
  <c r="AO413" i="25"/>
  <c r="AO479" i="25"/>
  <c r="AO478" i="25"/>
  <c r="AO447" i="25"/>
  <c r="AO437" i="25"/>
  <c r="AO423" i="25"/>
  <c r="AO407" i="25"/>
  <c r="AO392" i="25"/>
  <c r="AO390" i="25"/>
  <c r="AO370" i="25"/>
  <c r="AI240" i="25"/>
  <c r="AO240" i="25" s="1"/>
  <c r="AO225" i="25"/>
  <c r="AO293" i="25"/>
  <c r="AO291" i="25"/>
  <c r="AO251" i="25"/>
  <c r="H340" i="25"/>
  <c r="V325" i="25"/>
  <c r="H307" i="25"/>
  <c r="AO285" i="25"/>
  <c r="AO263" i="25"/>
  <c r="AO252" i="25"/>
  <c r="AO247" i="25"/>
  <c r="AO218" i="25"/>
  <c r="AO212" i="25"/>
  <c r="AM161" i="25"/>
  <c r="AM160" i="25" s="1"/>
  <c r="AI191" i="25"/>
  <c r="O186" i="25"/>
  <c r="O162" i="25" s="1"/>
  <c r="O161" i="25" s="1"/>
  <c r="AO150" i="25"/>
  <c r="P66" i="25"/>
  <c r="AO89" i="25"/>
  <c r="AO85" i="25"/>
  <c r="AO62" i="25"/>
  <c r="AO58" i="25"/>
  <c r="AO42" i="25"/>
  <c r="AO77" i="25"/>
  <c r="AO59" i="25"/>
  <c r="AO50" i="25"/>
  <c r="AO35" i="25"/>
  <c r="AO21" i="25"/>
  <c r="AO265" i="25"/>
  <c r="S245" i="25"/>
  <c r="S244" i="25" s="1"/>
  <c r="I91" i="18" s="1"/>
  <c r="P198" i="25"/>
  <c r="O153" i="25"/>
  <c r="AO153" i="25" s="1"/>
  <c r="AO138" i="25"/>
  <c r="AO128" i="25"/>
  <c r="AO120" i="25"/>
  <c r="AO140" i="25"/>
  <c r="V116" i="25"/>
  <c r="AO100" i="25"/>
  <c r="AO47" i="25"/>
  <c r="R15" i="25"/>
  <c r="R14" i="25" s="1"/>
  <c r="H106" i="25"/>
  <c r="AO667" i="25"/>
  <c r="AO658" i="25"/>
  <c r="AO636" i="25"/>
  <c r="AO634" i="25"/>
  <c r="AO632" i="25"/>
  <c r="AO519" i="25"/>
  <c r="AO514" i="25"/>
  <c r="AO510" i="25"/>
  <c r="AO505" i="25"/>
  <c r="H477" i="25"/>
  <c r="S463" i="25"/>
  <c r="I125" i="18" s="1"/>
  <c r="AO440" i="25"/>
  <c r="AO401" i="25"/>
  <c r="AO399" i="25"/>
  <c r="AO393" i="25"/>
  <c r="AO380" i="25"/>
  <c r="AO363" i="25"/>
  <c r="AO339" i="25"/>
  <c r="AO326" i="25"/>
  <c r="AI312" i="25"/>
  <c r="AO309" i="25"/>
  <c r="AO286" i="25"/>
  <c r="AO268" i="25"/>
  <c r="AJ245" i="25"/>
  <c r="AJ244" i="25" s="1"/>
  <c r="AJ243" i="25" s="1"/>
  <c r="AJ235" i="25" s="1"/>
  <c r="AO203" i="25"/>
  <c r="AC161" i="25"/>
  <c r="AC160" i="25" s="1"/>
  <c r="AO187" i="25"/>
  <c r="AO184" i="25"/>
  <c r="AO147" i="25"/>
  <c r="AO131" i="25"/>
  <c r="AL198" i="25"/>
  <c r="AL160" i="25" s="1"/>
  <c r="V38" i="25"/>
  <c r="AO232" i="25"/>
  <c r="AO457" i="25"/>
  <c r="AO456" i="25"/>
  <c r="AO455" i="25"/>
  <c r="AO454" i="25"/>
  <c r="AO453" i="25"/>
  <c r="AO452" i="25"/>
  <c r="AO330" i="25"/>
  <c r="AO99" i="25"/>
  <c r="Z91" i="25"/>
  <c r="M160" i="25"/>
  <c r="S25" i="25"/>
  <c r="S16" i="25" s="1"/>
  <c r="AI276" i="25"/>
  <c r="AO417" i="25"/>
  <c r="AK638" i="25"/>
  <c r="AI638" i="25" s="1"/>
  <c r="H500" i="25"/>
  <c r="AO482" i="25"/>
  <c r="AO391" i="25"/>
  <c r="AO375" i="25"/>
  <c r="W243" i="25"/>
  <c r="W235" i="25" s="1"/>
  <c r="W215" i="25" s="1"/>
  <c r="AO338" i="25"/>
  <c r="AO174" i="25"/>
  <c r="AI90" i="25"/>
  <c r="AO90" i="25" s="1"/>
  <c r="AO170" i="25"/>
  <c r="AI659" i="25"/>
  <c r="AO657" i="25"/>
  <c r="AO524" i="25"/>
  <c r="AO523" i="25"/>
  <c r="AO378" i="25"/>
  <c r="AO377" i="25"/>
  <c r="AO376" i="25"/>
  <c r="AO364" i="25"/>
  <c r="V245" i="25"/>
  <c r="V244" i="25" s="1"/>
  <c r="X14" i="25"/>
  <c r="AO154" i="25"/>
  <c r="AO152" i="25"/>
  <c r="AO139" i="25"/>
  <c r="Y37" i="25"/>
  <c r="AK37" i="25" s="1"/>
  <c r="AO175" i="25"/>
  <c r="AO637" i="25"/>
  <c r="AO176" i="25"/>
  <c r="AI325" i="25"/>
  <c r="AN549" i="25"/>
  <c r="AO549" i="25" s="1"/>
  <c r="AO484" i="25"/>
  <c r="AO599" i="25"/>
  <c r="AO598" i="25"/>
  <c r="AO580" i="25"/>
  <c r="AO601" i="25"/>
  <c r="AO502" i="25"/>
  <c r="AO494" i="25"/>
  <c r="AO486" i="25"/>
  <c r="AO414" i="25"/>
  <c r="Z290" i="25"/>
  <c r="Z243" i="25" s="1"/>
  <c r="AM298" i="25"/>
  <c r="AI298" i="25" s="1"/>
  <c r="AO298" i="25" s="1"/>
  <c r="AI188" i="25"/>
  <c r="AO188" i="25" s="1"/>
  <c r="AO183" i="25"/>
  <c r="AO151" i="25"/>
  <c r="H145" i="25"/>
  <c r="H144" i="25" s="1"/>
  <c r="H143" i="25" s="1"/>
  <c r="C38" i="25"/>
  <c r="AI78" i="25"/>
  <c r="AO78" i="25" s="1"/>
  <c r="AO111" i="25"/>
  <c r="AO55" i="25"/>
  <c r="H463" i="25"/>
  <c r="H408" i="25"/>
  <c r="AO382" i="25"/>
  <c r="AO202" i="25"/>
  <c r="AO678" i="25"/>
  <c r="L618" i="25"/>
  <c r="L578" i="25" s="1"/>
  <c r="AO623" i="25"/>
  <c r="W578" i="25"/>
  <c r="AO609" i="25"/>
  <c r="AC235" i="25"/>
  <c r="AC215" i="25" s="1"/>
  <c r="AC214" i="25" s="1"/>
  <c r="AO529" i="25"/>
  <c r="S372" i="25"/>
  <c r="I111" i="18" s="1"/>
  <c r="I161" i="25"/>
  <c r="K36" i="25"/>
  <c r="K15" i="25" s="1"/>
  <c r="K14" i="25" s="1"/>
  <c r="AO125" i="25"/>
  <c r="AO101" i="25"/>
  <c r="AO48" i="25"/>
  <c r="AO560" i="25"/>
  <c r="V421" i="25"/>
  <c r="H385" i="25"/>
  <c r="V372" i="25"/>
  <c r="V276" i="25"/>
  <c r="AF243" i="25"/>
  <c r="AF235" i="25" s="1"/>
  <c r="AF215" i="25" s="1"/>
  <c r="AE215" i="25"/>
  <c r="AE214" i="25" s="1"/>
  <c r="AO135" i="25"/>
  <c r="AO133" i="25"/>
  <c r="AO132" i="25"/>
  <c r="J14" i="25"/>
  <c r="AO114" i="25"/>
  <c r="S198" i="25"/>
  <c r="P431" i="25"/>
  <c r="H116" i="18" s="1"/>
  <c r="AI397" i="25"/>
  <c r="O355" i="25"/>
  <c r="AO562" i="25"/>
  <c r="AO412" i="25"/>
  <c r="AO109" i="25"/>
  <c r="V106" i="25"/>
  <c r="O245" i="25"/>
  <c r="O244" i="25" s="1"/>
  <c r="O198" i="25"/>
  <c r="AO180" i="25"/>
  <c r="O91" i="25"/>
  <c r="AO22" i="25"/>
  <c r="AO57" i="25"/>
  <c r="AM87" i="25"/>
  <c r="AI87" i="25" s="1"/>
  <c r="AO87" i="25" s="1"/>
  <c r="H82" i="25"/>
  <c r="H79" i="25" s="1"/>
  <c r="AO662" i="25"/>
  <c r="H661" i="25"/>
  <c r="H612" i="25"/>
  <c r="S477" i="25"/>
  <c r="I130" i="18" s="1"/>
  <c r="P439" i="25"/>
  <c r="V408" i="25"/>
  <c r="H372" i="25"/>
  <c r="S355" i="25"/>
  <c r="I107" i="18" s="1"/>
  <c r="AO344" i="25"/>
  <c r="H276" i="25"/>
  <c r="F214" i="25"/>
  <c r="AA214" i="25"/>
  <c r="AO223" i="25"/>
  <c r="AF160" i="25"/>
  <c r="V130" i="25"/>
  <c r="AE36" i="25"/>
  <c r="AE15" i="25" s="1"/>
  <c r="AE14" i="25" s="1"/>
  <c r="Y36" i="25"/>
  <c r="Y15" i="25" s="1"/>
  <c r="Y14" i="25" s="1"/>
  <c r="AM145" i="25"/>
  <c r="AM144" i="25" s="1"/>
  <c r="AM143" i="25" s="1"/>
  <c r="S130" i="25"/>
  <c r="AO661" i="25"/>
  <c r="V641" i="25"/>
  <c r="AO640" i="25"/>
  <c r="H621" i="25"/>
  <c r="H618" i="25" s="1"/>
  <c r="AO584" i="25"/>
  <c r="AO605" i="25"/>
  <c r="S557" i="25"/>
  <c r="I122" i="18" s="1"/>
  <c r="AO551" i="25"/>
  <c r="S595" i="25"/>
  <c r="I152" i="18" s="1"/>
  <c r="G152" i="18" s="1"/>
  <c r="O539" i="25"/>
  <c r="S500" i="25"/>
  <c r="I145" i="18" s="1"/>
  <c r="AK500" i="25"/>
  <c r="AO480" i="25"/>
  <c r="O463" i="25"/>
  <c r="S539" i="25"/>
  <c r="I117" i="18" s="1"/>
  <c r="AO467" i="25"/>
  <c r="I439" i="25"/>
  <c r="AO373" i="25"/>
  <c r="AB235" i="25"/>
  <c r="AB215" i="25" s="1"/>
  <c r="AB214" i="25" s="1"/>
  <c r="AO264" i="25"/>
  <c r="V162" i="25"/>
  <c r="AM54" i="25"/>
  <c r="AI54" i="25" s="1"/>
  <c r="AI627" i="25"/>
  <c r="AO625" i="25"/>
  <c r="AO617" i="25"/>
  <c r="O607" i="25"/>
  <c r="AO597" i="25"/>
  <c r="AM595" i="25"/>
  <c r="AO593" i="25"/>
  <c r="O581" i="25"/>
  <c r="AO581" i="25" s="1"/>
  <c r="AI677" i="25"/>
  <c r="AO677" i="25" s="1"/>
  <c r="AO571" i="25"/>
  <c r="AO565" i="25"/>
  <c r="AK607" i="25"/>
  <c r="AI607" i="25" s="1"/>
  <c r="P539" i="25"/>
  <c r="H117" i="18" s="1"/>
  <c r="AN541" i="25"/>
  <c r="AO533" i="25"/>
  <c r="I500" i="25"/>
  <c r="AO497" i="25"/>
  <c r="AO496" i="25"/>
  <c r="AO461" i="25"/>
  <c r="AO446" i="25"/>
  <c r="AO521" i="25"/>
  <c r="AO471" i="25"/>
  <c r="AO469" i="25"/>
  <c r="O381" i="25"/>
  <c r="AO381" i="25" s="1"/>
  <c r="AO379" i="25"/>
  <c r="AO371" i="25"/>
  <c r="AO369" i="25"/>
  <c r="AO292" i="25"/>
  <c r="P317" i="25"/>
  <c r="H92" i="18" s="1"/>
  <c r="AO250" i="25"/>
  <c r="AO195" i="25"/>
  <c r="AO329" i="25"/>
  <c r="AO200" i="25"/>
  <c r="AI115" i="25"/>
  <c r="AI679" i="25"/>
  <c r="AO679" i="25" s="1"/>
  <c r="O653" i="25"/>
  <c r="O665" i="25"/>
  <c r="AO666" i="25"/>
  <c r="H665" i="25"/>
  <c r="AO665" i="25" s="1"/>
  <c r="V490" i="25"/>
  <c r="J214" i="25"/>
  <c r="D214" i="25"/>
  <c r="V398" i="25"/>
  <c r="AI199" i="25"/>
  <c r="O130" i="25"/>
  <c r="AG36" i="25"/>
  <c r="AG15" i="25" s="1"/>
  <c r="AG14" i="25" s="1"/>
  <c r="AC36" i="25"/>
  <c r="AC15" i="25" s="1"/>
  <c r="AC14" i="25" s="1"/>
  <c r="AK372" i="25"/>
  <c r="V315" i="25"/>
  <c r="L145" i="25"/>
  <c r="L144" i="25" s="1"/>
  <c r="L143" i="25" s="1"/>
  <c r="Z106" i="25"/>
  <c r="AK569" i="25"/>
  <c r="AI570" i="25"/>
  <c r="AI569" i="25" s="1"/>
  <c r="AI557" i="25"/>
  <c r="AO566" i="25"/>
  <c r="AO527" i="25"/>
  <c r="AO460" i="25"/>
  <c r="H290" i="25"/>
  <c r="AO294" i="25"/>
  <c r="AI301" i="25"/>
  <c r="AK290" i="25"/>
  <c r="V290" i="25"/>
  <c r="AO97" i="25"/>
  <c r="H91" i="25"/>
  <c r="AM545" i="25"/>
  <c r="AI545" i="25" s="1"/>
  <c r="AI541" i="25"/>
  <c r="L539" i="25"/>
  <c r="AI540" i="25"/>
  <c r="AK539" i="25"/>
  <c r="C530" i="25"/>
  <c r="O526" i="25"/>
  <c r="AO526" i="25" s="1"/>
  <c r="AI504" i="25"/>
  <c r="AO503" i="25"/>
  <c r="C500" i="25"/>
  <c r="AO498" i="25"/>
  <c r="AI491" i="25"/>
  <c r="AI490" i="25" s="1"/>
  <c r="AK490" i="25"/>
  <c r="O477" i="25"/>
  <c r="AO472" i="25"/>
  <c r="AO470" i="25"/>
  <c r="AO468" i="25"/>
  <c r="C463" i="25"/>
  <c r="AO462" i="25"/>
  <c r="H439" i="25"/>
  <c r="AM439" i="25"/>
  <c r="AI439" i="25" s="1"/>
  <c r="AO436" i="25"/>
  <c r="O422" i="25"/>
  <c r="P421" i="25"/>
  <c r="AO411" i="25"/>
  <c r="C408" i="25"/>
  <c r="AK477" i="25"/>
  <c r="AI374" i="25"/>
  <c r="AO374" i="25" s="1"/>
  <c r="AM372" i="25"/>
  <c r="S345" i="25"/>
  <c r="I106" i="18" s="1"/>
  <c r="O332" i="25"/>
  <c r="S328" i="25"/>
  <c r="I101" i="18" s="1"/>
  <c r="K235" i="25"/>
  <c r="K215" i="25" s="1"/>
  <c r="K214" i="25" s="1"/>
  <c r="AO296" i="25"/>
  <c r="C290" i="25"/>
  <c r="C259" i="25"/>
  <c r="H256" i="25"/>
  <c r="AO256" i="25" s="1"/>
  <c r="I245" i="25"/>
  <c r="I244" i="25" s="1"/>
  <c r="I243" i="25" s="1"/>
  <c r="N243" i="25"/>
  <c r="N235" i="25" s="1"/>
  <c r="N215" i="25" s="1"/>
  <c r="N214" i="25" s="1"/>
  <c r="C216" i="25"/>
  <c r="AO438" i="25"/>
  <c r="AI385" i="25"/>
  <c r="Z385" i="25"/>
  <c r="H366" i="25"/>
  <c r="I355" i="25"/>
  <c r="AI318" i="25"/>
  <c r="AK317" i="25"/>
  <c r="AK307" i="25"/>
  <c r="AI273" i="25"/>
  <c r="O351" i="25"/>
  <c r="AO341" i="25"/>
  <c r="AM328" i="25"/>
  <c r="AI328" i="25" s="1"/>
  <c r="O317" i="25"/>
  <c r="H317" i="25"/>
  <c r="L290" i="25"/>
  <c r="L243" i="25" s="1"/>
  <c r="AL259" i="25"/>
  <c r="AI216" i="25"/>
  <c r="V198" i="25"/>
  <c r="C198" i="25"/>
  <c r="W162" i="25"/>
  <c r="W161" i="25" s="1"/>
  <c r="W160" i="25" s="1"/>
  <c r="AK157" i="25"/>
  <c r="AK145" i="25" s="1"/>
  <c r="AK144" i="25" s="1"/>
  <c r="AK143" i="25" s="1"/>
  <c r="E145" i="25"/>
  <c r="E144" i="25" s="1"/>
  <c r="E143" i="25" s="1"/>
  <c r="U79" i="25"/>
  <c r="U66" i="25" s="1"/>
  <c r="AK79" i="25"/>
  <c r="E66" i="25"/>
  <c r="AA67" i="25"/>
  <c r="AA66" i="25" s="1"/>
  <c r="AA36" i="25" s="1"/>
  <c r="Z70" i="25"/>
  <c r="AO68" i="25"/>
  <c r="C67" i="25"/>
  <c r="N37" i="25"/>
  <c r="W37" i="25"/>
  <c r="W36" i="25" s="1"/>
  <c r="W15" i="25" s="1"/>
  <c r="W14" i="25" s="1"/>
  <c r="Q16" i="25"/>
  <c r="Q15" i="25" s="1"/>
  <c r="Q14" i="25" s="1"/>
  <c r="Q13" i="25" s="1"/>
  <c r="P17" i="25"/>
  <c r="C16" i="25"/>
  <c r="I16" i="25"/>
  <c r="AK63" i="25"/>
  <c r="AI63" i="25" s="1"/>
  <c r="AO63" i="25" s="1"/>
  <c r="AI64" i="25"/>
  <c r="AO64" i="25" s="1"/>
  <c r="AM46" i="25"/>
  <c r="AI46" i="25" s="1"/>
  <c r="V331" i="25"/>
  <c r="AL308" i="25"/>
  <c r="AL307" i="25" s="1"/>
  <c r="S308" i="25"/>
  <c r="T307" i="25"/>
  <c r="T243" i="25" s="1"/>
  <c r="T235" i="25" s="1"/>
  <c r="T215" i="25" s="1"/>
  <c r="T214" i="25" s="1"/>
  <c r="AI290" i="25"/>
  <c r="AO306" i="25"/>
  <c r="AM245" i="25"/>
  <c r="AO194" i="25"/>
  <c r="AO158" i="25"/>
  <c r="O119" i="25"/>
  <c r="AM106" i="25"/>
  <c r="AK106" i="25"/>
  <c r="S91" i="25"/>
  <c r="AM91" i="25"/>
  <c r="AI91" i="25" s="1"/>
  <c r="AK16" i="25"/>
  <c r="Z16" i="25"/>
  <c r="L54" i="25"/>
  <c r="L37" i="25" s="1"/>
  <c r="I38" i="25"/>
  <c r="I37" i="25" s="1"/>
  <c r="AL20" i="25"/>
  <c r="AI20" i="25" s="1"/>
  <c r="AO20" i="25" s="1"/>
  <c r="C91" i="25"/>
  <c r="V81" i="25"/>
  <c r="Z79" i="25"/>
  <c r="O79" i="25"/>
  <c r="AI650" i="25"/>
  <c r="C638" i="25"/>
  <c r="U618" i="25"/>
  <c r="U578" i="25" s="1"/>
  <c r="S619" i="25"/>
  <c r="AM612" i="25"/>
  <c r="AI612" i="25" s="1"/>
  <c r="I595" i="25"/>
  <c r="I578" i="25" s="1"/>
  <c r="AK595" i="25"/>
  <c r="AI579" i="25"/>
  <c r="P553" i="25"/>
  <c r="R552" i="25"/>
  <c r="AO676" i="25"/>
  <c r="H659" i="25"/>
  <c r="AO660" i="25"/>
  <c r="P650" i="25"/>
  <c r="O651" i="25"/>
  <c r="AM641" i="25"/>
  <c r="AO643" i="25"/>
  <c r="AI616" i="25"/>
  <c r="C569" i="25"/>
  <c r="AM557" i="25"/>
  <c r="AK572" i="25"/>
  <c r="AK537" i="25"/>
  <c r="AI537" i="25" s="1"/>
  <c r="AO537" i="25" s="1"/>
  <c r="AI538" i="25"/>
  <c r="AO538" i="25" s="1"/>
  <c r="AO534" i="25"/>
  <c r="E235" i="25"/>
  <c r="E215" i="25" s="1"/>
  <c r="E214" i="25" s="1"/>
  <c r="AI431" i="25"/>
  <c r="I431" i="25"/>
  <c r="H432" i="25"/>
  <c r="AI675" i="25"/>
  <c r="AO675" i="25" s="1"/>
  <c r="AO670" i="25"/>
  <c r="AO652" i="25"/>
  <c r="C650" i="25"/>
  <c r="P647" i="25"/>
  <c r="H157" i="18" s="1"/>
  <c r="G157" i="18" s="1"/>
  <c r="O648" i="25"/>
  <c r="S641" i="25"/>
  <c r="AO620" i="25"/>
  <c r="AO674" i="25"/>
  <c r="AO655" i="25"/>
  <c r="AK650" i="25"/>
  <c r="AK641" i="25" s="1"/>
  <c r="W641" i="25"/>
  <c r="AI642" i="25"/>
  <c r="AO642" i="25" s="1"/>
  <c r="AJ641" i="25"/>
  <c r="S612" i="25"/>
  <c r="I154" i="18" s="1"/>
  <c r="G154" i="18" s="1"/>
  <c r="AI595" i="25"/>
  <c r="AK591" i="25"/>
  <c r="AI592" i="25"/>
  <c r="AO592" i="25" s="1"/>
  <c r="AJ578" i="25"/>
  <c r="AI576" i="25"/>
  <c r="AI575" i="25" s="1"/>
  <c r="AK575" i="25"/>
  <c r="P575" i="25"/>
  <c r="H147" i="18" s="1"/>
  <c r="O576" i="25"/>
  <c r="O557" i="25"/>
  <c r="AK553" i="25"/>
  <c r="S532" i="25"/>
  <c r="O532" i="25" s="1"/>
  <c r="U530" i="25"/>
  <c r="S530" i="25" s="1"/>
  <c r="AI639" i="25"/>
  <c r="AO639" i="25" s="1"/>
  <c r="AM619" i="25"/>
  <c r="O616" i="25"/>
  <c r="AO608" i="25"/>
  <c r="AO606" i="25"/>
  <c r="AO594" i="25"/>
  <c r="AM579" i="25"/>
  <c r="AO574" i="25"/>
  <c r="AO563" i="25"/>
  <c r="AK554" i="25"/>
  <c r="AI555" i="25"/>
  <c r="AI554" i="25" s="1"/>
  <c r="C554" i="25"/>
  <c r="AO603" i="25"/>
  <c r="AO596" i="25"/>
  <c r="O595" i="25"/>
  <c r="AI573" i="25"/>
  <c r="AI572" i="25" s="1"/>
  <c r="C572" i="25"/>
  <c r="AO573" i="25"/>
  <c r="P570" i="25"/>
  <c r="R569" i="25"/>
  <c r="AM542" i="25"/>
  <c r="AI542" i="25" s="1"/>
  <c r="AO542" i="25" s="1"/>
  <c r="O504" i="25"/>
  <c r="P500" i="25"/>
  <c r="H145" i="18" s="1"/>
  <c r="AM500" i="25"/>
  <c r="AO501" i="25"/>
  <c r="P490" i="25"/>
  <c r="H135" i="18" s="1"/>
  <c r="O491" i="25"/>
  <c r="AI481" i="25"/>
  <c r="AO481" i="25" s="1"/>
  <c r="AM477" i="25"/>
  <c r="AO433" i="25"/>
  <c r="C431" i="25"/>
  <c r="AK431" i="25"/>
  <c r="AO389" i="25"/>
  <c r="C385" i="25"/>
  <c r="AO546" i="25"/>
  <c r="AN545" i="25"/>
  <c r="C539" i="25"/>
  <c r="U539" i="25"/>
  <c r="H540" i="25"/>
  <c r="I539" i="25"/>
  <c r="AM532" i="25"/>
  <c r="AM530" i="25" s="1"/>
  <c r="AK530" i="25"/>
  <c r="AI531" i="25"/>
  <c r="AO531" i="25" s="1"/>
  <c r="AO495" i="25"/>
  <c r="AM463" i="25"/>
  <c r="AO430" i="25"/>
  <c r="C421" i="25"/>
  <c r="AI422" i="25"/>
  <c r="AK421" i="25"/>
  <c r="AI421" i="25" s="1"/>
  <c r="S394" i="25"/>
  <c r="U385" i="25"/>
  <c r="AK463" i="25"/>
  <c r="AO464" i="25"/>
  <c r="O410" i="25"/>
  <c r="AO410" i="25" s="1"/>
  <c r="AO342" i="25"/>
  <c r="C340" i="25"/>
  <c r="O274" i="25"/>
  <c r="P273" i="25"/>
  <c r="H94" i="18" s="1"/>
  <c r="S262" i="25"/>
  <c r="U259" i="25"/>
  <c r="U243" i="25" s="1"/>
  <c r="P216" i="25"/>
  <c r="AM385" i="25"/>
  <c r="AK355" i="25"/>
  <c r="AI355" i="25" s="1"/>
  <c r="AI320" i="25"/>
  <c r="AO320" i="25" s="1"/>
  <c r="AM317" i="25"/>
  <c r="P301" i="25"/>
  <c r="R290" i="25"/>
  <c r="R243" i="25" s="1"/>
  <c r="AO314" i="25"/>
  <c r="H260" i="25"/>
  <c r="AH214" i="25"/>
  <c r="AD214" i="25"/>
  <c r="AO217" i="25"/>
  <c r="AJ216" i="25"/>
  <c r="AO206" i="25"/>
  <c r="AO190" i="25"/>
  <c r="AJ162" i="25"/>
  <c r="AJ161" i="25" s="1"/>
  <c r="AI186" i="25"/>
  <c r="AO178" i="25"/>
  <c r="C162" i="25"/>
  <c r="AO159" i="25"/>
  <c r="C157" i="25"/>
  <c r="O145" i="25"/>
  <c r="O144" i="25" s="1"/>
  <c r="O143" i="25" s="1"/>
  <c r="H118" i="25"/>
  <c r="I116" i="25"/>
  <c r="G66" i="25"/>
  <c r="S70" i="25"/>
  <c r="T67" i="25"/>
  <c r="I66" i="25"/>
  <c r="P37" i="25"/>
  <c r="H40" i="25"/>
  <c r="AO40" i="25" s="1"/>
  <c r="M36" i="25"/>
  <c r="M15" i="25" s="1"/>
  <c r="M14" i="25" s="1"/>
  <c r="AA16" i="25"/>
  <c r="AI39" i="25"/>
  <c r="AO39" i="25" s="1"/>
  <c r="AI340" i="25"/>
  <c r="H246" i="25"/>
  <c r="P162" i="25"/>
  <c r="P161" i="25" s="1"/>
  <c r="AO163" i="25"/>
  <c r="V146" i="25"/>
  <c r="V145" i="25" s="1"/>
  <c r="V144" i="25" s="1"/>
  <c r="V143" i="25" s="1"/>
  <c r="AJ145" i="25"/>
  <c r="AJ144" i="25" s="1"/>
  <c r="AJ143" i="25" s="1"/>
  <c r="AI134" i="25"/>
  <c r="AO134" i="25" s="1"/>
  <c r="AM130" i="25"/>
  <c r="AI130" i="25" s="1"/>
  <c r="S115" i="25"/>
  <c r="U106" i="25"/>
  <c r="AO196" i="25"/>
  <c r="AO113" i="25"/>
  <c r="AO95" i="25"/>
  <c r="L91" i="25"/>
  <c r="L66" i="25" s="1"/>
  <c r="C79" i="25"/>
  <c r="H67" i="25"/>
  <c r="O56" i="25"/>
  <c r="V54" i="25"/>
  <c r="V37" i="25" s="1"/>
  <c r="AB37" i="25"/>
  <c r="Z46" i="25"/>
  <c r="AM25" i="25"/>
  <c r="AI25" i="25" s="1"/>
  <c r="AI18" i="25"/>
  <c r="AO18" i="25" s="1"/>
  <c r="U16" i="25"/>
  <c r="H17" i="25"/>
  <c r="H16" i="25" s="1"/>
  <c r="C54" i="25"/>
  <c r="Z54" i="25"/>
  <c r="AL38" i="25"/>
  <c r="AI38" i="25" s="1"/>
  <c r="AL37" i="25"/>
  <c r="AJ17" i="25"/>
  <c r="AM116" i="25"/>
  <c r="AI116" i="25" s="1"/>
  <c r="AM84" i="25"/>
  <c r="AI84" i="25" s="1"/>
  <c r="AO84" i="25" s="1"/>
  <c r="AB66" i="25"/>
  <c r="S79" i="25"/>
  <c r="AL70" i="25"/>
  <c r="AI70" i="25" s="1"/>
  <c r="AA15" i="25" l="1"/>
  <c r="AA14" i="25" s="1"/>
  <c r="O439" i="25"/>
  <c r="H119" i="18"/>
  <c r="P578" i="25"/>
  <c r="H153" i="18"/>
  <c r="G153" i="18" s="1"/>
  <c r="AJ160" i="25"/>
  <c r="O530" i="25"/>
  <c r="I148" i="18"/>
  <c r="S160" i="25"/>
  <c r="AO276" i="25"/>
  <c r="H641" i="25"/>
  <c r="O160" i="25"/>
  <c r="AO186" i="25"/>
  <c r="AO659" i="25"/>
  <c r="AO621" i="25"/>
  <c r="AG13" i="25"/>
  <c r="AG12" i="25" s="1"/>
  <c r="AO199" i="25"/>
  <c r="AO653" i="25"/>
  <c r="AO210" i="25"/>
  <c r="AO627" i="25"/>
  <c r="V161" i="25"/>
  <c r="Y13" i="25"/>
  <c r="Y12" i="25" s="1"/>
  <c r="F13" i="25"/>
  <c r="F12" i="25" s="1"/>
  <c r="AF214" i="25"/>
  <c r="I160" i="25"/>
  <c r="X13" i="25"/>
  <c r="X12" i="25" s="1"/>
  <c r="AO191" i="25"/>
  <c r="AI372" i="25"/>
  <c r="AO356" i="25"/>
  <c r="AI106" i="25"/>
  <c r="D13" i="25"/>
  <c r="D12" i="25" s="1"/>
  <c r="P160" i="25"/>
  <c r="AM79" i="25"/>
  <c r="AO557" i="25"/>
  <c r="AO46" i="25"/>
  <c r="V160" i="25"/>
  <c r="O372" i="25"/>
  <c r="AE13" i="25"/>
  <c r="AE12" i="25" s="1"/>
  <c r="AC13" i="25"/>
  <c r="AC12" i="25" s="1"/>
  <c r="AO325" i="25"/>
  <c r="H66" i="25"/>
  <c r="AO82" i="25"/>
  <c r="AM290" i="25"/>
  <c r="AA13" i="25"/>
  <c r="AA12" i="25" s="1"/>
  <c r="M13" i="25"/>
  <c r="M12" i="25" s="1"/>
  <c r="P36" i="25"/>
  <c r="AD13" i="25"/>
  <c r="AD12" i="25" s="1"/>
  <c r="R235" i="25"/>
  <c r="R215" i="25" s="1"/>
  <c r="R214" i="25" s="1"/>
  <c r="R13" i="25" s="1"/>
  <c r="AO205" i="25"/>
  <c r="J13" i="25"/>
  <c r="J12" i="25" s="1"/>
  <c r="H595" i="25"/>
  <c r="AO595" i="25" s="1"/>
  <c r="AF13" i="25"/>
  <c r="AF12" i="25" s="1"/>
  <c r="W214" i="25"/>
  <c r="W13" i="25" s="1"/>
  <c r="W12" i="25" s="1"/>
  <c r="T66" i="25"/>
  <c r="T36" i="25" s="1"/>
  <c r="T15" i="25" s="1"/>
  <c r="T14" i="25" s="1"/>
  <c r="T13" i="25" s="1"/>
  <c r="T12" i="25" s="1"/>
  <c r="AL67" i="25"/>
  <c r="AI67" i="25" s="1"/>
  <c r="K13" i="25"/>
  <c r="K12" i="25" s="1"/>
  <c r="AH13" i="25"/>
  <c r="AH12" i="25" s="1"/>
  <c r="O408" i="25"/>
  <c r="AO408" i="25" s="1"/>
  <c r="AI532" i="25"/>
  <c r="AI500" i="25"/>
  <c r="Z235" i="25"/>
  <c r="Z215" i="25" s="1"/>
  <c r="Z214" i="25" s="1"/>
  <c r="AI477" i="25"/>
  <c r="O25" i="25"/>
  <c r="AO25" i="25" s="1"/>
  <c r="Z37" i="25"/>
  <c r="AO372" i="25"/>
  <c r="AO439" i="25"/>
  <c r="AL16" i="25"/>
  <c r="AI198" i="25"/>
  <c r="AO532" i="25"/>
  <c r="AK243" i="25"/>
  <c r="AM259" i="25"/>
  <c r="AI259" i="25" s="1"/>
  <c r="AO315" i="25"/>
  <c r="V312" i="25"/>
  <c r="AO312" i="25" s="1"/>
  <c r="AO398" i="25"/>
  <c r="V397" i="25"/>
  <c r="AO397" i="25" s="1"/>
  <c r="AO130" i="25"/>
  <c r="AJ215" i="25"/>
  <c r="AJ214" i="25" s="1"/>
  <c r="AI463" i="25"/>
  <c r="AO463" i="25" s="1"/>
  <c r="AI530" i="25"/>
  <c r="AO530" i="25" s="1"/>
  <c r="AO554" i="25"/>
  <c r="O579" i="25"/>
  <c r="AO579" i="25" s="1"/>
  <c r="AO616" i="25"/>
  <c r="AO146" i="25"/>
  <c r="Q12" i="25"/>
  <c r="AI317" i="25"/>
  <c r="AO317" i="25" s="1"/>
  <c r="AO541" i="25"/>
  <c r="V243" i="25"/>
  <c r="AO607" i="25"/>
  <c r="L36" i="25"/>
  <c r="L15" i="25" s="1"/>
  <c r="L14" i="25" s="1"/>
  <c r="O70" i="25"/>
  <c r="S67" i="25"/>
  <c r="S66" i="25" s="1"/>
  <c r="AO118" i="25"/>
  <c r="H116" i="25"/>
  <c r="C161" i="25"/>
  <c r="H259" i="25"/>
  <c r="AO260" i="25"/>
  <c r="O262" i="25"/>
  <c r="S259" i="25"/>
  <c r="I95" i="18" s="1"/>
  <c r="O273" i="25"/>
  <c r="AO273" i="25" s="1"/>
  <c r="AO274" i="25"/>
  <c r="AO504" i="25"/>
  <c r="O500" i="25"/>
  <c r="AO500" i="25" s="1"/>
  <c r="AM618" i="25"/>
  <c r="AI618" i="25" s="1"/>
  <c r="AI619" i="25"/>
  <c r="AK578" i="25"/>
  <c r="AI591" i="25"/>
  <c r="AO591" i="25" s="1"/>
  <c r="O647" i="25"/>
  <c r="AO648" i="25"/>
  <c r="C641" i="25"/>
  <c r="S618" i="25"/>
  <c r="O619" i="25"/>
  <c r="V79" i="25"/>
  <c r="AO81" i="25"/>
  <c r="I36" i="25"/>
  <c r="I15" i="25" s="1"/>
  <c r="I14" i="25" s="1"/>
  <c r="V328" i="25"/>
  <c r="AO331" i="25"/>
  <c r="O17" i="25"/>
  <c r="P16" i="25"/>
  <c r="C66" i="25"/>
  <c r="V70" i="25"/>
  <c r="V67" i="25" s="1"/>
  <c r="V66" i="25" s="1"/>
  <c r="V36" i="25" s="1"/>
  <c r="V15" i="25" s="1"/>
  <c r="V14" i="25" s="1"/>
  <c r="Z67" i="25"/>
  <c r="Z66" i="25" s="1"/>
  <c r="AK66" i="25"/>
  <c r="AK36" i="25" s="1"/>
  <c r="AK15" i="25" s="1"/>
  <c r="AK14" i="25" s="1"/>
  <c r="E36" i="25"/>
  <c r="E15" i="25" s="1"/>
  <c r="E14" i="25" s="1"/>
  <c r="E13" i="25" s="1"/>
  <c r="E12" i="25" s="1"/>
  <c r="U36" i="25"/>
  <c r="U15" i="25" s="1"/>
  <c r="U14" i="25" s="1"/>
  <c r="AL243" i="25"/>
  <c r="AL235" i="25" s="1"/>
  <c r="AL215" i="25" s="1"/>
  <c r="AL214" i="25" s="1"/>
  <c r="AI307" i="25"/>
  <c r="AO366" i="25"/>
  <c r="H355" i="25"/>
  <c r="AO355" i="25" s="1"/>
  <c r="AO216" i="25"/>
  <c r="I235" i="25"/>
  <c r="I215" i="25" s="1"/>
  <c r="I214" i="25" s="1"/>
  <c r="AO545" i="25"/>
  <c r="AJ16" i="25"/>
  <c r="AJ15" i="25" s="1"/>
  <c r="AJ14" i="25" s="1"/>
  <c r="AI17" i="25"/>
  <c r="AI16" i="25" s="1"/>
  <c r="H38" i="25"/>
  <c r="AB36" i="25"/>
  <c r="AB15" i="25" s="1"/>
  <c r="AB14" i="25" s="1"/>
  <c r="AB13" i="25" s="1"/>
  <c r="AB12" i="25" s="1"/>
  <c r="O54" i="25"/>
  <c r="O37" i="25" s="1"/>
  <c r="AO56" i="25"/>
  <c r="AM16" i="25"/>
  <c r="S106" i="25"/>
  <c r="O115" i="25"/>
  <c r="H245" i="25"/>
  <c r="AO246" i="25"/>
  <c r="AM66" i="25"/>
  <c r="G36" i="25"/>
  <c r="G15" i="25" s="1"/>
  <c r="G14" i="25" s="1"/>
  <c r="G13" i="25" s="1"/>
  <c r="G12" i="25" s="1"/>
  <c r="C145" i="25"/>
  <c r="AI157" i="25"/>
  <c r="AI145" i="25" s="1"/>
  <c r="AI144" i="25" s="1"/>
  <c r="AI143" i="25" s="1"/>
  <c r="P290" i="25"/>
  <c r="O301" i="25"/>
  <c r="L235" i="25"/>
  <c r="L215" i="25" s="1"/>
  <c r="L214" i="25" s="1"/>
  <c r="U235" i="25"/>
  <c r="U215" i="25" s="1"/>
  <c r="U214" i="25" s="1"/>
  <c r="AO340" i="25"/>
  <c r="S385" i="25"/>
  <c r="I112" i="18" s="1"/>
  <c r="O394" i="25"/>
  <c r="H539" i="25"/>
  <c r="AN540" i="25"/>
  <c r="AO540" i="25" s="1"/>
  <c r="AN539" i="25"/>
  <c r="O490" i="25"/>
  <c r="AO490" i="25" s="1"/>
  <c r="AO491" i="25"/>
  <c r="O570" i="25"/>
  <c r="P569" i="25"/>
  <c r="H129" i="18" s="1"/>
  <c r="AO572" i="25"/>
  <c r="AO555" i="25"/>
  <c r="AK552" i="25"/>
  <c r="AI552" i="25" s="1"/>
  <c r="AI553" i="25"/>
  <c r="O575" i="25"/>
  <c r="AO575" i="25" s="1"/>
  <c r="AO576" i="25"/>
  <c r="AI641" i="25"/>
  <c r="P641" i="25"/>
  <c r="H431" i="25"/>
  <c r="AO431" i="25" s="1"/>
  <c r="AO432" i="25"/>
  <c r="AO651" i="25"/>
  <c r="O650" i="25"/>
  <c r="AO650" i="25" s="1"/>
  <c r="P552" i="25"/>
  <c r="H120" i="18" s="1"/>
  <c r="O553" i="25"/>
  <c r="AO638" i="25"/>
  <c r="C578" i="25"/>
  <c r="AO91" i="25"/>
  <c r="H54" i="25"/>
  <c r="O116" i="25"/>
  <c r="AO119" i="25"/>
  <c r="AM244" i="25"/>
  <c r="AI245" i="25"/>
  <c r="S307" i="25"/>
  <c r="O308" i="25"/>
  <c r="AO318" i="25"/>
  <c r="C37" i="25"/>
  <c r="N36" i="25"/>
  <c r="N15" i="25" s="1"/>
  <c r="N14" i="25" s="1"/>
  <c r="N13" i="25" s="1"/>
  <c r="N12" i="25" s="1"/>
  <c r="AM37" i="25"/>
  <c r="AI79" i="25"/>
  <c r="AI162" i="25"/>
  <c r="AI161" i="25" s="1"/>
  <c r="H198" i="25"/>
  <c r="H160" i="25" s="1"/>
  <c r="O345" i="25"/>
  <c r="AO345" i="25" s="1"/>
  <c r="AO351" i="25"/>
  <c r="AI308" i="25"/>
  <c r="C243" i="25"/>
  <c r="AO332" i="25"/>
  <c r="O328" i="25"/>
  <c r="O421" i="25"/>
  <c r="AO422" i="25"/>
  <c r="AO477" i="25"/>
  <c r="AM539" i="25"/>
  <c r="AI539" i="25" s="1"/>
  <c r="O612" i="25"/>
  <c r="AO612" i="25" s="1"/>
  <c r="AO421" i="25" l="1"/>
  <c r="H114" i="18"/>
  <c r="P243" i="25"/>
  <c r="H88" i="18"/>
  <c r="S578" i="25"/>
  <c r="I155" i="18"/>
  <c r="G155" i="18" s="1"/>
  <c r="R12" i="25"/>
  <c r="H21" i="18"/>
  <c r="AO328" i="25"/>
  <c r="P15" i="25"/>
  <c r="P14" i="25" s="1"/>
  <c r="T686" i="25"/>
  <c r="I13" i="25"/>
  <c r="I12" i="25" s="1"/>
  <c r="AO54" i="25"/>
  <c r="U686" i="25"/>
  <c r="AO539" i="25"/>
  <c r="AO79" i="25"/>
  <c r="AO17" i="25"/>
  <c r="Z36" i="25"/>
  <c r="Z15" i="25" s="1"/>
  <c r="Z14" i="25" s="1"/>
  <c r="Z13" i="25" s="1"/>
  <c r="Z12" i="25" s="1"/>
  <c r="O16" i="25"/>
  <c r="V235" i="25"/>
  <c r="V215" i="25" s="1"/>
  <c r="V214" i="25" s="1"/>
  <c r="V13" i="25" s="1"/>
  <c r="V12" i="25" s="1"/>
  <c r="AI578" i="25"/>
  <c r="H578" i="25"/>
  <c r="AJ13" i="25"/>
  <c r="AJ12" i="25" s="1"/>
  <c r="AI160" i="25"/>
  <c r="AO16" i="25"/>
  <c r="AL66" i="25"/>
  <c r="AL36" i="25" s="1"/>
  <c r="AL15" i="25" s="1"/>
  <c r="AL14" i="25" s="1"/>
  <c r="AL13" i="25" s="1"/>
  <c r="AL12" i="25" s="1"/>
  <c r="AM578" i="25"/>
  <c r="Q5" i="25"/>
  <c r="E23" i="4" s="1"/>
  <c r="E10" i="27" s="1"/>
  <c r="AM243" i="25"/>
  <c r="AI244" i="25"/>
  <c r="O552" i="25"/>
  <c r="AO552" i="25" s="1"/>
  <c r="AO553" i="25"/>
  <c r="O569" i="25"/>
  <c r="AO569" i="25" s="1"/>
  <c r="AO570" i="25"/>
  <c r="O385" i="25"/>
  <c r="AO385" i="25" s="1"/>
  <c r="AO394" i="25"/>
  <c r="AO301" i="25"/>
  <c r="O290" i="25"/>
  <c r="AO290" i="25" s="1"/>
  <c r="H244" i="25"/>
  <c r="AO245" i="25"/>
  <c r="AO115" i="25"/>
  <c r="O106" i="25"/>
  <c r="AO106" i="25" s="1"/>
  <c r="U13" i="25"/>
  <c r="I21" i="18" s="1"/>
  <c r="AO198" i="25"/>
  <c r="S243" i="25"/>
  <c r="S235" i="25" s="1"/>
  <c r="S215" i="25" s="1"/>
  <c r="S214" i="25" s="1"/>
  <c r="AO161" i="25"/>
  <c r="C160" i="25"/>
  <c r="AO116" i="25"/>
  <c r="S36" i="25"/>
  <c r="AO157" i="25"/>
  <c r="AK235" i="25"/>
  <c r="C235" i="25"/>
  <c r="AM36" i="25"/>
  <c r="AI37" i="25"/>
  <c r="C36" i="25"/>
  <c r="O307" i="25"/>
  <c r="AO307" i="25" s="1"/>
  <c r="AO308" i="25"/>
  <c r="P235" i="25"/>
  <c r="P215" i="25" s="1"/>
  <c r="P214" i="25" s="1"/>
  <c r="P13" i="25" s="1"/>
  <c r="P12" i="25" s="1"/>
  <c r="AO145" i="25"/>
  <c r="C144" i="25"/>
  <c r="H37" i="25"/>
  <c r="H36" i="25" s="1"/>
  <c r="H15" i="25" s="1"/>
  <c r="H14" i="25" s="1"/>
  <c r="AO38" i="25"/>
  <c r="O618" i="25"/>
  <c r="AO618" i="25" s="1"/>
  <c r="AO619" i="25"/>
  <c r="AO647" i="25"/>
  <c r="O641" i="25"/>
  <c r="AO641" i="25" s="1"/>
  <c r="O259" i="25"/>
  <c r="AO262" i="25"/>
  <c r="AO162" i="25"/>
  <c r="AO70" i="25"/>
  <c r="O67" i="25"/>
  <c r="L13" i="25"/>
  <c r="L12" i="25" s="1"/>
  <c r="E9" i="27" l="1"/>
  <c r="F10" i="27"/>
  <c r="AI36" i="25"/>
  <c r="AI15" i="25" s="1"/>
  <c r="AI14" i="25" s="1"/>
  <c r="AO160" i="25"/>
  <c r="AI66" i="25"/>
  <c r="S15" i="25"/>
  <c r="S14" i="25" s="1"/>
  <c r="S13" i="25" s="1"/>
  <c r="S12" i="25" s="1"/>
  <c r="S686" i="25"/>
  <c r="U12" i="25"/>
  <c r="R5" i="25"/>
  <c r="E24" i="4" s="1"/>
  <c r="O66" i="25"/>
  <c r="AO67" i="25"/>
  <c r="O243" i="25"/>
  <c r="O235" i="25" s="1"/>
  <c r="O215" i="25" s="1"/>
  <c r="AO259" i="25"/>
  <c r="AO144" i="25"/>
  <c r="C143" i="25"/>
  <c r="AO143" i="25" s="1"/>
  <c r="AO37" i="25"/>
  <c r="C215" i="25"/>
  <c r="AK215" i="25"/>
  <c r="AM15" i="25"/>
  <c r="AM14" i="25" s="1"/>
  <c r="H243" i="25"/>
  <c r="AO244" i="25"/>
  <c r="C15" i="25"/>
  <c r="O578" i="25"/>
  <c r="AO578" i="25" s="1"/>
  <c r="AM235" i="25"/>
  <c r="AM215" i="25" s="1"/>
  <c r="AM214" i="25" s="1"/>
  <c r="AI243" i="25"/>
  <c r="E22" i="4" l="1"/>
  <c r="E20" i="27"/>
  <c r="F20" i="27" s="1"/>
  <c r="F9" i="27"/>
  <c r="H235" i="25"/>
  <c r="AO243" i="25"/>
  <c r="AK214" i="25"/>
  <c r="AI215" i="25"/>
  <c r="C14" i="25"/>
  <c r="AM13" i="25"/>
  <c r="AM12" i="25" s="1"/>
  <c r="AI235" i="25"/>
  <c r="C214" i="25"/>
  <c r="O214" i="25"/>
  <c r="O36" i="25"/>
  <c r="AO66" i="25"/>
  <c r="E8" i="27" l="1"/>
  <c r="O15" i="25"/>
  <c r="AO36" i="25"/>
  <c r="C13" i="25"/>
  <c r="AK13" i="25"/>
  <c r="AK12" i="25" s="1"/>
  <c r="AI214" i="25"/>
  <c r="AI13" i="25" s="1"/>
  <c r="AI12" i="25" s="1"/>
  <c r="H215" i="25"/>
  <c r="AO235" i="25"/>
  <c r="F8" i="27" l="1"/>
  <c r="H214" i="25"/>
  <c r="AO215" i="25"/>
  <c r="C12" i="25"/>
  <c r="O14" i="25"/>
  <c r="AO15" i="25"/>
  <c r="O13" i="25" l="1"/>
  <c r="AO14" i="25"/>
  <c r="H13" i="25"/>
  <c r="AO214" i="25"/>
  <c r="O12" i="25" l="1"/>
  <c r="O5" i="25"/>
  <c r="E32" i="4" s="1"/>
  <c r="H12" i="25"/>
  <c r="AO13" i="25"/>
  <c r="H16" i="18" l="1"/>
  <c r="H61" i="5" l="1"/>
  <c r="H58" i="5"/>
  <c r="H57" i="5"/>
  <c r="F56" i="5"/>
  <c r="E56" i="5"/>
  <c r="D56" i="5"/>
  <c r="I52" i="5"/>
  <c r="H52" i="5"/>
  <c r="I51" i="5"/>
  <c r="H51" i="5"/>
  <c r="H50" i="5"/>
  <c r="E50" i="5"/>
  <c r="I50" i="5" s="1"/>
  <c r="H49" i="5"/>
  <c r="E49" i="5"/>
  <c r="I49" i="5" s="1"/>
  <c r="I48" i="5"/>
  <c r="H48" i="5"/>
  <c r="I47" i="5"/>
  <c r="H47" i="5"/>
  <c r="I46" i="5"/>
  <c r="H46" i="5"/>
  <c r="I45" i="5"/>
  <c r="H45" i="5"/>
  <c r="I44" i="5"/>
  <c r="H44" i="5"/>
  <c r="I43" i="5"/>
  <c r="H43" i="5"/>
  <c r="H42" i="5"/>
  <c r="I41" i="5"/>
  <c r="H41" i="5"/>
  <c r="I40" i="5"/>
  <c r="H40" i="5"/>
  <c r="H39" i="5"/>
  <c r="G39" i="5"/>
  <c r="G38" i="5" s="1"/>
  <c r="F38" i="5"/>
  <c r="E38" i="5"/>
  <c r="D38" i="5"/>
  <c r="I37" i="5"/>
  <c r="H37" i="5"/>
  <c r="H36" i="5"/>
  <c r="I35" i="5"/>
  <c r="H35" i="5"/>
  <c r="G34" i="5"/>
  <c r="F34" i="5"/>
  <c r="E34" i="5"/>
  <c r="D34" i="5"/>
  <c r="I33" i="5"/>
  <c r="H33" i="5"/>
  <c r="E30" i="5"/>
  <c r="I30" i="5" s="1"/>
  <c r="D30" i="5"/>
  <c r="H30" i="5" s="1"/>
  <c r="I29" i="5"/>
  <c r="H29" i="5"/>
  <c r="I28" i="5"/>
  <c r="H28" i="5"/>
  <c r="I27" i="5"/>
  <c r="H27" i="5"/>
  <c r="G26" i="5"/>
  <c r="F26" i="5"/>
  <c r="E26" i="5"/>
  <c r="D26" i="5"/>
  <c r="I25" i="5"/>
  <c r="H25" i="5"/>
  <c r="I24" i="5"/>
  <c r="H24" i="5"/>
  <c r="G23" i="5"/>
  <c r="F23" i="5"/>
  <c r="E23" i="5"/>
  <c r="D23" i="5"/>
  <c r="E20" i="5"/>
  <c r="I20" i="5" s="1"/>
  <c r="D20" i="5"/>
  <c r="H20" i="5" s="1"/>
  <c r="I19" i="5"/>
  <c r="H19" i="5"/>
  <c r="I18" i="5"/>
  <c r="H18" i="5"/>
  <c r="G17" i="5"/>
  <c r="F17" i="5"/>
  <c r="E17" i="5"/>
  <c r="D17" i="5"/>
  <c r="E14" i="5"/>
  <c r="I14" i="5" s="1"/>
  <c r="D14" i="5"/>
  <c r="H14" i="5" s="1"/>
  <c r="I13" i="5"/>
  <c r="H13" i="5"/>
  <c r="I12" i="5"/>
  <c r="H12" i="5"/>
  <c r="G11" i="5"/>
  <c r="F11" i="5"/>
  <c r="E11" i="5"/>
  <c r="D11" i="5"/>
  <c r="D10" i="5"/>
  <c r="D9" i="5" s="1"/>
  <c r="D8" i="5" s="1"/>
  <c r="I17" i="5" l="1"/>
  <c r="I34" i="5"/>
  <c r="H38" i="5"/>
  <c r="H17" i="5"/>
  <c r="H34" i="5"/>
  <c r="E10" i="5"/>
  <c r="E9" i="5" s="1"/>
  <c r="E8" i="5" s="1"/>
  <c r="I38" i="5"/>
  <c r="G10" i="5"/>
  <c r="H56" i="5"/>
  <c r="F10" i="5"/>
  <c r="H11" i="5"/>
  <c r="H23" i="5"/>
  <c r="H26" i="5"/>
  <c r="I11" i="5"/>
  <c r="I23" i="5"/>
  <c r="I26" i="5"/>
  <c r="G21" i="18"/>
  <c r="H10" i="5" l="1"/>
  <c r="F9" i="5"/>
  <c r="I10" i="5"/>
  <c r="G9" i="5"/>
  <c r="I9" i="5" l="1"/>
  <c r="G8" i="5"/>
  <c r="H9" i="5"/>
  <c r="F8" i="5"/>
  <c r="H8" i="5" s="1"/>
  <c r="I8" i="5" l="1"/>
  <c r="AZ43" i="22"/>
  <c r="AS43" i="22"/>
  <c r="AH43" i="22"/>
  <c r="AE43" i="22"/>
  <c r="AD43" i="22" s="1"/>
  <c r="AA43" i="22"/>
  <c r="Y43" i="22"/>
  <c r="Q43" i="22"/>
  <c r="O43" i="22"/>
  <c r="AW43" i="22" s="1"/>
  <c r="J43" i="22"/>
  <c r="E43" i="22" s="1"/>
  <c r="G43" i="22"/>
  <c r="AZ42" i="22"/>
  <c r="AS42" i="22"/>
  <c r="AH42" i="22"/>
  <c r="AE42" i="22"/>
  <c r="AD42" i="22" s="1"/>
  <c r="AA42" i="22"/>
  <c r="Y42" i="22"/>
  <c r="Q42" i="22"/>
  <c r="AW42" i="22"/>
  <c r="N42" i="22"/>
  <c r="M42" i="22" s="1"/>
  <c r="J42" i="22"/>
  <c r="G42" i="22"/>
  <c r="AZ41" i="22"/>
  <c r="AW41" i="22"/>
  <c r="AS41" i="22"/>
  <c r="AP41" i="22"/>
  <c r="AH41" i="22"/>
  <c r="V41" i="22" s="1"/>
  <c r="AE41" i="22"/>
  <c r="AD41" i="22"/>
  <c r="AA41" i="22"/>
  <c r="X41" i="22"/>
  <c r="Q41" i="22"/>
  <c r="AY41" i="22" s="1"/>
  <c r="N41" i="22"/>
  <c r="J41" i="22"/>
  <c r="G41" i="22"/>
  <c r="D41" i="22" s="1"/>
  <c r="AZ40" i="22"/>
  <c r="AS40" i="22"/>
  <c r="AH40" i="22"/>
  <c r="AE40" i="22"/>
  <c r="AA40" i="22"/>
  <c r="V40" i="22" s="1"/>
  <c r="X40" i="22"/>
  <c r="Q40" i="22"/>
  <c r="J40" i="22"/>
  <c r="E40" i="22" s="1"/>
  <c r="AM40" i="22" s="1"/>
  <c r="G40" i="22"/>
  <c r="F40" i="22" s="1"/>
  <c r="AZ39" i="22"/>
  <c r="AS39" i="22"/>
  <c r="AH39" i="22"/>
  <c r="AE39" i="22"/>
  <c r="AA39" i="22"/>
  <c r="V39" i="22" s="1"/>
  <c r="Y39" i="22"/>
  <c r="AP39" i="22" s="1"/>
  <c r="X39" i="22"/>
  <c r="Q39" i="22"/>
  <c r="N39" i="22"/>
  <c r="M39" i="22"/>
  <c r="J39" i="22"/>
  <c r="E39" i="22" s="1"/>
  <c r="G39" i="22"/>
  <c r="AZ38" i="22"/>
  <c r="AS38" i="22"/>
  <c r="AH38" i="22"/>
  <c r="AE38" i="22"/>
  <c r="AD38" i="22"/>
  <c r="AA38" i="22"/>
  <c r="Y38" i="22"/>
  <c r="Q38" i="22"/>
  <c r="AW38" i="22"/>
  <c r="J38" i="22"/>
  <c r="E38" i="22" s="1"/>
  <c r="G38" i="22"/>
  <c r="F38" i="22" s="1"/>
  <c r="AZ37" i="22"/>
  <c r="AS37" i="22"/>
  <c r="AP37" i="22"/>
  <c r="AH37" i="22"/>
  <c r="AE37" i="22"/>
  <c r="AA37" i="22"/>
  <c r="V37" i="22" s="1"/>
  <c r="X37" i="22"/>
  <c r="U37" i="22"/>
  <c r="Q37" i="22"/>
  <c r="AW37" i="22"/>
  <c r="J37" i="22"/>
  <c r="G37" i="22"/>
  <c r="F37" i="22" s="1"/>
  <c r="AZ36" i="22"/>
  <c r="AS36" i="22"/>
  <c r="AP36" i="22"/>
  <c r="AH36" i="22"/>
  <c r="AE36" i="22"/>
  <c r="AA36" i="22"/>
  <c r="X36" i="22"/>
  <c r="W36" i="22"/>
  <c r="U36" i="22"/>
  <c r="Q36" i="22"/>
  <c r="J36" i="22"/>
  <c r="E36" i="22" s="1"/>
  <c r="G36" i="22"/>
  <c r="AZ35" i="22"/>
  <c r="AS35" i="22"/>
  <c r="AP35" i="22"/>
  <c r="AH35" i="22"/>
  <c r="AF35" i="22"/>
  <c r="AE35" i="22" s="1"/>
  <c r="AA35" i="22"/>
  <c r="X35" i="22"/>
  <c r="Q35" i="22"/>
  <c r="N35" i="22"/>
  <c r="M35" i="22" s="1"/>
  <c r="J35" i="22"/>
  <c r="G35" i="22"/>
  <c r="AZ34" i="22"/>
  <c r="AS34" i="22"/>
  <c r="AP34" i="22"/>
  <c r="AH34" i="22"/>
  <c r="AF34" i="22"/>
  <c r="AE34" i="22" s="1"/>
  <c r="AD34" i="22" s="1"/>
  <c r="AA34" i="22"/>
  <c r="X34" i="22"/>
  <c r="V34" i="22"/>
  <c r="Q34" i="22"/>
  <c r="J34" i="22"/>
  <c r="E34" i="22" s="1"/>
  <c r="G34" i="22"/>
  <c r="AJ33" i="22"/>
  <c r="AI33" i="22"/>
  <c r="AH33" i="22"/>
  <c r="AG33" i="22"/>
  <c r="AC33" i="22"/>
  <c r="AB33" i="22"/>
  <c r="Z33" i="22"/>
  <c r="S33" i="22"/>
  <c r="R33" i="22"/>
  <c r="P33" i="22"/>
  <c r="L33" i="22"/>
  <c r="K33" i="22"/>
  <c r="J33" i="22"/>
  <c r="I33" i="22"/>
  <c r="H33" i="22"/>
  <c r="AH32" i="22"/>
  <c r="AE32" i="22"/>
  <c r="AD32" i="22"/>
  <c r="AA32" i="22"/>
  <c r="X32" i="22"/>
  <c r="Q32" i="22"/>
  <c r="N32" i="22"/>
  <c r="J32" i="22"/>
  <c r="G32" i="22"/>
  <c r="F32" i="22" s="1"/>
  <c r="AH30" i="22"/>
  <c r="AE30" i="22"/>
  <c r="AA30" i="22"/>
  <c r="X30" i="22"/>
  <c r="Q30" i="22"/>
  <c r="N30" i="22"/>
  <c r="J30" i="22"/>
  <c r="E30" i="22" s="1"/>
  <c r="G30" i="22"/>
  <c r="D30" i="22"/>
  <c r="C30" i="22" s="1"/>
  <c r="AH29" i="22"/>
  <c r="AE29" i="22"/>
  <c r="AA29" i="22"/>
  <c r="V29" i="22" s="1"/>
  <c r="X29" i="22"/>
  <c r="Q29" i="22"/>
  <c r="N29" i="22"/>
  <c r="M29" i="22" s="1"/>
  <c r="J29" i="22"/>
  <c r="E29" i="22" s="1"/>
  <c r="G29" i="22"/>
  <c r="D29" i="22" s="1"/>
  <c r="AH28" i="22"/>
  <c r="AE28" i="22"/>
  <c r="AA28" i="22"/>
  <c r="X28" i="22"/>
  <c r="Q28" i="22"/>
  <c r="N28" i="22"/>
  <c r="J28" i="22"/>
  <c r="E28" i="22" s="1"/>
  <c r="G28" i="22"/>
  <c r="AH27" i="22"/>
  <c r="AE27" i="22"/>
  <c r="AA27" i="22"/>
  <c r="X27" i="22"/>
  <c r="Q27" i="22"/>
  <c r="N27" i="22"/>
  <c r="J27" i="22"/>
  <c r="G27" i="22"/>
  <c r="AP26" i="22"/>
  <c r="AH26" i="22"/>
  <c r="AE26" i="22"/>
  <c r="AA26" i="22"/>
  <c r="X26" i="22"/>
  <c r="Q26" i="22"/>
  <c r="N26" i="22"/>
  <c r="J26" i="22"/>
  <c r="E26" i="22" s="1"/>
  <c r="G26" i="22"/>
  <c r="AP25" i="22"/>
  <c r="AH25" i="22"/>
  <c r="AE25" i="22"/>
  <c r="AA25" i="22"/>
  <c r="X25" i="22"/>
  <c r="Q25" i="22"/>
  <c r="N25" i="22"/>
  <c r="J25" i="22"/>
  <c r="G25" i="22"/>
  <c r="AH24" i="22"/>
  <c r="AE24" i="22"/>
  <c r="AA24" i="22"/>
  <c r="X24" i="22"/>
  <c r="U24" i="22"/>
  <c r="Q24" i="22"/>
  <c r="N24" i="22"/>
  <c r="J24" i="22"/>
  <c r="E24" i="22" s="1"/>
  <c r="G24" i="22"/>
  <c r="AS23" i="22"/>
  <c r="AH23" i="22"/>
  <c r="AE23" i="22"/>
  <c r="AA23" i="22"/>
  <c r="X23" i="22"/>
  <c r="Q23" i="22"/>
  <c r="N23" i="22"/>
  <c r="J23" i="22"/>
  <c r="G23" i="22"/>
  <c r="AS22" i="22"/>
  <c r="AH22" i="22"/>
  <c r="AE22" i="22"/>
  <c r="AD22" i="22" s="1"/>
  <c r="AA22" i="22"/>
  <c r="X22" i="22"/>
  <c r="V22" i="22"/>
  <c r="Q22" i="22"/>
  <c r="N22" i="22"/>
  <c r="J22" i="22"/>
  <c r="G22" i="22"/>
  <c r="AZ21" i="22"/>
  <c r="AH21" i="22"/>
  <c r="AE21" i="22"/>
  <c r="AA21" i="22"/>
  <c r="X21" i="22"/>
  <c r="W21" i="22" s="1"/>
  <c r="Q21" i="22"/>
  <c r="N21" i="22"/>
  <c r="J21" i="22"/>
  <c r="E21" i="22" s="1"/>
  <c r="G21" i="22"/>
  <c r="AZ20" i="22"/>
  <c r="AH20" i="22"/>
  <c r="AE20" i="22"/>
  <c r="AA20" i="22"/>
  <c r="V20" i="22" s="1"/>
  <c r="X20" i="22"/>
  <c r="Q20" i="22"/>
  <c r="N20" i="22"/>
  <c r="M20" i="22" s="1"/>
  <c r="J20" i="22"/>
  <c r="E20" i="22" s="1"/>
  <c r="G20" i="22"/>
  <c r="D20" i="22" s="1"/>
  <c r="AZ19" i="22"/>
  <c r="AS19" i="22"/>
  <c r="AH19" i="22"/>
  <c r="AE19" i="22"/>
  <c r="AA19" i="22"/>
  <c r="X19" i="22"/>
  <c r="V19" i="22"/>
  <c r="Q19" i="22"/>
  <c r="N19" i="22"/>
  <c r="J19" i="22"/>
  <c r="G19" i="22"/>
  <c r="AZ18" i="22"/>
  <c r="AH18" i="22"/>
  <c r="AE18" i="22"/>
  <c r="AA18" i="22"/>
  <c r="X18" i="22"/>
  <c r="Q18" i="22"/>
  <c r="N18" i="22"/>
  <c r="J18" i="22"/>
  <c r="G18" i="22"/>
  <c r="AZ17" i="22"/>
  <c r="AS17" i="22"/>
  <c r="AH17" i="22"/>
  <c r="AE17" i="22"/>
  <c r="AA17" i="22"/>
  <c r="V17" i="22" s="1"/>
  <c r="X17" i="22"/>
  <c r="Q17" i="22"/>
  <c r="N17" i="22"/>
  <c r="J17" i="22"/>
  <c r="E17" i="22" s="1"/>
  <c r="G17" i="22"/>
  <c r="D17" i="22" s="1"/>
  <c r="AZ16" i="22"/>
  <c r="AH16" i="22"/>
  <c r="AE16" i="22"/>
  <c r="AE13" i="22" s="1"/>
  <c r="H32" i="18" s="1"/>
  <c r="AA16" i="22"/>
  <c r="V16" i="22" s="1"/>
  <c r="X16" i="22"/>
  <c r="Q16" i="22"/>
  <c r="N16" i="22"/>
  <c r="J16" i="22"/>
  <c r="G16" i="22"/>
  <c r="AZ15" i="22"/>
  <c r="AH15" i="22"/>
  <c r="AE15" i="22"/>
  <c r="AA15" i="22"/>
  <c r="X15" i="22"/>
  <c r="V15" i="22"/>
  <c r="Q15" i="22"/>
  <c r="N15" i="22"/>
  <c r="J15" i="22"/>
  <c r="G15" i="22"/>
  <c r="AZ14" i="22"/>
  <c r="AH14" i="22"/>
  <c r="AE14" i="22"/>
  <c r="AA14" i="22"/>
  <c r="X14" i="22"/>
  <c r="W14" i="22" s="1"/>
  <c r="U14" i="22"/>
  <c r="Q14" i="22"/>
  <c r="N14" i="22"/>
  <c r="M14" i="22" s="1"/>
  <c r="J14" i="22"/>
  <c r="E14" i="22" s="1"/>
  <c r="G14" i="22"/>
  <c r="AJ13" i="22"/>
  <c r="AI13" i="22"/>
  <c r="AG13" i="22"/>
  <c r="AG12" i="22" s="1"/>
  <c r="AF13" i="22"/>
  <c r="AC13" i="22"/>
  <c r="AC12" i="22" s="1"/>
  <c r="AB13" i="22"/>
  <c r="Z13" i="22"/>
  <c r="Z12" i="22" s="1"/>
  <c r="Y13" i="22"/>
  <c r="S13" i="22"/>
  <c r="S12" i="22" s="1"/>
  <c r="R13" i="22"/>
  <c r="Q13" i="22"/>
  <c r="P13" i="22"/>
  <c r="O13" i="22"/>
  <c r="L13" i="22"/>
  <c r="K13" i="22"/>
  <c r="K12" i="22" s="1"/>
  <c r="I13" i="22"/>
  <c r="I12" i="22" s="1"/>
  <c r="H13" i="22"/>
  <c r="AJ12" i="22"/>
  <c r="R12" i="22"/>
  <c r="P12" i="22"/>
  <c r="L12" i="22"/>
  <c r="H12" i="22" l="1"/>
  <c r="F41" i="22"/>
  <c r="W15" i="22"/>
  <c r="AD15" i="22"/>
  <c r="F19" i="22"/>
  <c r="M21" i="22"/>
  <c r="U21" i="22"/>
  <c r="W24" i="22"/>
  <c r="M25" i="22"/>
  <c r="W25" i="22"/>
  <c r="AD26" i="22"/>
  <c r="M27" i="22"/>
  <c r="W27" i="22"/>
  <c r="AD28" i="22"/>
  <c r="AD30" i="22"/>
  <c r="D32" i="22"/>
  <c r="M24" i="22"/>
  <c r="D24" i="22"/>
  <c r="C24" i="22" s="1"/>
  <c r="AD35" i="22"/>
  <c r="U35" i="22"/>
  <c r="E16" i="22"/>
  <c r="AY17" i="22"/>
  <c r="V18" i="22"/>
  <c r="E23" i="22"/>
  <c r="AS33" i="22"/>
  <c r="AR34" i="22"/>
  <c r="AY34" i="22"/>
  <c r="F35" i="22"/>
  <c r="N38" i="22"/>
  <c r="AV38" i="22" s="1"/>
  <c r="AY39" i="22"/>
  <c r="AY40" i="22"/>
  <c r="AV41" i="22"/>
  <c r="E42" i="22"/>
  <c r="N43" i="22"/>
  <c r="M43" i="22" s="1"/>
  <c r="V43" i="22"/>
  <c r="AZ13" i="22"/>
  <c r="AY14" i="22"/>
  <c r="F15" i="22"/>
  <c r="F16" i="22"/>
  <c r="M16" i="22"/>
  <c r="W16" i="22"/>
  <c r="AD16" i="22"/>
  <c r="M17" i="22"/>
  <c r="F18" i="22"/>
  <c r="W18" i="22"/>
  <c r="AD19" i="22"/>
  <c r="AM20" i="22"/>
  <c r="AY20" i="22"/>
  <c r="F22" i="22"/>
  <c r="M23" i="22"/>
  <c r="W23" i="22"/>
  <c r="AD23" i="22"/>
  <c r="E25" i="22"/>
  <c r="F26" i="22"/>
  <c r="M26" i="22"/>
  <c r="E27" i="22"/>
  <c r="F28" i="22"/>
  <c r="M28" i="22"/>
  <c r="AD29" i="22"/>
  <c r="M30" i="22"/>
  <c r="V32" i="22"/>
  <c r="Q33" i="22"/>
  <c r="W35" i="22"/>
  <c r="AO37" i="22"/>
  <c r="AU43" i="22"/>
  <c r="AN35" i="22"/>
  <c r="AM16" i="22"/>
  <c r="G13" i="22"/>
  <c r="AA13" i="22"/>
  <c r="H36" i="18" s="1"/>
  <c r="E15" i="22"/>
  <c r="AM15" i="22" s="1"/>
  <c r="AH13" i="22"/>
  <c r="H33" i="18" s="1"/>
  <c r="U16" i="22"/>
  <c r="T16" i="22" s="1"/>
  <c r="AU16" i="22"/>
  <c r="F17" i="22"/>
  <c r="AD17" i="22"/>
  <c r="E18" i="22"/>
  <c r="E19" i="22"/>
  <c r="AY19" i="22"/>
  <c r="F20" i="22"/>
  <c r="AD20" i="22"/>
  <c r="E22" i="22"/>
  <c r="U23" i="22"/>
  <c r="F24" i="22"/>
  <c r="V25" i="22"/>
  <c r="D26" i="22"/>
  <c r="C26" i="22" s="1"/>
  <c r="V27" i="22"/>
  <c r="D28" i="22"/>
  <c r="C28" i="22" s="1"/>
  <c r="F29" i="22"/>
  <c r="F30" i="22"/>
  <c r="AM39" i="22"/>
  <c r="AM22" i="22"/>
  <c r="AB12" i="22"/>
  <c r="AS12" i="22" s="1"/>
  <c r="F14" i="22"/>
  <c r="V14" i="22"/>
  <c r="D15" i="22"/>
  <c r="M15" i="22"/>
  <c r="AY16" i="22"/>
  <c r="D18" i="22"/>
  <c r="M18" i="22"/>
  <c r="D19" i="22"/>
  <c r="C19" i="22" s="1"/>
  <c r="M19" i="22"/>
  <c r="AU19" i="22" s="1"/>
  <c r="V21" i="22"/>
  <c r="AM21" i="22" s="1"/>
  <c r="D22" i="22"/>
  <c r="M22" i="22"/>
  <c r="V24" i="22"/>
  <c r="U25" i="22"/>
  <c r="AD25" i="22"/>
  <c r="U27" i="22"/>
  <c r="T27" i="22" s="1"/>
  <c r="AD27" i="22"/>
  <c r="V30" i="22"/>
  <c r="E32" i="22"/>
  <c r="AF33" i="22"/>
  <c r="AF12" i="22" s="1"/>
  <c r="E37" i="22"/>
  <c r="AM37" i="22" s="1"/>
  <c r="AU42" i="22"/>
  <c r="Q12" i="22"/>
  <c r="AM19" i="22"/>
  <c r="T14" i="22"/>
  <c r="AD14" i="22"/>
  <c r="AU14" i="22" s="1"/>
  <c r="W17" i="22"/>
  <c r="AN17" i="22" s="1"/>
  <c r="AD18" i="22"/>
  <c r="AU18" i="22" s="1"/>
  <c r="T21" i="22"/>
  <c r="AD21" i="22"/>
  <c r="T24" i="22"/>
  <c r="AD24" i="22"/>
  <c r="V26" i="22"/>
  <c r="V28" i="22"/>
  <c r="M32" i="22"/>
  <c r="D35" i="22"/>
  <c r="AW35" i="22"/>
  <c r="N37" i="22"/>
  <c r="M37" i="22" s="1"/>
  <c r="W37" i="22"/>
  <c r="E41" i="22"/>
  <c r="AY43" i="22"/>
  <c r="AY33" i="22"/>
  <c r="I33" i="18"/>
  <c r="L33" i="18" s="1"/>
  <c r="AO35" i="22"/>
  <c r="AY35" i="22"/>
  <c r="V36" i="22"/>
  <c r="AR36" i="22"/>
  <c r="V38" i="22"/>
  <c r="AR39" i="22"/>
  <c r="AW39" i="22"/>
  <c r="M41" i="22"/>
  <c r="V42" i="22"/>
  <c r="AD13" i="22"/>
  <c r="AM14" i="22"/>
  <c r="C15" i="22"/>
  <c r="C17" i="22"/>
  <c r="AM17" i="22"/>
  <c r="C18" i="22"/>
  <c r="AS13" i="22"/>
  <c r="AY15" i="22"/>
  <c r="AR17" i="22"/>
  <c r="AM18" i="22"/>
  <c r="F25" i="22"/>
  <c r="D25" i="22"/>
  <c r="C25" i="22" s="1"/>
  <c r="W26" i="22"/>
  <c r="AN26" i="22" s="1"/>
  <c r="U26" i="22"/>
  <c r="AO26" i="22"/>
  <c r="F27" i="22"/>
  <c r="D27" i="22"/>
  <c r="C27" i="22" s="1"/>
  <c r="W28" i="22"/>
  <c r="U28" i="22"/>
  <c r="T28" i="22" s="1"/>
  <c r="W30" i="22"/>
  <c r="U30" i="22"/>
  <c r="N34" i="22"/>
  <c r="O33" i="22"/>
  <c r="O12" i="22" s="1"/>
  <c r="W34" i="22"/>
  <c r="U34" i="22"/>
  <c r="AM34" i="22"/>
  <c r="AW34" i="22"/>
  <c r="AR35" i="22"/>
  <c r="V35" i="22"/>
  <c r="AA33" i="22"/>
  <c r="AA12" i="22" s="1"/>
  <c r="AL35" i="22"/>
  <c r="AV35" i="22"/>
  <c r="AW36" i="22"/>
  <c r="N36" i="22"/>
  <c r="M36" i="22" s="1"/>
  <c r="AD36" i="22"/>
  <c r="T37" i="22"/>
  <c r="AD37" i="22"/>
  <c r="X38" i="22"/>
  <c r="AP38" i="22"/>
  <c r="Y33" i="22"/>
  <c r="AP33" i="22" s="1"/>
  <c r="AV39" i="22"/>
  <c r="AD39" i="22"/>
  <c r="AU39" i="22" s="1"/>
  <c r="N40" i="22"/>
  <c r="AW40" i="22"/>
  <c r="X42" i="22"/>
  <c r="AP42" i="22"/>
  <c r="F43" i="22"/>
  <c r="D43" i="22"/>
  <c r="C43" i="22" s="1"/>
  <c r="AI12" i="22"/>
  <c r="AZ12" i="22" s="1"/>
  <c r="J13" i="22"/>
  <c r="AR13" i="22" s="1"/>
  <c r="N13" i="22"/>
  <c r="X13" i="22"/>
  <c r="H35" i="18" s="1"/>
  <c r="D14" i="22"/>
  <c r="U15" i="22"/>
  <c r="D16" i="22"/>
  <c r="C16" i="22" s="1"/>
  <c r="U17" i="22"/>
  <c r="T17" i="22" s="1"/>
  <c r="U18" i="22"/>
  <c r="T18" i="22" s="1"/>
  <c r="AY18" i="22"/>
  <c r="W19" i="22"/>
  <c r="AN19" i="22" s="1"/>
  <c r="U19" i="22"/>
  <c r="T19" i="22" s="1"/>
  <c r="AR19" i="22"/>
  <c r="C20" i="22"/>
  <c r="W20" i="22"/>
  <c r="U20" i="22"/>
  <c r="T20" i="22" s="1"/>
  <c r="AK20" i="22" s="1"/>
  <c r="AU20" i="22"/>
  <c r="F21" i="22"/>
  <c r="D21" i="22"/>
  <c r="C21" i="22" s="1"/>
  <c r="AK21" i="22" s="1"/>
  <c r="AY21" i="22"/>
  <c r="C22" i="22"/>
  <c r="W22" i="22"/>
  <c r="AN22" i="22" s="1"/>
  <c r="U22" i="22"/>
  <c r="T22" i="22" s="1"/>
  <c r="AK22" i="22" s="1"/>
  <c r="AR22" i="22"/>
  <c r="F23" i="22"/>
  <c r="D23" i="22"/>
  <c r="C23" i="22" s="1"/>
  <c r="AR23" i="22"/>
  <c r="V23" i="22"/>
  <c r="AM23" i="22" s="1"/>
  <c r="T25" i="22"/>
  <c r="AK25" i="22" s="1"/>
  <c r="AO25" i="22"/>
  <c r="C29" i="22"/>
  <c r="W29" i="22"/>
  <c r="U29" i="22"/>
  <c r="T29" i="22" s="1"/>
  <c r="C32" i="22"/>
  <c r="W32" i="22"/>
  <c r="U32" i="22"/>
  <c r="T32" i="22" s="1"/>
  <c r="AZ33" i="22"/>
  <c r="F34" i="22"/>
  <c r="G33" i="22"/>
  <c r="AE33" i="22"/>
  <c r="I32" i="18" s="1"/>
  <c r="AO34" i="22"/>
  <c r="E35" i="22"/>
  <c r="E33" i="22" s="1"/>
  <c r="AU35" i="22"/>
  <c r="F36" i="22"/>
  <c r="AM36" i="22"/>
  <c r="AO36" i="22"/>
  <c r="AR37" i="22"/>
  <c r="AY38" i="22"/>
  <c r="F39" i="22"/>
  <c r="D39" i="22"/>
  <c r="C39" i="22" s="1"/>
  <c r="AO39" i="22"/>
  <c r="W40" i="22"/>
  <c r="AN40" i="22" s="1"/>
  <c r="U40" i="22"/>
  <c r="AO40" i="22"/>
  <c r="AR40" i="22"/>
  <c r="AM41" i="22"/>
  <c r="AR41" i="22"/>
  <c r="F42" i="22"/>
  <c r="D42" i="22"/>
  <c r="AY42" i="22"/>
  <c r="X43" i="22"/>
  <c r="AP43" i="22"/>
  <c r="AM43" i="22"/>
  <c r="AN36" i="22"/>
  <c r="AY36" i="22"/>
  <c r="AN37" i="22"/>
  <c r="AY37" i="22"/>
  <c r="AR38" i="22"/>
  <c r="W39" i="22"/>
  <c r="U39" i="22"/>
  <c r="AP40" i="22"/>
  <c r="AV40" i="22"/>
  <c r="AD40" i="22"/>
  <c r="C41" i="22"/>
  <c r="AO41" i="22"/>
  <c r="W41" i="22"/>
  <c r="U41" i="22"/>
  <c r="AU41" i="22"/>
  <c r="AR42" i="22"/>
  <c r="AV42" i="22"/>
  <c r="AR43" i="22"/>
  <c r="AV43" i="22"/>
  <c r="AN41" i="22" l="1"/>
  <c r="C42" i="22"/>
  <c r="AN23" i="22"/>
  <c r="AK19" i="22"/>
  <c r="AK18" i="22"/>
  <c r="AK16" i="22"/>
  <c r="AW12" i="22"/>
  <c r="T30" i="22"/>
  <c r="AN25" i="22"/>
  <c r="AU21" i="22"/>
  <c r="AU17" i="22"/>
  <c r="G32" i="18"/>
  <c r="M38" i="22"/>
  <c r="AU38" i="22" s="1"/>
  <c r="D38" i="22"/>
  <c r="C38" i="22" s="1"/>
  <c r="AW33" i="22"/>
  <c r="AM42" i="22"/>
  <c r="AM38" i="22"/>
  <c r="T36" i="22"/>
  <c r="G33" i="18"/>
  <c r="D36" i="22"/>
  <c r="C36" i="22" s="1"/>
  <c r="AK36" i="22" s="1"/>
  <c r="AK17" i="22"/>
  <c r="AU37" i="22"/>
  <c r="AU36" i="22"/>
  <c r="W13" i="22"/>
  <c r="T23" i="22"/>
  <c r="AK23" i="22" s="1"/>
  <c r="AH12" i="22"/>
  <c r="AY12" i="22" s="1"/>
  <c r="D37" i="22"/>
  <c r="M13" i="22"/>
  <c r="AU13" i="22" s="1"/>
  <c r="E13" i="22"/>
  <c r="E12" i="22"/>
  <c r="AD33" i="22"/>
  <c r="F13" i="22"/>
  <c r="K32" i="18"/>
  <c r="AV37" i="22"/>
  <c r="AV36" i="22"/>
  <c r="AY13" i="22"/>
  <c r="AU15" i="22"/>
  <c r="AR33" i="22"/>
  <c r="I36" i="18"/>
  <c r="L36" i="18" s="1"/>
  <c r="K33" i="18"/>
  <c r="D33" i="18"/>
  <c r="J33" i="18" s="1"/>
  <c r="G12" i="22"/>
  <c r="F35" i="18"/>
  <c r="J12" i="22"/>
  <c r="AR12" i="22" s="1"/>
  <c r="E36" i="18"/>
  <c r="K35" i="18"/>
  <c r="D35" i="18"/>
  <c r="AN13" i="22"/>
  <c r="AL39" i="22"/>
  <c r="T39" i="22"/>
  <c r="AK39" i="22" s="1"/>
  <c r="AO43" i="22"/>
  <c r="W43" i="22"/>
  <c r="AN43" i="22" s="1"/>
  <c r="U43" i="22"/>
  <c r="T40" i="22"/>
  <c r="F33" i="22"/>
  <c r="D13" i="22"/>
  <c r="C14" i="22"/>
  <c r="AO38" i="22"/>
  <c r="W38" i="22"/>
  <c r="AN38" i="22" s="1"/>
  <c r="U38" i="22"/>
  <c r="AM35" i="22"/>
  <c r="V33" i="22"/>
  <c r="AM33" i="22" s="1"/>
  <c r="C35" i="22"/>
  <c r="AN34" i="22"/>
  <c r="M34" i="22"/>
  <c r="N33" i="22"/>
  <c r="AL26" i="22"/>
  <c r="T26" i="22"/>
  <c r="AK26" i="22" s="1"/>
  <c r="AE12" i="22"/>
  <c r="T41" i="22"/>
  <c r="AK41" i="22" s="1"/>
  <c r="AL41" i="22"/>
  <c r="AN39" i="22"/>
  <c r="T35" i="22"/>
  <c r="AK35" i="22" s="1"/>
  <c r="AV34" i="22"/>
  <c r="D34" i="22"/>
  <c r="X33" i="22"/>
  <c r="AL25" i="22"/>
  <c r="T15" i="22"/>
  <c r="U13" i="22"/>
  <c r="X12" i="22"/>
  <c r="AO12" i="22" s="1"/>
  <c r="AO42" i="22"/>
  <c r="W42" i="22"/>
  <c r="AN42" i="22" s="1"/>
  <c r="U42" i="22"/>
  <c r="M40" i="22"/>
  <c r="AU40" i="22" s="1"/>
  <c r="D40" i="22"/>
  <c r="C40" i="22" s="1"/>
  <c r="AL34" i="22"/>
  <c r="T34" i="22"/>
  <c r="V13" i="22"/>
  <c r="AD12" i="22"/>
  <c r="Y12" i="22"/>
  <c r="AP12" i="22" s="1"/>
  <c r="F18" i="4"/>
  <c r="F19" i="4"/>
  <c r="F20" i="4"/>
  <c r="E12" i="4"/>
  <c r="E9" i="4"/>
  <c r="F12" i="22" l="1"/>
  <c r="AL36" i="22"/>
  <c r="U33" i="22"/>
  <c r="U12" i="22" s="1"/>
  <c r="E8" i="4"/>
  <c r="G36" i="18"/>
  <c r="AV33" i="22"/>
  <c r="AO33" i="22"/>
  <c r="I35" i="18"/>
  <c r="N12" i="22"/>
  <c r="AV12" i="22" s="1"/>
  <c r="K36" i="18"/>
  <c r="D36" i="18"/>
  <c r="C37" i="22"/>
  <c r="AK37" i="22" s="1"/>
  <c r="AL37" i="22"/>
  <c r="AM13" i="22"/>
  <c r="V12" i="22"/>
  <c r="AM12" i="22" s="1"/>
  <c r="T42" i="22"/>
  <c r="AK42" i="22" s="1"/>
  <c r="AL42" i="22"/>
  <c r="AK15" i="22"/>
  <c r="T13" i="22"/>
  <c r="M33" i="22"/>
  <c r="AU34" i="22"/>
  <c r="AK40" i="22"/>
  <c r="T43" i="22"/>
  <c r="AK43" i="22" s="1"/>
  <c r="AL43" i="22"/>
  <c r="C34" i="22"/>
  <c r="C33" i="22" s="1"/>
  <c r="D33" i="22"/>
  <c r="D12" i="22" s="1"/>
  <c r="W33" i="22"/>
  <c r="T38" i="22"/>
  <c r="AK38" i="22" s="1"/>
  <c r="AL38" i="22"/>
  <c r="C13" i="22"/>
  <c r="AK14" i="22"/>
  <c r="AL40" i="22"/>
  <c r="G10" i="4"/>
  <c r="G11" i="4"/>
  <c r="G13" i="4"/>
  <c r="G14" i="4"/>
  <c r="G22" i="4"/>
  <c r="G23" i="4"/>
  <c r="G24" i="4"/>
  <c r="G25" i="4"/>
  <c r="G26" i="4"/>
  <c r="G27" i="4"/>
  <c r="G28" i="4"/>
  <c r="G32" i="4"/>
  <c r="G37" i="4"/>
  <c r="G41" i="4"/>
  <c r="F10" i="4"/>
  <c r="F11" i="4"/>
  <c r="F13" i="4"/>
  <c r="F14" i="4"/>
  <c r="F15" i="4"/>
  <c r="F16" i="4"/>
  <c r="F17" i="4"/>
  <c r="F22" i="4"/>
  <c r="F23" i="4"/>
  <c r="F24" i="4"/>
  <c r="F25" i="4"/>
  <c r="F26" i="4"/>
  <c r="F27" i="4"/>
  <c r="F28" i="4"/>
  <c r="F32" i="4"/>
  <c r="F35" i="4"/>
  <c r="F37" i="4"/>
  <c r="F38" i="4"/>
  <c r="F40" i="4"/>
  <c r="F41" i="4"/>
  <c r="F42" i="4"/>
  <c r="G35" i="18" l="1"/>
  <c r="J35" i="18" s="1"/>
  <c r="J36" i="18"/>
  <c r="AL33" i="22"/>
  <c r="L32" i="18"/>
  <c r="D32" i="18"/>
  <c r="J32" i="18" s="1"/>
  <c r="T33" i="22"/>
  <c r="T12" i="22" s="1"/>
  <c r="E31" i="4" s="1"/>
  <c r="L35" i="18"/>
  <c r="AN33" i="22"/>
  <c r="W12" i="22"/>
  <c r="AK13" i="22"/>
  <c r="C12" i="22"/>
  <c r="AL12" i="22"/>
  <c r="AK34" i="22"/>
  <c r="M12" i="22"/>
  <c r="AU33" i="22"/>
  <c r="G145" i="18"/>
  <c r="I93" i="18"/>
  <c r="I23" i="18" s="1"/>
  <c r="H93" i="18"/>
  <c r="H23" i="18" s="1"/>
  <c r="G98" i="18"/>
  <c r="D99" i="18"/>
  <c r="F99" i="18" s="1"/>
  <c r="H99" i="18"/>
  <c r="I99" i="18"/>
  <c r="E29" i="27" l="1"/>
  <c r="E28" i="27" s="1"/>
  <c r="E7" i="27" s="1"/>
  <c r="F31" i="27"/>
  <c r="D29" i="27"/>
  <c r="F30" i="27"/>
  <c r="E30" i="4"/>
  <c r="E21" i="4" s="1"/>
  <c r="G31" i="4"/>
  <c r="F31" i="4"/>
  <c r="G23" i="18"/>
  <c r="L99" i="18"/>
  <c r="AN12" i="22"/>
  <c r="AK33" i="22"/>
  <c r="AU12" i="22"/>
  <c r="G99" i="18"/>
  <c r="J99" i="18" s="1"/>
  <c r="AK12" i="22"/>
  <c r="K99" i="18"/>
  <c r="I124" i="18"/>
  <c r="H124" i="18"/>
  <c r="I121" i="18"/>
  <c r="G121" i="18" s="1"/>
  <c r="I110" i="18"/>
  <c r="H110" i="18"/>
  <c r="I105" i="18"/>
  <c r="H105" i="18"/>
  <c r="K105" i="18" s="1"/>
  <c r="F89" i="18"/>
  <c r="L89" i="18" s="1"/>
  <c r="G89" i="18"/>
  <c r="J89" i="18" s="1"/>
  <c r="K89" i="18"/>
  <c r="F90" i="18"/>
  <c r="L90" i="18" s="1"/>
  <c r="G90" i="18"/>
  <c r="J90" i="18" s="1"/>
  <c r="K90" i="18"/>
  <c r="G88" i="18"/>
  <c r="G91" i="18"/>
  <c r="J91" i="18" s="1"/>
  <c r="G92" i="18"/>
  <c r="J92" i="18" s="1"/>
  <c r="G94" i="18"/>
  <c r="G95" i="18"/>
  <c r="J95" i="18" s="1"/>
  <c r="G96" i="18"/>
  <c r="J96" i="18" s="1"/>
  <c r="G97" i="18"/>
  <c r="J97" i="18" s="1"/>
  <c r="G100" i="18"/>
  <c r="J100" i="18" s="1"/>
  <c r="G101" i="18"/>
  <c r="J101" i="18" s="1"/>
  <c r="G102" i="18"/>
  <c r="J102" i="18" s="1"/>
  <c r="G103" i="18"/>
  <c r="J103" i="18" s="1"/>
  <c r="G104" i="18"/>
  <c r="J104" i="18" s="1"/>
  <c r="G106" i="18"/>
  <c r="J106" i="18" s="1"/>
  <c r="G107" i="18"/>
  <c r="J107" i="18" s="1"/>
  <c r="G108" i="18"/>
  <c r="J108" i="18" s="1"/>
  <c r="G109" i="18"/>
  <c r="J109" i="18" s="1"/>
  <c r="G111" i="18"/>
  <c r="J111" i="18" s="1"/>
  <c r="G112" i="18"/>
  <c r="J112" i="18" s="1"/>
  <c r="G113" i="18"/>
  <c r="J113" i="18" s="1"/>
  <c r="G114" i="18"/>
  <c r="J114" i="18" s="1"/>
  <c r="G115" i="18"/>
  <c r="J115" i="18" s="1"/>
  <c r="G116" i="18"/>
  <c r="J116" i="18" s="1"/>
  <c r="G117" i="18"/>
  <c r="J117" i="18" s="1"/>
  <c r="G118" i="18"/>
  <c r="J118" i="18" s="1"/>
  <c r="G119" i="18"/>
  <c r="J119" i="18" s="1"/>
  <c r="G120" i="18"/>
  <c r="J120" i="18" s="1"/>
  <c r="G122" i="18"/>
  <c r="J122" i="18" s="1"/>
  <c r="G123" i="18"/>
  <c r="J123" i="18" s="1"/>
  <c r="G125" i="18"/>
  <c r="G126" i="18"/>
  <c r="J126" i="18" s="1"/>
  <c r="G127" i="18"/>
  <c r="J127" i="18" s="1"/>
  <c r="G128" i="18"/>
  <c r="J128" i="18" s="1"/>
  <c r="G129" i="18"/>
  <c r="G130" i="18"/>
  <c r="G131" i="18"/>
  <c r="J131" i="18" s="1"/>
  <c r="G132" i="18"/>
  <c r="J132" i="18" s="1"/>
  <c r="G133" i="18"/>
  <c r="G134" i="18"/>
  <c r="J134" i="18" s="1"/>
  <c r="G135" i="18"/>
  <c r="G136" i="18"/>
  <c r="J136" i="18" s="1"/>
  <c r="G137" i="18"/>
  <c r="J137" i="18" s="1"/>
  <c r="G138" i="18"/>
  <c r="J138" i="18" s="1"/>
  <c r="G139" i="18"/>
  <c r="G140" i="18"/>
  <c r="J140" i="18" s="1"/>
  <c r="G141" i="18"/>
  <c r="J141" i="18" s="1"/>
  <c r="G142" i="18"/>
  <c r="J142" i="18" s="1"/>
  <c r="G143" i="18"/>
  <c r="J143" i="18" s="1"/>
  <c r="G144" i="18"/>
  <c r="J144" i="18" s="1"/>
  <c r="J145" i="18"/>
  <c r="G146" i="18"/>
  <c r="J146" i="18" s="1"/>
  <c r="G147" i="18"/>
  <c r="J147" i="18" s="1"/>
  <c r="G148" i="18"/>
  <c r="J148" i="18" s="1"/>
  <c r="G87" i="18"/>
  <c r="J87" i="18" s="1"/>
  <c r="G84" i="18"/>
  <c r="J84" i="18" s="1"/>
  <c r="G85" i="18"/>
  <c r="J85" i="18" s="1"/>
  <c r="G83" i="18"/>
  <c r="H82" i="18"/>
  <c r="I82" i="18"/>
  <c r="K78" i="18"/>
  <c r="K79" i="18"/>
  <c r="K80" i="18"/>
  <c r="K81" i="18"/>
  <c r="K83" i="18"/>
  <c r="K84" i="18"/>
  <c r="K85" i="18"/>
  <c r="K87" i="18"/>
  <c r="K88" i="18"/>
  <c r="K91" i="18"/>
  <c r="K92" i="18"/>
  <c r="J94" i="18"/>
  <c r="K94" i="18"/>
  <c r="K95" i="18"/>
  <c r="K96" i="18"/>
  <c r="K97" i="18"/>
  <c r="K100" i="18"/>
  <c r="K101" i="18"/>
  <c r="K102" i="18"/>
  <c r="K103" i="18"/>
  <c r="K104" i="18"/>
  <c r="K106" i="18"/>
  <c r="K107" i="18"/>
  <c r="K108" i="18"/>
  <c r="K109" i="18"/>
  <c r="K110" i="18"/>
  <c r="K111" i="18"/>
  <c r="K112" i="18"/>
  <c r="K113" i="18"/>
  <c r="K114" i="18"/>
  <c r="K115" i="18"/>
  <c r="K116" i="18"/>
  <c r="K117" i="18"/>
  <c r="K118" i="18"/>
  <c r="K119" i="18"/>
  <c r="K120" i="18"/>
  <c r="K121" i="18"/>
  <c r="K122" i="18"/>
  <c r="K123" i="18"/>
  <c r="K125" i="18"/>
  <c r="K126" i="18"/>
  <c r="K127" i="18"/>
  <c r="K128" i="18"/>
  <c r="J129" i="18"/>
  <c r="K129" i="18"/>
  <c r="K130" i="18"/>
  <c r="K131" i="18"/>
  <c r="K132" i="18"/>
  <c r="J133" i="18"/>
  <c r="K133" i="18"/>
  <c r="K134" i="18"/>
  <c r="K135" i="18"/>
  <c r="K136" i="18"/>
  <c r="K137" i="18"/>
  <c r="K138" i="18"/>
  <c r="J139" i="18"/>
  <c r="K139" i="18"/>
  <c r="K140" i="18"/>
  <c r="K141" i="18"/>
  <c r="K142" i="18"/>
  <c r="K143" i="18"/>
  <c r="K144" i="18"/>
  <c r="K145" i="18"/>
  <c r="K146" i="18"/>
  <c r="K147" i="18"/>
  <c r="K148" i="18"/>
  <c r="J160" i="18"/>
  <c r="K160" i="18"/>
  <c r="L160" i="18"/>
  <c r="H77" i="18"/>
  <c r="H76" i="18" s="1"/>
  <c r="I77" i="18"/>
  <c r="G79" i="18"/>
  <c r="J79" i="18" s="1"/>
  <c r="G80" i="18"/>
  <c r="J80" i="18" s="1"/>
  <c r="G81" i="18"/>
  <c r="J81" i="18" s="1"/>
  <c r="G78" i="18"/>
  <c r="J22" i="18"/>
  <c r="K22" i="18"/>
  <c r="L22" i="18"/>
  <c r="K23" i="18"/>
  <c r="K24" i="18"/>
  <c r="K25" i="18"/>
  <c r="K26" i="18"/>
  <c r="K27" i="18"/>
  <c r="K21" i="18"/>
  <c r="G160" i="18"/>
  <c r="J23" i="18"/>
  <c r="J21" i="18"/>
  <c r="G22" i="18"/>
  <c r="G24" i="18"/>
  <c r="J24" i="18" s="1"/>
  <c r="G25" i="18"/>
  <c r="J25" i="18" s="1"/>
  <c r="G26" i="18"/>
  <c r="J26" i="18" s="1"/>
  <c r="G27" i="18"/>
  <c r="J27" i="18" s="1"/>
  <c r="I76" i="18" l="1"/>
  <c r="F29" i="27"/>
  <c r="D28" i="27"/>
  <c r="I86" i="18"/>
  <c r="I75" i="18" s="1"/>
  <c r="K124" i="18"/>
  <c r="H86" i="18"/>
  <c r="G82" i="18"/>
  <c r="G110" i="18"/>
  <c r="G124" i="18"/>
  <c r="G105" i="18"/>
  <c r="K93" i="18"/>
  <c r="G93" i="18"/>
  <c r="K77" i="18"/>
  <c r="G77" i="18"/>
  <c r="K82" i="18"/>
  <c r="J78" i="18"/>
  <c r="J83" i="18"/>
  <c r="G43" i="17"/>
  <c r="G44" i="17"/>
  <c r="G45" i="17"/>
  <c r="G46" i="17"/>
  <c r="G31" i="17"/>
  <c r="G32" i="17"/>
  <c r="G33" i="17"/>
  <c r="G34" i="17"/>
  <c r="G35" i="17"/>
  <c r="G36" i="17"/>
  <c r="G37" i="17"/>
  <c r="G38" i="17"/>
  <c r="G39" i="17"/>
  <c r="G40" i="17"/>
  <c r="G41" i="17"/>
  <c r="G42" i="17"/>
  <c r="G30" i="17"/>
  <c r="F30" i="17"/>
  <c r="F31" i="17"/>
  <c r="F32" i="17"/>
  <c r="F33" i="17"/>
  <c r="F34" i="17"/>
  <c r="F35" i="17"/>
  <c r="F36" i="17"/>
  <c r="F37" i="17"/>
  <c r="F38" i="17"/>
  <c r="F39" i="17"/>
  <c r="F40" i="17"/>
  <c r="F41" i="17"/>
  <c r="F42" i="17"/>
  <c r="F43" i="17"/>
  <c r="F44" i="17"/>
  <c r="F45" i="17"/>
  <c r="F46" i="17"/>
  <c r="G9" i="17"/>
  <c r="F9" i="17"/>
  <c r="F48" i="17"/>
  <c r="E29" i="17"/>
  <c r="D7" i="27" l="1"/>
  <c r="F7" i="27" s="1"/>
  <c r="F28" i="27"/>
  <c r="G76" i="18"/>
  <c r="G86" i="18"/>
  <c r="H75" i="18"/>
  <c r="G75" i="18" s="1"/>
  <c r="K86" i="18"/>
  <c r="J93" i="18"/>
  <c r="K76" i="18"/>
  <c r="J77" i="18"/>
  <c r="K75" i="18" l="1"/>
  <c r="F148" i="18"/>
  <c r="L148" i="18" s="1"/>
  <c r="F147" i="18"/>
  <c r="L147" i="18" s="1"/>
  <c r="F146" i="18"/>
  <c r="L146" i="18" s="1"/>
  <c r="F145" i="18"/>
  <c r="L145" i="18" s="1"/>
  <c r="F144" i="18"/>
  <c r="L144" i="18" s="1"/>
  <c r="F143" i="18"/>
  <c r="L143" i="18" s="1"/>
  <c r="F142" i="18"/>
  <c r="L142" i="18" s="1"/>
  <c r="F141" i="18"/>
  <c r="L141" i="18" s="1"/>
  <c r="F140" i="18"/>
  <c r="L140" i="18" s="1"/>
  <c r="F139" i="18"/>
  <c r="L139" i="18" s="1"/>
  <c r="F138" i="18"/>
  <c r="L138" i="18" s="1"/>
  <c r="F137" i="18"/>
  <c r="L137" i="18" s="1"/>
  <c r="F136" i="18"/>
  <c r="L136" i="18" s="1"/>
  <c r="D135" i="18"/>
  <c r="F134" i="18"/>
  <c r="L134" i="18" s="1"/>
  <c r="F133" i="18"/>
  <c r="L133" i="18" s="1"/>
  <c r="F132" i="18"/>
  <c r="L132" i="18" s="1"/>
  <c r="F131" i="18"/>
  <c r="L131" i="18" s="1"/>
  <c r="D130" i="18"/>
  <c r="F129" i="18"/>
  <c r="L129" i="18" s="1"/>
  <c r="F128" i="18"/>
  <c r="L128" i="18" s="1"/>
  <c r="F127" i="18"/>
  <c r="L127" i="18" s="1"/>
  <c r="F126" i="18"/>
  <c r="L126" i="18" s="1"/>
  <c r="D125" i="18"/>
  <c r="F123" i="18"/>
  <c r="L123" i="18" s="1"/>
  <c r="F122" i="18"/>
  <c r="L122" i="18" s="1"/>
  <c r="D121" i="18"/>
  <c r="F120" i="18"/>
  <c r="L120" i="18" s="1"/>
  <c r="F119" i="18"/>
  <c r="L119" i="18" s="1"/>
  <c r="F118" i="18"/>
  <c r="L118" i="18" s="1"/>
  <c r="F117" i="18"/>
  <c r="L117" i="18" s="1"/>
  <c r="F116" i="18"/>
  <c r="L116" i="18" s="1"/>
  <c r="F115" i="18"/>
  <c r="L115" i="18" s="1"/>
  <c r="F114" i="18"/>
  <c r="L114" i="18" s="1"/>
  <c r="F113" i="18"/>
  <c r="L113" i="18" s="1"/>
  <c r="F112" i="18"/>
  <c r="L112" i="18" s="1"/>
  <c r="F111" i="18"/>
  <c r="L111" i="18" s="1"/>
  <c r="D110" i="18"/>
  <c r="F109" i="18"/>
  <c r="L109" i="18" s="1"/>
  <c r="F108" i="18"/>
  <c r="L108" i="18" s="1"/>
  <c r="F107" i="18"/>
  <c r="L107" i="18" s="1"/>
  <c r="F106" i="18"/>
  <c r="L106" i="18" s="1"/>
  <c r="D105" i="18"/>
  <c r="F104" i="18"/>
  <c r="L104" i="18" s="1"/>
  <c r="F103" i="18"/>
  <c r="L103" i="18" s="1"/>
  <c r="F102" i="18"/>
  <c r="L102" i="18" s="1"/>
  <c r="F101" i="18"/>
  <c r="L101" i="18" s="1"/>
  <c r="F100" i="18"/>
  <c r="L100" i="18" s="1"/>
  <c r="F97" i="18"/>
  <c r="L97" i="18" s="1"/>
  <c r="F96" i="18"/>
  <c r="L96" i="18" s="1"/>
  <c r="F95" i="18"/>
  <c r="L95" i="18" s="1"/>
  <c r="F94" i="18"/>
  <c r="L94" i="18" s="1"/>
  <c r="F93" i="18"/>
  <c r="L93" i="18" s="1"/>
  <c r="F92" i="18"/>
  <c r="L92" i="18" s="1"/>
  <c r="F91" i="18"/>
  <c r="L91" i="18" s="1"/>
  <c r="D88" i="18"/>
  <c r="J88" i="18" s="1"/>
  <c r="F87" i="18"/>
  <c r="L87" i="18" s="1"/>
  <c r="F85" i="18"/>
  <c r="L85" i="18" s="1"/>
  <c r="F84" i="18"/>
  <c r="L84" i="18" s="1"/>
  <c r="F83" i="18"/>
  <c r="L83" i="18" s="1"/>
  <c r="D82" i="18"/>
  <c r="D76" i="18" s="1"/>
  <c r="J76" i="18" s="1"/>
  <c r="F81" i="18"/>
  <c r="L81" i="18" s="1"/>
  <c r="F80" i="18"/>
  <c r="L80" i="18" s="1"/>
  <c r="F79" i="18"/>
  <c r="L79" i="18" s="1"/>
  <c r="F78" i="18"/>
  <c r="L78" i="18" s="1"/>
  <c r="F77" i="18"/>
  <c r="L74" i="18"/>
  <c r="K74" i="18"/>
  <c r="G74" i="18"/>
  <c r="D74" i="18"/>
  <c r="L73" i="18"/>
  <c r="K73" i="18"/>
  <c r="G73" i="18"/>
  <c r="D73" i="18"/>
  <c r="L72" i="18"/>
  <c r="K72" i="18"/>
  <c r="G72" i="18"/>
  <c r="G71" i="18" s="1"/>
  <c r="D72" i="18"/>
  <c r="J72" i="18" s="1"/>
  <c r="H71" i="18"/>
  <c r="H53" i="18" s="1"/>
  <c r="F71" i="18"/>
  <c r="L71" i="18" s="1"/>
  <c r="E71" i="18"/>
  <c r="L69" i="18"/>
  <c r="K69" i="18"/>
  <c r="G69" i="18"/>
  <c r="D69" i="18"/>
  <c r="J69" i="18" s="1"/>
  <c r="L68" i="18"/>
  <c r="K68" i="18"/>
  <c r="G68" i="18"/>
  <c r="D68" i="18"/>
  <c r="J68" i="18" s="1"/>
  <c r="L67" i="18"/>
  <c r="K67" i="18"/>
  <c r="G67" i="18"/>
  <c r="D67" i="18"/>
  <c r="J67" i="18" s="1"/>
  <c r="L66" i="18"/>
  <c r="K66" i="18"/>
  <c r="G66" i="18"/>
  <c r="D66" i="18"/>
  <c r="J66" i="18" s="1"/>
  <c r="L65" i="18"/>
  <c r="K65" i="18"/>
  <c r="G65" i="18"/>
  <c r="D65" i="18"/>
  <c r="J65" i="18" s="1"/>
  <c r="L64" i="18"/>
  <c r="K64" i="18"/>
  <c r="G64" i="18"/>
  <c r="D64" i="18"/>
  <c r="J64" i="18" s="1"/>
  <c r="L63" i="18"/>
  <c r="K63" i="18"/>
  <c r="G63" i="18"/>
  <c r="D63" i="18"/>
  <c r="J63" i="18" s="1"/>
  <c r="L62" i="18"/>
  <c r="K62" i="18"/>
  <c r="G62" i="18"/>
  <c r="D62" i="18"/>
  <c r="J62" i="18" s="1"/>
  <c r="L61" i="18"/>
  <c r="K61" i="18"/>
  <c r="G61" i="18"/>
  <c r="D61" i="18"/>
  <c r="J61" i="18" s="1"/>
  <c r="L60" i="18"/>
  <c r="K60" i="18"/>
  <c r="G60" i="18"/>
  <c r="D60" i="18"/>
  <c r="L59" i="18"/>
  <c r="K59" i="18"/>
  <c r="G59" i="18"/>
  <c r="D59" i="18"/>
  <c r="L58" i="18"/>
  <c r="K58" i="18"/>
  <c r="G58" i="18"/>
  <c r="D58" i="18"/>
  <c r="L57" i="18"/>
  <c r="K57" i="18"/>
  <c r="G57" i="18"/>
  <c r="D57" i="18"/>
  <c r="L56" i="18"/>
  <c r="K56" i="18"/>
  <c r="G56" i="18"/>
  <c r="D56" i="18"/>
  <c r="L55" i="18"/>
  <c r="K55" i="18"/>
  <c r="G55" i="18"/>
  <c r="G54" i="18" s="1"/>
  <c r="D55" i="18"/>
  <c r="L52" i="18"/>
  <c r="K52" i="18"/>
  <c r="G52" i="18"/>
  <c r="D52" i="18"/>
  <c r="J52" i="18" s="1"/>
  <c r="L51" i="18"/>
  <c r="K51" i="18"/>
  <c r="G51" i="18"/>
  <c r="D51" i="18"/>
  <c r="J51" i="18" s="1"/>
  <c r="L50" i="18"/>
  <c r="K50" i="18"/>
  <c r="G50" i="18"/>
  <c r="D50" i="18"/>
  <c r="D49" i="18" s="1"/>
  <c r="J49" i="18" s="1"/>
  <c r="H49" i="18"/>
  <c r="F49" i="18"/>
  <c r="L49" i="18" s="1"/>
  <c r="E49" i="18"/>
  <c r="K49" i="18" s="1"/>
  <c r="L48" i="18"/>
  <c r="K48" i="18"/>
  <c r="G48" i="18"/>
  <c r="D48" i="18"/>
  <c r="L47" i="18"/>
  <c r="K47" i="18"/>
  <c r="G47" i="18"/>
  <c r="D47" i="18"/>
  <c r="L46" i="18"/>
  <c r="K46" i="18"/>
  <c r="G46" i="18"/>
  <c r="D46" i="18"/>
  <c r="L45" i="18"/>
  <c r="K45" i="18"/>
  <c r="G45" i="18"/>
  <c r="D45" i="18"/>
  <c r="L44" i="18"/>
  <c r="K44" i="18"/>
  <c r="G44" i="18"/>
  <c r="G43" i="18" s="1"/>
  <c r="D44" i="18"/>
  <c r="H43" i="18"/>
  <c r="F43" i="18"/>
  <c r="L43" i="18" s="1"/>
  <c r="E43" i="18"/>
  <c r="L42" i="18"/>
  <c r="K42" i="18"/>
  <c r="G42" i="18"/>
  <c r="D42" i="18"/>
  <c r="L41" i="18"/>
  <c r="K41" i="18"/>
  <c r="G41" i="18"/>
  <c r="G40" i="18" s="1"/>
  <c r="D41" i="18"/>
  <c r="I40" i="18"/>
  <c r="H40" i="18"/>
  <c r="H39" i="18" s="1"/>
  <c r="F40" i="18"/>
  <c r="L40" i="18" s="1"/>
  <c r="E40" i="18"/>
  <c r="K40" i="18" s="1"/>
  <c r="I38" i="18"/>
  <c r="I34" i="18"/>
  <c r="H34" i="18"/>
  <c r="G34" i="18"/>
  <c r="I31" i="18"/>
  <c r="H31" i="18"/>
  <c r="F31" i="18"/>
  <c r="L31" i="18" s="1"/>
  <c r="E31" i="18"/>
  <c r="K31" i="18" s="1"/>
  <c r="K28" i="18"/>
  <c r="G28" i="18"/>
  <c r="J28" i="18" s="1"/>
  <c r="F28" i="18"/>
  <c r="L28" i="18" s="1"/>
  <c r="F27" i="18"/>
  <c r="L27" i="18" s="1"/>
  <c r="F26" i="18"/>
  <c r="L26" i="18" s="1"/>
  <c r="F25" i="18"/>
  <c r="L25" i="18" s="1"/>
  <c r="F24" i="18"/>
  <c r="L24" i="18" s="1"/>
  <c r="F23" i="18"/>
  <c r="L23" i="18" s="1"/>
  <c r="F21" i="18"/>
  <c r="L21" i="18" s="1"/>
  <c r="K19" i="18"/>
  <c r="J19" i="18"/>
  <c r="F19" i="18"/>
  <c r="L19" i="18" s="1"/>
  <c r="K18" i="18"/>
  <c r="J18" i="18"/>
  <c r="F18" i="18"/>
  <c r="L18" i="18" s="1"/>
  <c r="L17" i="18"/>
  <c r="K17" i="18"/>
  <c r="G17" i="18"/>
  <c r="D17" i="18"/>
  <c r="L16" i="18"/>
  <c r="K16" i="18"/>
  <c r="G16" i="18"/>
  <c r="D16" i="18"/>
  <c r="K15" i="18"/>
  <c r="J15" i="18"/>
  <c r="F15" i="18"/>
  <c r="L15" i="18" s="1"/>
  <c r="L14" i="18"/>
  <c r="K14" i="18"/>
  <c r="G14" i="18"/>
  <c r="D14" i="18"/>
  <c r="L13" i="18"/>
  <c r="K13" i="18"/>
  <c r="G13" i="18"/>
  <c r="D13" i="18"/>
  <c r="K12" i="18"/>
  <c r="J12" i="18"/>
  <c r="F12" i="18"/>
  <c r="L12" i="18" s="1"/>
  <c r="F11" i="18"/>
  <c r="E10" i="18"/>
  <c r="E9" i="18" s="1"/>
  <c r="D10" i="18"/>
  <c r="D9" i="18" s="1"/>
  <c r="G48" i="17"/>
  <c r="D29" i="17"/>
  <c r="G25" i="17"/>
  <c r="G24" i="17"/>
  <c r="F24" i="17"/>
  <c r="G23" i="17"/>
  <c r="F23" i="17"/>
  <c r="G22" i="17"/>
  <c r="G21" i="17"/>
  <c r="F21" i="17"/>
  <c r="G20" i="17"/>
  <c r="F20" i="17"/>
  <c r="G19" i="17"/>
  <c r="F19" i="17"/>
  <c r="G18" i="17"/>
  <c r="F18" i="17"/>
  <c r="G17" i="17"/>
  <c r="F17" i="17"/>
  <c r="G16" i="17"/>
  <c r="F16" i="17"/>
  <c r="G15" i="17"/>
  <c r="F15" i="17"/>
  <c r="G14" i="17"/>
  <c r="F14" i="17"/>
  <c r="G13" i="17"/>
  <c r="F13" i="17"/>
  <c r="D12" i="17"/>
  <c r="I37" i="18" l="1"/>
  <c r="I11" i="18"/>
  <c r="I10" i="18" s="1"/>
  <c r="I9" i="18" s="1"/>
  <c r="F29" i="17"/>
  <c r="G29" i="17"/>
  <c r="K71" i="18"/>
  <c r="L77" i="18"/>
  <c r="D54" i="18"/>
  <c r="J54" i="18" s="1"/>
  <c r="J57" i="18"/>
  <c r="J58" i="18"/>
  <c r="J59" i="18"/>
  <c r="D11" i="17"/>
  <c r="J13" i="18"/>
  <c r="E53" i="18"/>
  <c r="E12" i="17"/>
  <c r="F22" i="17"/>
  <c r="F12" i="17" s="1"/>
  <c r="F11" i="17" s="1"/>
  <c r="F10" i="17" s="1"/>
  <c r="F8" i="17" s="1"/>
  <c r="H30" i="18"/>
  <c r="J14" i="18"/>
  <c r="J46" i="18"/>
  <c r="J47" i="18"/>
  <c r="G53" i="18"/>
  <c r="D124" i="18"/>
  <c r="F124" i="18" s="1"/>
  <c r="F39" i="18"/>
  <c r="E34" i="18"/>
  <c r="K34" i="18" s="1"/>
  <c r="F34" i="18"/>
  <c r="L34" i="18" s="1"/>
  <c r="J41" i="18"/>
  <c r="D31" i="18"/>
  <c r="H38" i="18"/>
  <c r="D40" i="18"/>
  <c r="K53" i="18"/>
  <c r="F110" i="18"/>
  <c r="L110" i="18" s="1"/>
  <c r="J110" i="18"/>
  <c r="F130" i="18"/>
  <c r="L130" i="18" s="1"/>
  <c r="J130" i="18"/>
  <c r="J16" i="18"/>
  <c r="J17" i="18"/>
  <c r="G49" i="18"/>
  <c r="F53" i="18"/>
  <c r="L53" i="18" s="1"/>
  <c r="D71" i="18"/>
  <c r="J71" i="18" s="1"/>
  <c r="F82" i="18"/>
  <c r="L82" i="18" s="1"/>
  <c r="J82" i="18"/>
  <c r="F105" i="18"/>
  <c r="L105" i="18" s="1"/>
  <c r="J105" i="18"/>
  <c r="F121" i="18"/>
  <c r="L121" i="18" s="1"/>
  <c r="J121" i="18"/>
  <c r="F125" i="18"/>
  <c r="L125" i="18" s="1"/>
  <c r="J125" i="18"/>
  <c r="F135" i="18"/>
  <c r="L135" i="18" s="1"/>
  <c r="J135" i="18"/>
  <c r="G31" i="18"/>
  <c r="G30" i="18" s="1"/>
  <c r="I30" i="18"/>
  <c r="I29" i="18" s="1"/>
  <c r="J40" i="18"/>
  <c r="F10" i="18"/>
  <c r="L39" i="18"/>
  <c r="J42" i="18"/>
  <c r="J50" i="18"/>
  <c r="J55" i="18"/>
  <c r="J73" i="18"/>
  <c r="F88" i="18"/>
  <c r="L88" i="18" s="1"/>
  <c r="G39" i="18"/>
  <c r="K43" i="18"/>
  <c r="E39" i="18"/>
  <c r="J44" i="18"/>
  <c r="D43" i="18"/>
  <c r="J43" i="18" s="1"/>
  <c r="J45" i="18"/>
  <c r="J48" i="18"/>
  <c r="J56" i="18"/>
  <c r="J60" i="18"/>
  <c r="J74" i="18"/>
  <c r="I13" i="17" l="1"/>
  <c r="I20" i="17"/>
  <c r="E30" i="18"/>
  <c r="K30" i="18" s="1"/>
  <c r="H37" i="18"/>
  <c r="H11" i="18"/>
  <c r="I8" i="18"/>
  <c r="L10" i="18"/>
  <c r="F9" i="18"/>
  <c r="L9" i="18" s="1"/>
  <c r="L11" i="18"/>
  <c r="F76" i="18"/>
  <c r="L76" i="18" s="1"/>
  <c r="L124" i="18"/>
  <c r="F86" i="18"/>
  <c r="L86" i="18" s="1"/>
  <c r="J124" i="18"/>
  <c r="D86" i="18"/>
  <c r="J86" i="18" s="1"/>
  <c r="J31" i="18"/>
  <c r="F38" i="18"/>
  <c r="L38" i="18" s="1"/>
  <c r="H29" i="18"/>
  <c r="D10" i="17"/>
  <c r="I24" i="17" s="1"/>
  <c r="D53" i="18"/>
  <c r="G12" i="17"/>
  <c r="E11" i="17"/>
  <c r="E10" i="17" s="1"/>
  <c r="E8" i="17" s="1"/>
  <c r="E55" i="17" s="1"/>
  <c r="G38" i="18"/>
  <c r="G37" i="18" s="1"/>
  <c r="G29" i="18" s="1"/>
  <c r="J53" i="18"/>
  <c r="E38" i="18"/>
  <c r="K39" i="18"/>
  <c r="D39" i="18"/>
  <c r="K11" i="18" l="1"/>
  <c r="H10" i="18"/>
  <c r="G11" i="18"/>
  <c r="J11" i="18" s="1"/>
  <c r="D75" i="18"/>
  <c r="F75" i="18" s="1"/>
  <c r="L75" i="18" s="1"/>
  <c r="D8" i="17"/>
  <c r="G11" i="17"/>
  <c r="D34" i="18"/>
  <c r="J75" i="18"/>
  <c r="J39" i="18"/>
  <c r="D38" i="18"/>
  <c r="E37" i="18"/>
  <c r="K38" i="18"/>
  <c r="H9" i="18" l="1"/>
  <c r="K10" i="18"/>
  <c r="G10" i="18"/>
  <c r="G10" i="17"/>
  <c r="D30" i="18"/>
  <c r="J34" i="18"/>
  <c r="J38" i="18"/>
  <c r="D37" i="18"/>
  <c r="K37" i="18"/>
  <c r="E29" i="18"/>
  <c r="E8" i="18" s="1"/>
  <c r="G9" i="18" l="1"/>
  <c r="J9" i="18" s="1"/>
  <c r="J10" i="18"/>
  <c r="H8" i="18"/>
  <c r="G8" i="18" s="1"/>
  <c r="K9" i="18"/>
  <c r="G8" i="17"/>
  <c r="J30" i="18"/>
  <c r="F30" i="18"/>
  <c r="L30" i="18" s="1"/>
  <c r="K29" i="18"/>
  <c r="K8" i="18"/>
  <c r="J37" i="18"/>
  <c r="F37" i="18"/>
  <c r="L37" i="18" s="1"/>
  <c r="D29" i="18"/>
  <c r="J29" i="18" l="1"/>
  <c r="F29" i="18"/>
  <c r="L29" i="18" s="1"/>
  <c r="D8" i="18"/>
  <c r="F8" i="18" l="1"/>
  <c r="L8" i="18" s="1"/>
  <c r="J8" i="18"/>
  <c r="D39" i="4" l="1"/>
  <c r="D36" i="4"/>
  <c r="D30" i="4"/>
  <c r="G39" i="4" l="1"/>
  <c r="F39" i="4"/>
  <c r="D21" i="4"/>
  <c r="G30" i="4"/>
  <c r="F30" i="4"/>
  <c r="G36" i="4"/>
  <c r="F36" i="4"/>
  <c r="D12" i="4"/>
  <c r="D9" i="4"/>
  <c r="G12" i="4" l="1"/>
  <c r="F12" i="4"/>
  <c r="D8" i="4"/>
  <c r="F9" i="4"/>
  <c r="G9" i="4"/>
  <c r="G21" i="4"/>
  <c r="F21" i="4"/>
  <c r="G8" i="4" l="1"/>
  <c r="F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30" authorId="0" shapeId="0" xr:uid="{00000000-0006-0000-0300-000001000000}">
      <text>
        <r>
          <rPr>
            <b/>
            <sz val="9"/>
            <color indexed="81"/>
            <rFont val="Tahoma"/>
            <family val="2"/>
          </rPr>
          <t>Author:</t>
        </r>
        <r>
          <rPr>
            <sz val="9"/>
            <color indexed="81"/>
            <rFont val="Tahoma"/>
            <family val="2"/>
          </rPr>
          <t xml:space="preserve">
Trong đó đầu tư 159.600 trđ</t>
        </r>
      </text>
    </comment>
    <comment ref="D31" authorId="0" shapeId="0" xr:uid="{00000000-0006-0000-0300-000002000000}">
      <text>
        <r>
          <rPr>
            <b/>
            <sz val="9"/>
            <color indexed="81"/>
            <rFont val="Tahoma"/>
            <family val="2"/>
          </rPr>
          <t>Author:</t>
        </r>
        <r>
          <rPr>
            <sz val="9"/>
            <color indexed="81"/>
            <rFont val="Tahoma"/>
            <family val="2"/>
          </rPr>
          <t xml:space="preserve">
Trong đó đầu tư 227.162 trđ</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Quach T. Long</author>
  </authors>
  <commentList>
    <comment ref="A126" authorId="0" shapeId="0" xr:uid="{72F33B9A-1C75-4149-9922-9E3E3F7F7E83}">
      <text>
        <r>
          <rPr>
            <b/>
            <sz val="9"/>
            <color indexed="81"/>
            <rFont val="Tahoma"/>
            <charset val="1"/>
          </rPr>
          <t>Quach T. Long:</t>
        </r>
        <r>
          <rPr>
            <sz val="9"/>
            <color indexed="81"/>
            <rFont val="Tahoma"/>
            <charset val="1"/>
          </rPr>
          <t xml:space="preserve">
</t>
        </r>
      </text>
    </comment>
  </commentList>
</comments>
</file>

<file path=xl/sharedStrings.xml><?xml version="1.0" encoding="utf-8"?>
<sst xmlns="http://schemas.openxmlformats.org/spreadsheetml/2006/main" count="2502" uniqueCount="1117">
  <si>
    <t>Thu nội địa</t>
  </si>
  <si>
    <t>STT</t>
  </si>
  <si>
    <t>Nội dung (1)</t>
  </si>
  <si>
    <t>Dự toán</t>
  </si>
  <si>
    <t>Quyết toán</t>
  </si>
  <si>
    <t>So sánh</t>
  </si>
  <si>
    <t>Tuyệt đối</t>
  </si>
  <si>
    <t>Tương đối (%)</t>
  </si>
  <si>
    <t>A</t>
  </si>
  <si>
    <t>B</t>
  </si>
  <si>
    <t>3=2-1</t>
  </si>
  <si>
    <t>4=2/1</t>
  </si>
  <si>
    <t>TỔNG NGUỒN THU NSĐP</t>
  </si>
  <si>
    <t>I</t>
  </si>
  <si>
    <t>Thu NSĐP được hưởng theo phân cấp</t>
  </si>
  <si>
    <t>-</t>
  </si>
  <si>
    <t>Thu NSĐP hưởng 100%</t>
  </si>
  <si>
    <t>Thu NSĐP hưởng từ các khoản thu phân chia</t>
  </si>
  <si>
    <t>II</t>
  </si>
  <si>
    <t xml:space="preserve">Thu bổ sung từ ngân sách cấp trên </t>
  </si>
  <si>
    <t>Thu bổ sung cân đối ngân sách</t>
  </si>
  <si>
    <t>Thu bổ sung có mục tiêu</t>
  </si>
  <si>
    <t>III</t>
  </si>
  <si>
    <t>Thu từ quỹ dự trữ tài chính</t>
  </si>
  <si>
    <t>IV</t>
  </si>
  <si>
    <t>Thu kết dư</t>
  </si>
  <si>
    <t>V</t>
  </si>
  <si>
    <t>Thu chuyển nguồn từ năm trước chuyển sang</t>
  </si>
  <si>
    <t>TỔNG CHI NSĐP</t>
  </si>
  <si>
    <t xml:space="preserve">Tổng chi cân đối NSĐP </t>
  </si>
  <si>
    <t>Chi đầu tư phát triển</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</si>
  <si>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</si>
  <si>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</si>
  <si>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</si>
  <si>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</si>
  <si>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</si>
  <si>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t>
  </si>
  <si>
    <t>Chi các chương trình mục tiêu quốc gia</t>
  </si>
  <si>
    <t>Chi các chương trình mục tiêu, nhiệm vụ</t>
  </si>
  <si>
    <t>Chi chuyển nguồn sang năm sau</t>
  </si>
  <si>
    <t>C</t>
  </si>
  <si>
    <t>BỘI CHI NSĐP/BỘI THU NSĐP/KẾT DƯ NSĐP</t>
  </si>
  <si>
    <t>D</t>
  </si>
  <si>
    <t>CHI TRẢ NỢ GỐC CỦA NSĐP</t>
  </si>
  <si>
    <t>Từ nguồn vay để trả nợ gốc</t>
  </si>
  <si>
    <t>Từ nguồn bội thu, tăng thu, tiết kiệm chi, kết dư ngân sách cấp tỉnh</t>
  </si>
  <si>
    <t>E</t>
  </si>
  <si>
    <t>TỔNG MỨC VAY CỦA NSĐP</t>
  </si>
  <si>
    <t>Vay để bù đắp bội chi</t>
  </si>
  <si>
    <t>Vay để trả nợ gốc</t>
  </si>
  <si>
    <t>G</t>
  </si>
  <si>
    <t>TỔNG MỨC DƯ NỢ VAY CUỐI NĂM CỦA NSĐP</t>
  </si>
  <si>
    <t>(Dùng cho ngân sách các cấp chính quyền địa phương)</t>
  </si>
  <si>
    <t>Đơn vị: Triệu đồng</t>
  </si>
  <si>
    <t>Nội dung</t>
  </si>
  <si>
    <t>So sánh (%)</t>
  </si>
  <si>
    <t>Tổng thu NSNN</t>
  </si>
  <si>
    <t>Thu NSĐP</t>
  </si>
  <si>
    <t>5=3/1</t>
  </si>
  <si>
    <t>6=4/2</t>
  </si>
  <si>
    <t>TỔNG NGUỒN THU NSNN (A+B+C+D)</t>
  </si>
  <si>
    <t>TỔNG THU CÂN ĐỐI NSNN</t>
  </si>
  <si>
    <t>Thu từ khu vực DNNN do trung ương quản lý (1)</t>
  </si>
  <si>
    <t>Thu từ khu vực DNNN do địa phương quản lý (2)</t>
  </si>
  <si>
    <t>Thu từ khu vực doanh nghiệp có vốn đầu tư nước ngoài (3)</t>
  </si>
  <si>
    <t>Thu từ khu vực kinh tế ngoài quốc doanh (4)</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</si>
  <si>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</si>
  <si>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</si>
  <si>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</si>
  <si>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</si>
  <si>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</si>
  <si>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</si>
  <si>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Phí và lệ phí trung ương</t>
  </si>
  <si>
    <t>Phí và lệ phí tỉnh</t>
  </si>
  <si>
    <t>Phí và lệ phí huyện</t>
  </si>
  <si>
    <t>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</si>
  <si>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</si>
  <si>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</si>
  <si>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</si>
  <si>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</si>
  <si>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</si>
  <si>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</si>
  <si>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</si>
  <si>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</si>
  <si>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</si>
  <si>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(5)</t>
  </si>
  <si>
    <t>Lợi nhuận được chia của Nhà nước và lợi nhuận sau thuế còn lại sau khi trích lập các quỹ của doanh nghiệp nhà nước (5)</t>
  </si>
  <si>
    <t>Chênh lệch thu chi Ngân hàng Nhà nước (5)</t>
  </si>
  <si>
    <t>Thu từ dầu thô</t>
  </si>
  <si>
    <t xml:space="preserve">Thu từ hoạt động xuất nhập khẩu </t>
  </si>
  <si>
    <t>Thuế xuất khẩu</t>
  </si>
  <si>
    <t>Thuế nhập khẩu</t>
  </si>
  <si>
    <t>Thuế tiêu thụ đặc biệt thu từ hàng hóa nhập khẩu</t>
  </si>
  <si>
    <t>Thuế bảo vệ môi trường thu từ hàng hóa nhập khẩu</t>
  </si>
  <si>
    <t>Thuế giá trị gia tăng thu từ hàng hóa nhập khẩu</t>
  </si>
  <si>
    <t>Thu khác</t>
  </si>
  <si>
    <t>THU TỪ QUỸ DỰ TRỮ TÀI CHÍNH</t>
  </si>
  <si>
    <t>THU KẾT DƯ NĂM TRƯỚC</t>
  </si>
  <si>
    <t>THU CHUYỂN NGUỒN TỪ NĂM TRƯỚC CHUYỂN SANG</t>
  </si>
  <si>
    <t>Ghi chú:</t>
  </si>
  <si>
    <t>(1) Doanh nghiệp nhà nước do trung ương quản lý là doanh nghiệp do bộ, cơ quan ngang bộ, cơ quan thuộc Chính phủ, cơ quan khác ở trung ương đại diện Nhà nước chủ sở hữu 100% vốn điều lệ.</t>
  </si>
  <si>
    <t>(2) Doanh nghiệp nhà nước do địa phương quản lý là doanh nghiệp do Ủy ban nhân dân cấp tỉnh đại diện Nhà nước chủ sở hữu 100% vốn điều lệ.</t>
  </si>
  <si>
    <t>(3) Doanh nghiệp có vốn đầu tư nước ngoài là các doanh nghiệp mà phần vốn do tổ chức, cá nhân nước ngoài sở hữu từ 51% vốn điều lệ trở lên hoặc có đa số thành viên hợp danh là cá nhân nước ngoài đối với tổ chức kinh tế là công ty hợp danh.</t>
  </si>
  <si>
    <t>(4) Doanh nghiệp khu vực kinh tế ngoài quốc doanh là các doanh nghiệp thành lập theo Luật doanh nghiệp, Luật các tổ chức tín dụng, trừ các doanh nghiệp nhà nước do trung ương, địa phương quản lý, doanh nghiệp có vốn đầu tư nước ngoài nêu trên.</t>
  </si>
  <si>
    <t>(5) Thu ngân sách nhà nước trên địa bàn, thu ngân sách địa phương cấp huyện, xã không có thu từ cổ tức, lợi nhuận được chia của Nhà nước và lợi nhuận sau thuế còn lại sau khi trích lập các quỹ của doanh nghiệp nhà nước, chênh lệch thu, chi Ngân hàng Nhà nước, thu từ dầu thô, thu từ hoạt động xuất, nhập khẩu. Thu chênh lệch thu, chi Ngân hàng Nhà nước chỉ áp dụng đối với thành phố Hà Nội.</t>
  </si>
  <si>
    <t>3=2/1</t>
  </si>
  <si>
    <t>TỔNG CHI NGÂN SÁCH ĐỊA PHƯƠNG</t>
  </si>
  <si>
    <t>CHI CÂN ĐỐI NGÂN SÁCH ĐỊA PHƯƠNG</t>
  </si>
  <si>
    <t xml:space="preserve">Chi đầu tư cho các dự án </t>
  </si>
  <si>
    <t>Trong đó: Chia theo lĩnh vực</t>
  </si>
  <si>
    <t>Chi giáo dục - đào tạo và dạy nghề</t>
  </si>
  <si>
    <t xml:space="preserve">Chi khoa học và công nghệ </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</si>
  <si>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</si>
  <si>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</si>
  <si>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</si>
  <si>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</si>
  <si>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</si>
  <si>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</si>
  <si>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khoa học và công nghệ</t>
  </si>
  <si>
    <t>VI</t>
  </si>
  <si>
    <t>CHI CÁC CHƯƠNG TRÌNH MỤC TIÊU</t>
  </si>
  <si>
    <t xml:space="preserve">Chi các chương trình mục tiêu, nhiệm vụ </t>
  </si>
  <si>
    <t>CHI CHUYỂN NGUỒN SANG NĂM SAU</t>
  </si>
  <si>
    <t>CHI BỔ SUNG CÂN ĐỐI CHO NGÂN SÁCH CẤP DƯỚI (1)</t>
  </si>
  <si>
    <t>CHI NGÂN SÁCH CẤP TỈNH (HUYỆN, XÃ) THEO LĨNH VỰC</t>
  </si>
  <si>
    <t xml:space="preserve">Chi đầu tư phát triển </t>
  </si>
  <si>
    <t>Chi đầu tư cho các dự án</t>
  </si>
  <si>
    <t>Chi quốc phòng</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</si>
  <si>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</si>
  <si>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</si>
  <si>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</si>
  <si>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</si>
  <si>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</si>
  <si>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</si>
  <si>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</si>
  <si>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</si>
  <si>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</si>
  <si>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</si>
  <si>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khoa học và công nghệ (2)</t>
  </si>
  <si>
    <t>Chi thường xuyên khác</t>
  </si>
  <si>
    <t>Chi trả nợ lãi các khoản do chính quyền địa phương vay (2)</t>
  </si>
  <si>
    <t>Chi bổ sung quỹ dự trữ tài chính (2)</t>
  </si>
  <si>
    <t>(2) Theo quy định tại Điều 7, Điều 11 và Điều 39 Luật NSNN, ngân sách huyện, xã không có nhiệm vụ chi nghiên cứu khoa học và công nghệ, chi trả lãi vay, chi bổ sung quỹ dự trữ tài chính.</t>
  </si>
  <si>
    <t>Bao gồm</t>
  </si>
  <si>
    <t>Ngân sách địa phương</t>
  </si>
  <si>
    <t>1=2+3</t>
  </si>
  <si>
    <t>4=5+6</t>
  </si>
  <si>
    <t>7=4/1</t>
  </si>
  <si>
    <t>8=5/2</t>
  </si>
  <si>
    <t>9=6/3</t>
  </si>
  <si>
    <t>CHI CÂN ĐỐI NSĐP</t>
  </si>
  <si>
    <t>Tổng số</t>
  </si>
  <si>
    <t>TỔNG SỐ</t>
  </si>
  <si>
    <t>CÁC CƠ QUAN, TỔ CHỨC</t>
  </si>
  <si>
    <t>VII</t>
  </si>
  <si>
    <t>Tên đơn vị (1)</t>
  </si>
  <si>
    <t>Chi CTMTQG</t>
  </si>
  <si>
    <t>Trong đó</t>
  </si>
  <si>
    <t>Chi giáo dục đào tạo dạy nghề</t>
  </si>
  <si>
    <t>Chi khoa học và công nghệ (3)</t>
  </si>
  <si>
    <t>(2) Dự toán chi ngân sách địa phương chi tiết theo các chỉ tiêu tương ứng phần Quyết toán chi ngân sách địa phương.</t>
  </si>
  <si>
    <t>(3) Theo quy định tại Điều 7, Điều 39 Luật NSNN, ngân sách huyện, xã không có nhiệm vụ chi nghiên cứu khoa học và công nghệ.</t>
  </si>
  <si>
    <t>So sách (%)</t>
  </si>
  <si>
    <t>Bổ sung cân đối ngân sách</t>
  </si>
  <si>
    <t>Bổ sung có mục tiêu</t>
  </si>
  <si>
    <t>Gồm</t>
  </si>
  <si>
    <t>Vốn đầu tư để thực hiện các CTMT, nhiệm vụ</t>
  </si>
  <si>
    <t>Vốn sự nghiệp thực hiện các chế độ, chính sách</t>
  </si>
  <si>
    <t>Vốn thực hiện các CTMT quốc gia</t>
  </si>
  <si>
    <t>Vốn ngoài nước</t>
  </si>
  <si>
    <t>Vốn trong nước</t>
  </si>
  <si>
    <t>3=4+5</t>
  </si>
  <si>
    <t>11=12+13</t>
  </si>
  <si>
    <t>17=9/1</t>
  </si>
  <si>
    <t>18=10/2</t>
  </si>
  <si>
    <t>19=11/3</t>
  </si>
  <si>
    <t>20=12/4</t>
  </si>
  <si>
    <t>21=13/5</t>
  </si>
  <si>
    <t>22=14/6</t>
  </si>
  <si>
    <t>23=15/7</t>
  </si>
  <si>
    <t>24=16/8</t>
  </si>
  <si>
    <r>
      <t xml:space="preserve">Ghi chú: </t>
    </r>
    <r>
      <rPr>
        <i/>
        <sz val="10"/>
        <color rgb="FF000000"/>
        <rFont val="Times New Roman"/>
        <family val="1"/>
      </rPr>
      <t>(1) Theo quy định tại Điều 7, Điều 11 và Điều 39 Luật NSNN, ngân sách huyện, xã không có nhiệm vụ chi nghiên cứu khoa học và công nghệ, chi trả lãi vay, chi bổ sung quỹ dự trữ tài chính.</t>
    </r>
  </si>
  <si>
    <r>
      <t>Ghi chú:</t>
    </r>
    <r>
      <rPr>
        <i/>
        <sz val="10"/>
        <color rgb="FF000000"/>
        <rFont val="Times New Roman"/>
        <family val="1"/>
      </rPr>
      <t xml:space="preserve"> (1) Theo quy định tại Điều 7, Điều 39 Luật NSNN, ngân sách huyện, xã không có nhiệm vụ chi nghiên cứu khoa học và công nghệ.</t>
    </r>
  </si>
  <si>
    <t>QUYẾT TOÁN CÂN ĐỐI NGÂN SÁCH ĐỊA PHƯƠNG NĂM 2019</t>
  </si>
  <si>
    <t>1.1</t>
  </si>
  <si>
    <t>1.2</t>
  </si>
  <si>
    <t>1.3</t>
  </si>
  <si>
    <t>+</t>
  </si>
  <si>
    <t>Thuế giá trị gia tăng</t>
  </si>
  <si>
    <t>Thuế thu nhập doanh nghiệp</t>
  </si>
  <si>
    <t>Thuế tài nguyên</t>
  </si>
  <si>
    <t>Thuế tài nguyên nước</t>
  </si>
  <si>
    <t>Thuế tài nguyên khác</t>
  </si>
  <si>
    <t>2.1</t>
  </si>
  <si>
    <t>2.2</t>
  </si>
  <si>
    <t>2.3</t>
  </si>
  <si>
    <t>Thuế tài nguyên rừng</t>
  </si>
  <si>
    <t>3.2</t>
  </si>
  <si>
    <t>3.1</t>
  </si>
  <si>
    <t>4.1</t>
  </si>
  <si>
    <t>4.2</t>
  </si>
  <si>
    <t>4.3</t>
  </si>
  <si>
    <t>Thuế TTĐB hàng nội địa</t>
  </si>
  <si>
    <t>4.4</t>
  </si>
  <si>
    <t>Chương trình MTQG NTM</t>
  </si>
  <si>
    <t>Chương trình MTQG giảm nghèo bền vững</t>
  </si>
  <si>
    <t>II.1</t>
  </si>
  <si>
    <t>Bổ sung vốn đầu tư</t>
  </si>
  <si>
    <t>Vốn nước ngoài</t>
  </si>
  <si>
    <t>II.2</t>
  </si>
  <si>
    <t xml:space="preserve">Bổ sung mục tiêu vốn sự nghiệp </t>
  </si>
  <si>
    <t>Vốn vay</t>
  </si>
  <si>
    <t>Dự án Giáo dục và Đào tạo nhân lực y tế phục vụ cải cách hệ thống y tế, thực hiện ghi thu- ghi chi theo tiến độ giải ngân và trong phạm vị dự toán giao</t>
  </si>
  <si>
    <t>Dự án an ninh y tế khu vực tiểu vùng Mê Kông mở rộng thực hiện ghi thu - ghi chi theo tiến độ giải ngân và trong phạm vi dự toán giao</t>
  </si>
  <si>
    <t>1.4</t>
  </si>
  <si>
    <t>Dự án Chăm sóc sức khỏe nhân dân các tỉnh Tây Nguyên - Gđ 2, thực hiện ghi thu - ghi chi theo tiến độ giải ngân và trong phạm vi dự toán giao</t>
  </si>
  <si>
    <t>Chương trình mở rộng quy mô vệ sinh nước sạch nông thôn theo phương thức dựa trên kết quả, thực hiện ghi thu - ghi chi theo tiến độ giải ngân và trong phạm vi dự toán giao.</t>
  </si>
  <si>
    <t xml:space="preserve">Vốn viện trợ </t>
  </si>
  <si>
    <t>Chương trình hỗ trợ chính sách ngành y tế giai đoạn 2, thực hiện rút dự toán trong phạm vi dự toán giao và theo cơ chế tài chính trong nước</t>
  </si>
  <si>
    <t>Dự án hỗ trợ quản trị nhà nước tại địa phương trách nhiệm giải trình, đáp ứng được tại tỉnh Kon Tum, thực hiện ghi thu- ghi chi theo tiến độ giải ngân và trong phạm vi dự toán giao</t>
  </si>
  <si>
    <t>Hỗ trợ các Hội Văn học nghệ thuật và Hội Nhà báo địa phương</t>
  </si>
  <si>
    <t>Hỗ trợ chi phí học tập và miễn giảm học phí theo Nghị định 86</t>
  </si>
  <si>
    <t>Hỗ trợ chi phí học tập</t>
  </si>
  <si>
    <t>Kinh phí cấp bù, miễn giảm học phí</t>
  </si>
  <si>
    <t>Hỗ trợ học sinh và trường phổ thông ở xã, thôn đặc biệt khó khăn Nghị định 116/2016/NĐ-CP</t>
  </si>
  <si>
    <t>Chính sách ưu tiên đối với học sinh mẫu giáo học sinh dân tộc rất ít người (NĐ 57)</t>
  </si>
  <si>
    <t xml:space="preserve">Học bổng học sinh dân tộc nội trú; học bổng và phương tiện học tập cho học sinh khuyết tật; hỗ trợ chi phí học tập cho sinh viên dân tộc thiểu số thuộc hộ nghèo, hộ cận nghèo; chính sách nội trú đối với học sinh, sinh viên học cao đẳng, trung cấp </t>
  </si>
  <si>
    <t>5.1</t>
  </si>
  <si>
    <t>5.2</t>
  </si>
  <si>
    <t>5.3</t>
  </si>
  <si>
    <t>5.4</t>
  </si>
  <si>
    <t>Học bổng học sinh dân tộc nội trú</t>
  </si>
  <si>
    <t>Học bổng và phương tiện học tập cho học sinh khuyết tật TTLT 42</t>
  </si>
  <si>
    <t>Hỗ trợ chi phí học tập cho sinh viên DTTS thuộc hộ nghèo, cận nghèo</t>
  </si>
  <si>
    <t xml:space="preserve">Chính sách nội trú đối với học sinh, sinh viên học cao đẳng, trung cấp </t>
  </si>
  <si>
    <t>Hỗ trợ kinh phí đào tạo cán bộ quân sự cấp xã; kinh phí đào tạo cán bộ cơ sở vùng Tây nguyên; hỗ trợ kinh phí thực hiện đề án cũng cố, tăng cường cán bộ dân tộc Mông</t>
  </si>
  <si>
    <t>6.1</t>
  </si>
  <si>
    <t>6.2</t>
  </si>
  <si>
    <t>6.3</t>
  </si>
  <si>
    <t>Hỗ trợ kinh phí đào tạo cán bộ quân sự cấp xã</t>
  </si>
  <si>
    <t>Hỗ trợ đào tạo cán bộ cơ sở vùng Tây Nguyên theo Quyết định 124/QĐ-TTg</t>
  </si>
  <si>
    <t>Kinh phí thực hiện đề án giảm thiểu hôn nhân cận huyết thống</t>
  </si>
  <si>
    <t>Hỗ trợ kinh phí mua thẻ BHYT người nghèo, người sống ở vùng kinh tế xã hội ĐBKK, người dân tộc thiểu số sống ở vùng KT-XH khó khăn</t>
  </si>
  <si>
    <t>Hỗ trợ kinh phí mua thẻ BHYT cho trẻ em dưới 6 tuổi</t>
  </si>
  <si>
    <t xml:space="preserve">Hỗ trợ kinh phí mua thẻ BHYT cho các đối tượng </t>
  </si>
  <si>
    <t>Hỗ trợ kinh phí mua thẻ BHYT cho các đối tượng cựu chiến binh, thanh niên xung phong</t>
  </si>
  <si>
    <t>Hỗ trợ kinh phí mua thẻ BHYT cho các đối tượng bảo trợ xã hội</t>
  </si>
  <si>
    <t>Hỗ trợ kinh phí mua thẻ BHYT cho các đối tượng học sinh, sinh viên (Cấp KP trực tiếp về BHXH tỉnh)</t>
  </si>
  <si>
    <t>Hỗ trợ kinh phí mua thẻ BHYT cho các đối tượng cận nghèo (Cấp KP trực tiếp về BHXH tỉnh)</t>
  </si>
  <si>
    <t>Hỗ trợ thực hiện chính sách đối với đối tượng bảo trợ xã hội; hỗ trợ tiền điện hộ nghèo, hộ chính sách xã hội; trợ giá trực tiếp cho người dân tộc thiểu số nghèo ở vùng khó khăn; hỗ trợ chính sách đối với người có uy tín trong đồng bào dân tộc thiểu số; hỗ trợ tổ chức, đơn vị sử dụng lao động là người dân tộc thiểu số</t>
  </si>
  <si>
    <t>10.1</t>
  </si>
  <si>
    <t>10.2</t>
  </si>
  <si>
    <t>10.3</t>
  </si>
  <si>
    <t>10.4</t>
  </si>
  <si>
    <t>10.5</t>
  </si>
  <si>
    <t>Hỗ trợ thực hiện chính sách đối với đối tượng bảo trợ xã hội theo NĐ 136</t>
  </si>
  <si>
    <t xml:space="preserve"> Hỗ trợ tiền điện hộ nghèo, hộ chính sách xã hội</t>
  </si>
  <si>
    <t>Hỗ trợ chính sách đối với người có uy tín trong đồng bào dân tộc thiểu số</t>
  </si>
  <si>
    <t>Hỗ trợ tổ chức đơn vị sử dụng lao động là người dân tộc thiểu số</t>
  </si>
  <si>
    <t>Bảo hiểm y tế người nghèo (BHXH tỉnh thực hiện)</t>
  </si>
  <si>
    <t>Hỗ trợ kinh phí thực hiện đề án tăng cường công tác quản lý khai thác gỗ rừng tự nhiên giai đoạn 2014-2020 theo Quyết định 2242/QĐ-TTg</t>
  </si>
  <si>
    <t xml:space="preserve">Thu thủy lợi phí, giá dịch vụ thủy lợi </t>
  </si>
  <si>
    <t>Dự án hoàn thiện, hiện đại hóa hồ sơ, bản đồ địa giới hành chính và xây dựng cơ sở dữ liệu địa giới hành chính</t>
  </si>
  <si>
    <t>Bổ sung kinh phí thực hiện nhiệm vụ đảm bảo trật tự an toán giao thông</t>
  </si>
  <si>
    <t>Kinh phí quản lý, bảo trì đường bộ cho các quỹ bảo trì đường bộ địa phương</t>
  </si>
  <si>
    <t>Kinh phí thực hiện Quyết định 2085,2086 của Thủ tướng Chính phủ</t>
  </si>
  <si>
    <t>16.1</t>
  </si>
  <si>
    <t>16.2</t>
  </si>
  <si>
    <t>Kinh phí thực hiện Quyết định 2085/QĐ-TTg ngày 31/10/2016 của Thủ tướng Chính phủ</t>
  </si>
  <si>
    <t>Kinh phí thực hiện Quyết định 2086/QĐ-TTg ngày 31/10/2016 của Thủ tướng Chính phủ</t>
  </si>
  <si>
    <t>Bổ sung thực hiện một số Chương trình mục tiêu</t>
  </si>
  <si>
    <t>17.1</t>
  </si>
  <si>
    <t>Chương trình mục tiêu Giáo dục nghề nghiệp, việc làm và an toàn lao động</t>
  </si>
  <si>
    <t>17.2</t>
  </si>
  <si>
    <t>a</t>
  </si>
  <si>
    <t>b</t>
  </si>
  <si>
    <t>Dự án đổi mới và nâng cao chất lượng giáo dục nghề nghiệp</t>
  </si>
  <si>
    <t>Dự án phát triển thị trường lao động và việc làm</t>
  </si>
  <si>
    <t>c</t>
  </si>
  <si>
    <t>Dự án Tăng cường an toàn lao động, về sinh lao động</t>
  </si>
  <si>
    <t>CTMT Giáo dục vùng núi, vùng dân tộc thiểu số, vùng khó khăn (Sở GD và ĐT thực hiện)</t>
  </si>
  <si>
    <t>17.3</t>
  </si>
  <si>
    <t>Phát triển hệ thống trợ giúp xã hội</t>
  </si>
  <si>
    <t>d</t>
  </si>
  <si>
    <t>Dự án phát triển hệ thống trợ giúp XH đối với các đối tượng yếu thế</t>
  </si>
  <si>
    <t>Dự án phát triển hệ thống bảo vệ trẻ em</t>
  </si>
  <si>
    <t>Dự án hỗ trợ thực hiện các mục tiêu bình đẳng giới</t>
  </si>
  <si>
    <t>Dự án phát triển hệ thống dịch vụ hỗ trợ người cai nghiện ma túy, mại dâm và nạn nhân bị buôn bán người</t>
  </si>
  <si>
    <t>17.4</t>
  </si>
  <si>
    <t>Chương trình mục tiêu Y tế dân số (Sở Y tế thực hiện)</t>
  </si>
  <si>
    <t>e</t>
  </si>
  <si>
    <t>h</t>
  </si>
  <si>
    <t>Dự án 1: Phòng, chống một số bệnh có tính chất nguy hiểm với cộng đồng</t>
  </si>
  <si>
    <t>Dự án 2: Tiêm chủng mở rộng</t>
  </si>
  <si>
    <t>Dự án 3: Dân số và phát triển</t>
  </si>
  <si>
    <t>Dự án 4: An toàn thực phẩm</t>
  </si>
  <si>
    <t>Dự án 5: Phòng chống HIV/AIDS</t>
  </si>
  <si>
    <t>đ</t>
  </si>
  <si>
    <t>Dự án 7: Quân dân y kết hợp</t>
  </si>
  <si>
    <t>Dự án 8: Theo dõi, giám sát, đánh giá TTCT và truyền thông y tế</t>
  </si>
  <si>
    <t>17.5</t>
  </si>
  <si>
    <t xml:space="preserve">Phát triển văn hóa </t>
  </si>
  <si>
    <t>17.6</t>
  </si>
  <si>
    <t>17.7</t>
  </si>
  <si>
    <t>17.8</t>
  </si>
  <si>
    <t>17.9</t>
  </si>
  <si>
    <t>17.10</t>
  </si>
  <si>
    <t>Chương trình mục tiêu ATGT, phòng cháy, tội phạm, ma túy</t>
  </si>
  <si>
    <t>Chương trình mục tiêu Phát triển lâm nghiệp bền vững</t>
  </si>
  <si>
    <t>Chương trình mục tiêu CNTT</t>
  </si>
  <si>
    <t>Chương trình mục tiêu ứng phó với biến đổi khí hậu và tăng trưởng xanh</t>
  </si>
  <si>
    <t>Tái cơ cấu kinh tế nông nghiệp và phòng chống giảm nhẹ thiên tai, ổn định đời sống dân cư</t>
  </si>
  <si>
    <t>Dự toán năm 2019</t>
  </si>
  <si>
    <t>Sở Y tế</t>
  </si>
  <si>
    <t>Ban quản lý các dự án 98</t>
  </si>
  <si>
    <t>UBND huyện Ia H'Drai</t>
  </si>
  <si>
    <t>Sở Nội vụ</t>
  </si>
  <si>
    <t>Bộ chỉ huy quân sự tỉnh</t>
  </si>
  <si>
    <t>1</t>
  </si>
  <si>
    <t>2</t>
  </si>
  <si>
    <t>3</t>
  </si>
  <si>
    <t>4</t>
  </si>
  <si>
    <t>5</t>
  </si>
  <si>
    <t>6</t>
  </si>
  <si>
    <t>7</t>
  </si>
  <si>
    <t>8</t>
  </si>
  <si>
    <t>9</t>
  </si>
  <si>
    <t>10</t>
  </si>
  <si>
    <t>UBND TỈNH KON TUM</t>
  </si>
  <si>
    <t>Dự án phát triển khu vực biên giới tỉnh Kon Tum - Đầu tư nâng cấp Tỉnh lộ 675A</t>
  </si>
  <si>
    <t>UBND thành phố Kon Tum</t>
  </si>
  <si>
    <t>Chi dự phòng</t>
  </si>
  <si>
    <t>UBND huyện Tu Mơ Rông</t>
  </si>
  <si>
    <t>UBND huyện Đăk Glei</t>
  </si>
  <si>
    <t>UBND huyện Sa Thầy</t>
  </si>
  <si>
    <t>Huyện Kon Rẫy</t>
  </si>
  <si>
    <t>Báo Kon Tum</t>
  </si>
  <si>
    <t>Thành phố Kon Tum</t>
  </si>
  <si>
    <t>Huyện Đăk Hà</t>
  </si>
  <si>
    <t>Huyện Đăk Tô</t>
  </si>
  <si>
    <t xml:space="preserve">Huyện Ngọc Hồi </t>
  </si>
  <si>
    <t>Huyện Đăk Glei</t>
  </si>
  <si>
    <t>Huyện Sa Thầy</t>
  </si>
  <si>
    <t>Huyện Ia H'Drai</t>
  </si>
  <si>
    <t>Huyện Kon Plong</t>
  </si>
  <si>
    <t>Huyện Tu mơ rông</t>
  </si>
  <si>
    <t>DỰ TOÁN</t>
  </si>
  <si>
    <t>QUYẾT TOÁN</t>
  </si>
  <si>
    <t>SO SÁNH (%)</t>
  </si>
  <si>
    <t>Các Chủ đầu tư khác</t>
  </si>
  <si>
    <t>BẢNG PHÂN CÔNG THỰC HIỆN CÁC BIỂU QUYẾT TOÁN NSĐP THEO NGHỊ ĐỊNH 31</t>
  </si>
  <si>
    <t>Tên biểu</t>
  </si>
  <si>
    <t>Ký hiệu</t>
  </si>
  <si>
    <t>Cán bộ thực hiện</t>
  </si>
  <si>
    <t>CBCQ phối hợp</t>
  </si>
  <si>
    <t>Ghi chú</t>
  </si>
  <si>
    <t>Quyết toán cân đối ngân sách địa phương năm</t>
  </si>
  <si>
    <t>Biểu mẫu số 48</t>
  </si>
  <si>
    <t>Long</t>
  </si>
  <si>
    <t>Hào, Hải</t>
  </si>
  <si>
    <t>Quyết toán cân đối nguồn thu, chi ngân sách cấp tỉnh</t>
  </si>
  <si>
    <t>Biểu mẫu số 49</t>
  </si>
  <si>
    <t>Quyết toán nguồn thu ngân sách nhà nước trên địa bàn theo lĩnh vực</t>
  </si>
  <si>
    <t>Biểu mẫu số 50</t>
  </si>
  <si>
    <t>Hào</t>
  </si>
  <si>
    <t>Biểu mẫu số 51</t>
  </si>
  <si>
    <t>Biểu mẫu số 52</t>
  </si>
  <si>
    <t>Biểu mẫu số 53</t>
  </si>
  <si>
    <t>Biểu mẫu số 54</t>
  </si>
  <si>
    <t>Quyết toán chi ngân sách địa phương theo lĩnh vực</t>
  </si>
  <si>
    <t>Quyết toán chi ngân sách cấp tỉnh theo lĩnh vực</t>
  </si>
  <si>
    <t>Tân</t>
  </si>
  <si>
    <t>Quyết toán chi NSĐP, chi ngân sách cấp tỉnh theo cơ cấu chi</t>
  </si>
  <si>
    <t>Quyết toán chi ngân sách cấp tỉnh cho từng cơ quan, tổ chức theo lĩnh vực</t>
  </si>
  <si>
    <t>Biểu mẫu số 58</t>
  </si>
  <si>
    <t>Biểu mẫu số 59</t>
  </si>
  <si>
    <t>Biểu mẫu số 61</t>
  </si>
  <si>
    <t>Quyết toán chi ngân sách địa phương từng huyện</t>
  </si>
  <si>
    <t>Quyết toán chi CTMTQG</t>
  </si>
  <si>
    <t>Hiền</t>
  </si>
  <si>
    <t>Quyết toán bổ sung từ ngân sách cấp tỉnh cho ngân sách cấp huyện</t>
  </si>
  <si>
    <r>
      <rPr>
        <strike/>
        <sz val="13"/>
        <rFont val="Times New Roman"/>
        <family val="1"/>
      </rPr>
      <t xml:space="preserve"> </t>
    </r>
    <r>
      <rPr>
        <sz val="13"/>
        <rFont val="Times New Roman"/>
        <family val="1"/>
      </rPr>
      <t xml:space="preserve">Long chủ trì,Tân, Hào phối hợp hệ thống biểu mẫu theo NĐ 31. Hải chủ trì thực hiện các Biểu công khai QT và hoàn thiện trình UB tỉnh công khai theo quy đinh (Hải không tham gia vào Biểu NĐ 31)  </t>
    </r>
  </si>
  <si>
    <t>Tân (Long HD)</t>
  </si>
  <si>
    <t>Hải phối hợp HD</t>
  </si>
  <si>
    <t>QUYẾT TOÁN NGUỒN THU NGÂN SÁCH NHÀ NƯỚC TRÊN ĐỊA BÀN THEO LĨNH VỰC NĂM 2019</t>
  </si>
  <si>
    <t>QUYẾT TOÁN CHI NGÂN SÁCH ĐỊA PHƯƠNG THEO LĨNH VỰC NĂM 2019</t>
  </si>
  <si>
    <t>Vốn nước ngoài (ODA)</t>
  </si>
  <si>
    <t>Giải ngân theo cơ chế tài chính trong nước</t>
  </si>
  <si>
    <t>ODA - Đầu tư theo chương trình  - Chương trình mục tiêu ứng phó với biến đổi khí hậu và tăng trưởng xanh</t>
  </si>
  <si>
    <t>ODA - Các dự án khác</t>
  </si>
  <si>
    <t>Thực hiện theo tiến độ GTGC</t>
  </si>
  <si>
    <t>ODA - Đầu tư theo chương trình - Chương trình mở rộng quy mô nước sạch nông thôn dựa trên kết quả</t>
  </si>
  <si>
    <t>ODA - Đầu tư theo ngành, lĩnh vực - Nông nghiệp, lâm nghiệp, thủy lợi và thủy sản</t>
  </si>
  <si>
    <t>ODA - Đầu tư theo ngành, lĩnh vực - Y tế, dân số và vệ sinh an toàn thực phẩm</t>
  </si>
  <si>
    <t>Theo KH vốn giao đầu năm</t>
  </si>
  <si>
    <t>2.</t>
  </si>
  <si>
    <t>Vay lại nguồn vốn nước ngoài để thực hiện dự án ODA</t>
  </si>
  <si>
    <t>Dự án Sửa chữa và nâng cao an toán đập</t>
  </si>
  <si>
    <t>Chương trình mở rộng quy mô nước sạch nông thôn dựa trên kết quả</t>
  </si>
  <si>
    <t>3.</t>
  </si>
  <si>
    <t xml:space="preserve">3.1 </t>
  </si>
  <si>
    <t>Bổ sung các chương trình mục tiêu</t>
  </si>
  <si>
    <t>TW bổ sung có MT - Chương trình phát triển kinh tế xã hội các vùng - NQ10 (CT 168)</t>
  </si>
  <si>
    <t>TW bổ sung có MT -  Viện trợ không hoàn lại của chính phủ Ai Len</t>
  </si>
  <si>
    <t>Nguồn dự phòng ngân sách Trung ương 2019_Dự án khẩn cấp</t>
  </si>
  <si>
    <t>Vốn Trái phiếu Chính phủ</t>
  </si>
  <si>
    <t>TPCP - Ngành giao thông</t>
  </si>
  <si>
    <t>TPCP - Ngành Giáo dục</t>
  </si>
  <si>
    <t>TPCP - Chưa phân bổ chi tiết</t>
  </si>
  <si>
    <t>Vốn đầu tư</t>
  </si>
  <si>
    <t>Vốn sự nghiệp</t>
  </si>
  <si>
    <t>TW bổ sung có MT - Chương trình mục tiêu tái cơ cấu kinh tế nông nghiệp và phòng chống giảm nhẹ thiên tai, ổn định đời sống dân cư</t>
  </si>
  <si>
    <t xml:space="preserve">TW bổ sung có MT - Chương trình cấp điện nông thôn miền núi và hải đảo </t>
  </si>
  <si>
    <t>TW bổ sung có MT - Chương trình mục tiêu Đầu tư hạ tầng khu kinh tế ven biển, Khu kinh tế cửa khẩu, Khu công nghiệp, công nghệ cao, khu nông nghiệp ứng dụng công nghệ cao</t>
  </si>
  <si>
    <t>TW bổ sung có MT - Chương trình mục tiêu QP-AN trên địa bàn trọng điểm</t>
  </si>
  <si>
    <t>TW bổ sung có MT - Hỗ trợ đối ứng ODA các tỉnh khó khăn</t>
  </si>
  <si>
    <t xml:space="preserve">Nguồn dự phòng ngân sách Trung ương 2019_Dự án khẩn cấp - Dự án phòng cháy chữa cháy rừng </t>
  </si>
  <si>
    <t xml:space="preserve">Nguồn dự phòng ngân sách Trung ương 2019 - các dự án cấp bách </t>
  </si>
  <si>
    <t>TW bổ sung có MT - nguồn dự phòng ngân sách trung ương 2019</t>
  </si>
  <si>
    <t>TW bổ sung có MT - Chương trình mục tiêu phát triển văn hóa</t>
  </si>
  <si>
    <t>TW bổ sung có MT - Nguồn dự án trồng mới 5 triệu ha rừng</t>
  </si>
  <si>
    <t>Dự phòng NSTW năm 2016</t>
  </si>
  <si>
    <t>QUYẾT TOÁN CHI NGÂN SÁCH CẤP TỈNH THEO CHO TỪNG CƠ QUAN, TỔ CHỨC NĂM 2019</t>
  </si>
  <si>
    <t>TÊN ĐƠN VỊ</t>
  </si>
  <si>
    <t>CHI ĐẦU TƯ PHÁT TRIỂN (KHÔNG KỂ CHƯƠNG TRÌNH MTQG)</t>
  </si>
  <si>
    <t>CHI THƯỜNG XUYÊN (KHÔNG KỂ CHƯƠNG TRÌNH MTQG)</t>
  </si>
  <si>
    <t>CHI TRẢ NỢ VAY KCH KÊNH MƯƠNG</t>
  </si>
  <si>
    <t>CHI BỔ SUNG QUỸ DỰ TRỮ TÀI CHÍNH, CHI DỰ PHÒNG…</t>
  </si>
  <si>
    <t>CHI CHƯƠNG TRÌNH MTQG</t>
  </si>
  <si>
    <t>CHI BỔ SUNG QUỸ DỰ TRỮ TÀI CHÍNH, CHI BỔ SUNG CÓ  MT CHO NGÂN SÁCH HUYỆN</t>
  </si>
  <si>
    <t>CHI CHUYỂN NGUỒN SANG NGÂN SÁCH NĂM SAU</t>
  </si>
  <si>
    <t>Chi thường xuyên cấp DT</t>
  </si>
  <si>
    <t>Chi thường xuyên cấp Lệnh chi</t>
  </si>
  <si>
    <t>CHI ĐẦU TƯ PHÁT TRIỂN</t>
  </si>
  <si>
    <t>CHI THƯỜNG XUYÊN</t>
  </si>
  <si>
    <t>Đâu tư</t>
  </si>
  <si>
    <t>Sự nghiệp</t>
  </si>
  <si>
    <t>1=2+..+6</t>
  </si>
  <si>
    <t>6=7+8</t>
  </si>
  <si>
    <t>9=10+..+14+17</t>
  </si>
  <si>
    <t>14=15+16</t>
  </si>
  <si>
    <t>17=18+19</t>
  </si>
  <si>
    <t>20=9/1</t>
  </si>
  <si>
    <t>21=10/2</t>
  </si>
  <si>
    <t>22=11/3</t>
  </si>
  <si>
    <t>23=14/6</t>
  </si>
  <si>
    <t>I.1</t>
  </si>
  <si>
    <t>CÁC CƠ QUAN, TỔ CHỨC KHỐI TỈNH</t>
  </si>
  <si>
    <t>Ban quản lý khu bảo tồn thiên nhiên Ngọc Linh</t>
  </si>
  <si>
    <t>Ban quản lý rừng phòng hộ Đăk Glei</t>
  </si>
  <si>
    <t>BQL Rừng phòng hộ Đăk Long</t>
  </si>
  <si>
    <t>Các đơn vị có vốn nhà nước nắm giữ 100% vốn điều lệ</t>
  </si>
  <si>
    <t>Trung tâm dịch vụ việc làm tỉnh Kon Tum</t>
  </si>
  <si>
    <t>I.2</t>
  </si>
  <si>
    <t>UBND huyện Đăk Hà</t>
  </si>
  <si>
    <t>UBND huyện Đăk Tô</t>
  </si>
  <si>
    <t xml:space="preserve">UBND huyện Ngọc Hồi </t>
  </si>
  <si>
    <t>UBND huyện Kon Rẫy</t>
  </si>
  <si>
    <t xml:space="preserve">UBND huyện Kon PLông </t>
  </si>
  <si>
    <t>CHI BỔ SUNG QUỸ DỰ TRỮ TÀI CHÍNH</t>
  </si>
  <si>
    <t>CHI DỰ PHÒNG NGÂN SÁCH</t>
  </si>
  <si>
    <t>CHI TẠO NGUỒN, ĐIỀU CHỈNH TIỀN LƯƠNG</t>
  </si>
  <si>
    <t xml:space="preserve">CHI BỔ SUNG CÓ MỤC TIÊU CHO NGÂN SÁCH HUYỆN </t>
  </si>
  <si>
    <t>5.5</t>
  </si>
  <si>
    <t>Hỗ trợ tiền ăn trưa trẻ em mẫu giáo 3-5 tuổi</t>
  </si>
  <si>
    <t>QUYẾT TOÁN CHI CHƯƠNG TRÌNH MỤC TIÊU QUỐC GIA NĂM 2019</t>
  </si>
  <si>
    <t>Hiền đã nhập xong</t>
  </si>
  <si>
    <t>Chương trình mục tiêu quốc gia giảm nghèo bền vững</t>
  </si>
  <si>
    <t>Chương trình mục tiêu quốc gia xây dựng nông thôn mới</t>
  </si>
  <si>
    <t>Đầu tư phát triển</t>
  </si>
  <si>
    <t>Kinh phí sự nghiệp</t>
  </si>
  <si>
    <t>35=18/1</t>
  </si>
  <si>
    <t>36=19/2</t>
  </si>
  <si>
    <t>37=20/3</t>
  </si>
  <si>
    <t>38=21/4</t>
  </si>
  <si>
    <t>39=22/5</t>
  </si>
  <si>
    <t>40=23/6</t>
  </si>
  <si>
    <t>41=24/7</t>
  </si>
  <si>
    <t>45=25/8</t>
  </si>
  <si>
    <t>46=26/9</t>
  </si>
  <si>
    <t>47=27/10</t>
  </si>
  <si>
    <t>48=28/11</t>
  </si>
  <si>
    <t>49=29/12</t>
  </si>
  <si>
    <t>50=30/13</t>
  </si>
  <si>
    <t>51=31/14</t>
  </si>
  <si>
    <t>52=32/15</t>
  </si>
  <si>
    <t>53=33/16</t>
  </si>
  <si>
    <t>54=34/17</t>
  </si>
  <si>
    <t>Chi ngân sách cấp tỉnh</t>
  </si>
  <si>
    <t>Văn phòng Điều phối NTM tỉnh</t>
  </si>
  <si>
    <t>Hội Nông dân tỉnh</t>
  </si>
  <si>
    <t>Hội Liên hiệp Phụ nữ tỉnh</t>
  </si>
  <si>
    <t>Sở NN&amp;PTNT</t>
  </si>
  <si>
    <t>Tỉnh đoàn</t>
  </si>
  <si>
    <t>Sở Lao động -TBXH</t>
  </si>
  <si>
    <t>Ủy ban Mặt trận Tổ quốc tỉnh</t>
  </si>
  <si>
    <t>Liên minh HTX tỉnh</t>
  </si>
  <si>
    <t>Sở Thông tin - Truyền thông</t>
  </si>
  <si>
    <t>Ban Dân tộc</t>
  </si>
  <si>
    <t>Chi ngân sách huyện</t>
  </si>
  <si>
    <t>…</t>
  </si>
  <si>
    <t xml:space="preserve"> Vay của ngân sách địa phương</t>
  </si>
  <si>
    <t>Thu huy động đóng góp</t>
  </si>
  <si>
    <t>VIII</t>
  </si>
  <si>
    <t>Huyện Đăk glei</t>
  </si>
  <si>
    <t xml:space="preserve">Huyện Sa thầy </t>
  </si>
  <si>
    <t>Kinh phí thực hiện chính sách sử dụng sản phẩm, dịch vụ công ích thủy lợi năm 2017, 2018</t>
  </si>
  <si>
    <t>KP thực hiện nhiệm vụ đo đạc, cấp giấy chứng nhận quyền sử dụng đất và xây dựng cơ sở dữ liệu đất đai năm 2018</t>
  </si>
  <si>
    <t>KP thực hiện nhiệm vụ đo đạc, lập bản đồ địa chính, cắm mốc ranh giới sử dụng đất và cấp giấy chứng nhận quyền sử dụng đất của các công ty nông, lâm</t>
  </si>
  <si>
    <t>KP hỗ trợ khôi phục thiệt hại do thiên tai gây ra trên địa bàn tỉnh 2018</t>
  </si>
  <si>
    <t>Kinh phí thực hiện Quyết định 2242/QĐ-TTg ngày 20/11/2017 của Thủ tướng chính phủ năm 2014, 2015, 2016</t>
  </si>
  <si>
    <t>Chính sách miễn giảm thu thủy lợi phí còn thiếu lũy kế đến năm 2016</t>
  </si>
  <si>
    <t>Hỗ trợ kinh phí tiêu hủy lợn mắc bệnh long móng, lở mồm, tai xanh và dịch tả lợn châu Phi</t>
  </si>
  <si>
    <t>Kinh phí thực hiện chương trình hỗ trợ chính sách ngành y tế</t>
  </si>
  <si>
    <t>Chi nộp ns cấp trên</t>
  </si>
  <si>
    <t>CHI TRẢ NỢ VAY KHC KÊNH MƯƠNG; CHI TRẢ NỢ VAY</t>
  </si>
  <si>
    <t>Thu viện trợ, các khoản huy động, đóng góp</t>
  </si>
  <si>
    <t>6. Thu từ ngân sách cấp dưới nộp lên</t>
  </si>
  <si>
    <t>Thu từ ngân sách cấp dưới nộp lên</t>
  </si>
  <si>
    <t>Phụ lục số 45</t>
  </si>
  <si>
    <t xml:space="preserve">       SỞ TÀI CHÍNH</t>
  </si>
  <si>
    <t>QUYẾT TOÁN CHI CHƯƠNG TRÌNH MỤC TIÊU QUỐC GIA</t>
  </si>
  <si>
    <t>CHƯƠNG TRÌNH 135, DỰ ÁN TRỒNG MỚI 5 TRIỆU HA RỪNG, MỘT SỐ MỤC TIÊU NHIỆM VỤ KHÁC NĂM 2019</t>
  </si>
  <si>
    <t>ĐVT: triệu đồng</t>
  </si>
  <si>
    <t>TT</t>
  </si>
  <si>
    <t>Nội dung chi</t>
  </si>
  <si>
    <t>Năm 2018 chuyển sang 2019</t>
  </si>
  <si>
    <t>Chia ra</t>
  </si>
  <si>
    <t>Quyết toán năm 2019</t>
  </si>
  <si>
    <t>Chia ra:</t>
  </si>
  <si>
    <t>Kinh phí nộp trả ngân sách cấp trên</t>
  </si>
  <si>
    <t>Nộp trả NSTW theo KL KTNN</t>
  </si>
  <si>
    <t>Nộp trả hết nhiệm vụ chi</t>
  </si>
  <si>
    <t>Chuyển sang năm sau</t>
  </si>
  <si>
    <t>NS tỉnh</t>
  </si>
  <si>
    <t>NS huyện</t>
  </si>
  <si>
    <t>Dự toán NS  tỉnh  thực hiện</t>
  </si>
  <si>
    <t>Dự toán NS huyện thực hiện</t>
  </si>
  <si>
    <t>Chi NS tỉnh thực hiện</t>
  </si>
  <si>
    <t>Chi NS huyện thực hiện</t>
  </si>
  <si>
    <t xml:space="preserve">Vốn đầu tư </t>
  </si>
  <si>
    <t>Vốn SN</t>
  </si>
  <si>
    <t>Tổng cộng</t>
  </si>
  <si>
    <t>1a</t>
  </si>
  <si>
    <t>1b</t>
  </si>
  <si>
    <t>1c</t>
  </si>
  <si>
    <t>1d</t>
  </si>
  <si>
    <t>2=3+4</t>
  </si>
  <si>
    <t>5=6+7</t>
  </si>
  <si>
    <t>9=10+11</t>
  </si>
  <si>
    <t>12=13+14</t>
  </si>
  <si>
    <t>16a</t>
  </si>
  <si>
    <t>16b</t>
  </si>
  <si>
    <t>16c</t>
  </si>
  <si>
    <t>16d</t>
  </si>
  <si>
    <t>Tổng số: (A+B+C+D)</t>
  </si>
  <si>
    <t>Chương trình MTQG</t>
  </si>
  <si>
    <t>A.1</t>
  </si>
  <si>
    <t xml:space="preserve">Theo dự toán đầu năm </t>
  </si>
  <si>
    <t>Chương trình MTQG XD nông thôn mới</t>
  </si>
  <si>
    <t>Đăk Hà</t>
  </si>
  <si>
    <t>Đăk Tô</t>
  </si>
  <si>
    <t xml:space="preserve">Ngọc Hồi </t>
  </si>
  <si>
    <t>Đăk glei</t>
  </si>
  <si>
    <t xml:space="preserve">Sa thầy </t>
  </si>
  <si>
    <t>Ia HD'rai</t>
  </si>
  <si>
    <t>Kon Rẫy</t>
  </si>
  <si>
    <t>Kon Plông</t>
  </si>
  <si>
    <t>Tu mơ Rông</t>
  </si>
  <si>
    <t>Văn phòng điều phối tỉnh</t>
  </si>
  <si>
    <t>Sở Nông nghiệp và phát triển nông thôn</t>
  </si>
  <si>
    <t>Hội Liên hiệp phụ nữ tỉnh</t>
  </si>
  <si>
    <t>Ủy ban MTTQVN tỉnh</t>
  </si>
  <si>
    <t>Sở Lao động - TBXH</t>
  </si>
  <si>
    <t>Liên minh HTX</t>
  </si>
  <si>
    <t>Tỉnh Đoàn</t>
  </si>
  <si>
    <t xml:space="preserve">Sở, các huyện nộp trả về tập trung NST </t>
  </si>
  <si>
    <t xml:space="preserve">Chương trình MTQG GN bền vững </t>
  </si>
  <si>
    <t>Dự án 1: Chương trình 30a</t>
  </si>
  <si>
    <t>Vốn đầu tư phát triển</t>
  </si>
  <si>
    <t xml:space="preserve">Các huyện nộp trả về tập trung NST </t>
  </si>
  <si>
    <t>Duy tu bảo dưỡng CSHT</t>
  </si>
  <si>
    <t>Hỗ trợ PTSX, đa dạng hóa sinh kế và nhân rộng mô hình giảm nghèo trên địa bàn huyện nghèo</t>
  </si>
  <si>
    <t xml:space="preserve">Nộp trả về tập trung NST </t>
  </si>
  <si>
    <t>Hỗ trợ lao động nghèo, cận nghèo, đồng bào dân tộc thiểu số đi làm việc có thời hạn ở nước ngoài</t>
  </si>
  <si>
    <t xml:space="preserve">Rút Sở LĐ trả về tập trung NST </t>
  </si>
  <si>
    <t xml:space="preserve">Dự án 2: Chương trình 135 </t>
  </si>
  <si>
    <t>2.4</t>
  </si>
  <si>
    <t>Nâng cao năng lực giám sát, đánh giá</t>
  </si>
  <si>
    <t>Ban dân tộc</t>
  </si>
  <si>
    <t>Dự án 3: Hỗ trợ PTSX, đa dạng hóa sinh kế và nhân rộng mô hình giảm nghèo trên địa bàn huyện nghèo các xã ngoài Chương trình 30a và CT 135</t>
  </si>
  <si>
    <t>Đăk hà</t>
  </si>
  <si>
    <t>Dự án 4: Truyền thông và giảm nghèo về thông tin</t>
  </si>
  <si>
    <t>Sở Thông tin và truyền thông</t>
  </si>
  <si>
    <t xml:space="preserve">Rút về tập trung NST </t>
  </si>
  <si>
    <t>Dự án 5: Nâng cao năng lực và giám sát, đánh giá thực hiện chương trình</t>
  </si>
  <si>
    <t>A.2</t>
  </si>
  <si>
    <t>Bổ sung trong năm</t>
  </si>
  <si>
    <t>Chương trình 30a</t>
  </si>
  <si>
    <t>Đầu tư cơ sở hạ tầng các huyện nghèo</t>
  </si>
  <si>
    <t xml:space="preserve">Chưa phân bổ </t>
  </si>
  <si>
    <t>Duy tu bảo dưỡng</t>
  </si>
  <si>
    <t>Tu Mơ Rông</t>
  </si>
  <si>
    <t>Ia H'Drai (Dự án 1_CT 30a)</t>
  </si>
  <si>
    <t>Tập trung ngân sách tỉnh</t>
  </si>
  <si>
    <t>Hỗ trợ phát triển KTXH, PTSX; hỗ trợ giáo dục đào tạo và dạy nghề trên địa bàn các huyện nghèo</t>
  </si>
  <si>
    <t>Ia H'Drai</t>
  </si>
  <si>
    <t xml:space="preserve">Trung ương bổ sung nhiệm vụ cụ thể vốn đầu tư: </t>
  </si>
  <si>
    <t>Hủy, vì ghi thu ghi chi, không chuyển nguồn</t>
  </si>
  <si>
    <t>B.1</t>
  </si>
  <si>
    <t xml:space="preserve">Vốn trong nước </t>
  </si>
  <si>
    <t>Chương trình phát triển kinh tế xã hội các vùng - NQ10 (CT 168)</t>
  </si>
  <si>
    <t>Đầu tư hạ tầng khu kinh tế ven biển, khu kinh tế cửa khẩu, khu công nghiệp, cụm CN</t>
  </si>
  <si>
    <t xml:space="preserve"> Đầu tư phát triển kinh tế - xã hội tuyên biên giới Việt Trung, Việt Nam - Lào và Việt Nam - Campuchia </t>
  </si>
  <si>
    <t>Hỗ trợ đầu tư các huyện mới chia tách</t>
  </si>
  <si>
    <t>Phát triển và bảo vệ rừng bền vững</t>
  </si>
  <si>
    <t>Hỗ trợ thực hiện Quyết định số 293/QĐ-TTg và áp dụng một số quy định của Chương trình 30a</t>
  </si>
  <si>
    <t xml:space="preserve"> Đầu tư vùng ATK</t>
  </si>
  <si>
    <t>Nguồn dự phòng NSTW 2009 (kè QL24)</t>
  </si>
  <si>
    <t>Nguồn đầu tư Kè chống sạt lở QL24</t>
  </si>
  <si>
    <t>Chương trình cấp điện nông thôn miền núi và hải đảo</t>
  </si>
  <si>
    <t>Phát triển hệ thống y tế địa phương</t>
  </si>
  <si>
    <t>Phát triển văn hóa</t>
  </si>
  <si>
    <t xml:space="preserve"> Hỗ trợ hạ tầng du lịch</t>
  </si>
  <si>
    <t>CTMT QP-AN trên địa bàn trọng điểm</t>
  </si>
  <si>
    <t>Hỗ trợ đối ứng ODA các tỉnh khó khăn</t>
  </si>
  <si>
    <t>NSTW hỗ trợ phòng cháy, chữa cháy rừng</t>
  </si>
  <si>
    <t>Nguồn dự án trồng mới 5 triệu ha rừng</t>
  </si>
  <si>
    <t>Các dự án cấp bách theo ý kiến chỉ đạo của Lãnh đạo Đảng và Nhà nước</t>
  </si>
  <si>
    <t>Vượt thu và kết dư NSTW năm 2010</t>
  </si>
  <si>
    <t xml:space="preserve">Chương trình mục tiêu công nghệ thông tin (Đầu tư xây dựng chính quyền điện tử tỉnh Kon Tum) </t>
  </si>
  <si>
    <t>Vốn trái phiếu Chính phủ năm 2019</t>
  </si>
  <si>
    <t>Hỗ trợ người có công với cách mạng về nhà ở theo Quyết định số 22/2013/QĐ-TTg</t>
  </si>
  <si>
    <t>Nguồn dự phòng NSTW 2019</t>
  </si>
  <si>
    <t>Vay lại nguồn nước ngoài để thực hiện dự án ODA</t>
  </si>
  <si>
    <t>Chương trình mở rộng quy mô vệ sinh và nước sạch nông thôn dựa trên kết quả</t>
  </si>
  <si>
    <t>ODA - Lĩnh vực nông nghiệp và phát triển nông thôn kết hợp xóa đói giảm nghèo (DA GNKV Tây Nguyên)</t>
  </si>
  <si>
    <t>ODA - Lĩnh vực Y Tế  (DA chăm sóc sức khỏe nhân dân các tỉnh Tây Nguyện GĐ 2)</t>
  </si>
  <si>
    <t>Các dự án khác (dự án sữa chữa và nâng cao an toàn đập)</t>
  </si>
  <si>
    <t>B.2</t>
  </si>
  <si>
    <t>Các chương trình mục tiêu</t>
  </si>
  <si>
    <t xml:space="preserve">Bổ sung vốn đầu tư từ nguồn viện trợ của Chính phủ Ai len </t>
  </si>
  <si>
    <t>Thực hiện các dự án kè chống sạt lở, sửa chữa, gia cố các mốc giới hư hỏng, xuống cấp trên biên giới Việt Nam - Lào</t>
  </si>
  <si>
    <t>KP từ nguồn dự phòng NSTW năm 2019 để thực hiện DA khắc phục, sửa chữa tuyến đường tuần tra biên giới trên địa bàn tỉnh Kon Tum do ảnh hưởng của mữa bão</t>
  </si>
  <si>
    <t>Hỗ trợ từ nguồn vốn dự phòng ngân sách trung ương năm 2019 để thực hiện các dự án cấp bách về phòng cháy, chữa cháy rừng và bảo vệ rừng năm 2019</t>
  </si>
  <si>
    <t>Hỗ trợ nguồn vốn dự phòng ngân sách trung ương năm 2019  (kè hai bên bờ suối Đăk Ter 25 tỷ; dự án bố trí ổn định dân di cư và sắp xếp dân cư huyện Tu Mơ Rông 10 tỷ; dự án ổn định dân di cư tự ao và dân cư biên giới huyện Sa Thầy 1o tỷ)</t>
  </si>
  <si>
    <t>Vốn nước ngoài ODA</t>
  </si>
  <si>
    <t>Bổ sung cơ sở vật chất cho Trường Phổ thông dân tộc nội trú huyện Kon Plông</t>
  </si>
  <si>
    <t>Bổ sung cơ sở vật chất cho Trường Trung học phổ thông Phan Chu Trinh huyện Ngọc Hồi</t>
  </si>
  <si>
    <t>Dự án cấp điện nông thôn từ lưới điện quốc gia tỉnh Kon Tum giai đoạn 2014 -2020</t>
  </si>
  <si>
    <t>Các dự án khác</t>
  </si>
  <si>
    <t>Bổ sung mục tiêu vốn TPCP_KH vốn 2016</t>
  </si>
  <si>
    <t xml:space="preserve"> Nguồn sự nghiệp Trung ương bổ sung có mục tiêu</t>
  </si>
  <si>
    <t xml:space="preserve"> - Dự án chuyển đổi nông nghiệp bền vững (DA VnSat)</t>
  </si>
  <si>
    <t>Trung ương bổ sung mục tiêu vốn SN (I+II)</t>
  </si>
  <si>
    <t>C.1</t>
  </si>
  <si>
    <t xml:space="preserve"> Theo dự toán đầu năm </t>
  </si>
  <si>
    <t xml:space="preserve">Vốn nước ngoài </t>
  </si>
  <si>
    <t xml:space="preserve"> -</t>
  </si>
  <si>
    <t>Chương trình đảm bảo chất lượng trường học SEQAP</t>
  </si>
  <si>
    <t>Tu mơ Rông (chuyển 2018)</t>
  </si>
  <si>
    <t>Dự án giáo dục và đào tạo nhân lực y tế phục vụ cải cách hệ thống y tế, thực hiện ghi thu ghi chi theo tiến độ giải ngân và trong phạm vi dự toán được giao.</t>
  </si>
  <si>
    <t>Dự án  an ninh y tế khu vực tiểu vùng Mê Kông mở rộng, thực hiện ghi thu ghi chi theo tiến độ giải ngân và trong phạm vi dự toán được giao.</t>
  </si>
  <si>
    <t>Dự án chăm sóc sức khỏe nhân dân các tỉnh Tây Nguyên giai đoạn 2, thực hiện ghi thu ghi chi theo tiến độ giải ngân và trong phạm vi dự toán được giao.</t>
  </si>
  <si>
    <t>Chương trình mở rộng quy mô vệ sinh nước sạch nông thôn theo phương thức dựa trên kết quả, thực hiện ghi thu ghi chi theo tiến độ giải ngân và trong phạm vi dự toán được giao.</t>
  </si>
  <si>
    <t>Sở Giáo dục và đào tạo</t>
  </si>
  <si>
    <t>Dự án giáo dục và đào tạo nhân lực y tế phục vụ cải cách hệ thống y tế, thực hiện ghi thu ghi chi theo  thực tế giải ngân.</t>
  </si>
  <si>
    <t>Chương trình hỗ trợ chính sách ngành y tế giai đoạn 2, thực hiện trong phạm vi dự toán giao và theo cơ chế tài chính trong nước (Sở Y tế thực hiện)</t>
  </si>
  <si>
    <t>Dự án hỗ trợ quản trị nhà nước tại địa phương trách nhiệm giải trình, đáp ứng được tại tỉnh Kon Tum,  thực hiện ghi thu ghi chi theo tiến độ giải ngân.</t>
  </si>
  <si>
    <t>Ban quản lý dự án RALG tỉnh Kon Tum</t>
  </si>
  <si>
    <t>Hỗ trợ các Hội văn học nghệ thuật và Hội nhà báo địa phương; mua thiết bị chiếu phim và ô tô chuyên dùng</t>
  </si>
  <si>
    <t xml:space="preserve">Sở Văn hóa Thể thao và Du lịch </t>
  </si>
  <si>
    <t xml:space="preserve"> Hội Nhà báo</t>
  </si>
  <si>
    <t>Hội Văn học nghệ thuật</t>
  </si>
  <si>
    <t>Chính sách trợ giúp pháp lý theo QĐ 32/2016/QĐ-TTg</t>
  </si>
  <si>
    <t>Sở Tư pháp</t>
  </si>
  <si>
    <t>Rút Sở Tư pháp về tập trung NST</t>
  </si>
  <si>
    <t>Kinh phí thực hiện các chính sách giáo dục</t>
  </si>
  <si>
    <t>Kinh phí thực hiện Nghị định 116/2016/NĐ-CP</t>
  </si>
  <si>
    <t xml:space="preserve">Hỗ trợ học sinh DT bán trú và Trường PTDT bán trú: </t>
  </si>
  <si>
    <t>Sa thầy</t>
  </si>
  <si>
    <t>Sở Giáo dục - Đào tạo</t>
  </si>
  <si>
    <t xml:space="preserve">Nguồn còn lại chưa phân bổ </t>
  </si>
  <si>
    <t xml:space="preserve">Hỗ trợ học sinh phố thông vùng khó khăn  </t>
  </si>
  <si>
    <t>Chính sách đối với học sinh khuyết tật 42</t>
  </si>
  <si>
    <t>3.3</t>
  </si>
  <si>
    <t>Học bổng học sinh dân tộc nội trú theo TT 109/TTLT-BTC-BGD</t>
  </si>
  <si>
    <t xml:space="preserve">Sở Giáo dục - Đào tạo </t>
  </si>
  <si>
    <t>Nguồn còn lại chưa phân bổ</t>
  </si>
  <si>
    <t>3.4</t>
  </si>
  <si>
    <t>Kinh phí hỗ trợ tiền ăn trưa trẻ em mẫu giáo 3-5 tuổi</t>
  </si>
  <si>
    <t>Trường Cao đẳng Cộng đồng Kon Tum</t>
  </si>
  <si>
    <t>3.5</t>
  </si>
  <si>
    <t xml:space="preserve">Hỗ trợ chi phí học tập và miễn giảm học phí theo NĐ 49/2010/NĐ-CP và NĐ 86/2015/NĐ-CP </t>
  </si>
  <si>
    <t xml:space="preserve">Đăk Hà </t>
  </si>
  <si>
    <t>Sở giáo dục</t>
  </si>
  <si>
    <t>Trường Cao đẳng Cộng đồng</t>
  </si>
  <si>
    <t xml:space="preserve"> - Trường trung cấp y tế</t>
  </si>
  <si>
    <t xml:space="preserve"> - Trường Trung cấp nghề</t>
  </si>
  <si>
    <t>Kinh phí chưa phân bổ</t>
  </si>
  <si>
    <t>3.6</t>
  </si>
  <si>
    <t>Kinh phí thực hiện chính sách theo QĐ 53/TTg về chính sách nội trú cho học sinh, sinh viên cao đẳng trung cấp</t>
  </si>
  <si>
    <t>Sa Thầy</t>
  </si>
  <si>
    <t>3.7</t>
  </si>
  <si>
    <t>Kinh phí hỗ trợ chi phí học tập cho sinh viên là DTTS theo QĐ 66/2013/TTg</t>
  </si>
  <si>
    <t>Trường Cao đẳng cộng đồng (Chuyển 2019)</t>
  </si>
  <si>
    <t>3.8</t>
  </si>
  <si>
    <t>Kinh phí thực hiện chính sách hỗ trợ trẻ em người dân tộc rất ít người theo NĐ 57/2017/NĐ-CP</t>
  </si>
  <si>
    <t>Trường Cao đẳng cộng đồng</t>
  </si>
  <si>
    <t>Ngọc Hồi</t>
  </si>
  <si>
    <t>3.9</t>
  </si>
  <si>
    <t>KP thực hiện QĐ 799/QĐ-TTg_Kinh phí đào tạo cán bộ quân sự xã, phường</t>
  </si>
  <si>
    <t>Bộ Chỉ huy Quân sự tỉnh</t>
  </si>
  <si>
    <t xml:space="preserve">Kinh phí hỗ trợ đào tạo CBCC cấp cơ sở theo QĐ 124-QĐ-TTg năm 2015, 2016 </t>
  </si>
  <si>
    <t>Kinh phí mua thẻ BHYT cho người nghèo, người sống vùng kinh tế xã hội ĐBKK, người DTTS sống ở vùng KTXH khó khăn</t>
  </si>
  <si>
    <t xml:space="preserve">BHXH tỉnh </t>
  </si>
  <si>
    <t xml:space="preserve">Rút  về tập trung NST </t>
  </si>
  <si>
    <t>Kinh phí mua thẻ BHYT cho trẻ em dưới 6 tuổi</t>
  </si>
  <si>
    <t>Kinh phí mua BHYT cho CCB, TNXP, người làm nhiệm vụ quốc tế Lào, CPC</t>
  </si>
  <si>
    <t>Kinh phí mua BHYT cho đối tượng BTXH</t>
  </si>
  <si>
    <t>Tu mơ Rông (Chuyển 2019)</t>
  </si>
  <si>
    <t>Kinh phí mua thẻ BHYT cho học sinh, sinh viên</t>
  </si>
  <si>
    <t>Kinh phí mua thẻ BHYT hộ cận nghèo, hộ nông lâm ngư nghiệp có mức sống trung bình, người hiến bộ phận cơ thể</t>
  </si>
  <si>
    <t>KP bảo trợ xã hội theo theo Nghị định 136</t>
  </si>
  <si>
    <t xml:space="preserve">Thành phố Kon Tum </t>
  </si>
  <si>
    <t>Nguồn chưa phân bổ</t>
  </si>
  <si>
    <t xml:space="preserve">Kinh phí hỗ trợ tiền điện hộ nghèo </t>
  </si>
  <si>
    <t xml:space="preserve">Chính sách trợ giá cho người DTTS theo Quyết định 102/TTg </t>
  </si>
  <si>
    <t>KP thực hiện chính sách đối với người uy tín</t>
  </si>
  <si>
    <t xml:space="preserve">Kinh phí thực hiện CS hỗ trợ tổ chức, đơn vị sử dụng lao động là người dân tộc thiểu số theo QĐ 42 TTg năm 2016, 2017 </t>
  </si>
  <si>
    <t>Cty TNHH MTV lâm nghiệp Đăk Glei</t>
  </si>
  <si>
    <t>Cty TNHH MTV  lâm nghiệp Kon Rẫy</t>
  </si>
  <si>
    <t>Cty TNHH MTV  lâm nghiệp Đăk Tô</t>
  </si>
  <si>
    <t>Cty TNHH MTV lâm nghiệp Sa Thầy</t>
  </si>
  <si>
    <t>Cty TNHH MTV  lâm nghiệp Ngọc Hồi</t>
  </si>
  <si>
    <t>Cty TNHH MTV  lâm nghiệp Kon Plông</t>
  </si>
  <si>
    <t>Cty cổ phần Đầu tư và phát triển Duy Tân</t>
  </si>
  <si>
    <t>Cty cổ phần Sâm Ngọc Linh</t>
  </si>
  <si>
    <t>Kinh phí thực hiện Đề án tăng cường công tác quản lý khai thác gỗ rừng tự nhiên GĐ 2014-2020</t>
  </si>
  <si>
    <t>Công ty TNHH MTV Kon Plông</t>
  </si>
  <si>
    <t>Công ty TNHH MTV Ngọc Hồi</t>
  </si>
  <si>
    <t>Công ty TNHH MTV Sa Thầy</t>
  </si>
  <si>
    <t>Công ty TNHH MTV IA H'Drai</t>
  </si>
  <si>
    <t xml:space="preserve">Kinh phí thực hiện DA hoàn thiện, hiện đại hóa hồ sơ, bản đồ, địa giới hành chính và xây dựng cơ sở dữ liệu về địa giới hành chính </t>
  </si>
  <si>
    <t>Bổ sung kinh phí thực hiện nhiệm vụ đảm bảo trật tự an toàn giao thông</t>
  </si>
  <si>
    <t>Công an tỉnh</t>
  </si>
  <si>
    <t>Ban an toàn giao thông tỉnh</t>
  </si>
  <si>
    <t>Sở Giáo dục và Đào tạo tỉnh</t>
  </si>
  <si>
    <t>Sở Văn hóa Thể thao và DL</t>
  </si>
  <si>
    <t>UB mặt trận tổ quốc VN tỉnh</t>
  </si>
  <si>
    <t>Tỉnh đoàn thanh niên</t>
  </si>
  <si>
    <t>Đài phát thanh Truyền hình</t>
  </si>
  <si>
    <t>Sở Thông tin Truyền thông</t>
  </si>
  <si>
    <t xml:space="preserve">Sở Giao thông vận tải </t>
  </si>
  <si>
    <t xml:space="preserve">Ia HD'rai </t>
  </si>
  <si>
    <t>CTMT giáo dục nghề nghiệp - việc làm và an toàn lao động</t>
  </si>
  <si>
    <t xml:space="preserve">Sở Lao động TBXH </t>
  </si>
  <si>
    <t xml:space="preserve">Tu mơ Rông </t>
  </si>
  <si>
    <t>CTMT hỗ trợ phát triển hệ thống trợ giúp xã hội</t>
  </si>
  <si>
    <t>Kon Plông (Chuyển 2019)</t>
  </si>
  <si>
    <t>CTMT Y tế và dân số</t>
  </si>
  <si>
    <t xml:space="preserve">CTMT Phát triển văn hóa </t>
  </si>
  <si>
    <t xml:space="preserve">CTMT ATGT, phòng cháy, phòng chống tội phạm ma túy </t>
  </si>
  <si>
    <t xml:space="preserve">CTMT phát triển lâm nghiệp bền vững </t>
  </si>
  <si>
    <t>BQL Rừng phòng hộ Đăk Blô</t>
  </si>
  <si>
    <t>BQL Rừng phòng hộ Đăk Nhoong</t>
  </si>
  <si>
    <t>BQL Rừng phòng hộ Đăk Glei</t>
  </si>
  <si>
    <t>BQL Rừng phòng hộ Thạch Nham</t>
  </si>
  <si>
    <t>BQL Rừng phòng hộ Chư Mom Ray</t>
  </si>
  <si>
    <t>BQL Khu bảo tồn thiên nhiên Ngọc Linh</t>
  </si>
  <si>
    <t>BQL Rừng đặc dụng Đăk Uy</t>
  </si>
  <si>
    <t>BQL Rừng phòng hộ  Đăk Ang</t>
  </si>
  <si>
    <t>BQL Rừng phòng hộ  Đăk Hà</t>
  </si>
  <si>
    <t>BQL Rừng phòng hộ  Tu Mơ Rông</t>
  </si>
  <si>
    <t>BQL Rừng phòng hộ Kon Rẫy</t>
  </si>
  <si>
    <t>Hạt Kiểm lâm Sa Thầy</t>
  </si>
  <si>
    <t>Hạt kiểm lâm Kon Plông</t>
  </si>
  <si>
    <t>Sở Nông nghiệp và phát triển nông thôn (BCĐ)</t>
  </si>
  <si>
    <t>Công ty TNHH Lâm nghiệp Đăk Glei</t>
  </si>
  <si>
    <t>Chi Cục kiểm lâm</t>
  </si>
  <si>
    <t>Công ty TNHH Lâm nghiệp Ia H'Drai</t>
  </si>
  <si>
    <t>Nguồn đưa về chuyển nguồn TT NS tỉnh</t>
  </si>
  <si>
    <t>CTMT tái cơ cấu KT nông nghiệp và phòng chống giảm nhẹ thiên tai, ổn định dân cư</t>
  </si>
  <si>
    <t xml:space="preserve">Nguồn chưa phân bổ </t>
  </si>
  <si>
    <t>KP thực hiện Đề án Giảm thiểu hôn nhân cận huyết thống</t>
  </si>
  <si>
    <t>Bảo hiểm y tế người nghèo</t>
  </si>
  <si>
    <t>Thu thủy lợi phí, giá phí dịch vụ thủy lợi</t>
  </si>
  <si>
    <t>Ban quản lý khai thác các công trình thủy lợi</t>
  </si>
  <si>
    <t>,</t>
  </si>
  <si>
    <t>Quỹ bảo trì đường bộ tỉnh (tồn 2018 chuyển 2019: 19.004 tr.đ)</t>
  </si>
  <si>
    <t>Kinh phí thực hiện Quyết định số 2086/QĐ-TTg của Thủ tướng Chính phủ</t>
  </si>
  <si>
    <t>Kinh phí thực hiện Quyết định số 2085/QĐ-TTg của Thủ tướng Chính phủ</t>
  </si>
  <si>
    <t>CTMT giáo dục vùng núi, vùng dân tộc thiểu số, vùng khó khăn</t>
  </si>
  <si>
    <t>CTMT Công nghệ thông tin</t>
  </si>
  <si>
    <t>CTMT Ứng phó Biến đổi khí hậu &amp; Tăng trưởng xanh năm 2019</t>
  </si>
  <si>
    <t>Sở Tài nguyên và Môi trường</t>
  </si>
  <si>
    <t>C.2</t>
  </si>
  <si>
    <t>BQL dự án các công trình thủy lợi</t>
  </si>
  <si>
    <t>Đăk Glei</t>
  </si>
  <si>
    <t>Hoàn trả nguồn chi khác ngân sách tỉnh năm 2019</t>
  </si>
  <si>
    <t>Hoàn trả nguồn dự phòng ngân sách tỉnh</t>
  </si>
  <si>
    <t>KP Chương trình quốc gia phòng, chống bệnh lở mồm long móng giai đoạn 2016-2020</t>
  </si>
  <si>
    <t>Sở Nông nghiệp và Phát triển nông thôn</t>
  </si>
  <si>
    <t>Công ty TNHH MTV Lâm nghiệp Kon Plông</t>
  </si>
  <si>
    <t>Công ty TNHH MTV Lâm nghiệp Ia H'Drai</t>
  </si>
  <si>
    <t>Công ty TNHH MTV Lâm nghiệp Sa Thầy</t>
  </si>
  <si>
    <t>Công ty TNHH MTV Lâm nghiệp Ngọc Hồi</t>
  </si>
  <si>
    <t xml:space="preserve">Kinh phí khắc phục hạn hán vụ Đông Xuân năm 2015-2016 </t>
  </si>
  <si>
    <t xml:space="preserve">Các nhiệm vụ mục tiêu khác </t>
  </si>
  <si>
    <t>Kinh phí tinh giãn biên chế</t>
  </si>
  <si>
    <t xml:space="preserve">Kinh phí mua Vắc xin LMLM </t>
  </si>
  <si>
    <t>Bổ sung kinh phí mua thiết bị chiếu phim và ô tô chuyên dùng chiếu phim lưu động</t>
  </si>
  <si>
    <t>Sở Văn hóa, thể thao và du lịch</t>
  </si>
  <si>
    <t>Hỗ trợ kinh phí khắc phục thiệt hại do bão số 12 và mưa lũ</t>
  </si>
  <si>
    <t>Sở Giao thông vận tải (Chuyển 2018)</t>
  </si>
  <si>
    <t>BQL khai thác các công trình thủy lợi</t>
  </si>
  <si>
    <t xml:space="preserve">Đăk glei  </t>
  </si>
  <si>
    <t>Kinh phí cấm mốc ranh giới sử dụng đất</t>
  </si>
  <si>
    <t>Sở Tài nguyên - Môi trường (Chuyển 2018)</t>
  </si>
  <si>
    <t>Hỗ trợ chia tách huyện, xã</t>
  </si>
  <si>
    <t>Kinh phí hỗ trợ bảo vệ phát triển đất trồng lúa</t>
  </si>
  <si>
    <t>Hỗ trợ miễn thu thủy lợi phí</t>
  </si>
  <si>
    <t>Đăk Tô (Chuyển 2019)</t>
  </si>
  <si>
    <t>Kinh phí khắc phục hậu quả hạn hán và xâm nhập mặn vụ đông xuân năm 2014-2015</t>
  </si>
  <si>
    <t>Tu mơ Rông  (chuyển 2018)</t>
  </si>
  <si>
    <t>Kinh phí thực hiện chính sách bảo vệ và phát triển đất trồng lúa</t>
  </si>
  <si>
    <t>Kinh phí sự nghiệp môi trường đợt 2</t>
  </si>
  <si>
    <t xml:space="preserve">Hỗ trợ đề án phát triển công tác xã hội </t>
  </si>
  <si>
    <t>KP  bảo vệ rừng và khoanh nuôi tái sinh rừng</t>
  </si>
  <si>
    <t>Hỗ trợ dự án nhiệm vụ khoa học công nghệ</t>
  </si>
  <si>
    <t>Sở Khoa học và công nghệ</t>
  </si>
  <si>
    <t>Mẫu biểu số 60</t>
  </si>
  <si>
    <t>CÂN ĐỐI QUYẾT TOÁN NGÂN SÁCH ĐỊA PHƯƠNG NĂM 2019</t>
  </si>
  <si>
    <t>(Số liệu tổng hợp thực hiện đến ngày 09/7/2020)</t>
  </si>
  <si>
    <t>Đơn vị: triệu đồng</t>
  </si>
  <si>
    <t>Phần thu</t>
  </si>
  <si>
    <t>Thu NS cấp tỉnh</t>
  </si>
  <si>
    <t>Thu NS cấp huyện</t>
  </si>
  <si>
    <t>Thu NS cấp xã</t>
  </si>
  <si>
    <t>Phần chi</t>
  </si>
  <si>
    <t>Chi NS cấp tỉnh</t>
  </si>
  <si>
    <t>Chi NS cấp huyện</t>
  </si>
  <si>
    <t>Chi NS cấp xã</t>
  </si>
  <si>
    <t>Tổng số thu</t>
  </si>
  <si>
    <t>Tổng số chi</t>
  </si>
  <si>
    <t>A. Tổng số thu cân đối ngân sách</t>
  </si>
  <si>
    <t>A Tổng số chi cân đối ngân sách</t>
  </si>
  <si>
    <t>1. Các khoản thu NSĐP hưởng 100%</t>
  </si>
  <si>
    <t>1. Chi đầu tư phát triển</t>
  </si>
  <si>
    <t>2. Các khoản thu phân chia theo tỷ lệ %</t>
  </si>
  <si>
    <t>2. Chi trả nợ vay KCH kênh mương</t>
  </si>
  <si>
    <t>3. Thu từ quỹ dự trữ tài chính</t>
  </si>
  <si>
    <t>3. Chi thường xuyên</t>
  </si>
  <si>
    <t>4. Thu kết dư năm trước</t>
  </si>
  <si>
    <t>4. Chi bổ sung quỹ dự trữ tài chính</t>
  </si>
  <si>
    <t>5. Thu chuyển nguồn từ năm trước sang</t>
  </si>
  <si>
    <t>5. Chi bổ sung cho ngân sách cấp dưới</t>
  </si>
  <si>
    <t>6. Chi chuyển nguồn sang năm sau</t>
  </si>
  <si>
    <t>7. Thu bổ sung từ ngân sách cấp trên</t>
  </si>
  <si>
    <t>7. Chi nộp ngân sách cấp trên</t>
  </si>
  <si>
    <t>Tr.đó: - Bổ sung cân đối ngân sách</t>
  </si>
  <si>
    <t>8. Chi trả lãi, phí vay của ĐP từ nguồn cho vay lại của Chính phủ</t>
  </si>
  <si>
    <t xml:space="preserve">          - Bổ sung có mục tiêu</t>
  </si>
  <si>
    <t>8. Ghi thu huy động đóng góp, viện trợ</t>
  </si>
  <si>
    <t>9. Vay của ngân sách địa phương</t>
  </si>
  <si>
    <t xml:space="preserve"> - Kết dư ngân sách năm 2019</t>
  </si>
  <si>
    <t>- Bội chi = chi - thu</t>
  </si>
  <si>
    <t xml:space="preserve">C. Vay của ngân sách cấp tỉnh </t>
  </si>
  <si>
    <t xml:space="preserve">C. Chi trả nợ gốc </t>
  </si>
  <si>
    <t>Ngày        tháng      năm 2020</t>
  </si>
  <si>
    <t>Kon Tum, ngày       tháng       năm 2020</t>
  </si>
  <si>
    <t>KHO BẠC NHÀ NƯỚC TỈNH KON TUM</t>
  </si>
  <si>
    <t>SỞ TÀI CHÍNH TỈNH KON TUM</t>
  </si>
  <si>
    <t>TM. UBND TỈNH KON TUM</t>
  </si>
  <si>
    <t>GIÁM ĐỐC</t>
  </si>
  <si>
    <t xml:space="preserve">       GIÁM ĐỐC</t>
  </si>
  <si>
    <t>CHỦ TỊCH</t>
  </si>
  <si>
    <t>Phân tích kết dự NS tỉnh</t>
  </si>
  <si>
    <t xml:space="preserve"> - Hủy DT thường xuyên đơn vị</t>
  </si>
  <si>
    <t xml:space="preserve"> - Hủy Lệnh chi thường xuyên đơn vị</t>
  </si>
  <si>
    <t xml:space="preserve"> - Kết dư chưa xác định nội dung </t>
  </si>
  <si>
    <t>Chi từ nguồn tăng thu so với dự toán Trung ương giao</t>
  </si>
  <si>
    <t>Chi trả nợ vay kiên cố hóa kênh mương</t>
  </si>
  <si>
    <t>Chi nộp trả ngân sách cấp trên</t>
  </si>
  <si>
    <t>Chi từ nguồn giao tăng thu so với dự toán Trung ương giao</t>
  </si>
  <si>
    <t>Chi trả nợ vay kiến cố hóa kênh mương</t>
  </si>
  <si>
    <t>CHI NỘP TRẢ NGÂN SÁCH CẤP TRÊN</t>
  </si>
  <si>
    <t>Mẫu biểu số 62</t>
  </si>
  <si>
    <t>QUYẾT TOÁN CHI NGÂN SÁCH ĐỊA PHƯƠNG NĂM 2019</t>
  </si>
  <si>
    <t>So sánh QT/DT(%)</t>
  </si>
  <si>
    <t>Bộ Tài chính giao</t>
  </si>
  <si>
    <t>HĐND quyết định</t>
  </si>
  <si>
    <t>Tổng số Chi NSĐP</t>
  </si>
  <si>
    <t>3=4+5+6</t>
  </si>
  <si>
    <t>7=3/1</t>
  </si>
  <si>
    <t>8=3/2</t>
  </si>
  <si>
    <t>CHI CÂN ĐỐI NGÂN SÁCH</t>
  </si>
  <si>
    <t>Chi đầu tư phát triển cho chương trình dự án theo lĩnh vực</t>
  </si>
  <si>
    <t>1.5</t>
  </si>
  <si>
    <t>1.6</t>
  </si>
  <si>
    <t>1.7</t>
  </si>
  <si>
    <t>1.8</t>
  </si>
  <si>
    <t>1.9</t>
  </si>
  <si>
    <t>1.10</t>
  </si>
  <si>
    <t>1.11</t>
  </si>
  <si>
    <t>Chi hoạt động của các cơ quan quản lý nhà nước, Đảng, đoàn thể</t>
  </si>
  <si>
    <t>1.12</t>
  </si>
  <si>
    <t>1.13</t>
  </si>
  <si>
    <t>Chi ngành, lĩnh vực khác</t>
  </si>
  <si>
    <t>Chi đầu tư và hỗ trợ vốn cho các doanh nghiệp hoạt động công ích</t>
  </si>
  <si>
    <t>Chi trả nợ vay KCH kênh mương; Chi trả lãi</t>
  </si>
  <si>
    <t>Chi an ninh</t>
  </si>
  <si>
    <t>Chi khác theo quy định của pháp luật</t>
  </si>
  <si>
    <t xml:space="preserve">Chi bổ sung quỹ dự trữ tài chính </t>
  </si>
  <si>
    <t xml:space="preserve">Chi chuyển nguồn </t>
  </si>
  <si>
    <t>Chi trả lãi, phí vay của ĐP từ nguồn cho vay lại của Chính phủ</t>
  </si>
  <si>
    <t>Chi nguồn tăng thu so dự toán Trung ương giao (50% tạo nguồn CCTL)</t>
  </si>
  <si>
    <t>IX</t>
  </si>
  <si>
    <t>Chi cho vay từ nguồn vốn trong nước</t>
  </si>
  <si>
    <t>X</t>
  </si>
  <si>
    <t>Viện trợ; các khoản huy động, đóng góp</t>
  </si>
  <si>
    <t>Viện trợ</t>
  </si>
  <si>
    <t>Các khoản huy động, đóng góp</t>
  </si>
  <si>
    <t xml:space="preserve">Chi huy động đóng góp XDCB </t>
  </si>
  <si>
    <t>Chi huy động đóng góp SN</t>
  </si>
  <si>
    <t>CHI BỔ SUNG CHO NGÂN SÁCH CẤP DƯỚI</t>
  </si>
  <si>
    <t>Bổ sung cân đối</t>
  </si>
  <si>
    <t>Tr. đó: - Bằng nguồn vốn trong nước</t>
  </si>
  <si>
    <t xml:space="preserve">           - Bằng nguồn vốn ngoài nước</t>
  </si>
  <si>
    <t>CHI NỘP NGÂN SÁCH CẤP TRÊN</t>
  </si>
  <si>
    <t>TỔNG SỐ (A+B+C)</t>
  </si>
  <si>
    <t>Ngày      tháng     năm 2020</t>
  </si>
  <si>
    <t xml:space="preserve">   GIÁM ĐỐC</t>
  </si>
  <si>
    <t xml:space="preserve"> GIÁM ĐỐC</t>
  </si>
  <si>
    <t>Chi trả nợ vay Kiên cố hóa kênh mương</t>
  </si>
  <si>
    <t>CHI NỌP TRẢ NGÂN SÁCH CẤP TRÊN</t>
  </si>
  <si>
    <t>Chi từ nguồn huy động đóng góp</t>
  </si>
  <si>
    <t>So sánh (2)</t>
  </si>
  <si>
    <t>Ghi chú: (1) Theo quy định tại Điều 7, Điều 11 và Điều 39 Luật NSNN, ngân sách huyện, xã không có nhiệm vụ chi nghiên cứu khoa học và công nghệ, trả lãi vay, chi bổ sung quỹ dự trữ tài chính, bội chi NSĐP, vay và trả nợ gốc vay.
             (2) Số quyết toán tăng so với số dự toán giao đầu năm là trong năm được cấp có thẩm quyền giao bổ sung từ nguồn Trung ương bổ sung có mục tiêu, nguồn năm trước chuyển sang, nguồn tăng thu NSĐP....</t>
  </si>
  <si>
    <t>Ngân sách cấp tỉnh</t>
  </si>
  <si>
    <t>Ngân sách cấp huyện</t>
  </si>
  <si>
    <r>
      <t>Ghi chú:</t>
    </r>
    <r>
      <rPr>
        <i/>
        <sz val="10"/>
        <rFont val="Times New Roman"/>
        <family val="1"/>
      </rPr>
      <t xml:space="preserve"> (1) Ngân sách xã không có nhiệm vụ chi bổ sung cân đối cho ngân sách cấp dưới.</t>
    </r>
  </si>
  <si>
    <t>CHI KHÁC NGÂN SÁCH TỈNH</t>
  </si>
  <si>
    <t>Chi thường xuyên (không kể chương trình MTQG va TƯ BSMT vốn sự nghiệp)</t>
  </si>
  <si>
    <t>TƯ BSMT vốn sự nghiệp</t>
  </si>
  <si>
    <t>Sở NN và PT nông thôn</t>
  </si>
  <si>
    <t>Sở GTVT và các đơn vị trực thuộc</t>
  </si>
  <si>
    <t>Sở Xây dựng và các đơn vị trực thuộc</t>
  </si>
  <si>
    <t>Sở Tài  nguyên MT và các ĐV trực thuộc</t>
  </si>
  <si>
    <t>Sở Công Thương và các ĐV trực thuộc</t>
  </si>
  <si>
    <t>Chi  giáo dục - Đào tạo ngành Giáo dục</t>
  </si>
  <si>
    <t xml:space="preserve"> Văn hoá Thể thao và Du lịch</t>
  </si>
  <si>
    <t>Sở LĐ TB-XH và các đơn vị trực thuộc</t>
  </si>
  <si>
    <t>Sở Tư pháp và các đơn vị trực thuộc</t>
  </si>
  <si>
    <t>11</t>
  </si>
  <si>
    <t>VP Tỉnh Uỷ và các đơn vị trực thuộc Tỉnh Uỷ</t>
  </si>
  <si>
    <t>12</t>
  </si>
  <si>
    <t>Sở Kh. học và CN và các ĐV trực thuộc</t>
  </si>
  <si>
    <t>13</t>
  </si>
  <si>
    <t>Tỉnh đoàn và các đơn vị trực thuộc</t>
  </si>
  <si>
    <t>14</t>
  </si>
  <si>
    <t>15</t>
  </si>
  <si>
    <t xml:space="preserve">Ban QL Khu Kinh tế  </t>
  </si>
  <si>
    <t>16</t>
  </si>
  <si>
    <t>17</t>
  </si>
  <si>
    <t>Đài phát thanh - Truyền hình</t>
  </si>
  <si>
    <t>18</t>
  </si>
  <si>
    <t>19</t>
  </si>
  <si>
    <t>Sở Ngọai vụ</t>
  </si>
  <si>
    <t>20</t>
  </si>
  <si>
    <t>Thanh tra nhà nước</t>
  </si>
  <si>
    <t>21</t>
  </si>
  <si>
    <t>VP Đoàn ĐBQH và  HĐND tỉnh</t>
  </si>
  <si>
    <t>22</t>
  </si>
  <si>
    <t>Hỗ trợ hoạt động Đoàn đại biểu quốc hội</t>
  </si>
  <si>
    <t>23</t>
  </si>
  <si>
    <t>Sở Kế hoạch  và Đầu tư</t>
  </si>
  <si>
    <t>24</t>
  </si>
  <si>
    <t>Sở Tài chính</t>
  </si>
  <si>
    <t>25</t>
  </si>
  <si>
    <t>VP Uỷ ban nhân dân tỉnh</t>
  </si>
  <si>
    <t>26</t>
  </si>
  <si>
    <t>Hội Cựu chiến binh</t>
  </si>
  <si>
    <t>27</t>
  </si>
  <si>
    <t>Hội Nông dân</t>
  </si>
  <si>
    <t>28</t>
  </si>
  <si>
    <t>Uỷ ban mặt trận tổ quốc</t>
  </si>
  <si>
    <t>29</t>
  </si>
  <si>
    <t>Hội liên hiệp phụ nữ tỉnh</t>
  </si>
  <si>
    <t>30</t>
  </si>
  <si>
    <t>31</t>
  </si>
  <si>
    <t>32</t>
  </si>
  <si>
    <t>Bộ chỉ huy biên phòng</t>
  </si>
  <si>
    <t>33</t>
  </si>
  <si>
    <t>Hỗ trợ kinh phí người cao tuổi</t>
  </si>
  <si>
    <t>34</t>
  </si>
  <si>
    <t>Hội nạn nhân ảnh hưởng chất độc da cam dioxin</t>
  </si>
  <si>
    <t>35</t>
  </si>
  <si>
    <t>Hội người tàn tật và trẻ em mồ côi</t>
  </si>
  <si>
    <t>36</t>
  </si>
  <si>
    <t>Hội khuyến học</t>
  </si>
  <si>
    <t>37</t>
  </si>
  <si>
    <t>Ban liên lạc tù chính trị</t>
  </si>
  <si>
    <t>38</t>
  </si>
  <si>
    <t>Hội nhà báo</t>
  </si>
  <si>
    <t>39</t>
  </si>
  <si>
    <t>Hội liên hiệp KH và kỹ thuật và các Hội thành viên</t>
  </si>
  <si>
    <t>40</t>
  </si>
  <si>
    <t>Hội Cựu Thanh niên xung phong</t>
  </si>
  <si>
    <t>41</t>
  </si>
  <si>
    <t>Hội Văn học Nghệ thuật</t>
  </si>
  <si>
    <t>42</t>
  </si>
  <si>
    <t>Hội Luật gia</t>
  </si>
  <si>
    <t>43</t>
  </si>
  <si>
    <t xml:space="preserve">Hội chữ thập đỏ </t>
  </si>
  <si>
    <t>44</t>
  </si>
  <si>
    <t>Liên minh các Hợp tác xã</t>
  </si>
  <si>
    <t>45</t>
  </si>
  <si>
    <t>Hội Cựu giáo chức</t>
  </si>
  <si>
    <t>46</t>
  </si>
  <si>
    <t>Hội bóng bàn</t>
  </si>
  <si>
    <t>47</t>
  </si>
  <si>
    <t>Liên đoàn cầu lông</t>
  </si>
  <si>
    <t>48</t>
  </si>
  <si>
    <t>Đoàn Luật sư</t>
  </si>
  <si>
    <t>49</t>
  </si>
  <si>
    <t>Các đơn vị khác</t>
  </si>
  <si>
    <t>50</t>
  </si>
  <si>
    <t>51</t>
  </si>
  <si>
    <t>Ban quản lý dự án bảo vệ Quản lý tông hợp các hệ sinh thái rừng</t>
  </si>
  <si>
    <t>52</t>
  </si>
  <si>
    <t>Ban quản lý dự án chuyển đổi NN bền vững</t>
  </si>
  <si>
    <t>53</t>
  </si>
  <si>
    <t>54</t>
  </si>
  <si>
    <t>Ban Tổ chức tỉnh</t>
  </si>
  <si>
    <t>55</t>
  </si>
  <si>
    <t>Bệnh viện đa khoa tỉnh</t>
  </si>
  <si>
    <t>56</t>
  </si>
  <si>
    <t>QBL DAGN khu vực Tây nguyên huyện Đăk Glei</t>
  </si>
  <si>
    <t>57</t>
  </si>
  <si>
    <t>QBL DAGN khu vực Tây nguyên huyện Kon Rẫy</t>
  </si>
  <si>
    <t>58</t>
  </si>
  <si>
    <t>QBL DAGN khu vực Tây nguyên huyện Kon Plong</t>
  </si>
  <si>
    <t>59</t>
  </si>
  <si>
    <t>QBL DAGN khu vực Tây nguyên huyện Ngọc Hồi</t>
  </si>
  <si>
    <t>60</t>
  </si>
  <si>
    <t>QBL DAGN khu vực Tây nguyên huyện Sa Thầy</t>
  </si>
  <si>
    <t>61</t>
  </si>
  <si>
    <t>QBL DAGN khu vực Tây nguyên huyện Tu mơ Rông</t>
  </si>
  <si>
    <t>62</t>
  </si>
  <si>
    <t>QBL DAGN khu vực Tây nguyên Sở Kế hoạch và đầu tư</t>
  </si>
  <si>
    <t>63</t>
  </si>
  <si>
    <t>BQL rừng phòng hộ Đăk Hà</t>
  </si>
  <si>
    <t>64</t>
  </si>
  <si>
    <t>BQL rừng phòng hộ Đăk Long</t>
  </si>
  <si>
    <t>65</t>
  </si>
  <si>
    <t>BQL rừng phòng hộ Tu mơ rông</t>
  </si>
  <si>
    <t>66</t>
  </si>
  <si>
    <t>Chi cục Chăn nuôi và thú y tỉnh</t>
  </si>
  <si>
    <t>67</t>
  </si>
  <si>
    <t>Trung tâm kiểm soát bệnh tật</t>
  </si>
  <si>
    <t>68</t>
  </si>
  <si>
    <t>Trung tâm nước sinh hoạt và VS MT nông thôn</t>
  </si>
  <si>
    <t>69</t>
  </si>
  <si>
    <t>Ban quản lý dự án đầu tư xây dựng các CT nông nghiệp và PTNT</t>
  </si>
  <si>
    <t>70</t>
  </si>
  <si>
    <t>Quỹ phát triển đất</t>
  </si>
  <si>
    <t>71</t>
  </si>
  <si>
    <t>Chi cục phát triển nông thôn</t>
  </si>
  <si>
    <t>72</t>
  </si>
  <si>
    <t>Chi cục quản lý chất lượng Nông lâm sản và thủy sản tỉnh</t>
  </si>
  <si>
    <t>73</t>
  </si>
  <si>
    <t>74</t>
  </si>
  <si>
    <t>75</t>
  </si>
  <si>
    <t xml:space="preserve">Ngân hàng chính sách xã hội tỉnh </t>
  </si>
  <si>
    <t>76</t>
  </si>
  <si>
    <t>Quỹ bảo trì đường bộ</t>
  </si>
  <si>
    <t>77</t>
  </si>
  <si>
    <t>Văn phòng Bảo hiểm xã hội tỉnh</t>
  </si>
  <si>
    <t>78</t>
  </si>
  <si>
    <t>Trung tâm y tế huyện Kon Rẫy</t>
  </si>
  <si>
    <t>79</t>
  </si>
  <si>
    <t>80</t>
  </si>
  <si>
    <t>81</t>
  </si>
  <si>
    <t>82</t>
  </si>
  <si>
    <t>83</t>
  </si>
  <si>
    <t>Ban quản lý rừng phòng hộ Thạch Nham</t>
  </si>
  <si>
    <t>84</t>
  </si>
  <si>
    <t>Ban quản lý rừng phòng hộ Chư Mo Ray</t>
  </si>
  <si>
    <t>85</t>
  </si>
  <si>
    <t>86</t>
  </si>
  <si>
    <t>Ban quản lý rừng đặc dụng Đăk Uy</t>
  </si>
  <si>
    <t>87</t>
  </si>
  <si>
    <t>Chi cục kiểm lâm tỉnh</t>
  </si>
  <si>
    <t>Tập trung ngân sách tỉnh (phân bổ khi có nv phát sinh)</t>
  </si>
  <si>
    <t>Nguồn mua sắm sữa chữa tập trung</t>
  </si>
  <si>
    <t>KP sắp xếp bộ máy theo NQ 18, 19/CP và KP dự phòng cho số HĐLĐ 68</t>
  </si>
  <si>
    <t>Cấp vốn ủy thác, bù lãi suất theo NQ HĐND</t>
  </si>
  <si>
    <t>Lập các Quy hoạch chuyển tiếp</t>
  </si>
  <si>
    <t>Đại hội DTTS</t>
  </si>
  <si>
    <t>Chi khác ngân sách</t>
  </si>
  <si>
    <t>Nguồn thực hiện CCTL</t>
  </si>
  <si>
    <t>ĐVT: Triệu đồng</t>
  </si>
  <si>
    <r>
      <t xml:space="preserve">Ghi chú: </t>
    </r>
    <r>
      <rPr>
        <i/>
        <sz val="10"/>
        <rFont val="Times New Roman"/>
        <family val="1"/>
      </rPr>
      <t>(1) Theo quy định tại Điều 7, Điều 11 và Điều 39 Luật NSNN, ngân sách huyện, xã không có nhiệm vụ chi nghiên cứu khoa học và công nghệ, chi trả lãi vay, chi bổ sung quỹ dự trữ tài chính.</t>
    </r>
  </si>
  <si>
    <t xml:space="preserve"> (2) Số quyết toán tăng so với số dự toán giao đầu năm là trong năm được cấp có thẩm quyền giao bổ sung từ nguồn Trung ương bổ sung có mục tiêu, nguồn năm trước chuyển sang, nguồn tăng thu NSĐP....</t>
  </si>
  <si>
    <t>So sánh (%) (2)</t>
  </si>
  <si>
    <t>Tương đối (%) (3)</t>
  </si>
  <si>
    <t>(3) Số quyết toán tăng so với số dự toán giao đầu năm là trong năm được cấp có thẩm quyền giao bổ sung từ nguồn Trung ương bổ sung có mục tiêu, nguồn năm trước chuyển sang, nguồn tăng thu NSĐP....</t>
  </si>
  <si>
    <t>CÁC HUYỆN, THÀNH PHỐ (Quyết toán tại ngân sách tỉnh, không bao gồm vốn đầu tư phân cấp NSH)</t>
  </si>
  <si>
    <t>QUYẾT TOÁN CHI NGÂN SÁCH ĐỊA PHƯƠNG TỪNG HUYỆN NĂM 2019</t>
  </si>
  <si>
    <t>QUYẾT TOÁN CHI BỔ SUNG TỪ NGÂN SÁCH CẤP TỈNH CHO NGÂN SÁCH TỪNG HUYỆN NĂM 2019</t>
  </si>
  <si>
    <t>PNS bổ sung thêm các biểu này kèm theo TTr hoặc NQ nhé</t>
  </si>
  <si>
    <t>(Kèm theo Nghị quyết số:          /NQ-HĐND ngày       tháng     năm 2020 của Hội đồng nhân dân tỉnh Kon Tum)</t>
  </si>
  <si>
    <t>QUYẾT TOÁN CHI NGÂN SÁCH CẤP TỈNH THEO LĨNH VỰC NĂM 2019</t>
  </si>
  <si>
    <t>QUYẾT TOÁN CHI NGÂN SÁCH ĐỊA PHƯƠNG, CHI NGÂN SÁCH CẤP TỈNH  VÀ CHI NGÂN SÁCH HUYỆN THEO CƠ CẤU CHI NĂM 2019</t>
  </si>
  <si>
    <t xml:space="preserve">Ngân sách huyện </t>
  </si>
  <si>
    <t xml:space="preserve">Ngân sách cấp tỉnh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</si>
</sst>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8">
    <numFmt numFmtId="41" formatCode="_-* #,##0_-;\-* #,##0_-;_-* &quot;-&quot;_-;_-@_-"/>
    <numFmt numFmtId="43" formatCode="_-* #,##0.00_-;\-* #,##0.00_-;_-* &quot;-&quot;??_-;_-@_-"/>
    <numFmt numFmtId="164" formatCode="_-* #,##0\ _₫_-;\-* #,##0\ _₫_-;_-* &quot;-&quot;\ _₫_-;_-@_-"/>
    <numFmt numFmtId="165" formatCode="_-* #,##0.00\ _₫_-;\-* #,##0.00\ _₫_-;_-* &quot;-&quot;??\ _₫_-;_-@_-"/>
    <numFmt numFmtId="166" formatCode="&quot;$&quot;#,##0_);[Red]\(&quot;$&quot;#,##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 #,##0.00_);_(* \(#,##0.00\);_(* \-??_);_(@_)"/>
    <numFmt numFmtId="172" formatCode="_(* #,##0_);_(* \(#,##0\);_(* &quot;-&quot;??_);_(@_)"/>
    <numFmt numFmtId="173" formatCode="_-* #,##0_-;\-* #,##0_-;_-* &quot;-&quot;??_-;_-@_-"/>
    <numFmt numFmtId="174" formatCode="_(* #,##0.0_);_(* \(#,##0.0\);_(* &quot;-&quot;??_);_(@_)"/>
    <numFmt numFmtId="175" formatCode="_(* #,##0_);_(* \(#,##0\);_(* \-??_);_(@_)"/>
    <numFmt numFmtId="176" formatCode="_-&quot;$&quot;* #,##0_-;\-&quot;$&quot;* #,##0_-;_-&quot;$&quot;* &quot;-&quot;_-;_-@_-"/>
    <numFmt numFmtId="177" formatCode="_(&quot;£&quot;\ * #,##0_);_(&quot;£&quot;\ * \(#,##0\);_(&quot;£&quot;\ * &quot;-&quot;_);_(@_)"/>
    <numFmt numFmtId="178" formatCode="&quot;€&quot;###,0&quot;.&quot;00_);\(&quot;€&quot;###,0&quot;.&quot;00\)"/>
    <numFmt numFmtId="179" formatCode="&quot;\&quot;#,##0;[Red]&quot;\&quot;&quot;\&quot;\-#,##0"/>
    <numFmt numFmtId="180" formatCode="_-&quot;£&quot;* #,##0_-;\-&quot;£&quot;* #,##0_-;_-&quot;£&quot;* &quot;-&quot;_-;_-@_-"/>
    <numFmt numFmtId="181" formatCode="_-&quot;£&quot;* #,##0.00_-;\-&quot;£&quot;* #,##0.00_-;_-&quot;£&quot;* &quot;-&quot;??_-;_-@_-"/>
    <numFmt numFmtId="182" formatCode="#.##00"/>
    <numFmt numFmtId="183" formatCode="_-* #,##0\ &quot;€&quot;_-;\-* #,##0\ &quot;€&quot;_-;_-* &quot;-&quot;\ &quot;€&quot;_-;_-@_-"/>
    <numFmt numFmtId="184" formatCode="_-* #,##0\ _F_-;\-* #,##0\ _F_-;_-* &quot;-&quot;\ _F_-;_-@_-"/>
    <numFmt numFmtId="185" formatCode="_-* #,##0\ &quot;F&quot;_-;\-* #,##0\ &quot;F&quot;_-;_-* &quot;-&quot;\ &quot;F&quot;_-;_-@_-"/>
    <numFmt numFmtId="186" formatCode="_-* #,##0&quot;$&quot;_-;_-* #,##0&quot;$&quot;\-;_-* &quot;-&quot;&quot;$&quot;_-;_-@_-"/>
    <numFmt numFmtId="187" formatCode="_-* #,##0\ &quot;$&quot;_-;\-* #,##0\ &quot;$&quot;_-;_-* &quot;-&quot;\ &quot;$&quot;_-;_-@_-"/>
    <numFmt numFmtId="188" formatCode="_-&quot;$&quot;* #,##0.00_-;\-&quot;$&quot;* #,##0.00_-;_-&quot;$&quot;* &quot;-&quot;??_-;_-@_-"/>
    <numFmt numFmtId="189" formatCode="_-&quot;ñ&quot;* #,##0_-;\-&quot;ñ&quot;* #,##0_-;_-&quot;ñ&quot;* &quot;-&quot;_-;_-@_-"/>
    <numFmt numFmtId="190" formatCode="0.0000"/>
    <numFmt numFmtId="191" formatCode="_-&quot;€&quot;* #,##0_-;\-&quot;€&quot;* #,##0_-;_-&quot;€&quot;* &quot;-&quot;_-;_-@_-"/>
    <numFmt numFmtId="192" formatCode="_-* ###,0&quot;.&quot;00_-;\-* ###,0&quot;.&quot;00_-;_-* &quot;-&quot;??_-;_-@_-"/>
    <numFmt numFmtId="193" formatCode="_-* #,##0.00\ _F_-;\-* #,##0.00\ _F_-;_-* &quot;-&quot;??\ _F_-;_-@_-"/>
    <numFmt numFmtId="194" formatCode="_ * #,##0.00_ ;_ * \-#,##0.00_ ;_ * &quot;-&quot;??_ ;_ @_ "/>
    <numFmt numFmtId="195" formatCode="_-* #,##0.00\ _V_N_D_-;\-* #,##0.00\ _V_N_D_-;_-* &quot;-&quot;??\ _V_N_D_-;_-@_-"/>
    <numFmt numFmtId="196" formatCode="_-* #,##0.00\ _V_N_Ñ_-;_-* #,##0.00\ _V_N_Ñ\-;_-* &quot;-&quot;??\ _V_N_Ñ_-;_-@_-"/>
    <numFmt numFmtId="197" formatCode="_-* #,##0.00\ _€_-;\-* #,##0.00\ _€_-;_-* &quot;-&quot;??\ _€_-;_-@_-"/>
    <numFmt numFmtId="198" formatCode="_-* #,##0.00_$_-;_-* #,##0.00_$\-;_-* &quot;-&quot;??_$_-;_-@_-"/>
    <numFmt numFmtId="199" formatCode="_(* ###,0&quot;.&quot;00_);_(* \(###,0&quot;.&quot;00\);_(* &quot;-&quot;??_);_(@_)"/>
    <numFmt numFmtId="200" formatCode="&quot;£&quot;#,##0;[Red]\-&quot;£&quot;#,##0"/>
    <numFmt numFmtId="201" formatCode="_-* #,##0.00\ _ñ_-;\-* #,##0.00\ _ñ_-;_-* &quot;-&quot;??\ _ñ_-;_-@_-"/>
    <numFmt numFmtId="202" formatCode="0.00000"/>
    <numFmt numFmtId="203" formatCode="#,##0.00\ &quot;F&quot;;\-#,##0.00\ &quot;F&quot;"/>
    <numFmt numFmtId="204" formatCode="&quot;$&quot;#,##0;[Red]\-&quot;$&quot;#,##0"/>
    <numFmt numFmtId="205" formatCode="_(&quot;$&quot;\ * #,##0_);_(&quot;$&quot;\ * \(#,##0\);_(&quot;$&quot;\ * &quot;-&quot;_);_(@_)"/>
    <numFmt numFmtId="206" formatCode="&quot;$&quot;#,##0.00;[Red]\-&quot;$&quot;#,##0.00"/>
    <numFmt numFmtId="207" formatCode="_-* #,##0\ &quot;ñ&quot;_-;\-* #,##0\ &quot;ñ&quot;_-;_-* &quot;-&quot;\ &quot;ñ&quot;_-;_-@_-"/>
    <numFmt numFmtId="208" formatCode="0.0000000"/>
    <numFmt numFmtId="209" formatCode="#,##0.0"/>
    <numFmt numFmtId="210" formatCode="_(&quot;€&quot;* #,##0_);_(&quot;€&quot;* \(#,##0\);_(&quot;€&quot;* &quot;-&quot;_);_(@_)"/>
    <numFmt numFmtId="211" formatCode="_ * #,##0_ ;_ * \-#,##0_ ;_ * &quot;-&quot;_ ;_ @_ "/>
    <numFmt numFmtId="212" formatCode="_-* #,##0\ _V_N_D_-;\-* #,##0\ _V_N_D_-;_-* &quot;-&quot;\ _V_N_D_-;_-@_-"/>
    <numFmt numFmtId="213" formatCode="_-* #,##0\ _V_N_Ñ_-;_-* #,##0\ _V_N_Ñ\-;_-* &quot;-&quot;\ _V_N_Ñ_-;_-@_-"/>
    <numFmt numFmtId="214" formatCode="_-* #,##0\ _€_-;\-* #,##0\ _€_-;_-* &quot;-&quot;\ _€_-;_-@_-"/>
    <numFmt numFmtId="215" formatCode="_-* #,##0_$_-;_-* #,##0_$\-;_-* &quot;-&quot;_$_-;_-@_-"/>
    <numFmt numFmtId="216" formatCode="_-* #,##0\ _$_-;\-* #,##0\ _$_-;_-* &quot;-&quot;\ _$_-;_-@_-"/>
    <numFmt numFmtId="217" formatCode="_-* #,##0\ _m_k_-;\-* #,##0\ _m_k_-;_-* &quot;-&quot;\ _m_k_-;_-@_-"/>
    <numFmt numFmtId="218" formatCode="&quot;£&quot;#,##0;\-&quot;£&quot;#,##0"/>
    <numFmt numFmtId="219" formatCode="_-* #,##0\ _ñ_-;\-* #,##0\ _ñ_-;_-* &quot;-&quot;\ _ñ_-;_-@_-"/>
    <numFmt numFmtId="220" formatCode="0.000000"/>
    <numFmt numFmtId="221" formatCode="#,##0.0_);[Red]\(#,##0.0\)"/>
    <numFmt numFmtId="222" formatCode="_ &quot;\&quot;* #,##0_ ;_ &quot;\&quot;* \-#,##0_ ;_ &quot;\&quot;* &quot;-&quot;_ ;_ @_ "/>
    <numFmt numFmtId="223" formatCode="&quot;\&quot;#,##0.00;[Red]&quot;\&quot;\-#,##0.00"/>
    <numFmt numFmtId="224" formatCode="&quot;\&quot;#,##0;[Red]&quot;\&quot;\-#,##0"/>
    <numFmt numFmtId="225" formatCode="&quot;SFr.&quot;\ #,##0.00;[Red]&quot;SFr.&quot;\ \-#,##0.00"/>
    <numFmt numFmtId="226" formatCode="&quot;SFr.&quot;\ #,##0.00;&quot;SFr.&quot;\ \-#,##0.00"/>
    <numFmt numFmtId="227" formatCode="_ &quot;SFr.&quot;\ * #,##0_ ;_ &quot;SFr.&quot;\ * \-#,##0_ ;_ &quot;SFr.&quot;\ * &quot;-&quot;_ ;_ @_ "/>
    <numFmt numFmtId="228" formatCode="#,##0.0_);\(#,##0.0\)"/>
    <numFmt numFmtId="229" formatCode="_(* #,##0.0000_);_(* \(#,##0.0000\);_(* &quot;-&quot;??_);_(@_)"/>
    <numFmt numFmtId="230" formatCode="0.0%;[Red]\(0.0%\)"/>
    <numFmt numFmtId="231" formatCode="_ * #,##0.00_)&quot;£&quot;_ ;_ * \(#,##0.00\)&quot;£&quot;_ ;_ * &quot;-&quot;??_)&quot;£&quot;_ ;_ @_ "/>
    <numFmt numFmtId="232" formatCode="0.0%;\(0.0%\)"/>
    <numFmt numFmtId="233" formatCode="_-* #,##0.00\ &quot;F&quot;_-;\-* #,##0.00\ &quot;F&quot;_-;_-* &quot;-&quot;??\ &quot;F&quot;_-;_-@_-"/>
    <numFmt numFmtId="234" formatCode="0.000_)"/>
    <numFmt numFmtId="235" formatCode="_(* #,##0_);_(* \(#,##0\);_(* \-_);_(@_)"/>
    <numFmt numFmtId="236" formatCode="#,##0.00;[Red]#,##0.00"/>
    <numFmt numFmtId="237" formatCode="#,##0;\(#,##0\)"/>
    <numFmt numFmtId="238" formatCode="_ &quot;R&quot;\ * #,##0_ ;_ &quot;R&quot;\ * \-#,##0_ ;_ &quot;R&quot;\ * &quot;-&quot;_ ;_ @_ "/>
    <numFmt numFmtId="239" formatCode="\$#,##0\ ;&quot;($&quot;#,##0\)"/>
    <numFmt numFmtId="240" formatCode="\$#,##0\ ;\(\$#,##0\)"/>
    <numFmt numFmtId="241" formatCode="#,##0.000_);\(#,##0.000\)"/>
    <numFmt numFmtId="242" formatCode="\t0.00%"/>
    <numFmt numFmtId="243" formatCode="0.000"/>
    <numFmt numFmtId="244" formatCode="?\,???.??__;[Red]&quot;- &quot;?\,???.??__"/>
    <numFmt numFmtId="245" formatCode="?,???.??__;[Red]\-\ ?,???.??__;"/>
    <numFmt numFmtId="246" formatCode="\U\S\$#,##0.00;\(\U\S\$#,##0.00\)"/>
    <numFmt numFmtId="247" formatCode="_(\§\g\ #,##0_);_(\§\g\ \(#,##0\);_(\§\g\ &quot;-&quot;??_);_(@_)"/>
    <numFmt numFmtId="248" formatCode="_(\§\g\ #,##0_);_(\§\g\ \(#,##0\);_(\§\g\ &quot;-&quot;_);_(@_)"/>
    <numFmt numFmtId="249" formatCode="\t#\ ??/??"/>
    <numFmt numFmtId="250" formatCode="\§\g#,##0_);\(\§\g#,##0\)"/>
    <numFmt numFmtId="251" formatCode="_-&quot;VND&quot;* #,##0_-;\-&quot;VND&quot;* #,##0_-;_-&quot;VND&quot;* &quot;-&quot;_-;_-@_-"/>
    <numFmt numFmtId="252" formatCode="_(&quot;Rp&quot;* #,##0.00_);_(&quot;Rp&quot;* \(#,##0.00\);_(&quot;Rp&quot;* &quot;-&quot;??_);_(@_)"/>
    <numFmt numFmtId="253" formatCode="#,##0.00\ &quot;FB&quot;;[Red]\-#,##0.00\ &quot;FB&quot;"/>
    <numFmt numFmtId="254" formatCode="#,##0\ &quot;$&quot;;\-#,##0\ &quot;$&quot;"/>
    <numFmt numFmtId="255" formatCode="&quot;$&quot;#,##0;\-&quot;$&quot;#,##0"/>
    <numFmt numFmtId="256" formatCode="_-* #,##0\ _F_B_-;\-* #,##0\ _F_B_-;_-* &quot;-&quot;\ _F_B_-;_-@_-"/>
    <numFmt numFmtId="257" formatCode="_-[$€]* #,##0.00_-;\-[$€]* #,##0.00_-;_-[$€]* &quot;-&quot;??_-;_-@_-"/>
    <numFmt numFmtId="258" formatCode="&quot;öS&quot;\ #,##0;[Red]\-&quot;öS&quot;\ #,##0"/>
    <numFmt numFmtId="259" formatCode="&quot;Q&quot;#,##0_);\(&quot;Q&quot;#,##0\)"/>
    <numFmt numFmtId="260" formatCode="#,##0_);\-#,##0_)"/>
    <numFmt numFmtId="261" formatCode="#,###;\-#,###;&quot;&quot;;_(@_)"/>
    <numFmt numFmtId="262" formatCode="_(* #,##0.000000_);_(* \(#,##0.000000\);_(* &quot;-&quot;??_);_(@_)"/>
    <numFmt numFmtId="263" formatCode="#,##0\ &quot;$&quot;_);\(#,##0\ &quot;$&quot;\)"/>
    <numFmt numFmtId="264" formatCode="#,###"/>
    <numFmt numFmtId="265" formatCode="#,##0\ &quot;£&quot;_);[Red]\(#,##0\ &quot;£&quot;\)"/>
    <numFmt numFmtId="266" formatCode="&quot;£&quot;###,0&quot;.&quot;00_);[Red]\(&quot;£&quot;###,0&quot;.&quot;00\)"/>
    <numFmt numFmtId="267" formatCode="&quot;\&quot;#,##0;[Red]\-&quot;\&quot;#,##0"/>
    <numFmt numFmtId="268" formatCode="&quot;\&quot;#,##0.00;\-&quot;\&quot;#,##0.00"/>
    <numFmt numFmtId="269" formatCode="0#,###,#&quot;.&quot;00"/>
    <numFmt numFmtId="270" formatCode="_ * #,##0_)\ &quot;$&quot;_ ;_ * \(#,##0\)\ &quot;$&quot;_ ;_ * &quot;-&quot;_)\ &quot;$&quot;_ ;_ @_ "/>
    <numFmt numFmtId="271" formatCode="&quot;VND&quot;#,##0_);[Red]\(&quot;VND&quot;#,##0\)"/>
    <numFmt numFmtId="272" formatCode="_ * #,##0_)&quot; $&quot;_ ;_ * \(#,##0&quot;) $&quot;_ ;_ * \-_)&quot; $&quot;_ ;_ @_ "/>
    <numFmt numFmtId="273" formatCode="#,##0.00_);\-#,##0.00_)"/>
    <numFmt numFmtId="274" formatCode="#"/>
    <numFmt numFmtId="275" formatCode="#,##0.0000"/>
    <numFmt numFmtId="276" formatCode="&quot;¡Ì&quot;#,##0;[Red]\-&quot;¡Ì&quot;#,##0"/>
    <numFmt numFmtId="277" formatCode="#,##0.00\ &quot;F&quot;;[Red]\-#,##0.00\ &quot;F&quot;"/>
    <numFmt numFmtId="278" formatCode="#,##0.00&quot; F&quot;;[Red]\-#,##0.00&quot; F&quot;"/>
    <numFmt numFmtId="279" formatCode="_-* #,##0.0\ _F_-;\-* #,##0.0\ _F_-;_-* &quot;-&quot;??\ _F_-;_-@_-"/>
    <numFmt numFmtId="280" formatCode="#,##0.00\ \ "/>
    <numFmt numFmtId="281" formatCode="0.00000000"/>
    <numFmt numFmtId="282" formatCode="_ * #,##0.0_ ;_ * \-#,##0.0_ ;_ * &quot;-&quot;??_ ;_ @_ "/>
    <numFmt numFmtId="283" formatCode="#,##0.00\ \ \ \ "/>
    <numFmt numFmtId="284" formatCode="_(* #.##0.00_);_(* \(#.##0.00\);_(* &quot;-&quot;??_);_(@_)"/>
    <numFmt numFmtId="285" formatCode="###\ ###\ ##0"/>
    <numFmt numFmtId="286" formatCode="&quot;\&quot;#,##0;&quot;\&quot;\-#,##0"/>
    <numFmt numFmtId="287" formatCode="_-* ###,0&quot;.&quot;00\ _F_B_-;\-* ###,0&quot;.&quot;00\ _F_B_-;_-* &quot;-&quot;??\ _F_B_-;_-@_-"/>
    <numFmt numFmtId="288" formatCode="\\#,##0;[Red]&quot;-\&quot;#,##0"/>
    <numFmt numFmtId="289" formatCode="_ * #.##._ ;_ * \-#.##._ ;_ * &quot;-&quot;??_ ;_ @_ⴆ"/>
    <numFmt numFmtId="290" formatCode="#,##0\ &quot;F&quot;;\-#,##0\ &quot;F&quot;"/>
    <numFmt numFmtId="291" formatCode="#,##0\ &quot;F&quot;;[Red]\-#,##0\ &quot;F&quot;"/>
    <numFmt numFmtId="292" formatCode="_-* #,##0\ _F_-;\-* #,##0\ _F_-;_-* &quot;-&quot;??\ _F_-;_-@_-"/>
    <numFmt numFmtId="293" formatCode="#.00\ ##0"/>
    <numFmt numFmtId="294" formatCode="#.\ ##0"/>
    <numFmt numFmtId="295" formatCode="_-* #,##0\ &quot;DM&quot;_-;\-* #,##0\ &quot;DM&quot;_-;_-* &quot;-&quot;\ &quot;DM&quot;_-;_-@_-"/>
    <numFmt numFmtId="296" formatCode="_-* #,##0.00\ &quot;DM&quot;_-;\-* #,##0.00\ &quot;DM&quot;_-;_-* &quot;-&quot;??\ &quot;DM&quot;_-;_-@_-"/>
    <numFmt numFmtId="297" formatCode="#,##0.000"/>
    <numFmt numFmtId="298" formatCode="_-* #,##0\ _₫_-;\-* #,##0\ _₫_-;_-* &quot;-&quot;??\ _₫_-;_-@_-"/>
    <numFmt numFmtId="299" formatCode="0.0%"/>
    <numFmt numFmtId="300" formatCode="#,##0_ ;\-#,##0\ "/>
    <numFmt numFmtId="301" formatCode="_(* #,##0.0_);_(* \(#,##0.0\);_(* &quot;-&quot;?_);_(@_)"/>
    <numFmt numFmtId="302" formatCode="#,##0.00000000"/>
    <numFmt numFmtId="303" formatCode="_(* #,##0.000000000_);_(* \(#,##0.000000000\);_(* &quot;-&quot;??_);_(@_)"/>
    <numFmt numFmtId="304" formatCode="#,##0.000000000"/>
    <numFmt numFmtId="305" formatCode="_(* #,##0.000_);_(* \(#,##0.000\);_(* &quot;-&quot;??_);_(@_)"/>
    <numFmt numFmtId="306" formatCode="#,###;[Red]\-#,###"/>
    <numFmt numFmtId="307" formatCode="_-* #,##0.0\ _₫_-;\-* #,##0.0\ _₫_-;_-* &quot;-&quot;??\ _₫_-;_-@_-"/>
    <numFmt numFmtId="308" formatCode="_-* #,##0.0\ _₫_-;\-* #,##0.0\ _₫_-;_-* &quot;-&quot;?\ _₫_-;_-@_-"/>
    <numFmt numFmtId="309" formatCode="0.0"/>
  </numFmts>
  <fonts count="276">
    <font>
      <sz val="11"/>
      <color theme="1"/>
      <name val="Calibri"/>
      <family val="2"/>
      <scheme val="minor"/>
    </font>
    <font>
      <sz val="11"/>
      <color theme="1"/>
      <name val="Calibri"/>
      <family val="2"/>
      <charset val="163"/>
      <scheme val="minor"/>
    </font>
    <font>
      <sz val="11"/>
      <color theme="1"/>
      <name val="Calibri"/>
      <family val="2"/>
      <charset val="163"/>
      <scheme val="minor"/>
    </font>
    <font>
      <sz val="11"/>
      <color theme="1"/>
      <name val="Calibri"/>
      <family val="2"/>
      <charset val="163"/>
      <scheme val="minor"/>
    </font>
    <font>
      <sz val="11"/>
      <color theme="1"/>
      <name val="Calibri"/>
      <family val="2"/>
      <charset val="163"/>
      <scheme val="minor"/>
    </font>
    <font>
      <sz val="11"/>
      <color theme="1"/>
      <name val="Calibri"/>
      <family val="2"/>
      <charset val="163"/>
      <scheme val="minor"/>
    </font>
    <font>
      <b/>
      <sz val="12"/>
      <color theme="1"/>
      <name val="Times New Roman"/>
      <family val="1"/>
    </font>
    <font>
      <sz val="12"/>
      <color theme="1"/>
      <name val="Times New Roman"/>
      <family val="1"/>
    </font>
    <font>
      <sz val="8"/>
      <name val="Arial"/>
      <family val="2"/>
    </font>
    <font>
      <b/>
      <sz val="10"/>
      <color rgb="FF000000"/>
      <name val="Times New Roman"/>
      <family val="1"/>
    </font>
    <font>
      <sz val="10"/>
      <color rgb="FF000000"/>
      <name val="Times New Roman"/>
      <family val="1"/>
    </font>
    <font>
      <b/>
      <i/>
      <sz val="11"/>
      <color theme="1"/>
      <name val="Times New Roman"/>
      <family val="1"/>
    </font>
    <font>
      <i/>
      <sz val="10"/>
      <color rgb="FF000000"/>
      <name val="Times New Roman"/>
      <family val="1"/>
    </font>
    <font>
      <sz val="11"/>
      <color theme="1"/>
      <name val="Times New Roman"/>
      <family val="1"/>
    </font>
    <font>
      <b/>
      <i/>
      <sz val="10"/>
      <color rgb="FF000000"/>
      <name val="Times New Roman"/>
      <family val="1"/>
    </font>
    <font>
      <b/>
      <sz val="6"/>
      <color rgb="FF000000"/>
      <name val="Times New Roman"/>
      <family val="1"/>
    </font>
    <font>
      <sz val="11"/>
      <color theme="1"/>
      <name val="Calibri"/>
      <family val="2"/>
      <scheme val="minor"/>
    </font>
    <font>
      <sz val="10"/>
      <name val="Arial"/>
      <family val="2"/>
    </font>
    <font>
      <sz val="10"/>
      <name val="Times New Roman"/>
      <family val="1"/>
    </font>
    <font>
      <b/>
      <sz val="10"/>
      <name val="Times New Roman"/>
      <family val="1"/>
    </font>
    <font>
      <sz val="12"/>
      <color theme="1"/>
      <name val="Times New Roman"/>
      <family val="2"/>
    </font>
    <font>
      <sz val="12"/>
      <name val="VNI-Times"/>
    </font>
    <font>
      <sz val="12"/>
      <name val=".VnTime"/>
      <family val="2"/>
    </font>
    <font>
      <sz val="12"/>
      <name val="돋움체"/>
      <family val="3"/>
      <charset val="129"/>
    </font>
    <font>
      <sz val="12"/>
      <name val="VNtimes new roman"/>
      <family val="2"/>
    </font>
    <font>
      <sz val="12"/>
      <name val="Arial Narrow"/>
      <family val="2"/>
    </font>
    <font>
      <sz val="10"/>
      <name val=".VnTime"/>
      <family val="2"/>
    </font>
    <font>
      <sz val="10"/>
      <name val=".VnArial"/>
      <family val="2"/>
    </font>
    <font>
      <sz val="10"/>
      <name val="Helv"/>
      <family val="2"/>
    </font>
    <font>
      <sz val="12"/>
      <name val=".VnArial"/>
      <family val="2"/>
    </font>
    <font>
      <sz val="10"/>
      <name val="??"/>
      <family val="3"/>
      <charset val="129"/>
    </font>
    <font>
      <sz val="16"/>
      <name val="AngsanaUPC"/>
      <family val="3"/>
    </font>
    <font>
      <sz val="12"/>
      <name val="????"/>
      <family val="1"/>
      <charset val="136"/>
    </font>
    <font>
      <sz val="12"/>
      <name val="Courier"/>
      <family val="3"/>
    </font>
    <font>
      <sz val="10"/>
      <name val="AngsanaUPC"/>
      <family val="1"/>
    </font>
    <font>
      <sz val="12"/>
      <name val="|??¢¥¢¬¨Ï"/>
      <family val="1"/>
      <charset val="129"/>
    </font>
    <font>
      <sz val="10"/>
      <name val="VNI-Times"/>
    </font>
    <font>
      <sz val="10"/>
      <name val="MS Sans Serif"/>
      <family val="2"/>
    </font>
    <font>
      <sz val="10"/>
      <color indexed="8"/>
      <name val="Arial"/>
      <family val="2"/>
    </font>
    <font>
      <sz val="10"/>
      <name val="VNtimes new roman"/>
      <family val="2"/>
    </font>
    <font>
      <sz val="10"/>
      <name val="VNI-Helve"/>
    </font>
    <font>
      <sz val="13"/>
      <name val=".VnTime"/>
      <family val="2"/>
    </font>
    <font>
      <sz val="11"/>
      <name val="VNI-Aptima"/>
    </font>
    <font>
      <sz val="12"/>
      <name val="???"/>
    </font>
    <font>
      <sz val="11"/>
      <name val="‚l‚r ‚oƒSƒVƒbƒN"/>
      <family val="3"/>
      <charset val="128"/>
    </font>
    <font>
      <sz val="11"/>
      <name val="–¾’©"/>
      <family val="1"/>
      <charset val="128"/>
    </font>
    <font>
      <sz val="14"/>
      <name val="Terminal"/>
      <family val="3"/>
      <charset val="128"/>
    </font>
    <font>
      <sz val="14"/>
      <name val="VnTime"/>
    </font>
    <font>
      <b/>
      <sz val="10"/>
      <name val=".VnTimeH"/>
      <family val="2"/>
    </font>
    <font>
      <sz val="11"/>
      <name val=".VnTime"/>
      <family val="2"/>
    </font>
    <font>
      <b/>
      <u/>
      <sz val="14"/>
      <color indexed="8"/>
      <name val=".VnBook-AntiquaH"/>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2"/>
      <color indexed="8"/>
      <name val="Arial Narrow"/>
      <family val="2"/>
    </font>
    <font>
      <sz val="11"/>
      <color indexed="8"/>
      <name val="Calibri"/>
      <family val="2"/>
    </font>
    <font>
      <b/>
      <sz val="12"/>
      <color indexed="8"/>
      <name val=".VnBook-Antiqua"/>
      <family val="2"/>
    </font>
    <font>
      <i/>
      <sz val="12"/>
      <color indexed="8"/>
      <name val=".VnBook-Antiqua"/>
      <family val="2"/>
    </font>
    <font>
      <sz val="12"/>
      <color indexed="9"/>
      <name val="Arial Narrow"/>
      <family val="2"/>
    </font>
    <font>
      <sz val="11"/>
      <color indexed="9"/>
      <name val="Calibri"/>
      <family val="2"/>
    </font>
    <font>
      <sz val="14"/>
      <name val=".VnTime"/>
      <family val="2"/>
    </font>
    <font>
      <sz val="12"/>
      <name val="¹UAAA¼"/>
      <family val="3"/>
      <charset val="129"/>
    </font>
    <font>
      <sz val="8"/>
      <name val="Times New Roman"/>
      <family val="1"/>
    </font>
    <font>
      <b/>
      <sz val="12"/>
      <color indexed="63"/>
      <name val="VNI-Times"/>
    </font>
    <font>
      <sz val="12"/>
      <name val="¹ÙÅÁÃ¼"/>
      <charset val="129"/>
    </font>
    <font>
      <sz val="12"/>
      <color indexed="20"/>
      <name val="Arial Narrow"/>
      <family val="2"/>
    </font>
    <font>
      <sz val="11"/>
      <color indexed="20"/>
      <name val="Calibri"/>
      <family val="2"/>
    </font>
    <font>
      <sz val="12"/>
      <name val="Tms Rmn"/>
    </font>
    <font>
      <sz val="11"/>
      <name val="µ¸¿ò"/>
      <charset val="129"/>
    </font>
    <font>
      <sz val="10"/>
      <name val="±¼¸²A¼"/>
      <family val="3"/>
      <charset val="129"/>
    </font>
    <font>
      <sz val="12"/>
      <name val="¹ÙÅÁÃ¼"/>
      <family val="1"/>
      <charset val="129"/>
    </font>
    <font>
      <sz val="10"/>
      <name val="Helv"/>
    </font>
    <font>
      <b/>
      <sz val="12"/>
      <color indexed="52"/>
      <name val="Arial Narrow"/>
      <family val="2"/>
    </font>
    <font>
      <b/>
      <sz val="11"/>
      <color indexed="52"/>
      <name val="Calibri"/>
      <family val="2"/>
    </font>
    <font>
      <b/>
      <sz val="10"/>
      <name val="Helv"/>
    </font>
    <font>
      <b/>
      <sz val="12"/>
      <color indexed="9"/>
      <name val="Arial Narrow"/>
      <family val="2"/>
    </font>
    <font>
      <b/>
      <sz val="11"/>
      <color indexed="9"/>
      <name val="Calibri"/>
      <family val="2"/>
    </font>
    <font>
      <sz val="11"/>
      <name val="VNbook-Antiqua"/>
      <family val="2"/>
    </font>
    <font>
      <sz val="10"/>
      <name val="VNI-Aptima"/>
    </font>
    <font>
      <sz val="11"/>
      <name val="VNtimes new roman"/>
      <family val="2"/>
    </font>
    <font>
      <sz val="11"/>
      <name val="Tms Rmn"/>
    </font>
    <font>
      <sz val="10"/>
      <color indexed="8"/>
      <name val="Times New Roman"/>
      <family val="2"/>
    </font>
    <font>
      <sz val="11"/>
      <name val="UVnTime"/>
    </font>
    <font>
      <sz val="12"/>
      <name val="Times New Roman"/>
      <family val="1"/>
    </font>
    <font>
      <sz val="12"/>
      <color indexed="8"/>
      <name val="Times New Roman"/>
      <family val="2"/>
    </font>
    <font>
      <sz val="11"/>
      <color theme="1"/>
      <name val="Calibri"/>
      <family val="2"/>
      <charset val="163"/>
      <scheme val="minor"/>
    </font>
    <font>
      <sz val="10"/>
      <name val="BERNHARD"/>
    </font>
    <font>
      <b/>
      <sz val="12"/>
      <name val="VNTime"/>
      <family val="2"/>
    </font>
    <font>
      <sz val="10"/>
      <name val="MS Serif"/>
      <family val="1"/>
    </font>
    <font>
      <b/>
      <sz val="11"/>
      <color indexed="63"/>
      <name val="Calibri"/>
      <family val="2"/>
    </font>
    <font>
      <sz val="11"/>
      <color indexed="62"/>
      <name val="Calibri"/>
      <family val="2"/>
    </font>
    <font>
      <b/>
      <sz val="12"/>
      <name val="VNTimeH"/>
      <family val="2"/>
    </font>
    <font>
      <b/>
      <sz val="15"/>
      <color indexed="56"/>
      <name val="Calibri"/>
      <family val="2"/>
    </font>
    <font>
      <b/>
      <sz val="13"/>
      <color indexed="56"/>
      <name val="Calibri"/>
      <family val="2"/>
    </font>
    <font>
      <b/>
      <sz val="11"/>
      <color indexed="56"/>
      <name val="Calibri"/>
      <family val="2"/>
    </font>
    <font>
      <sz val="1"/>
      <color indexed="8"/>
      <name val="Courier"/>
      <family val="3"/>
    </font>
    <font>
      <sz val="10"/>
      <name val="Arial CE"/>
      <charset val="238"/>
    </font>
    <font>
      <b/>
      <sz val="1"/>
      <color indexed="8"/>
      <name val="Courier"/>
      <family val="3"/>
    </font>
    <font>
      <sz val="10"/>
      <color indexed="16"/>
      <name val="MS Serif"/>
      <family val="1"/>
    </font>
    <font>
      <sz val="14"/>
      <name val="VNtimes new roman"/>
      <family val="2"/>
    </font>
    <font>
      <i/>
      <sz val="12"/>
      <color indexed="23"/>
      <name val="Arial Narrow"/>
      <family val="2"/>
    </font>
    <font>
      <i/>
      <sz val="11"/>
      <color indexed="23"/>
      <name val="Calibri"/>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8"/>
      <color indexed="8"/>
      <name val="Helvetica"/>
    </font>
    <font>
      <sz val="12"/>
      <name val="VNTime"/>
      <family val="2"/>
    </font>
    <font>
      <sz val="12"/>
      <color indexed="17"/>
      <name val="Arial Narrow"/>
      <family val="2"/>
    </font>
    <font>
      <sz val="11"/>
      <color indexed="17"/>
      <name val="Calibri"/>
      <family val="2"/>
    </font>
    <font>
      <b/>
      <sz val="11"/>
      <name val="Times New Roman"/>
      <family val="1"/>
    </font>
    <font>
      <sz val="10"/>
      <name val=".VnArialH"/>
      <family val="2"/>
    </font>
    <font>
      <b/>
      <sz val="12"/>
      <name val=".VnBook-AntiquaH"/>
      <family val="2"/>
    </font>
    <font>
      <b/>
      <u/>
      <sz val="13"/>
      <name val="VnTime"/>
    </font>
    <font>
      <b/>
      <sz val="12"/>
      <color indexed="9"/>
      <name val="Tms Rmn"/>
    </font>
    <font>
      <b/>
      <sz val="12"/>
      <name val="Helv"/>
    </font>
    <font>
      <b/>
      <sz val="12"/>
      <name val="Arial"/>
      <family val="2"/>
    </font>
    <font>
      <b/>
      <sz val="18"/>
      <name val="Arial"/>
      <family val="2"/>
    </font>
    <font>
      <b/>
      <sz val="11"/>
      <color indexed="56"/>
      <name val="Arial Narrow"/>
      <family val="2"/>
    </font>
    <font>
      <b/>
      <sz val="8"/>
      <name val="MS Sans Serif"/>
      <family val="2"/>
    </font>
    <font>
      <b/>
      <sz val="10"/>
      <name val=".VnTime"/>
      <family val="2"/>
    </font>
    <font>
      <sz val="10"/>
      <name val="vnTimesRoman"/>
    </font>
    <font>
      <b/>
      <sz val="14"/>
      <name val=".VnTimeH"/>
      <family val="2"/>
    </font>
    <font>
      <sz val="12"/>
      <name val="±¼¸²Ã¼"/>
      <family val="3"/>
      <charset val="129"/>
    </font>
    <font>
      <sz val="12"/>
      <color indexed="62"/>
      <name val="Arial Narrow"/>
      <family val="2"/>
    </font>
    <font>
      <u/>
      <sz val="10"/>
      <color indexed="12"/>
      <name val=".VnTime"/>
      <family val="2"/>
    </font>
    <font>
      <u/>
      <sz val="12"/>
      <color indexed="12"/>
      <name val=".VnTime"/>
      <family val="2"/>
    </font>
    <font>
      <u/>
      <sz val="12"/>
      <color indexed="12"/>
      <name val="Arial"/>
      <family val="2"/>
    </font>
    <font>
      <sz val="10"/>
      <name val="VNI-Avo"/>
    </font>
    <font>
      <b/>
      <sz val="14"/>
      <name val=".VnArialH"/>
      <family val="2"/>
    </font>
    <font>
      <sz val="12"/>
      <name val="Arial"/>
      <family val="2"/>
    </font>
    <font>
      <sz val="12"/>
      <color indexed="52"/>
      <name val="Arial Narrow"/>
      <family val="2"/>
    </font>
    <font>
      <sz val="11"/>
      <color indexed="52"/>
      <name val="Calibri"/>
      <family val="2"/>
    </font>
    <font>
      <sz val="8"/>
      <name val="VNarial"/>
      <family val="2"/>
    </font>
    <font>
      <b/>
      <sz val="11"/>
      <name val="Helv"/>
    </font>
    <font>
      <sz val="10"/>
      <name val=".VnAvant"/>
      <family val="2"/>
    </font>
    <font>
      <sz val="12"/>
      <color indexed="60"/>
      <name val="Arial Narrow"/>
      <family val="2"/>
    </font>
    <font>
      <sz val="11"/>
      <color indexed="60"/>
      <name val="Calibri"/>
      <family val="2"/>
    </font>
    <font>
      <sz val="7"/>
      <name val="Small Fonts"/>
      <family val="2"/>
    </font>
    <font>
      <b/>
      <sz val="12"/>
      <name val="VN-NTime"/>
    </font>
    <font>
      <sz val="12"/>
      <name val="???"/>
      <family val="1"/>
      <charset val="129"/>
    </font>
    <font>
      <sz val="12"/>
      <name val="바탕체"/>
      <family val="1"/>
      <charset val="129"/>
    </font>
    <font>
      <sz val="11"/>
      <color theme="1"/>
      <name val="Arial Narrow"/>
      <family val="2"/>
    </font>
    <font>
      <sz val="10"/>
      <color indexed="8"/>
      <name val="Arial Narrow"/>
      <family val="2"/>
    </font>
    <font>
      <sz val="11"/>
      <color indexed="8"/>
      <name val="Arial Narrow"/>
      <family val="2"/>
    </font>
    <font>
      <sz val="9"/>
      <name val="Arial"/>
      <family val="2"/>
    </font>
    <font>
      <sz val="12"/>
      <color indexed="8"/>
      <name val="Times New Roman"/>
      <family val="2"/>
      <charset val="163"/>
    </font>
    <font>
      <sz val="12"/>
      <color theme="1"/>
      <name val="Times New Roman"/>
      <family val="2"/>
      <charset val="163"/>
    </font>
    <font>
      <sz val="13"/>
      <name val="Times New Roman"/>
      <family val="1"/>
      <charset val="163"/>
    </font>
    <font>
      <sz val="12"/>
      <name val=".VnArial Narrow"/>
      <family val="2"/>
    </font>
    <font>
      <sz val="13"/>
      <color theme="1"/>
      <name val="Times New Roman"/>
      <family val="2"/>
    </font>
    <font>
      <sz val="11"/>
      <color indexed="8"/>
      <name val="Arial"/>
      <family val="2"/>
    </font>
    <font>
      <sz val="11"/>
      <color indexed="8"/>
      <name val="Helvetica Neue"/>
    </font>
    <font>
      <sz val="10"/>
      <name val="VNlucida sans"/>
      <family val="2"/>
    </font>
    <font>
      <b/>
      <sz val="11"/>
      <name val="Arial"/>
      <family val="2"/>
    </font>
    <font>
      <b/>
      <sz val="12"/>
      <color indexed="63"/>
      <name val="Arial Narrow"/>
      <family val="2"/>
    </font>
    <font>
      <sz val="14"/>
      <name val=".VnArial Narrow"/>
      <family val="2"/>
    </font>
    <font>
      <sz val="12"/>
      <color indexed="8"/>
      <name val="Times New Roman"/>
      <family val="1"/>
    </font>
    <font>
      <sz val="12"/>
      <name val="Helv"/>
      <family val="2"/>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sz val="8"/>
      <name val="Tms Rmn"/>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2"/>
      <name val="VNI-Times"/>
    </font>
    <font>
      <sz val="12"/>
      <color indexed="8"/>
      <name val=".VnTime"/>
      <family val="2"/>
    </font>
    <font>
      <sz val="11"/>
      <name val=".VnAvant"/>
      <family val="2"/>
    </font>
    <font>
      <b/>
      <sz val="13"/>
      <color indexed="8"/>
      <name val=".VnTimeH"/>
      <family val="2"/>
    </font>
    <font>
      <b/>
      <u val="double"/>
      <sz val="12"/>
      <color indexed="12"/>
      <name val=".VnBahamasB"/>
      <family val="2"/>
    </font>
    <font>
      <b/>
      <sz val="18"/>
      <color indexed="56"/>
      <name val="Cambria"/>
      <family val="2"/>
    </font>
    <font>
      <sz val="9.5"/>
      <name val=".VnBlackH"/>
      <family val="2"/>
    </font>
    <font>
      <b/>
      <sz val="10"/>
      <name val=".VnBahamasBH"/>
      <family val="2"/>
    </font>
    <font>
      <b/>
      <sz val="11"/>
      <name val=".VnArialH"/>
      <family val="2"/>
    </font>
    <font>
      <b/>
      <sz val="11"/>
      <color indexed="8"/>
      <name val="Calibri"/>
      <family val="2"/>
    </font>
    <font>
      <b/>
      <sz val="10"/>
      <name val=".VnArialH"/>
      <family val="2"/>
    </font>
    <font>
      <sz val="10"/>
      <name val=".VnArial Narrow"/>
      <family val="2"/>
    </font>
    <font>
      <sz val="9"/>
      <name val="VNswitzerlandCondensed"/>
      <family val="2"/>
    </font>
    <font>
      <sz val="11"/>
      <name val="VNI-Times"/>
    </font>
    <font>
      <sz val="11"/>
      <color indexed="10"/>
      <name val="Calibri"/>
      <family val="2"/>
    </font>
    <font>
      <sz val="8"/>
      <name val="VNI-Helve"/>
    </font>
    <font>
      <sz val="10"/>
      <color indexed="8"/>
      <name val="MS Sans Serif"/>
      <family val="2"/>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9"/>
      <name val=".VnTime"/>
      <family val="2"/>
    </font>
    <font>
      <sz val="12"/>
      <color indexed="10"/>
      <name val="Arial Narrow"/>
      <family val="2"/>
    </font>
    <font>
      <sz val="10"/>
      <name val="Geneva"/>
      <family val="2"/>
    </font>
    <font>
      <sz val="14"/>
      <name val=".VnArial"/>
      <family val="2"/>
    </font>
    <font>
      <sz val="10"/>
      <name val=" "/>
      <family val="1"/>
      <charset val="136"/>
    </font>
    <font>
      <sz val="12"/>
      <color indexed="8"/>
      <name val="바탕체"/>
      <family val="3"/>
    </font>
    <font>
      <sz val="12"/>
      <name val="뼻뮝"/>
      <family val="1"/>
      <charset val="129"/>
    </font>
    <font>
      <sz val="10"/>
      <name val="명조"/>
      <family val="3"/>
      <charset val="129"/>
    </font>
    <font>
      <sz val="10"/>
      <name val="돋움체"/>
      <family val="3"/>
      <charset val="129"/>
    </font>
    <font>
      <b/>
      <sz val="10"/>
      <color theme="1"/>
      <name val="Times New Roman"/>
      <family val="1"/>
    </font>
    <font>
      <sz val="10"/>
      <color theme="1"/>
      <name val="Times New Roman"/>
      <family val="1"/>
    </font>
    <font>
      <b/>
      <sz val="11"/>
      <color theme="1"/>
      <name val="Times New Roman"/>
      <family val="1"/>
    </font>
    <font>
      <i/>
      <sz val="11"/>
      <color theme="1"/>
      <name val="Times New Roman"/>
      <family val="1"/>
    </font>
    <font>
      <strike/>
      <sz val="13"/>
      <name val="Times New Roman"/>
      <family val="1"/>
    </font>
    <font>
      <b/>
      <sz val="14"/>
      <name val="Times New Roman"/>
      <family val="1"/>
    </font>
    <font>
      <sz val="14"/>
      <name val="Times New Roman"/>
      <family val="1"/>
    </font>
    <font>
      <sz val="13"/>
      <name val="Times New Roman"/>
      <family val="1"/>
    </font>
    <font>
      <sz val="11"/>
      <color rgb="FF0000FF"/>
      <name val="Times New Roman"/>
      <family val="1"/>
    </font>
    <font>
      <b/>
      <sz val="11"/>
      <color rgb="FF0000FF"/>
      <name val="Times New Roman"/>
      <family val="1"/>
    </font>
    <font>
      <b/>
      <sz val="9"/>
      <color indexed="81"/>
      <name val="Tahoma"/>
      <family val="2"/>
    </font>
    <font>
      <sz val="9"/>
      <color indexed="81"/>
      <name val="Tahoma"/>
      <family val="2"/>
    </font>
    <font>
      <sz val="11"/>
      <color rgb="FFFF0000"/>
      <name val="Times New Roman"/>
      <family val="1"/>
    </font>
    <font>
      <b/>
      <sz val="13"/>
      <color theme="1"/>
      <name val="Times New Roman"/>
      <family val="1"/>
    </font>
    <font>
      <sz val="12"/>
      <color rgb="FF0000FF"/>
      <name val="Times New Roman"/>
      <family val="1"/>
    </font>
    <font>
      <sz val="9"/>
      <color theme="1"/>
      <name val="Times New Roman"/>
      <family val="1"/>
    </font>
    <font>
      <sz val="9"/>
      <name val="Times New Roman"/>
      <family val="1"/>
    </font>
    <font>
      <sz val="10"/>
      <color rgb="FFFF0000"/>
      <name val="Times New Roman"/>
      <family val="1"/>
    </font>
    <font>
      <sz val="12"/>
      <color rgb="FFFF0000"/>
      <name val="Times New Roman"/>
      <family val="1"/>
    </font>
    <font>
      <b/>
      <sz val="12"/>
      <name val="Arial Narrow"/>
      <family val="2"/>
    </font>
    <font>
      <b/>
      <sz val="12"/>
      <name val="Times New Roman"/>
      <family val="1"/>
    </font>
    <font>
      <b/>
      <sz val="9"/>
      <name val="Arial Narrow"/>
      <family val="2"/>
    </font>
    <font>
      <sz val="10"/>
      <name val="Arial Narrow"/>
      <family val="2"/>
      <charset val="163"/>
    </font>
    <font>
      <b/>
      <sz val="9"/>
      <name val="Arial Narrow"/>
      <family val="2"/>
      <charset val="163"/>
    </font>
    <font>
      <sz val="12"/>
      <name val="Arial Narrow"/>
      <family val="2"/>
      <charset val="163"/>
    </font>
    <font>
      <sz val="11"/>
      <name val="Arial Narrow"/>
      <family val="2"/>
      <charset val="163"/>
    </font>
    <font>
      <b/>
      <sz val="11"/>
      <name val="Arial Narrow"/>
      <family val="2"/>
      <charset val="163"/>
    </font>
    <font>
      <sz val="11"/>
      <name val="Arial Narrow"/>
      <family val="2"/>
    </font>
    <font>
      <b/>
      <sz val="11"/>
      <name val="Arial Narrow"/>
      <family val="2"/>
    </font>
    <font>
      <sz val="11"/>
      <name val=".VnArial Narrow"/>
      <family val="2"/>
    </font>
    <font>
      <sz val="11"/>
      <color rgb="FFFF0000"/>
      <name val="Arial Narrow"/>
      <family val="2"/>
    </font>
    <font>
      <b/>
      <sz val="11"/>
      <color rgb="FF0000FF"/>
      <name val="Arial Narrow"/>
      <family val="2"/>
    </font>
    <font>
      <sz val="11"/>
      <color rgb="FF0000FF"/>
      <name val="Arial Narrow"/>
      <family val="2"/>
    </font>
    <font>
      <i/>
      <sz val="11"/>
      <name val="Arial Narrow"/>
      <family val="2"/>
      <charset val="163"/>
    </font>
    <font>
      <i/>
      <sz val="11"/>
      <name val="Arial Narrow"/>
      <family val="2"/>
    </font>
    <font>
      <sz val="10"/>
      <name val="Arial"/>
      <family val="2"/>
      <charset val="163"/>
    </font>
    <font>
      <b/>
      <sz val="13"/>
      <name val="Times New Roman"/>
      <family val="1"/>
    </font>
    <font>
      <sz val="11"/>
      <color theme="1"/>
      <name val="times new roman"/>
      <family val="2"/>
      <charset val="163"/>
    </font>
    <font>
      <sz val="11"/>
      <name val="Times New Roman"/>
      <family val="1"/>
    </font>
    <font>
      <b/>
      <i/>
      <sz val="12"/>
      <name val="Times New Roman"/>
      <family val="1"/>
    </font>
    <font>
      <i/>
      <sz val="12"/>
      <name val="Times New Roman"/>
      <family val="1"/>
    </font>
    <font>
      <i/>
      <sz val="13"/>
      <name val="Times New Roman"/>
      <family val="1"/>
    </font>
    <font>
      <b/>
      <i/>
      <sz val="13"/>
      <name val="Times New Roman"/>
      <family val="1"/>
    </font>
    <font>
      <i/>
      <sz val="12"/>
      <color rgb="FFFF0000"/>
      <name val="Times New Roman"/>
      <family val="1"/>
    </font>
    <font>
      <b/>
      <sz val="11"/>
      <color rgb="FFFF0000"/>
      <name val="Times New Roman"/>
      <family val="1"/>
    </font>
    <font>
      <i/>
      <sz val="11"/>
      <name val="Times New Roman"/>
      <family val="1"/>
    </font>
    <font>
      <i/>
      <sz val="10"/>
      <name val="Times New Roman"/>
      <family val="1"/>
    </font>
    <font>
      <sz val="10"/>
      <name val="Times New Roman"/>
      <family val="1"/>
      <charset val="163"/>
    </font>
    <font>
      <b/>
      <i/>
      <sz val="10"/>
      <name val="Times New Roman"/>
      <family val="1"/>
    </font>
    <font>
      <sz val="9"/>
      <color indexed="81"/>
      <name val="Tahoma"/>
      <charset val="1"/>
    </font>
    <font>
      <b/>
      <sz val="9"/>
      <color indexed="81"/>
      <name val="Tahoma"/>
      <charset val="1"/>
    </font>
    <font>
      <i/>
      <sz val="10"/>
      <color theme="1"/>
      <name val="Times New Roman"/>
      <family val="1"/>
    </font>
    <font>
      <b/>
      <sz val="9"/>
      <name val="Times New Roman"/>
      <family val="1"/>
    </font>
    <font>
      <b/>
      <sz val="8"/>
      <name val="Times New Roman"/>
      <family val="1"/>
    </font>
    <font>
      <i/>
      <sz val="8"/>
      <name val="Times New Roman"/>
      <family val="1"/>
    </font>
    <font>
      <sz val="11"/>
      <color theme="0"/>
      <name val="Times New Roman"/>
      <family val="1"/>
    </font>
    <font>
      <sz val="12"/>
      <color theme="0"/>
      <name val="Times New Roman"/>
      <family val="1"/>
    </font>
    <font>
      <sz val="11"/>
      <color rgb="FF7030A0"/>
      <name val="Times New Roman"/>
      <family val="1"/>
    </font>
    <font>
      <i/>
      <sz val="13"/>
      <color theme="1"/>
      <name val="Times New Roman"/>
      <family val="1"/>
    </font>
  </fonts>
  <fills count="72">
    <fill>
      <patternFill patternType="none"/>
    </fill>
    <fill>
      <patternFill patternType="gray125"/>
    </fill>
    <fill>
      <patternFill patternType="solid">
        <fgColor indexed="22"/>
        <bgColor indexed="64"/>
      </patternFill>
    </fill>
    <fill>
      <patternFill patternType="solid">
        <fgColor indexed="22"/>
        <bgColor indexed="31"/>
      </patternFill>
    </fill>
    <fill>
      <patternFill patternType="solid">
        <fgColor indexed="13"/>
        <bgColor indexed="64"/>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55"/>
      </patternFill>
    </fill>
    <fill>
      <patternFill patternType="solid">
        <fgColor indexed="55"/>
        <bgColor indexed="23"/>
      </patternFill>
    </fill>
    <fill>
      <patternFill patternType="solid">
        <fgColor indexed="9"/>
        <bgColor indexed="9"/>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43"/>
      </patternFill>
    </fill>
    <fill>
      <patternFill patternType="solid">
        <fgColor indexed="43"/>
        <bgColor indexed="26"/>
      </patternFill>
    </fill>
    <fill>
      <patternFill patternType="solid">
        <fgColor indexed="26"/>
        <bgColor indexed="9"/>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9"/>
        <bgColor indexed="10"/>
      </patternFill>
    </fill>
    <fill>
      <patternFill patternType="solid">
        <fgColor theme="0"/>
        <bgColor indexed="64"/>
      </patternFill>
    </fill>
    <fill>
      <patternFill patternType="solid">
        <fgColor rgb="FFFFFF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style="double">
        <color indexed="64"/>
      </bottom>
      <diagonal/>
    </border>
    <border>
      <left style="thick">
        <color indexed="64"/>
      </left>
      <right/>
      <top style="thick">
        <color indexed="64"/>
      </top>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hair">
        <color indexed="64"/>
      </bottom>
      <diagonal/>
    </border>
    <border>
      <left/>
      <right/>
      <top/>
      <bottom style="double">
        <color indexed="52"/>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style="thin">
        <color indexed="64"/>
      </right>
      <top style="hair">
        <color indexed="64"/>
      </top>
      <bottom style="hair">
        <color indexed="64"/>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right/>
      <top style="thin">
        <color indexed="62"/>
      </top>
      <bottom style="double">
        <color indexed="62"/>
      </bottom>
      <diagonal/>
    </border>
    <border>
      <left style="double">
        <color indexed="64"/>
      </left>
      <right style="thin">
        <color indexed="64"/>
      </right>
      <top style="hair">
        <color indexed="64"/>
      </top>
      <bottom style="double">
        <color indexed="64"/>
      </bottom>
      <diagonal/>
    </border>
    <border>
      <left/>
      <right/>
      <top style="double">
        <color indexed="8"/>
      </top>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diagonal/>
    </border>
    <border>
      <left style="thin">
        <color rgb="FF000000"/>
      </left>
      <right style="thin">
        <color rgb="FF000000"/>
      </right>
      <top/>
      <bottom style="hair">
        <color rgb="FF000000"/>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2277">
    <xf numFmtId="0" fontId="0" fillId="0" borderId="0"/>
    <xf numFmtId="170" fontId="16" fillId="0" borderId="0" applyFont="0" applyFill="0" applyBorder="0" applyAlignment="0" applyProtection="0"/>
    <xf numFmtId="171" fontId="17" fillId="0" borderId="0" applyFill="0" applyBorder="0" applyAlignment="0" applyProtection="0"/>
    <xf numFmtId="170" fontId="17" fillId="0" borderId="0" applyFont="0" applyFill="0" applyBorder="0" applyAlignment="0" applyProtection="0"/>
    <xf numFmtId="0" fontId="17" fillId="0" borderId="0"/>
    <xf numFmtId="165" fontId="16" fillId="0" borderId="0" applyFont="0" applyFill="0" applyBorder="0" applyAlignment="0" applyProtection="0"/>
    <xf numFmtId="0" fontId="17" fillId="0" borderId="0"/>
    <xf numFmtId="0" fontId="20" fillId="0" borderId="0"/>
    <xf numFmtId="0" fontId="20" fillId="0" borderId="0"/>
    <xf numFmtId="171" fontId="17" fillId="0" borderId="0" applyFill="0" applyBorder="0" applyAlignment="0" applyProtection="0"/>
    <xf numFmtId="176" fontId="21" fillId="0" borderId="0" applyFont="0" applyFill="0" applyBorder="0" applyAlignment="0" applyProtection="0"/>
    <xf numFmtId="0" fontId="22" fillId="0" borderId="0" applyNumberFormat="0" applyFill="0" applyBorder="0" applyAlignment="0" applyProtection="0"/>
    <xf numFmtId="3" fontId="23" fillId="0" borderId="1"/>
    <xf numFmtId="3" fontId="23" fillId="0" borderId="1"/>
    <xf numFmtId="3" fontId="23" fillId="0" borderId="1"/>
    <xf numFmtId="3" fontId="23" fillId="0" borderId="1"/>
    <xf numFmtId="3" fontId="23" fillId="0" borderId="1"/>
    <xf numFmtId="3" fontId="23" fillId="0" borderId="1"/>
    <xf numFmtId="172" fontId="24" fillId="0" borderId="13" applyFont="0" applyBorder="0"/>
    <xf numFmtId="172" fontId="24" fillId="0" borderId="13" applyFont="0" applyBorder="0"/>
    <xf numFmtId="175" fontId="25" fillId="0" borderId="0" applyBorder="0"/>
    <xf numFmtId="172" fontId="24" fillId="0" borderId="13" applyFont="0" applyBorder="0"/>
    <xf numFmtId="172" fontId="24" fillId="0" borderId="13" applyFont="0" applyBorder="0"/>
    <xf numFmtId="0" fontId="26" fillId="0" borderId="0"/>
    <xf numFmtId="177" fontId="27"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8" fontId="18" fillId="0" borderId="0" applyFont="0" applyFill="0" applyBorder="0" applyAlignment="0" applyProtection="0"/>
    <xf numFmtId="179" fontId="17"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9" fillId="0" borderId="0" applyFont="0" applyFill="0" applyBorder="0" applyAlignment="0" applyProtection="0"/>
    <xf numFmtId="0" fontId="30" fillId="0" borderId="14"/>
    <xf numFmtId="180" fontId="31" fillId="0" borderId="0" applyFont="0" applyFill="0" applyBorder="0" applyAlignment="0" applyProtection="0"/>
    <xf numFmtId="181" fontId="31" fillId="0" borderId="0" applyFont="0" applyFill="0" applyBorder="0" applyAlignment="0" applyProtection="0"/>
    <xf numFmtId="182" fontId="26"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166" fontId="33" fillId="0" borderId="0" applyFont="0" applyFill="0" applyBorder="0" applyAlignment="0" applyProtection="0"/>
    <xf numFmtId="0" fontId="34"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35" fillId="0" borderId="0"/>
    <xf numFmtId="0" fontId="17" fillId="0" borderId="0" applyNumberFormat="0" applyFill="0" applyBorder="0" applyAlignment="0" applyProtection="0"/>
    <xf numFmtId="41" fontId="22" fillId="0" borderId="0" applyFont="0" applyFill="0" applyBorder="0" applyAlignment="0" applyProtection="0"/>
    <xf numFmtId="167" fontId="36" fillId="0" borderId="0" applyFont="0" applyFill="0" applyBorder="0" applyAlignment="0" applyProtection="0"/>
    <xf numFmtId="183" fontId="36" fillId="0" borderId="0" applyFont="0" applyFill="0" applyBorder="0" applyAlignment="0" applyProtection="0"/>
    <xf numFmtId="183" fontId="36" fillId="0" borderId="0" applyFont="0" applyFill="0" applyBorder="0" applyAlignment="0" applyProtection="0"/>
    <xf numFmtId="0" fontId="37" fillId="0" borderId="0"/>
    <xf numFmtId="0" fontId="37" fillId="0" borderId="0"/>
    <xf numFmtId="0" fontId="37" fillId="0" borderId="0"/>
    <xf numFmtId="184" fontId="22" fillId="0" borderId="0" applyFont="0" applyFill="0" applyBorder="0" applyAlignment="0" applyProtection="0"/>
    <xf numFmtId="167" fontId="36" fillId="0" borderId="0" applyFont="0" applyFill="0" applyBorder="0" applyAlignment="0" applyProtection="0"/>
    <xf numFmtId="0" fontId="37" fillId="0" borderId="0"/>
    <xf numFmtId="0" fontId="28" fillId="0" borderId="0"/>
    <xf numFmtId="0" fontId="38" fillId="0" borderId="0">
      <alignment vertical="top"/>
    </xf>
    <xf numFmtId="0" fontId="38" fillId="0" borderId="0">
      <alignment vertical="top"/>
    </xf>
    <xf numFmtId="167" fontId="36" fillId="0" borderId="0" applyFont="0" applyFill="0" applyBorder="0" applyAlignment="0" applyProtection="0"/>
    <xf numFmtId="185" fontId="21" fillId="0" borderId="0" applyFont="0" applyFill="0" applyBorder="0" applyAlignment="0" applyProtection="0"/>
    <xf numFmtId="186" fontId="36" fillId="0" borderId="0" applyFont="0" applyFill="0" applyBorder="0" applyAlignment="0" applyProtection="0"/>
    <xf numFmtId="187" fontId="36" fillId="0" borderId="0" applyFont="0" applyFill="0" applyBorder="0" applyAlignment="0" applyProtection="0"/>
    <xf numFmtId="186" fontId="36" fillId="0" borderId="0" applyFont="0" applyFill="0" applyBorder="0" applyAlignment="0" applyProtection="0"/>
    <xf numFmtId="185" fontId="21" fillId="0" borderId="0" applyFont="0" applyFill="0" applyBorder="0" applyAlignment="0" applyProtection="0"/>
    <xf numFmtId="0" fontId="28" fillId="0" borderId="0"/>
    <xf numFmtId="0" fontId="26" fillId="0" borderId="0" applyNumberFormat="0" applyFill="0" applyBorder="0" applyAlignment="0" applyProtection="0"/>
    <xf numFmtId="0" fontId="26" fillId="0" borderId="0" applyNumberFormat="0" applyFill="0" applyBorder="0" applyAlignment="0" applyProtection="0"/>
    <xf numFmtId="185" fontId="21" fillId="0" borderId="0" applyFont="0" applyFill="0" applyBorder="0" applyAlignment="0" applyProtection="0"/>
    <xf numFmtId="0" fontId="28" fillId="0" borderId="0"/>
    <xf numFmtId="0" fontId="38" fillId="0" borderId="0">
      <alignment vertical="top"/>
    </xf>
    <xf numFmtId="0" fontId="38" fillId="0" borderId="0">
      <alignment vertical="top"/>
    </xf>
    <xf numFmtId="167" fontId="36" fillId="0" borderId="0" applyFont="0" applyFill="0" applyBorder="0" applyAlignment="0" applyProtection="0"/>
    <xf numFmtId="167" fontId="36"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8" fillId="0" borderId="0"/>
    <xf numFmtId="0" fontId="28" fillId="0" borderId="0"/>
    <xf numFmtId="0" fontId="28"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8" fillId="0" borderId="0"/>
    <xf numFmtId="0" fontId="28" fillId="0" borderId="0"/>
    <xf numFmtId="0" fontId="37" fillId="0" borderId="0"/>
    <xf numFmtId="167" fontId="36" fillId="0" borderId="0" applyFont="0" applyFill="0" applyBorder="0" applyAlignment="0" applyProtection="0"/>
    <xf numFmtId="173" fontId="21" fillId="0" borderId="0" applyFont="0" applyFill="0" applyBorder="0" applyAlignment="0" applyProtection="0"/>
    <xf numFmtId="180" fontId="36" fillId="0" borderId="0" applyFont="0" applyFill="0" applyBorder="0" applyAlignment="0" applyProtection="0"/>
    <xf numFmtId="180"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88" fontId="40" fillId="0" borderId="0" applyFont="0" applyFill="0" applyBorder="0" applyAlignment="0" applyProtection="0"/>
    <xf numFmtId="189" fontId="21" fillId="0" borderId="0" applyFont="0" applyFill="0" applyBorder="0" applyAlignment="0" applyProtection="0"/>
    <xf numFmtId="189" fontId="21" fillId="0" borderId="0" applyFont="0" applyFill="0" applyBorder="0" applyAlignment="0" applyProtection="0"/>
    <xf numFmtId="190" fontId="17" fillId="0" borderId="0" applyFont="0" applyFill="0" applyBorder="0" applyAlignment="0" applyProtection="0"/>
    <xf numFmtId="190" fontId="40" fillId="0" borderId="0" applyFont="0" applyFill="0" applyBorder="0" applyAlignment="0" applyProtection="0"/>
    <xf numFmtId="189" fontId="21" fillId="0" borderId="0" applyFont="0" applyFill="0" applyBorder="0" applyAlignment="0" applyProtection="0"/>
    <xf numFmtId="188" fontId="40" fillId="0" borderId="0" applyFont="0" applyFill="0" applyBorder="0" applyAlignment="0" applyProtection="0"/>
    <xf numFmtId="191" fontId="21" fillId="0" borderId="0" applyFont="0" applyFill="0" applyBorder="0" applyAlignment="0" applyProtection="0"/>
    <xf numFmtId="176"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3" fontId="36" fillId="0" borderId="0" applyFont="0" applyFill="0" applyBorder="0" applyAlignment="0" applyProtection="0"/>
    <xf numFmtId="165" fontId="36" fillId="0" borderId="0" applyFont="0" applyFill="0" applyBorder="0" applyAlignment="0" applyProtection="0"/>
    <xf numFmtId="194" fontId="36" fillId="0" borderId="0" applyFont="0" applyFill="0" applyBorder="0" applyAlignment="0" applyProtection="0"/>
    <xf numFmtId="195" fontId="36"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93" fontId="36" fillId="0" borderId="0" applyFont="0" applyFill="0" applyBorder="0" applyAlignment="0" applyProtection="0"/>
    <xf numFmtId="194" fontId="36" fillId="0" borderId="0" applyFont="0" applyFill="0" applyBorder="0" applyAlignment="0" applyProtection="0"/>
    <xf numFmtId="196" fontId="36" fillId="0" borderId="0" applyFont="0" applyFill="0" applyBorder="0" applyAlignment="0" applyProtection="0"/>
    <xf numFmtId="0" fontId="36" fillId="0" borderId="0" applyFont="0" applyFill="0" applyBorder="0" applyAlignment="0" applyProtection="0"/>
    <xf numFmtId="165" fontId="36" fillId="0" borderId="0" applyFont="0" applyFill="0" applyBorder="0" applyAlignment="0" applyProtection="0"/>
    <xf numFmtId="0"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4" fontId="36" fillId="0" borderId="0" applyFont="0" applyFill="0" applyBorder="0" applyAlignment="0" applyProtection="0"/>
    <xf numFmtId="197" fontId="36" fillId="0" borderId="0" applyFont="0" applyFill="0" applyBorder="0" applyAlignment="0" applyProtection="0"/>
    <xf numFmtId="195" fontId="36" fillId="0" borderId="0" applyFont="0" applyFill="0" applyBorder="0" applyAlignment="0" applyProtection="0"/>
    <xf numFmtId="198" fontId="36" fillId="0" borderId="0" applyFont="0" applyFill="0" applyBorder="0" applyAlignment="0" applyProtection="0"/>
    <xf numFmtId="198" fontId="36" fillId="0" borderId="0" applyFont="0" applyFill="0" applyBorder="0" applyAlignment="0" applyProtection="0"/>
    <xf numFmtId="194"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65" fontId="36" fillId="0" borderId="0" applyFont="0" applyFill="0" applyBorder="0" applyAlignment="0" applyProtection="0"/>
    <xf numFmtId="195" fontId="36" fillId="0" borderId="0" applyFont="0" applyFill="0" applyBorder="0" applyAlignment="0" applyProtection="0"/>
    <xf numFmtId="165" fontId="36"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93" fontId="36" fillId="0" borderId="0" applyFont="0" applyFill="0" applyBorder="0" applyAlignment="0" applyProtection="0"/>
    <xf numFmtId="199" fontId="36" fillId="0" borderId="0" applyFont="0" applyFill="0" applyBorder="0" applyAlignment="0" applyProtection="0"/>
    <xf numFmtId="165" fontId="36" fillId="0" borderId="0" applyFont="0" applyFill="0" applyBorder="0" applyAlignment="0" applyProtection="0"/>
    <xf numFmtId="195" fontId="36" fillId="0" borderId="0" applyFont="0" applyFill="0" applyBorder="0" applyAlignment="0" applyProtection="0"/>
    <xf numFmtId="200" fontId="21"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93" fontId="36" fillId="0" borderId="0" applyFont="0" applyFill="0" applyBorder="0" applyAlignment="0" applyProtection="0"/>
    <xf numFmtId="41" fontId="40" fillId="0" borderId="0" applyFont="0" applyFill="0" applyBorder="0" applyAlignment="0" applyProtection="0"/>
    <xf numFmtId="201" fontId="36" fillId="0" borderId="0" applyFont="0" applyFill="0" applyBorder="0" applyAlignment="0" applyProtection="0"/>
    <xf numFmtId="201" fontId="36" fillId="0" borderId="0" applyFont="0" applyFill="0" applyBorder="0" applyAlignment="0" applyProtection="0"/>
    <xf numFmtId="202" fontId="17" fillId="0" borderId="0" applyFont="0" applyFill="0" applyBorder="0" applyAlignment="0" applyProtection="0"/>
    <xf numFmtId="43" fontId="40" fillId="0" borderId="0" applyFont="0" applyFill="0" applyBorder="0" applyAlignment="0" applyProtection="0"/>
    <xf numFmtId="201" fontId="36" fillId="0" borderId="0" applyFont="0" applyFill="0" applyBorder="0" applyAlignment="0" applyProtection="0"/>
    <xf numFmtId="41" fontId="40" fillId="0" borderId="0" applyFont="0" applyFill="0" applyBorder="0" applyAlignment="0" applyProtection="0"/>
    <xf numFmtId="203" fontId="41" fillId="0" borderId="0" applyFont="0" applyFill="0" applyBorder="0" applyAlignment="0" applyProtection="0"/>
    <xf numFmtId="199" fontId="36" fillId="0" borderId="0" applyFont="0" applyFill="0" applyBorder="0" applyAlignment="0" applyProtection="0"/>
    <xf numFmtId="195"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65" fontId="36" fillId="0" borderId="0" applyFont="0" applyFill="0" applyBorder="0" applyAlignment="0" applyProtection="0"/>
    <xf numFmtId="195" fontId="36" fillId="0" borderId="0" applyFont="0" applyFill="0" applyBorder="0" applyAlignment="0" applyProtection="0"/>
    <xf numFmtId="41" fontId="21" fillId="0" borderId="0" applyFont="0" applyFill="0" applyBorder="0" applyAlignment="0" applyProtection="0"/>
    <xf numFmtId="180" fontId="36" fillId="0" borderId="0" applyFont="0" applyFill="0" applyBorder="0" applyAlignment="0" applyProtection="0"/>
    <xf numFmtId="185" fontId="21" fillId="0" borderId="0" applyFont="0" applyFill="0" applyBorder="0" applyAlignment="0" applyProtection="0"/>
    <xf numFmtId="186" fontId="36" fillId="0" borderId="0" applyFont="0" applyFill="0" applyBorder="0" applyAlignment="0" applyProtection="0"/>
    <xf numFmtId="187" fontId="36" fillId="0" borderId="0" applyFont="0" applyFill="0" applyBorder="0" applyAlignment="0" applyProtection="0"/>
    <xf numFmtId="186" fontId="36"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67" fontId="36" fillId="0" borderId="0" applyFont="0" applyFill="0" applyBorder="0" applyAlignment="0" applyProtection="0"/>
    <xf numFmtId="173" fontId="21" fillId="0" borderId="0" applyFont="0" applyFill="0" applyBorder="0" applyAlignment="0" applyProtection="0"/>
    <xf numFmtId="167" fontId="36" fillId="0" borderId="0" applyFont="0" applyFill="0" applyBorder="0" applyAlignment="0" applyProtection="0"/>
    <xf numFmtId="186" fontId="36"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7" fontId="36" fillId="0" borderId="0" applyFont="0" applyFill="0" applyBorder="0" applyAlignment="0" applyProtection="0"/>
    <xf numFmtId="185" fontId="21" fillId="0" borderId="0" applyFont="0" applyFill="0" applyBorder="0" applyAlignment="0" applyProtection="0"/>
    <xf numFmtId="204" fontId="40" fillId="0" borderId="0" applyFont="0" applyFill="0" applyBorder="0" applyAlignment="0" applyProtection="0"/>
    <xf numFmtId="205" fontId="36" fillId="0" borderId="0" applyFont="0" applyFill="0" applyBorder="0" applyAlignment="0" applyProtection="0"/>
    <xf numFmtId="205" fontId="36" fillId="0" borderId="0" applyFont="0" applyFill="0" applyBorder="0" applyAlignment="0" applyProtection="0"/>
    <xf numFmtId="206" fontId="40" fillId="0" borderId="0" applyFont="0" applyFill="0" applyBorder="0" applyAlignment="0" applyProtection="0"/>
    <xf numFmtId="205" fontId="36" fillId="0" borderId="0" applyFont="0" applyFill="0" applyBorder="0" applyAlignment="0" applyProtection="0"/>
    <xf numFmtId="204" fontId="40" fillId="0" borderId="0" applyFont="0" applyFill="0" applyBorder="0" applyAlignment="0" applyProtection="0"/>
    <xf numFmtId="205" fontId="36" fillId="0" borderId="0" applyFont="0" applyFill="0" applyBorder="0" applyAlignment="0" applyProtection="0"/>
    <xf numFmtId="185" fontId="36" fillId="0" borderId="0" applyFont="0" applyFill="0" applyBorder="0" applyAlignment="0" applyProtection="0"/>
    <xf numFmtId="185" fontId="36" fillId="0" borderId="0" applyFont="0" applyFill="0" applyBorder="0" applyAlignment="0" applyProtection="0"/>
    <xf numFmtId="206" fontId="40" fillId="0" borderId="0" applyFont="0" applyFill="0" applyBorder="0" applyAlignment="0" applyProtection="0"/>
    <xf numFmtId="207" fontId="36" fillId="0" borderId="0" applyFont="0" applyFill="0" applyBorder="0" applyAlignment="0" applyProtection="0"/>
    <xf numFmtId="207" fontId="36" fillId="0" borderId="0" applyFont="0" applyFill="0" applyBorder="0" applyAlignment="0" applyProtection="0"/>
    <xf numFmtId="208" fontId="17" fillId="0" borderId="0" applyFont="0" applyFill="0" applyBorder="0" applyAlignment="0" applyProtection="0"/>
    <xf numFmtId="41" fontId="40" fillId="0" borderId="0" applyFont="0" applyFill="0" applyBorder="0" applyAlignment="0" applyProtection="0"/>
    <xf numFmtId="207" fontId="36" fillId="0" borderId="0" applyFont="0" applyFill="0" applyBorder="0" applyAlignment="0" applyProtection="0"/>
    <xf numFmtId="206" fontId="40" fillId="0" borderId="0" applyFont="0" applyFill="0" applyBorder="0" applyAlignment="0" applyProtection="0"/>
    <xf numFmtId="209" fontId="41" fillId="0" borderId="0" applyFont="0" applyFill="0" applyBorder="0" applyAlignment="0" applyProtection="0"/>
    <xf numFmtId="210" fontId="36" fillId="0" borderId="0" applyFont="0" applyFill="0" applyBorder="0" applyAlignment="0" applyProtection="0"/>
    <xf numFmtId="167" fontId="36" fillId="0" borderId="0" applyFont="0" applyFill="0" applyBorder="0" applyAlignment="0" applyProtection="0"/>
    <xf numFmtId="193" fontId="36" fillId="0" borderId="0" applyFont="0" applyFill="0" applyBorder="0" applyAlignment="0" applyProtection="0"/>
    <xf numFmtId="165" fontId="36" fillId="0" borderId="0" applyFont="0" applyFill="0" applyBorder="0" applyAlignment="0" applyProtection="0"/>
    <xf numFmtId="194" fontId="36" fillId="0" borderId="0" applyFont="0" applyFill="0" applyBorder="0" applyAlignment="0" applyProtection="0"/>
    <xf numFmtId="195" fontId="36"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93" fontId="36" fillId="0" borderId="0" applyFont="0" applyFill="0" applyBorder="0" applyAlignment="0" applyProtection="0"/>
    <xf numFmtId="194" fontId="36" fillId="0" borderId="0" applyFont="0" applyFill="0" applyBorder="0" applyAlignment="0" applyProtection="0"/>
    <xf numFmtId="196" fontId="36" fillId="0" borderId="0" applyFont="0" applyFill="0" applyBorder="0" applyAlignment="0" applyProtection="0"/>
    <xf numFmtId="0" fontId="36" fillId="0" borderId="0" applyFont="0" applyFill="0" applyBorder="0" applyAlignment="0" applyProtection="0"/>
    <xf numFmtId="165" fontId="36" fillId="0" borderId="0" applyFont="0" applyFill="0" applyBorder="0" applyAlignment="0" applyProtection="0"/>
    <xf numFmtId="0"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4" fontId="36" fillId="0" borderId="0" applyFont="0" applyFill="0" applyBorder="0" applyAlignment="0" applyProtection="0"/>
    <xf numFmtId="197" fontId="36" fillId="0" borderId="0" applyFont="0" applyFill="0" applyBorder="0" applyAlignment="0" applyProtection="0"/>
    <xf numFmtId="195" fontId="36" fillId="0" borderId="0" applyFont="0" applyFill="0" applyBorder="0" applyAlignment="0" applyProtection="0"/>
    <xf numFmtId="198" fontId="36" fillId="0" borderId="0" applyFont="0" applyFill="0" applyBorder="0" applyAlignment="0" applyProtection="0"/>
    <xf numFmtId="198" fontId="36" fillId="0" borderId="0" applyFont="0" applyFill="0" applyBorder="0" applyAlignment="0" applyProtection="0"/>
    <xf numFmtId="194"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65" fontId="36" fillId="0" borderId="0" applyFont="0" applyFill="0" applyBorder="0" applyAlignment="0" applyProtection="0"/>
    <xf numFmtId="195" fontId="36" fillId="0" borderId="0" applyFont="0" applyFill="0" applyBorder="0" applyAlignment="0" applyProtection="0"/>
    <xf numFmtId="165" fontId="36"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93" fontId="36" fillId="0" borderId="0" applyFont="0" applyFill="0" applyBorder="0" applyAlignment="0" applyProtection="0"/>
    <xf numFmtId="199" fontId="36" fillId="0" borderId="0" applyFont="0" applyFill="0" applyBorder="0" applyAlignment="0" applyProtection="0"/>
    <xf numFmtId="165" fontId="36" fillId="0" borderId="0" applyFont="0" applyFill="0" applyBorder="0" applyAlignment="0" applyProtection="0"/>
    <xf numFmtId="195" fontId="36" fillId="0" borderId="0" applyFont="0" applyFill="0" applyBorder="0" applyAlignment="0" applyProtection="0"/>
    <xf numFmtId="200" fontId="21"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93" fontId="36" fillId="0" borderId="0" applyFont="0" applyFill="0" applyBorder="0" applyAlignment="0" applyProtection="0"/>
    <xf numFmtId="41" fontId="40" fillId="0" borderId="0" applyFont="0" applyFill="0" applyBorder="0" applyAlignment="0" applyProtection="0"/>
    <xf numFmtId="201" fontId="36" fillId="0" borderId="0" applyFont="0" applyFill="0" applyBorder="0" applyAlignment="0" applyProtection="0"/>
    <xf numFmtId="201" fontId="36" fillId="0" borderId="0" applyFont="0" applyFill="0" applyBorder="0" applyAlignment="0" applyProtection="0"/>
    <xf numFmtId="202" fontId="17" fillId="0" borderId="0" applyFont="0" applyFill="0" applyBorder="0" applyAlignment="0" applyProtection="0"/>
    <xf numFmtId="43" fontId="40" fillId="0" borderId="0" applyFont="0" applyFill="0" applyBorder="0" applyAlignment="0" applyProtection="0"/>
    <xf numFmtId="201" fontId="36" fillId="0" borderId="0" applyFont="0" applyFill="0" applyBorder="0" applyAlignment="0" applyProtection="0"/>
    <xf numFmtId="41" fontId="40" fillId="0" borderId="0" applyFont="0" applyFill="0" applyBorder="0" applyAlignment="0" applyProtection="0"/>
    <xf numFmtId="203" fontId="41" fillId="0" borderId="0" applyFont="0" applyFill="0" applyBorder="0" applyAlignment="0" applyProtection="0"/>
    <xf numFmtId="199" fontId="36" fillId="0" borderId="0" applyFont="0" applyFill="0" applyBorder="0" applyAlignment="0" applyProtection="0"/>
    <xf numFmtId="195" fontId="36" fillId="0" borderId="0" applyFont="0" applyFill="0" applyBorder="0" applyAlignment="0" applyProtection="0"/>
    <xf numFmtId="43" fontId="3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43"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65" fontId="36" fillId="0" borderId="0" applyFont="0" applyFill="0" applyBorder="0" applyAlignment="0" applyProtection="0"/>
    <xf numFmtId="195"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211" fontId="36" fillId="0" borderId="0" applyFont="0" applyFill="0" applyBorder="0" applyAlignment="0" applyProtection="0"/>
    <xf numFmtId="212" fontId="36"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211" fontId="36" fillId="0" borderId="0" applyFont="0" applyFill="0" applyBorder="0" applyAlignment="0" applyProtection="0"/>
    <xf numFmtId="213" fontId="36" fillId="0" borderId="0" applyFont="0" applyFill="0" applyBorder="0" applyAlignment="0" applyProtection="0"/>
    <xf numFmtId="184" fontId="21" fillId="0" borderId="0" applyFont="0" applyFill="0" applyBorder="0" applyAlignment="0" applyProtection="0"/>
    <xf numFmtId="164" fontId="36" fillId="0" borderId="0" applyFont="0" applyFill="0" applyBorder="0" applyAlignment="0" applyProtection="0"/>
    <xf numFmtId="184" fontId="21"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1" fontId="36" fillId="0" borderId="0" applyFont="0" applyFill="0" applyBorder="0" applyAlignment="0" applyProtection="0"/>
    <xf numFmtId="214" fontId="36" fillId="0" borderId="0" applyFont="0" applyFill="0" applyBorder="0" applyAlignment="0" applyProtection="0"/>
    <xf numFmtId="212" fontId="36" fillId="0" borderId="0" applyFont="0" applyFill="0" applyBorder="0" applyAlignment="0" applyProtection="0"/>
    <xf numFmtId="215" fontId="36" fillId="0" borderId="0" applyFont="0" applyFill="0" applyBorder="0" applyAlignment="0" applyProtection="0"/>
    <xf numFmtId="216" fontId="36" fillId="0" borderId="0" applyFont="0" applyFill="0" applyBorder="0" applyAlignment="0" applyProtection="0"/>
    <xf numFmtId="215" fontId="36" fillId="0" borderId="0" applyFont="0" applyFill="0" applyBorder="0" applyAlignment="0" applyProtection="0"/>
    <xf numFmtId="211"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212"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4" fontId="36" fillId="0" borderId="0" applyFont="0" applyFill="0" applyBorder="0" applyAlignment="0" applyProtection="0"/>
    <xf numFmtId="214" fontId="36" fillId="0" borderId="0" applyFont="0" applyFill="0" applyBorder="0" applyAlignment="0" applyProtection="0"/>
    <xf numFmtId="184" fontId="36" fillId="0" borderId="0" applyFont="0" applyFill="0" applyBorder="0" applyAlignment="0" applyProtection="0"/>
    <xf numFmtId="217" fontId="36" fillId="0" borderId="0" applyFont="0" applyFill="0" applyBorder="0" applyAlignment="0" applyProtection="0"/>
    <xf numFmtId="164" fontId="36" fillId="0" borderId="0" applyFont="0" applyFill="0" applyBorder="0" applyAlignment="0" applyProtection="0"/>
    <xf numFmtId="212" fontId="36" fillId="0" borderId="0" applyFont="0" applyFill="0" applyBorder="0" applyAlignment="0" applyProtection="0"/>
    <xf numFmtId="218" fontId="21"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184" fontId="36" fillId="0" borderId="0" applyFont="0" applyFill="0" applyBorder="0" applyAlignment="0" applyProtection="0"/>
    <xf numFmtId="176" fontId="40" fillId="0" borderId="0" applyFont="0" applyFill="0" applyBorder="0" applyAlignment="0" applyProtection="0"/>
    <xf numFmtId="219" fontId="36" fillId="0" borderId="0" applyFont="0" applyFill="0" applyBorder="0" applyAlignment="0" applyProtection="0"/>
    <xf numFmtId="219" fontId="36" fillId="0" borderId="0" applyFont="0" applyFill="0" applyBorder="0" applyAlignment="0" applyProtection="0"/>
    <xf numFmtId="220" fontId="17" fillId="0" borderId="0" applyFont="0" applyFill="0" applyBorder="0" applyAlignment="0" applyProtection="0"/>
    <xf numFmtId="188" fontId="40" fillId="0" borderId="0" applyFont="0" applyFill="0" applyBorder="0" applyAlignment="0" applyProtection="0"/>
    <xf numFmtId="219" fontId="36" fillId="0" borderId="0" applyFont="0" applyFill="0" applyBorder="0" applyAlignment="0" applyProtection="0"/>
    <xf numFmtId="176" fontId="40" fillId="0" borderId="0" applyFont="0" applyFill="0" applyBorder="0" applyAlignment="0" applyProtection="0"/>
    <xf numFmtId="221" fontId="41" fillId="0" borderId="0" applyFont="0" applyFill="0" applyBorder="0" applyAlignment="0" applyProtection="0"/>
    <xf numFmtId="212"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164" fontId="36" fillId="0" borderId="0" applyFont="0" applyFill="0" applyBorder="0" applyAlignment="0" applyProtection="0"/>
    <xf numFmtId="212" fontId="36" fillId="0" borderId="0" applyFont="0" applyFill="0" applyBorder="0" applyAlignment="0" applyProtection="0"/>
    <xf numFmtId="185" fontId="21" fillId="0" borderId="0" applyFont="0" applyFill="0" applyBorder="0" applyAlignment="0" applyProtection="0"/>
    <xf numFmtId="186" fontId="36" fillId="0" borderId="0" applyFont="0" applyFill="0" applyBorder="0" applyAlignment="0" applyProtection="0"/>
    <xf numFmtId="187" fontId="36" fillId="0" borderId="0" applyFont="0" applyFill="0" applyBorder="0" applyAlignment="0" applyProtection="0"/>
    <xf numFmtId="186" fontId="36"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67" fontId="36" fillId="0" borderId="0" applyFont="0" applyFill="0" applyBorder="0" applyAlignment="0" applyProtection="0"/>
    <xf numFmtId="173" fontId="21" fillId="0" borderId="0" applyFont="0" applyFill="0" applyBorder="0" applyAlignment="0" applyProtection="0"/>
    <xf numFmtId="167" fontId="36" fillId="0" borderId="0" applyFont="0" applyFill="0" applyBorder="0" applyAlignment="0" applyProtection="0"/>
    <xf numFmtId="186" fontId="36"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7" fontId="36" fillId="0" borderId="0" applyFont="0" applyFill="0" applyBorder="0" applyAlignment="0" applyProtection="0"/>
    <xf numFmtId="185" fontId="21" fillId="0" borderId="0" applyFont="0" applyFill="0" applyBorder="0" applyAlignment="0" applyProtection="0"/>
    <xf numFmtId="204" fontId="40" fillId="0" borderId="0" applyFont="0" applyFill="0" applyBorder="0" applyAlignment="0" applyProtection="0"/>
    <xf numFmtId="205" fontId="36" fillId="0" borderId="0" applyFont="0" applyFill="0" applyBorder="0" applyAlignment="0" applyProtection="0"/>
    <xf numFmtId="205" fontId="36" fillId="0" borderId="0" applyFont="0" applyFill="0" applyBorder="0" applyAlignment="0" applyProtection="0"/>
    <xf numFmtId="206" fontId="40" fillId="0" borderId="0" applyFont="0" applyFill="0" applyBorder="0" applyAlignment="0" applyProtection="0"/>
    <xf numFmtId="205" fontId="36" fillId="0" borderId="0" applyFont="0" applyFill="0" applyBorder="0" applyAlignment="0" applyProtection="0"/>
    <xf numFmtId="204" fontId="40" fillId="0" borderId="0" applyFont="0" applyFill="0" applyBorder="0" applyAlignment="0" applyProtection="0"/>
    <xf numFmtId="205" fontId="36" fillId="0" borderId="0" applyFont="0" applyFill="0" applyBorder="0" applyAlignment="0" applyProtection="0"/>
    <xf numFmtId="185" fontId="36" fillId="0" borderId="0" applyFont="0" applyFill="0" applyBorder="0" applyAlignment="0" applyProtection="0"/>
    <xf numFmtId="185" fontId="36" fillId="0" borderId="0" applyFont="0" applyFill="0" applyBorder="0" applyAlignment="0" applyProtection="0"/>
    <xf numFmtId="206" fontId="40" fillId="0" borderId="0" applyFont="0" applyFill="0" applyBorder="0" applyAlignment="0" applyProtection="0"/>
    <xf numFmtId="207" fontId="36" fillId="0" borderId="0" applyFont="0" applyFill="0" applyBorder="0" applyAlignment="0" applyProtection="0"/>
    <xf numFmtId="207" fontId="36" fillId="0" borderId="0" applyFont="0" applyFill="0" applyBorder="0" applyAlignment="0" applyProtection="0"/>
    <xf numFmtId="208" fontId="17" fillId="0" borderId="0" applyFont="0" applyFill="0" applyBorder="0" applyAlignment="0" applyProtection="0"/>
    <xf numFmtId="41" fontId="40" fillId="0" borderId="0" applyFont="0" applyFill="0" applyBorder="0" applyAlignment="0" applyProtection="0"/>
    <xf numFmtId="207" fontId="36" fillId="0" borderId="0" applyFont="0" applyFill="0" applyBorder="0" applyAlignment="0" applyProtection="0"/>
    <xf numFmtId="206" fontId="40" fillId="0" borderId="0" applyFont="0" applyFill="0" applyBorder="0" applyAlignment="0" applyProtection="0"/>
    <xf numFmtId="209" fontId="41" fillId="0" borderId="0" applyFont="0" applyFill="0" applyBorder="0" applyAlignment="0" applyProtection="0"/>
    <xf numFmtId="210" fontId="36" fillId="0" borderId="0" applyFont="0" applyFill="0" applyBorder="0" applyAlignment="0" applyProtection="0"/>
    <xf numFmtId="41" fontId="21" fillId="0" borderId="0" applyFont="0" applyFill="0" applyBorder="0" applyAlignment="0" applyProtection="0"/>
    <xf numFmtId="167" fontId="36" fillId="0" borderId="0" applyFont="0" applyFill="0" applyBorder="0" applyAlignment="0" applyProtection="0"/>
    <xf numFmtId="43" fontId="21"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211" fontId="36" fillId="0" borderId="0" applyFont="0" applyFill="0" applyBorder="0" applyAlignment="0" applyProtection="0"/>
    <xf numFmtId="212" fontId="36"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211" fontId="36" fillId="0" borderId="0" applyFont="0" applyFill="0" applyBorder="0" applyAlignment="0" applyProtection="0"/>
    <xf numFmtId="213" fontId="36" fillId="0" borderId="0" applyFont="0" applyFill="0" applyBorder="0" applyAlignment="0" applyProtection="0"/>
    <xf numFmtId="184" fontId="21" fillId="0" borderId="0" applyFont="0" applyFill="0" applyBorder="0" applyAlignment="0" applyProtection="0"/>
    <xf numFmtId="164" fontId="36" fillId="0" borderId="0" applyFont="0" applyFill="0" applyBorder="0" applyAlignment="0" applyProtection="0"/>
    <xf numFmtId="184" fontId="21"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1" fontId="36" fillId="0" borderId="0" applyFont="0" applyFill="0" applyBorder="0" applyAlignment="0" applyProtection="0"/>
    <xf numFmtId="214" fontId="36" fillId="0" borderId="0" applyFont="0" applyFill="0" applyBorder="0" applyAlignment="0" applyProtection="0"/>
    <xf numFmtId="212" fontId="36" fillId="0" borderId="0" applyFont="0" applyFill="0" applyBorder="0" applyAlignment="0" applyProtection="0"/>
    <xf numFmtId="215" fontId="36" fillId="0" borderId="0" applyFont="0" applyFill="0" applyBorder="0" applyAlignment="0" applyProtection="0"/>
    <xf numFmtId="216" fontId="36" fillId="0" borderId="0" applyFont="0" applyFill="0" applyBorder="0" applyAlignment="0" applyProtection="0"/>
    <xf numFmtId="215" fontId="36" fillId="0" borderId="0" applyFont="0" applyFill="0" applyBorder="0" applyAlignment="0" applyProtection="0"/>
    <xf numFmtId="211"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212"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4" fontId="36" fillId="0" borderId="0" applyFont="0" applyFill="0" applyBorder="0" applyAlignment="0" applyProtection="0"/>
    <xf numFmtId="214" fontId="36" fillId="0" borderId="0" applyFont="0" applyFill="0" applyBorder="0" applyAlignment="0" applyProtection="0"/>
    <xf numFmtId="184" fontId="36" fillId="0" borderId="0" applyFont="0" applyFill="0" applyBorder="0" applyAlignment="0" applyProtection="0"/>
    <xf numFmtId="217" fontId="36" fillId="0" borderId="0" applyFont="0" applyFill="0" applyBorder="0" applyAlignment="0" applyProtection="0"/>
    <xf numFmtId="164" fontId="36" fillId="0" borderId="0" applyFont="0" applyFill="0" applyBorder="0" applyAlignment="0" applyProtection="0"/>
    <xf numFmtId="212" fontId="36" fillId="0" borderId="0" applyFont="0" applyFill="0" applyBorder="0" applyAlignment="0" applyProtection="0"/>
    <xf numFmtId="218" fontId="21"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184" fontId="36" fillId="0" borderId="0" applyFont="0" applyFill="0" applyBorder="0" applyAlignment="0" applyProtection="0"/>
    <xf numFmtId="176" fontId="40" fillId="0" borderId="0" applyFont="0" applyFill="0" applyBorder="0" applyAlignment="0" applyProtection="0"/>
    <xf numFmtId="219" fontId="36" fillId="0" borderId="0" applyFont="0" applyFill="0" applyBorder="0" applyAlignment="0" applyProtection="0"/>
    <xf numFmtId="219" fontId="36" fillId="0" borderId="0" applyFont="0" applyFill="0" applyBorder="0" applyAlignment="0" applyProtection="0"/>
    <xf numFmtId="220" fontId="17" fillId="0" borderId="0" applyFont="0" applyFill="0" applyBorder="0" applyAlignment="0" applyProtection="0"/>
    <xf numFmtId="188" fontId="40" fillId="0" borderId="0" applyFont="0" applyFill="0" applyBorder="0" applyAlignment="0" applyProtection="0"/>
    <xf numFmtId="219" fontId="36" fillId="0" borderId="0" applyFont="0" applyFill="0" applyBorder="0" applyAlignment="0" applyProtection="0"/>
    <xf numFmtId="176" fontId="40" fillId="0" borderId="0" applyFont="0" applyFill="0" applyBorder="0" applyAlignment="0" applyProtection="0"/>
    <xf numFmtId="221" fontId="41" fillId="0" borderId="0" applyFont="0" applyFill="0" applyBorder="0" applyAlignment="0" applyProtection="0"/>
    <xf numFmtId="212"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164" fontId="36" fillId="0" borderId="0" applyFont="0" applyFill="0" applyBorder="0" applyAlignment="0" applyProtection="0"/>
    <xf numFmtId="212" fontId="36" fillId="0" borderId="0" applyFont="0" applyFill="0" applyBorder="0" applyAlignment="0" applyProtection="0"/>
    <xf numFmtId="193" fontId="36" fillId="0" borderId="0" applyFont="0" applyFill="0" applyBorder="0" applyAlignment="0" applyProtection="0"/>
    <xf numFmtId="165" fontId="36" fillId="0" borderId="0" applyFont="0" applyFill="0" applyBorder="0" applyAlignment="0" applyProtection="0"/>
    <xf numFmtId="194" fontId="36" fillId="0" borderId="0" applyFont="0" applyFill="0" applyBorder="0" applyAlignment="0" applyProtection="0"/>
    <xf numFmtId="195" fontId="36"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93" fontId="36" fillId="0" borderId="0" applyFont="0" applyFill="0" applyBorder="0" applyAlignment="0" applyProtection="0"/>
    <xf numFmtId="194" fontId="36" fillId="0" borderId="0" applyFont="0" applyFill="0" applyBorder="0" applyAlignment="0" applyProtection="0"/>
    <xf numFmtId="196" fontId="36" fillId="0" borderId="0" applyFont="0" applyFill="0" applyBorder="0" applyAlignment="0" applyProtection="0"/>
    <xf numFmtId="0" fontId="36" fillId="0" borderId="0" applyFont="0" applyFill="0" applyBorder="0" applyAlignment="0" applyProtection="0"/>
    <xf numFmtId="165" fontId="36" fillId="0" borderId="0" applyFont="0" applyFill="0" applyBorder="0" applyAlignment="0" applyProtection="0"/>
    <xf numFmtId="0"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4" fontId="36" fillId="0" borderId="0" applyFont="0" applyFill="0" applyBorder="0" applyAlignment="0" applyProtection="0"/>
    <xf numFmtId="197" fontId="36" fillId="0" borderId="0" applyFont="0" applyFill="0" applyBorder="0" applyAlignment="0" applyProtection="0"/>
    <xf numFmtId="195" fontId="36" fillId="0" borderId="0" applyFont="0" applyFill="0" applyBorder="0" applyAlignment="0" applyProtection="0"/>
    <xf numFmtId="198" fontId="36" fillId="0" borderId="0" applyFont="0" applyFill="0" applyBorder="0" applyAlignment="0" applyProtection="0"/>
    <xf numFmtId="198" fontId="36" fillId="0" borderId="0" applyFont="0" applyFill="0" applyBorder="0" applyAlignment="0" applyProtection="0"/>
    <xf numFmtId="194"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65" fontId="36" fillId="0" borderId="0" applyFont="0" applyFill="0" applyBorder="0" applyAlignment="0" applyProtection="0"/>
    <xf numFmtId="195" fontId="36" fillId="0" borderId="0" applyFont="0" applyFill="0" applyBorder="0" applyAlignment="0" applyProtection="0"/>
    <xf numFmtId="165" fontId="36"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93" fontId="36" fillId="0" borderId="0" applyFont="0" applyFill="0" applyBorder="0" applyAlignment="0" applyProtection="0"/>
    <xf numFmtId="199" fontId="36" fillId="0" borderId="0" applyFont="0" applyFill="0" applyBorder="0" applyAlignment="0" applyProtection="0"/>
    <xf numFmtId="165" fontId="36" fillId="0" borderId="0" applyFont="0" applyFill="0" applyBorder="0" applyAlignment="0" applyProtection="0"/>
    <xf numFmtId="195" fontId="36" fillId="0" borderId="0" applyFont="0" applyFill="0" applyBorder="0" applyAlignment="0" applyProtection="0"/>
    <xf numFmtId="200" fontId="21"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93" fontId="36" fillId="0" borderId="0" applyFont="0" applyFill="0" applyBorder="0" applyAlignment="0" applyProtection="0"/>
    <xf numFmtId="41" fontId="40" fillId="0" borderId="0" applyFont="0" applyFill="0" applyBorder="0" applyAlignment="0" applyProtection="0"/>
    <xf numFmtId="201" fontId="36" fillId="0" borderId="0" applyFont="0" applyFill="0" applyBorder="0" applyAlignment="0" applyProtection="0"/>
    <xf numFmtId="201" fontId="36" fillId="0" borderId="0" applyFont="0" applyFill="0" applyBorder="0" applyAlignment="0" applyProtection="0"/>
    <xf numFmtId="202" fontId="17" fillId="0" borderId="0" applyFont="0" applyFill="0" applyBorder="0" applyAlignment="0" applyProtection="0"/>
    <xf numFmtId="43" fontId="40" fillId="0" borderId="0" applyFont="0" applyFill="0" applyBorder="0" applyAlignment="0" applyProtection="0"/>
    <xf numFmtId="201" fontId="36" fillId="0" borderId="0" applyFont="0" applyFill="0" applyBorder="0" applyAlignment="0" applyProtection="0"/>
    <xf numFmtId="41" fontId="40" fillId="0" borderId="0" applyFont="0" applyFill="0" applyBorder="0" applyAlignment="0" applyProtection="0"/>
    <xf numFmtId="203" fontId="41" fillId="0" borderId="0" applyFont="0" applyFill="0" applyBorder="0" applyAlignment="0" applyProtection="0"/>
    <xf numFmtId="199" fontId="36" fillId="0" borderId="0" applyFont="0" applyFill="0" applyBorder="0" applyAlignment="0" applyProtection="0"/>
    <xf numFmtId="195"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65" fontId="36" fillId="0" borderId="0" applyFont="0" applyFill="0" applyBorder="0" applyAlignment="0" applyProtection="0"/>
    <xf numFmtId="195" fontId="36" fillId="0" borderId="0" applyFont="0" applyFill="0" applyBorder="0" applyAlignment="0" applyProtection="0"/>
    <xf numFmtId="41" fontId="21" fillId="0" borderId="0" applyFont="0" applyFill="0" applyBorder="0" applyAlignment="0" applyProtection="0"/>
    <xf numFmtId="180"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88" fontId="40" fillId="0" borderId="0" applyFont="0" applyFill="0" applyBorder="0" applyAlignment="0" applyProtection="0"/>
    <xf numFmtId="189" fontId="21" fillId="0" borderId="0" applyFont="0" applyFill="0" applyBorder="0" applyAlignment="0" applyProtection="0"/>
    <xf numFmtId="189" fontId="21" fillId="0" borderId="0" applyFont="0" applyFill="0" applyBorder="0" applyAlignment="0" applyProtection="0"/>
    <xf numFmtId="190" fontId="17" fillId="0" borderId="0" applyFont="0" applyFill="0" applyBorder="0" applyAlignment="0" applyProtection="0"/>
    <xf numFmtId="190" fontId="40" fillId="0" borderId="0" applyFont="0" applyFill="0" applyBorder="0" applyAlignment="0" applyProtection="0"/>
    <xf numFmtId="189" fontId="21" fillId="0" borderId="0" applyFont="0" applyFill="0" applyBorder="0" applyAlignment="0" applyProtection="0"/>
    <xf numFmtId="188" fontId="40" fillId="0" borderId="0" applyFont="0" applyFill="0" applyBorder="0" applyAlignment="0" applyProtection="0"/>
    <xf numFmtId="191" fontId="21" fillId="0" borderId="0" applyFont="0" applyFill="0" applyBorder="0" applyAlignment="0" applyProtection="0"/>
    <xf numFmtId="176" fontId="21" fillId="0" borderId="0" applyFont="0" applyFill="0" applyBorder="0" applyAlignment="0" applyProtection="0"/>
    <xf numFmtId="43"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67" fontId="36" fillId="0" borderId="0" applyFont="0" applyFill="0" applyBorder="0" applyAlignment="0" applyProtection="0"/>
    <xf numFmtId="186" fontId="36"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7" fontId="36" fillId="0" borderId="0" applyFont="0" applyFill="0" applyBorder="0" applyAlignment="0" applyProtection="0"/>
    <xf numFmtId="185" fontId="21" fillId="0" borderId="0" applyFont="0" applyFill="0" applyBorder="0" applyAlignment="0" applyProtection="0"/>
    <xf numFmtId="204" fontId="40" fillId="0" borderId="0" applyFont="0" applyFill="0" applyBorder="0" applyAlignment="0" applyProtection="0"/>
    <xf numFmtId="205" fontId="36" fillId="0" borderId="0" applyFont="0" applyFill="0" applyBorder="0" applyAlignment="0" applyProtection="0"/>
    <xf numFmtId="205" fontId="36" fillId="0" borderId="0" applyFont="0" applyFill="0" applyBorder="0" applyAlignment="0" applyProtection="0"/>
    <xf numFmtId="206" fontId="40" fillId="0" borderId="0" applyFont="0" applyFill="0" applyBorder="0" applyAlignment="0" applyProtection="0"/>
    <xf numFmtId="205" fontId="36" fillId="0" borderId="0" applyFont="0" applyFill="0" applyBorder="0" applyAlignment="0" applyProtection="0"/>
    <xf numFmtId="204" fontId="40" fillId="0" borderId="0" applyFont="0" applyFill="0" applyBorder="0" applyAlignment="0" applyProtection="0"/>
    <xf numFmtId="205" fontId="36" fillId="0" borderId="0" applyFont="0" applyFill="0" applyBorder="0" applyAlignment="0" applyProtection="0"/>
    <xf numFmtId="185" fontId="36" fillId="0" borderId="0" applyFont="0" applyFill="0" applyBorder="0" applyAlignment="0" applyProtection="0"/>
    <xf numFmtId="185" fontId="36" fillId="0" borderId="0" applyFont="0" applyFill="0" applyBorder="0" applyAlignment="0" applyProtection="0"/>
    <xf numFmtId="0" fontId="42" fillId="0" borderId="0"/>
    <xf numFmtId="167" fontId="36" fillId="0" borderId="0" applyFont="0" applyFill="0" applyBorder="0" applyAlignment="0" applyProtection="0"/>
    <xf numFmtId="167" fontId="36" fillId="0" borderId="0" applyFont="0" applyFill="0" applyBorder="0" applyAlignment="0" applyProtection="0"/>
    <xf numFmtId="0" fontId="28" fillId="0" borderId="0"/>
    <xf numFmtId="206" fontId="40" fillId="0" borderId="0" applyFont="0" applyFill="0" applyBorder="0" applyAlignment="0" applyProtection="0"/>
    <xf numFmtId="207" fontId="36" fillId="0" borderId="0" applyFont="0" applyFill="0" applyBorder="0" applyAlignment="0" applyProtection="0"/>
    <xf numFmtId="207" fontId="36" fillId="0" borderId="0" applyFont="0" applyFill="0" applyBorder="0" applyAlignment="0" applyProtection="0"/>
    <xf numFmtId="208" fontId="17" fillId="0" borderId="0" applyFont="0" applyFill="0" applyBorder="0" applyAlignment="0" applyProtection="0"/>
    <xf numFmtId="41" fontId="40" fillId="0" borderId="0" applyFont="0" applyFill="0" applyBorder="0" applyAlignment="0" applyProtection="0"/>
    <xf numFmtId="207" fontId="36" fillId="0" borderId="0" applyFont="0" applyFill="0" applyBorder="0" applyAlignment="0" applyProtection="0"/>
    <xf numFmtId="206" fontId="40" fillId="0" borderId="0" applyFont="0" applyFill="0" applyBorder="0" applyAlignment="0" applyProtection="0"/>
    <xf numFmtId="209" fontId="41" fillId="0" borderId="0" applyFont="0" applyFill="0" applyBorder="0" applyAlignment="0" applyProtection="0"/>
    <xf numFmtId="210"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41" fontId="21"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211" fontId="36" fillId="0" borderId="0" applyFont="0" applyFill="0" applyBorder="0" applyAlignment="0" applyProtection="0"/>
    <xf numFmtId="212" fontId="36"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211" fontId="36" fillId="0" borderId="0" applyFont="0" applyFill="0" applyBorder="0" applyAlignment="0" applyProtection="0"/>
    <xf numFmtId="213" fontId="36" fillId="0" borderId="0" applyFont="0" applyFill="0" applyBorder="0" applyAlignment="0" applyProtection="0"/>
    <xf numFmtId="184" fontId="21" fillId="0" borderId="0" applyFont="0" applyFill="0" applyBorder="0" applyAlignment="0" applyProtection="0"/>
    <xf numFmtId="164" fontId="36" fillId="0" borderId="0" applyFont="0" applyFill="0" applyBorder="0" applyAlignment="0" applyProtection="0"/>
    <xf numFmtId="184" fontId="21"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1" fontId="36" fillId="0" borderId="0" applyFont="0" applyFill="0" applyBorder="0" applyAlignment="0" applyProtection="0"/>
    <xf numFmtId="214" fontId="36" fillId="0" borderId="0" applyFont="0" applyFill="0" applyBorder="0" applyAlignment="0" applyProtection="0"/>
    <xf numFmtId="212" fontId="36" fillId="0" borderId="0" applyFont="0" applyFill="0" applyBorder="0" applyAlignment="0" applyProtection="0"/>
    <xf numFmtId="215" fontId="36" fillId="0" borderId="0" applyFont="0" applyFill="0" applyBorder="0" applyAlignment="0" applyProtection="0"/>
    <xf numFmtId="216" fontId="36" fillId="0" borderId="0" applyFont="0" applyFill="0" applyBorder="0" applyAlignment="0" applyProtection="0"/>
    <xf numFmtId="215" fontId="36" fillId="0" borderId="0" applyFont="0" applyFill="0" applyBorder="0" applyAlignment="0" applyProtection="0"/>
    <xf numFmtId="211"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212"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4" fontId="36" fillId="0" borderId="0" applyFont="0" applyFill="0" applyBorder="0" applyAlignment="0" applyProtection="0"/>
    <xf numFmtId="214" fontId="36" fillId="0" borderId="0" applyFont="0" applyFill="0" applyBorder="0" applyAlignment="0" applyProtection="0"/>
    <xf numFmtId="184" fontId="36" fillId="0" borderId="0" applyFont="0" applyFill="0" applyBorder="0" applyAlignment="0" applyProtection="0"/>
    <xf numFmtId="217" fontId="36" fillId="0" borderId="0" applyFont="0" applyFill="0" applyBorder="0" applyAlignment="0" applyProtection="0"/>
    <xf numFmtId="164" fontId="36" fillId="0" borderId="0" applyFont="0" applyFill="0" applyBorder="0" applyAlignment="0" applyProtection="0"/>
    <xf numFmtId="212" fontId="36" fillId="0" borderId="0" applyFont="0" applyFill="0" applyBorder="0" applyAlignment="0" applyProtection="0"/>
    <xf numFmtId="218" fontId="21"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184" fontId="36" fillId="0" borderId="0" applyFont="0" applyFill="0" applyBorder="0" applyAlignment="0" applyProtection="0"/>
    <xf numFmtId="176" fontId="40" fillId="0" borderId="0" applyFont="0" applyFill="0" applyBorder="0" applyAlignment="0" applyProtection="0"/>
    <xf numFmtId="219" fontId="36" fillId="0" borderId="0" applyFont="0" applyFill="0" applyBorder="0" applyAlignment="0" applyProtection="0"/>
    <xf numFmtId="219" fontId="36" fillId="0" borderId="0" applyFont="0" applyFill="0" applyBorder="0" applyAlignment="0" applyProtection="0"/>
    <xf numFmtId="220" fontId="17" fillId="0" borderId="0" applyFont="0" applyFill="0" applyBorder="0" applyAlignment="0" applyProtection="0"/>
    <xf numFmtId="188" fontId="40" fillId="0" borderId="0" applyFont="0" applyFill="0" applyBorder="0" applyAlignment="0" applyProtection="0"/>
    <xf numFmtId="219" fontId="36" fillId="0" borderId="0" applyFont="0" applyFill="0" applyBorder="0" applyAlignment="0" applyProtection="0"/>
    <xf numFmtId="176" fontId="40" fillId="0" borderId="0" applyFont="0" applyFill="0" applyBorder="0" applyAlignment="0" applyProtection="0"/>
    <xf numFmtId="221" fontId="41" fillId="0" borderId="0" applyFont="0" applyFill="0" applyBorder="0" applyAlignment="0" applyProtection="0"/>
    <xf numFmtId="212"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164" fontId="36" fillId="0" borderId="0" applyFont="0" applyFill="0" applyBorder="0" applyAlignment="0" applyProtection="0"/>
    <xf numFmtId="212" fontId="36" fillId="0" borderId="0" applyFont="0" applyFill="0" applyBorder="0" applyAlignment="0" applyProtection="0"/>
    <xf numFmtId="193" fontId="36" fillId="0" borderId="0" applyFont="0" applyFill="0" applyBorder="0" applyAlignment="0" applyProtection="0"/>
    <xf numFmtId="165" fontId="36" fillId="0" borderId="0" applyFont="0" applyFill="0" applyBorder="0" applyAlignment="0" applyProtection="0"/>
    <xf numFmtId="194" fontId="36" fillId="0" borderId="0" applyFont="0" applyFill="0" applyBorder="0" applyAlignment="0" applyProtection="0"/>
    <xf numFmtId="195" fontId="36"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93" fontId="36" fillId="0" borderId="0" applyFont="0" applyFill="0" applyBorder="0" applyAlignment="0" applyProtection="0"/>
    <xf numFmtId="194" fontId="36" fillId="0" borderId="0" applyFont="0" applyFill="0" applyBorder="0" applyAlignment="0" applyProtection="0"/>
    <xf numFmtId="196" fontId="36" fillId="0" borderId="0" applyFont="0" applyFill="0" applyBorder="0" applyAlignment="0" applyProtection="0"/>
    <xf numFmtId="0" fontId="36" fillId="0" borderId="0" applyFont="0" applyFill="0" applyBorder="0" applyAlignment="0" applyProtection="0"/>
    <xf numFmtId="165" fontId="36" fillId="0" borderId="0" applyFont="0" applyFill="0" applyBorder="0" applyAlignment="0" applyProtection="0"/>
    <xf numFmtId="0"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4" fontId="36" fillId="0" borderId="0" applyFont="0" applyFill="0" applyBorder="0" applyAlignment="0" applyProtection="0"/>
    <xf numFmtId="197" fontId="36" fillId="0" borderId="0" applyFont="0" applyFill="0" applyBorder="0" applyAlignment="0" applyProtection="0"/>
    <xf numFmtId="195" fontId="36" fillId="0" borderId="0" applyFont="0" applyFill="0" applyBorder="0" applyAlignment="0" applyProtection="0"/>
    <xf numFmtId="198" fontId="36" fillId="0" borderId="0" applyFont="0" applyFill="0" applyBorder="0" applyAlignment="0" applyProtection="0"/>
    <xf numFmtId="198" fontId="36" fillId="0" borderId="0" applyFont="0" applyFill="0" applyBorder="0" applyAlignment="0" applyProtection="0"/>
    <xf numFmtId="194"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65" fontId="36" fillId="0" borderId="0" applyFont="0" applyFill="0" applyBorder="0" applyAlignment="0" applyProtection="0"/>
    <xf numFmtId="195" fontId="36" fillId="0" borderId="0" applyFont="0" applyFill="0" applyBorder="0" applyAlignment="0" applyProtection="0"/>
    <xf numFmtId="165" fontId="36"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7" fontId="36" fillId="0" borderId="0" applyFont="0" applyFill="0" applyBorder="0" applyAlignment="0" applyProtection="0"/>
    <xf numFmtId="197" fontId="36" fillId="0" borderId="0" applyFont="0" applyFill="0" applyBorder="0" applyAlignment="0" applyProtection="0"/>
    <xf numFmtId="193" fontId="36" fillId="0" borderId="0" applyFont="0" applyFill="0" applyBorder="0" applyAlignment="0" applyProtection="0"/>
    <xf numFmtId="199" fontId="36" fillId="0" borderId="0" applyFont="0" applyFill="0" applyBorder="0" applyAlignment="0" applyProtection="0"/>
    <xf numFmtId="165" fontId="36" fillId="0" borderId="0" applyFont="0" applyFill="0" applyBorder="0" applyAlignment="0" applyProtection="0"/>
    <xf numFmtId="195" fontId="36" fillId="0" borderId="0" applyFont="0" applyFill="0" applyBorder="0" applyAlignment="0" applyProtection="0"/>
    <xf numFmtId="200" fontId="21"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93" fontId="36" fillId="0" borderId="0" applyFont="0" applyFill="0" applyBorder="0" applyAlignment="0" applyProtection="0"/>
    <xf numFmtId="41" fontId="40" fillId="0" borderId="0" applyFont="0" applyFill="0" applyBorder="0" applyAlignment="0" applyProtection="0"/>
    <xf numFmtId="201" fontId="36" fillId="0" borderId="0" applyFont="0" applyFill="0" applyBorder="0" applyAlignment="0" applyProtection="0"/>
    <xf numFmtId="201" fontId="36" fillId="0" borderId="0" applyFont="0" applyFill="0" applyBorder="0" applyAlignment="0" applyProtection="0"/>
    <xf numFmtId="202" fontId="17" fillId="0" borderId="0" applyFont="0" applyFill="0" applyBorder="0" applyAlignment="0" applyProtection="0"/>
    <xf numFmtId="43" fontId="40" fillId="0" borderId="0" applyFont="0" applyFill="0" applyBorder="0" applyAlignment="0" applyProtection="0"/>
    <xf numFmtId="201" fontId="36" fillId="0" borderId="0" applyFont="0" applyFill="0" applyBorder="0" applyAlignment="0" applyProtection="0"/>
    <xf numFmtId="41" fontId="40" fillId="0" borderId="0" applyFont="0" applyFill="0" applyBorder="0" applyAlignment="0" applyProtection="0"/>
    <xf numFmtId="203" fontId="41" fillId="0" borderId="0" applyFont="0" applyFill="0" applyBorder="0" applyAlignment="0" applyProtection="0"/>
    <xf numFmtId="199" fontId="36" fillId="0" borderId="0" applyFont="0" applyFill="0" applyBorder="0" applyAlignment="0" applyProtection="0"/>
    <xf numFmtId="195"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65" fontId="36" fillId="0" borderId="0" applyFont="0" applyFill="0" applyBorder="0" applyAlignment="0" applyProtection="0"/>
    <xf numFmtId="195" fontId="36" fillId="0" borderId="0" applyFont="0" applyFill="0" applyBorder="0" applyAlignment="0" applyProtection="0"/>
    <xf numFmtId="180"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88" fontId="40" fillId="0" borderId="0" applyFont="0" applyFill="0" applyBorder="0" applyAlignment="0" applyProtection="0"/>
    <xf numFmtId="189" fontId="21" fillId="0" borderId="0" applyFont="0" applyFill="0" applyBorder="0" applyAlignment="0" applyProtection="0"/>
    <xf numFmtId="189" fontId="21" fillId="0" borderId="0" applyFont="0" applyFill="0" applyBorder="0" applyAlignment="0" applyProtection="0"/>
    <xf numFmtId="190" fontId="17" fillId="0" borderId="0" applyFont="0" applyFill="0" applyBorder="0" applyAlignment="0" applyProtection="0"/>
    <xf numFmtId="190" fontId="40" fillId="0" borderId="0" applyFont="0" applyFill="0" applyBorder="0" applyAlignment="0" applyProtection="0"/>
    <xf numFmtId="189" fontId="21" fillId="0" borderId="0" applyFont="0" applyFill="0" applyBorder="0" applyAlignment="0" applyProtection="0"/>
    <xf numFmtId="188" fontId="40" fillId="0" borderId="0" applyFont="0" applyFill="0" applyBorder="0" applyAlignment="0" applyProtection="0"/>
    <xf numFmtId="191" fontId="21" fillId="0" borderId="0" applyFont="0" applyFill="0" applyBorder="0" applyAlignment="0" applyProtection="0"/>
    <xf numFmtId="176"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67" fontId="36" fillId="0" borderId="0" applyFont="0" applyFill="0" applyBorder="0" applyAlignment="0" applyProtection="0"/>
    <xf numFmtId="0" fontId="26" fillId="0" borderId="0" applyNumberForma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0" fontId="28" fillId="0" borderId="0"/>
    <xf numFmtId="0" fontId="26" fillId="0" borderId="0" applyNumberFormat="0" applyFill="0" applyBorder="0" applyAlignment="0" applyProtection="0"/>
    <xf numFmtId="0" fontId="26" fillId="0" borderId="0" applyNumberFormat="0" applyFill="0" applyBorder="0" applyAlignment="0" applyProtection="0"/>
    <xf numFmtId="167" fontId="36" fillId="0" borderId="0" applyFont="0" applyFill="0" applyBorder="0" applyAlignment="0" applyProtection="0"/>
    <xf numFmtId="0" fontId="38" fillId="0" borderId="0">
      <alignment vertical="top"/>
    </xf>
    <xf numFmtId="0" fontId="38" fillId="0" borderId="0">
      <alignment vertical="top"/>
    </xf>
    <xf numFmtId="0" fontId="38" fillId="0" borderId="0">
      <alignment vertical="top"/>
    </xf>
    <xf numFmtId="0" fontId="26" fillId="0" borderId="0" applyNumberFormat="0" applyFill="0" applyBorder="0" applyAlignment="0" applyProtection="0"/>
    <xf numFmtId="0" fontId="28" fillId="0" borderId="0"/>
    <xf numFmtId="0" fontId="37" fillId="0" borderId="0"/>
    <xf numFmtId="0" fontId="37" fillId="0" borderId="0"/>
    <xf numFmtId="180" fontId="36" fillId="0" borderId="0" applyFont="0" applyFill="0" applyBorder="0" applyAlignment="0" applyProtection="0"/>
    <xf numFmtId="222" fontId="43" fillId="0" borderId="0" applyFont="0" applyFill="0" applyBorder="0" applyAlignment="0" applyProtection="0"/>
    <xf numFmtId="223" fontId="44" fillId="0" borderId="0" applyFont="0" applyFill="0" applyBorder="0" applyAlignment="0" applyProtection="0"/>
    <xf numFmtId="224" fontId="44" fillId="0" borderId="0" applyFont="0" applyFill="0" applyBorder="0" applyAlignment="0" applyProtection="0"/>
    <xf numFmtId="0" fontId="45" fillId="0" borderId="0"/>
    <xf numFmtId="0" fontId="46" fillId="0" borderId="0"/>
    <xf numFmtId="0" fontId="46" fillId="0" borderId="0"/>
    <xf numFmtId="0" fontId="18" fillId="0" borderId="0"/>
    <xf numFmtId="1" fontId="47" fillId="0" borderId="1" applyBorder="0" applyAlignment="0">
      <alignment horizontal="center"/>
    </xf>
    <xf numFmtId="1" fontId="47" fillId="0" borderId="1" applyBorder="0" applyAlignment="0">
      <alignment horizontal="center"/>
    </xf>
    <xf numFmtId="1" fontId="47" fillId="0" borderId="1" applyBorder="0" applyAlignment="0">
      <alignment horizontal="center"/>
    </xf>
    <xf numFmtId="1" fontId="47" fillId="0" borderId="1" applyBorder="0" applyAlignment="0">
      <alignment horizontal="center"/>
    </xf>
    <xf numFmtId="1" fontId="47" fillId="0" borderId="1" applyBorder="0" applyAlignment="0">
      <alignment horizontal="center"/>
    </xf>
    <xf numFmtId="1" fontId="47" fillId="0" borderId="1" applyBorder="0" applyAlignment="0">
      <alignment horizontal="center"/>
    </xf>
    <xf numFmtId="3" fontId="23" fillId="0" borderId="1"/>
    <xf numFmtId="3" fontId="23" fillId="0" borderId="1"/>
    <xf numFmtId="3" fontId="23" fillId="0" borderId="1"/>
    <xf numFmtId="3" fontId="23" fillId="0" borderId="1"/>
    <xf numFmtId="3" fontId="23" fillId="0" borderId="1"/>
    <xf numFmtId="3" fontId="23" fillId="0" borderId="1"/>
    <xf numFmtId="3" fontId="23" fillId="0" borderId="1"/>
    <xf numFmtId="3" fontId="23" fillId="0" borderId="1"/>
    <xf numFmtId="3" fontId="23" fillId="0" borderId="1"/>
    <xf numFmtId="3" fontId="23" fillId="0" borderId="1"/>
    <xf numFmtId="3" fontId="23" fillId="0" borderId="1"/>
    <xf numFmtId="3" fontId="23" fillId="0" borderId="1"/>
    <xf numFmtId="222" fontId="43" fillId="0" borderId="0" applyFont="0" applyFill="0" applyBorder="0" applyAlignment="0" applyProtection="0"/>
    <xf numFmtId="0" fontId="48" fillId="0" borderId="6" applyFont="0" applyAlignment="0">
      <alignment horizontal="left"/>
    </xf>
    <xf numFmtId="0" fontId="48" fillId="0" borderId="6" applyFont="0" applyAlignment="0">
      <alignment horizontal="left"/>
    </xf>
    <xf numFmtId="0" fontId="48" fillId="0" borderId="6" applyFont="0" applyAlignment="0">
      <alignment horizontal="left"/>
    </xf>
    <xf numFmtId="222" fontId="43" fillId="0" borderId="0" applyFont="0" applyFill="0" applyBorder="0" applyAlignment="0" applyProtection="0"/>
    <xf numFmtId="222" fontId="43" fillId="0" borderId="0" applyFont="0" applyFill="0" applyBorder="0" applyAlignment="0" applyProtection="0"/>
    <xf numFmtId="222" fontId="43" fillId="0" borderId="0" applyFont="0" applyFill="0" applyBorder="0" applyAlignment="0" applyProtection="0"/>
    <xf numFmtId="0" fontId="49" fillId="2" borderId="0"/>
    <xf numFmtId="0" fontId="50" fillId="2" borderId="0"/>
    <xf numFmtId="0" fontId="25" fillId="0" borderId="15" applyAlignment="0"/>
    <xf numFmtId="0" fontId="25" fillId="0" borderId="15" applyAlignment="0"/>
    <xf numFmtId="0" fontId="25" fillId="0" borderId="15" applyAlignment="0"/>
    <xf numFmtId="0" fontId="25" fillId="0" borderId="15" applyAlignment="0"/>
    <xf numFmtId="0" fontId="25" fillId="0" borderId="15" applyAlignment="0"/>
    <xf numFmtId="0" fontId="25" fillId="0" borderId="15" applyAlignment="0"/>
    <xf numFmtId="0" fontId="25" fillId="0" borderId="15" applyAlignment="0"/>
    <xf numFmtId="0" fontId="25" fillId="0" borderId="15" applyAlignment="0"/>
    <xf numFmtId="0" fontId="50" fillId="3" borderId="0"/>
    <xf numFmtId="0" fontId="50" fillId="2" borderId="0"/>
    <xf numFmtId="0" fontId="48" fillId="0" borderId="6" applyFont="0" applyAlignment="0">
      <alignment horizontal="left"/>
    </xf>
    <xf numFmtId="0" fontId="25" fillId="0" borderId="15" applyAlignment="0"/>
    <xf numFmtId="0" fontId="25" fillId="0" borderId="15" applyAlignment="0"/>
    <xf numFmtId="0" fontId="25" fillId="0" borderId="15" applyAlignment="0"/>
    <xf numFmtId="0" fontId="25" fillId="0" borderId="15" applyAlignment="0"/>
    <xf numFmtId="0" fontId="25" fillId="0" borderId="15" applyAlignment="0"/>
    <xf numFmtId="0" fontId="25" fillId="0" borderId="15" applyAlignment="0"/>
    <xf numFmtId="0" fontId="25" fillId="0" borderId="15" applyAlignment="0"/>
    <xf numFmtId="0" fontId="25" fillId="0" borderId="15" applyAlignment="0"/>
    <xf numFmtId="0" fontId="25" fillId="0" borderId="15" applyAlignment="0"/>
    <xf numFmtId="0" fontId="25" fillId="0" borderId="15" applyAlignment="0"/>
    <xf numFmtId="0" fontId="25" fillId="0" borderId="15" applyAlignment="0"/>
    <xf numFmtId="0" fontId="25" fillId="0" borderId="15" applyAlignment="0"/>
    <xf numFmtId="0" fontId="50" fillId="2" borderId="0"/>
    <xf numFmtId="0" fontId="50" fillId="2" borderId="0"/>
    <xf numFmtId="0" fontId="50" fillId="2" borderId="0"/>
    <xf numFmtId="0" fontId="50" fillId="2" borderId="0"/>
    <xf numFmtId="0" fontId="48" fillId="0" borderId="6" applyFont="0" applyAlignment="0">
      <alignment horizontal="left"/>
    </xf>
    <xf numFmtId="0" fontId="25" fillId="0" borderId="15" applyAlignment="0"/>
    <xf numFmtId="0" fontId="25" fillId="0" borderId="15" applyAlignment="0"/>
    <xf numFmtId="0" fontId="49" fillId="2" borderId="0"/>
    <xf numFmtId="0" fontId="25" fillId="0" borderId="16" applyFill="0" applyAlignment="0"/>
    <xf numFmtId="0" fontId="25" fillId="0" borderId="16" applyFill="0" applyAlignment="0"/>
    <xf numFmtId="0" fontId="50" fillId="3" borderId="0"/>
    <xf numFmtId="0" fontId="25" fillId="0" borderId="16" applyFill="0" applyAlignment="0"/>
    <xf numFmtId="0" fontId="25" fillId="0" borderId="16" applyFill="0" applyAlignment="0"/>
    <xf numFmtId="0" fontId="50" fillId="2" borderId="0"/>
    <xf numFmtId="0" fontId="50" fillId="2" borderId="0"/>
    <xf numFmtId="0" fontId="25" fillId="0" borderId="15" applyAlignment="0"/>
    <xf numFmtId="0" fontId="25" fillId="0" borderId="15" applyAlignment="0"/>
    <xf numFmtId="0" fontId="25" fillId="0" borderId="15" applyAlignment="0"/>
    <xf numFmtId="0" fontId="25" fillId="0" borderId="15" applyAlignment="0"/>
    <xf numFmtId="0" fontId="49" fillId="2" borderId="0"/>
    <xf numFmtId="222" fontId="43" fillId="0" borderId="0" applyFont="0" applyFill="0" applyBorder="0" applyAlignment="0" applyProtection="0"/>
    <xf numFmtId="0" fontId="25" fillId="0" borderId="15" applyAlignment="0"/>
    <xf numFmtId="0" fontId="25" fillId="0" borderId="15" applyAlignment="0"/>
    <xf numFmtId="0" fontId="25" fillId="0" borderId="15" applyAlignment="0"/>
    <xf numFmtId="0" fontId="25" fillId="0" borderId="15" applyAlignment="0"/>
    <xf numFmtId="0" fontId="25" fillId="0" borderId="15" applyAlignment="0"/>
    <xf numFmtId="0" fontId="25" fillId="0" borderId="15" applyAlignment="0"/>
    <xf numFmtId="0" fontId="25" fillId="0" borderId="15" applyAlignment="0"/>
    <xf numFmtId="0" fontId="25" fillId="0" borderId="15" applyAlignment="0"/>
    <xf numFmtId="222" fontId="43" fillId="0" borderId="0" applyFont="0" applyFill="0" applyBorder="0" applyAlignment="0" applyProtection="0"/>
    <xf numFmtId="222" fontId="43" fillId="0" borderId="0" applyFont="0" applyFill="0" applyBorder="0" applyAlignment="0" applyProtection="0"/>
    <xf numFmtId="0" fontId="22" fillId="2" borderId="0"/>
    <xf numFmtId="0" fontId="50" fillId="2" borderId="0"/>
    <xf numFmtId="0" fontId="49" fillId="2" borderId="0"/>
    <xf numFmtId="0" fontId="50" fillId="2" borderId="0"/>
    <xf numFmtId="0" fontId="48" fillId="0" borderId="6" applyFont="0" applyAlignment="0">
      <alignment horizontal="left"/>
    </xf>
    <xf numFmtId="0" fontId="49" fillId="2" borderId="0"/>
    <xf numFmtId="0" fontId="48" fillId="0" borderId="6" applyFont="0" applyAlignment="0">
      <alignment horizontal="left"/>
    </xf>
    <xf numFmtId="0" fontId="25" fillId="0" borderId="15" applyAlignment="0"/>
    <xf numFmtId="0" fontId="25" fillId="0" borderId="15" applyAlignment="0"/>
    <xf numFmtId="0" fontId="25" fillId="0" borderId="15" applyAlignment="0"/>
    <xf numFmtId="0" fontId="25" fillId="0" borderId="15" applyAlignment="0"/>
    <xf numFmtId="0" fontId="51" fillId="0" borderId="0" applyFont="0" applyFill="0" applyBorder="0" applyAlignment="0">
      <alignment horizontal="left"/>
    </xf>
    <xf numFmtId="0" fontId="50" fillId="2" borderId="0"/>
    <xf numFmtId="0" fontId="48" fillId="0" borderId="6" applyFont="0" applyAlignment="0">
      <alignment horizontal="left"/>
    </xf>
    <xf numFmtId="0" fontId="50" fillId="2" borderId="0"/>
    <xf numFmtId="0" fontId="49" fillId="2" borderId="0"/>
    <xf numFmtId="0" fontId="50" fillId="2" borderId="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48" fillId="0" borderId="6" applyFont="0" applyAlignment="0">
      <alignment horizontal="left"/>
    </xf>
    <xf numFmtId="0" fontId="25" fillId="0" borderId="15" applyAlignment="0"/>
    <xf numFmtId="0" fontId="25" fillId="0" borderId="15" applyAlignment="0"/>
    <xf numFmtId="0" fontId="25" fillId="0" borderId="15" applyAlignment="0"/>
    <xf numFmtId="0" fontId="25" fillId="0" borderId="15" applyAlignment="0"/>
    <xf numFmtId="0" fontId="49" fillId="2" borderId="0"/>
    <xf numFmtId="0" fontId="49" fillId="2" borderId="0"/>
    <xf numFmtId="0" fontId="50" fillId="2" borderId="0"/>
    <xf numFmtId="0" fontId="50" fillId="2" borderId="0"/>
    <xf numFmtId="0" fontId="48" fillId="0" borderId="6" applyFont="0" applyAlignment="0">
      <alignment horizontal="left"/>
    </xf>
    <xf numFmtId="0" fontId="25" fillId="0" borderId="15" applyAlignment="0"/>
    <xf numFmtId="0" fontId="25" fillId="0" borderId="15" applyAlignment="0"/>
    <xf numFmtId="0" fontId="52" fillId="0" borderId="1" applyNumberFormat="0" applyFont="0" applyBorder="0">
      <alignment horizontal="left" indent="2"/>
    </xf>
    <xf numFmtId="0" fontId="52" fillId="0" borderId="1" applyNumberFormat="0" applyFont="0" applyBorder="0">
      <alignment horizontal="left" indent="2"/>
    </xf>
    <xf numFmtId="0" fontId="51" fillId="0" borderId="0" applyFont="0" applyFill="0" applyBorder="0" applyAlignment="0">
      <alignment horizontal="left"/>
    </xf>
    <xf numFmtId="0" fontId="52" fillId="0" borderId="1" applyNumberFormat="0" applyFont="0" applyBorder="0">
      <alignment horizontal="left" indent="2"/>
    </xf>
    <xf numFmtId="0" fontId="52" fillId="0" borderId="1" applyNumberFormat="0" applyFont="0" applyBorder="0">
      <alignment horizontal="left" indent="2"/>
    </xf>
    <xf numFmtId="0" fontId="50" fillId="2" borderId="0"/>
    <xf numFmtId="0" fontId="50" fillId="2" borderId="0"/>
    <xf numFmtId="0" fontId="53" fillId="0" borderId="0"/>
    <xf numFmtId="0" fontId="54" fillId="4" borderId="17" applyFont="0" applyFill="0" applyAlignment="0">
      <alignment vertical="center" wrapText="1"/>
    </xf>
    <xf numFmtId="9" fontId="55" fillId="0" borderId="0" applyBorder="0" applyAlignment="0" applyProtection="0"/>
    <xf numFmtId="0" fontId="56" fillId="2" borderId="0"/>
    <xf numFmtId="0" fontId="49" fillId="2" borderId="0"/>
    <xf numFmtId="0" fontId="56" fillId="3" borderId="0"/>
    <xf numFmtId="0" fontId="22" fillId="0" borderId="15" applyNumberFormat="0" applyFill="0"/>
    <xf numFmtId="0" fontId="22" fillId="0" borderId="15" applyNumberFormat="0" applyFill="0"/>
    <xf numFmtId="0" fontId="49" fillId="2" borderId="0"/>
    <xf numFmtId="0" fontId="22" fillId="0" borderId="15" applyNumberFormat="0" applyFill="0"/>
    <xf numFmtId="0" fontId="22" fillId="0" borderId="15" applyNumberFormat="0" applyFill="0"/>
    <xf numFmtId="0" fontId="22" fillId="0" borderId="15" applyNumberFormat="0" applyFill="0"/>
    <xf numFmtId="0" fontId="22" fillId="0" borderId="15" applyNumberFormat="0" applyFill="0"/>
    <xf numFmtId="0" fontId="22" fillId="0" borderId="15" applyNumberFormat="0" applyFill="0"/>
    <xf numFmtId="0" fontId="22" fillId="0" borderId="15" applyNumberFormat="0" applyFill="0"/>
    <xf numFmtId="0" fontId="56" fillId="2" borderId="0"/>
    <xf numFmtId="0" fontId="22" fillId="0" borderId="15" applyNumberFormat="0" applyFill="0"/>
    <xf numFmtId="0" fontId="22" fillId="0" borderId="15" applyNumberFormat="0" applyFill="0"/>
    <xf numFmtId="0" fontId="49" fillId="2" borderId="0"/>
    <xf numFmtId="0" fontId="22" fillId="2" borderId="0"/>
    <xf numFmtId="0" fontId="49" fillId="2" borderId="0"/>
    <xf numFmtId="0" fontId="49" fillId="2" borderId="0"/>
    <xf numFmtId="0" fontId="56" fillId="2" borderId="0"/>
    <xf numFmtId="0" fontId="49" fillId="2" borderId="0"/>
    <xf numFmtId="0" fontId="22" fillId="0" borderId="15" applyNumberFormat="0" applyAlignment="0"/>
    <xf numFmtId="0" fontId="22" fillId="0" borderId="15" applyNumberFormat="0" applyAlignment="0"/>
    <xf numFmtId="0" fontId="22" fillId="0" borderId="15" applyNumberFormat="0" applyAlignment="0"/>
    <xf numFmtId="0" fontId="22" fillId="0" borderId="15" applyNumberFormat="0" applyAlignment="0"/>
    <xf numFmtId="0" fontId="22" fillId="0" borderId="15" applyNumberFormat="0" applyAlignment="0"/>
    <xf numFmtId="0" fontId="22" fillId="0" borderId="15" applyNumberFormat="0" applyAlignment="0"/>
    <xf numFmtId="0" fontId="22" fillId="0" borderId="15" applyNumberFormat="0" applyAlignment="0"/>
    <xf numFmtId="0" fontId="22" fillId="0" borderId="15" applyNumberFormat="0" applyAlignment="0"/>
    <xf numFmtId="0" fontId="22" fillId="0" borderId="15" applyNumberFormat="0" applyAlignment="0"/>
    <xf numFmtId="0" fontId="22" fillId="0" borderId="15" applyNumberFormat="0" applyAlignment="0"/>
    <xf numFmtId="0" fontId="22" fillId="0" borderId="15" applyNumberFormat="0" applyAlignment="0"/>
    <xf numFmtId="0" fontId="22" fillId="0" borderId="15" applyNumberFormat="0" applyAlignment="0"/>
    <xf numFmtId="0" fontId="49" fillId="2" borderId="0"/>
    <xf numFmtId="0" fontId="49" fillId="2" borderId="0"/>
    <xf numFmtId="0" fontId="22" fillId="0" borderId="15" applyNumberFormat="0" applyFill="0"/>
    <xf numFmtId="0" fontId="22" fillId="0" borderId="15" applyNumberFormat="0" applyFill="0"/>
    <xf numFmtId="0" fontId="22" fillId="0" borderId="15" applyNumberFormat="0" applyFill="0"/>
    <xf numFmtId="0" fontId="22" fillId="0" borderId="15" applyNumberFormat="0" applyFill="0"/>
    <xf numFmtId="0" fontId="22" fillId="0" borderId="15" applyNumberFormat="0" applyFill="0"/>
    <xf numFmtId="0" fontId="22" fillId="0" borderId="15" applyNumberFormat="0" applyFill="0"/>
    <xf numFmtId="0" fontId="22" fillId="0" borderId="15" applyNumberFormat="0" applyFill="0"/>
    <xf numFmtId="0" fontId="22" fillId="0" borderId="15" applyNumberFormat="0" applyFill="0"/>
    <xf numFmtId="0" fontId="22" fillId="0" borderId="15" applyNumberFormat="0" applyFill="0"/>
    <xf numFmtId="0" fontId="22" fillId="0" borderId="15" applyNumberFormat="0" applyFill="0"/>
    <xf numFmtId="0" fontId="56" fillId="2" borderId="0"/>
    <xf numFmtId="0" fontId="56" fillId="2" borderId="0"/>
    <xf numFmtId="0" fontId="56" fillId="2" borderId="0"/>
    <xf numFmtId="0" fontId="52" fillId="0" borderId="1" applyNumberFormat="0" applyFont="0" applyBorder="0" applyAlignment="0">
      <alignment horizontal="center"/>
    </xf>
    <xf numFmtId="0" fontId="52" fillId="0" borderId="1" applyNumberFormat="0" applyFont="0" applyBorder="0" applyAlignment="0">
      <alignment horizontal="center"/>
    </xf>
    <xf numFmtId="0" fontId="52" fillId="0" borderId="1" applyNumberFormat="0" applyFont="0" applyBorder="0" applyAlignment="0">
      <alignment horizontal="center"/>
    </xf>
    <xf numFmtId="0" fontId="52" fillId="0" borderId="1" applyNumberFormat="0" applyFont="0" applyBorder="0" applyAlignment="0">
      <alignment horizontal="center"/>
    </xf>
    <xf numFmtId="0" fontId="22" fillId="0" borderId="0"/>
    <xf numFmtId="0" fontId="57" fillId="5" borderId="0" applyNumberFormat="0" applyBorder="0" applyAlignment="0" applyProtection="0"/>
    <xf numFmtId="0" fontId="58"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7" fillId="9" borderId="0" applyNumberFormat="0" applyBorder="0" applyAlignment="0" applyProtection="0"/>
    <xf numFmtId="0" fontId="58" fillId="10" borderId="0" applyNumberFormat="0" applyBorder="0" applyAlignment="0" applyProtection="0"/>
    <xf numFmtId="0" fontId="57" fillId="11" borderId="0" applyNumberFormat="0" applyBorder="0" applyAlignment="0" applyProtection="0"/>
    <xf numFmtId="0" fontId="58"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7" fillId="15" borderId="0" applyNumberFormat="0" applyBorder="0" applyAlignment="0" applyProtection="0"/>
    <xf numFmtId="0" fontId="58" fillId="16" borderId="0" applyNumberFormat="0" applyBorder="0" applyAlignment="0" applyProtection="0"/>
    <xf numFmtId="0" fontId="58" fillId="5" borderId="0" applyNumberFormat="0" applyBorder="0" applyAlignment="0" applyProtection="0"/>
    <xf numFmtId="0" fontId="58" fillId="7" borderId="0" applyNumberFormat="0" applyBorder="0" applyAlignment="0" applyProtection="0"/>
    <xf numFmtId="0" fontId="58" fillId="9" borderId="0" applyNumberFormat="0" applyBorder="0" applyAlignment="0" applyProtection="0"/>
    <xf numFmtId="0" fontId="58" fillId="11" borderId="0" applyNumberFormat="0" applyBorder="0" applyAlignment="0" applyProtection="0"/>
    <xf numFmtId="0" fontId="58" fillId="13" borderId="0" applyNumberFormat="0" applyBorder="0" applyAlignment="0" applyProtection="0"/>
    <xf numFmtId="0" fontId="58" fillId="15" borderId="0" applyNumberFormat="0" applyBorder="0" applyAlignment="0" applyProtection="0"/>
    <xf numFmtId="0" fontId="17" fillId="0" borderId="0"/>
    <xf numFmtId="0" fontId="59" fillId="2" borderId="0"/>
    <xf numFmtId="0" fontId="49" fillId="2" borderId="0"/>
    <xf numFmtId="0" fontId="59" fillId="3" borderId="0"/>
    <xf numFmtId="0" fontId="49" fillId="2" borderId="0"/>
    <xf numFmtId="0" fontId="49" fillId="2" borderId="0"/>
    <xf numFmtId="0" fontId="22" fillId="2" borderId="0"/>
    <xf numFmtId="0" fontId="49" fillId="2" borderId="0"/>
    <xf numFmtId="0" fontId="49" fillId="2" borderId="0"/>
    <xf numFmtId="0" fontId="59" fillId="2" borderId="0"/>
    <xf numFmtId="0" fontId="49" fillId="2" borderId="0"/>
    <xf numFmtId="0" fontId="49" fillId="2" borderId="0"/>
    <xf numFmtId="0" fontId="49" fillId="2" borderId="0"/>
    <xf numFmtId="0" fontId="59" fillId="2" borderId="0"/>
    <xf numFmtId="0" fontId="59" fillId="2" borderId="0"/>
    <xf numFmtId="0" fontId="60" fillId="0" borderId="0">
      <alignment wrapText="1"/>
    </xf>
    <xf numFmtId="0" fontId="49" fillId="0" borderId="0">
      <alignment wrapText="1"/>
    </xf>
    <xf numFmtId="0" fontId="60" fillId="0" borderId="0">
      <alignment wrapText="1"/>
    </xf>
    <xf numFmtId="0" fontId="49" fillId="0" borderId="0">
      <alignment wrapText="1"/>
    </xf>
    <xf numFmtId="0" fontId="49" fillId="0" borderId="0">
      <alignment wrapText="1"/>
    </xf>
    <xf numFmtId="0" fontId="22" fillId="0" borderId="0">
      <alignment wrapText="1"/>
    </xf>
    <xf numFmtId="0" fontId="49" fillId="0" borderId="0">
      <alignment wrapText="1"/>
    </xf>
    <xf numFmtId="0" fontId="49" fillId="0" borderId="0">
      <alignment wrapText="1"/>
    </xf>
    <xf numFmtId="0" fontId="60" fillId="0" borderId="0">
      <alignment wrapText="1"/>
    </xf>
    <xf numFmtId="0" fontId="49" fillId="0" borderId="0">
      <alignment wrapText="1"/>
    </xf>
    <xf numFmtId="0" fontId="49" fillId="0" borderId="0">
      <alignment wrapText="1"/>
    </xf>
    <xf numFmtId="0" fontId="49" fillId="0" borderId="0">
      <alignment wrapText="1"/>
    </xf>
    <xf numFmtId="0" fontId="60" fillId="0" borderId="0">
      <alignment wrapText="1"/>
    </xf>
    <xf numFmtId="0" fontId="57" fillId="17" borderId="0" applyNumberFormat="0" applyBorder="0" applyAlignment="0" applyProtection="0"/>
    <xf numFmtId="0" fontId="58"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7" fillId="21" borderId="0" applyNumberFormat="0" applyBorder="0" applyAlignment="0" applyProtection="0"/>
    <xf numFmtId="0" fontId="58" fillId="22" borderId="0" applyNumberFormat="0" applyBorder="0" applyAlignment="0" applyProtection="0"/>
    <xf numFmtId="0" fontId="57" fillId="11" borderId="0" applyNumberFormat="0" applyBorder="0" applyAlignment="0" applyProtection="0"/>
    <xf numFmtId="0" fontId="58" fillId="12" borderId="0" applyNumberFormat="0" applyBorder="0" applyAlignment="0" applyProtection="0"/>
    <xf numFmtId="0" fontId="57" fillId="17" borderId="0" applyNumberFormat="0" applyBorder="0" applyAlignment="0" applyProtection="0"/>
    <xf numFmtId="0" fontId="58" fillId="18" borderId="0" applyNumberFormat="0" applyBorder="0" applyAlignment="0" applyProtection="0"/>
    <xf numFmtId="0" fontId="57" fillId="23" borderId="0" applyNumberFormat="0" applyBorder="0" applyAlignment="0" applyProtection="0"/>
    <xf numFmtId="0" fontId="58" fillId="24" borderId="0" applyNumberFormat="0" applyBorder="0" applyAlignment="0" applyProtection="0"/>
    <xf numFmtId="0" fontId="58" fillId="17" borderId="0" applyNumberFormat="0" applyBorder="0" applyAlignment="0" applyProtection="0"/>
    <xf numFmtId="0" fontId="58" fillId="19" borderId="0" applyNumberFormat="0" applyBorder="0" applyAlignment="0" applyProtection="0"/>
    <xf numFmtId="0" fontId="58" fillId="21" borderId="0" applyNumberFormat="0" applyBorder="0" applyAlignment="0" applyProtection="0"/>
    <xf numFmtId="0" fontId="58" fillId="11" borderId="0" applyNumberFormat="0" applyBorder="0" applyAlignment="0" applyProtection="0"/>
    <xf numFmtId="0" fontId="58" fillId="17" borderId="0" applyNumberFormat="0" applyBorder="0" applyAlignment="0" applyProtection="0"/>
    <xf numFmtId="0" fontId="58" fillId="23" borderId="0" applyNumberFormat="0" applyBorder="0" applyAlignment="0" applyProtection="0"/>
    <xf numFmtId="0" fontId="26" fillId="0" borderId="0"/>
    <xf numFmtId="0" fontId="26" fillId="0" borderId="0"/>
    <xf numFmtId="0" fontId="26" fillId="0" borderId="0"/>
    <xf numFmtId="0" fontId="22" fillId="0" borderId="0"/>
    <xf numFmtId="0" fontId="26" fillId="0" borderId="0"/>
    <xf numFmtId="0" fontId="61" fillId="25" borderId="0" applyNumberFormat="0" applyBorder="0" applyAlignment="0" applyProtection="0"/>
    <xf numFmtId="0" fontId="62" fillId="26"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1" fillId="21" borderId="0" applyNumberFormat="0" applyBorder="0" applyAlignment="0" applyProtection="0"/>
    <xf numFmtId="0" fontId="62" fillId="22" borderId="0" applyNumberFormat="0" applyBorder="0" applyAlignment="0" applyProtection="0"/>
    <xf numFmtId="0" fontId="61" fillId="27" borderId="0" applyNumberFormat="0" applyBorder="0" applyAlignment="0" applyProtection="0"/>
    <xf numFmtId="0" fontId="62" fillId="28" borderId="0" applyNumberFormat="0" applyBorder="0" applyAlignment="0" applyProtection="0"/>
    <xf numFmtId="0" fontId="61" fillId="29" borderId="0" applyNumberFormat="0" applyBorder="0" applyAlignment="0" applyProtection="0"/>
    <xf numFmtId="0" fontId="62" fillId="30" borderId="0" applyNumberFormat="0" applyBorder="0" applyAlignment="0" applyProtection="0"/>
    <xf numFmtId="0" fontId="61" fillId="31" borderId="0" applyNumberFormat="0" applyBorder="0" applyAlignment="0" applyProtection="0"/>
    <xf numFmtId="0" fontId="62" fillId="32" borderId="0" applyNumberFormat="0" applyBorder="0" applyAlignment="0" applyProtection="0"/>
    <xf numFmtId="0" fontId="62" fillId="25" borderId="0" applyNumberFormat="0" applyBorder="0" applyAlignment="0" applyProtection="0"/>
    <xf numFmtId="0" fontId="62" fillId="19" borderId="0" applyNumberFormat="0" applyBorder="0" applyAlignment="0" applyProtection="0"/>
    <xf numFmtId="0" fontId="62" fillId="21" borderId="0" applyNumberFormat="0" applyBorder="0" applyAlignment="0" applyProtection="0"/>
    <xf numFmtId="0" fontId="62" fillId="27" borderId="0" applyNumberFormat="0" applyBorder="0" applyAlignment="0" applyProtection="0"/>
    <xf numFmtId="0" fontId="62" fillId="29" borderId="0" applyNumberFormat="0" applyBorder="0" applyAlignment="0" applyProtection="0"/>
    <xf numFmtId="0" fontId="62" fillId="31" borderId="0" applyNumberFormat="0" applyBorder="0" applyAlignment="0" applyProtection="0"/>
    <xf numFmtId="0" fontId="63" fillId="0" borderId="0"/>
    <xf numFmtId="0" fontId="61" fillId="33" borderId="0" applyNumberFormat="0" applyBorder="0" applyAlignment="0" applyProtection="0"/>
    <xf numFmtId="0" fontId="62" fillId="34" borderId="0" applyNumberFormat="0" applyBorder="0" applyAlignment="0" applyProtection="0"/>
    <xf numFmtId="0" fontId="61" fillId="35" borderId="0" applyNumberFormat="0" applyBorder="0" applyAlignment="0" applyProtection="0"/>
    <xf numFmtId="0" fontId="62" fillId="36" borderId="0" applyNumberFormat="0" applyBorder="0" applyAlignment="0" applyProtection="0"/>
    <xf numFmtId="0" fontId="61" fillId="37" borderId="0" applyNumberFormat="0" applyBorder="0" applyAlignment="0" applyProtection="0"/>
    <xf numFmtId="0" fontId="62" fillId="38" borderId="0" applyNumberFormat="0" applyBorder="0" applyAlignment="0" applyProtection="0"/>
    <xf numFmtId="0" fontId="61" fillId="27" borderId="0" applyNumberFormat="0" applyBorder="0" applyAlignment="0" applyProtection="0"/>
    <xf numFmtId="0" fontId="62" fillId="28" borderId="0" applyNumberFormat="0" applyBorder="0" applyAlignment="0" applyProtection="0"/>
    <xf numFmtId="0" fontId="61" fillId="29" borderId="0" applyNumberFormat="0" applyBorder="0" applyAlignment="0" applyProtection="0"/>
    <xf numFmtId="0" fontId="62" fillId="30" borderId="0" applyNumberFormat="0" applyBorder="0" applyAlignment="0" applyProtection="0"/>
    <xf numFmtId="0" fontId="61" fillId="39" borderId="0" applyNumberFormat="0" applyBorder="0" applyAlignment="0" applyProtection="0"/>
    <xf numFmtId="0" fontId="62" fillId="40" borderId="0" applyNumberFormat="0" applyBorder="0" applyAlignment="0" applyProtection="0"/>
    <xf numFmtId="225" fontId="17" fillId="0" borderId="0" applyFont="0" applyFill="0" applyBorder="0" applyAlignment="0" applyProtection="0"/>
    <xf numFmtId="0" fontId="64" fillId="0" borderId="0" applyFont="0" applyFill="0" applyBorder="0" applyAlignment="0" applyProtection="0"/>
    <xf numFmtId="226" fontId="21" fillId="0" borderId="0" applyFont="0" applyFill="0" applyBorder="0" applyAlignment="0" applyProtection="0"/>
    <xf numFmtId="227" fontId="17" fillId="0" borderId="0" applyFont="0" applyFill="0" applyBorder="0" applyAlignment="0" applyProtection="0"/>
    <xf numFmtId="0" fontId="64" fillId="0" borderId="0" applyFont="0" applyFill="0" applyBorder="0" applyAlignment="0" applyProtection="0"/>
    <xf numFmtId="225" fontId="21" fillId="0" borderId="0" applyFont="0" applyFill="0" applyBorder="0" applyAlignment="0" applyProtection="0"/>
    <xf numFmtId="0" fontId="65" fillId="0" borderId="0">
      <alignment horizontal="center" wrapText="1"/>
      <protection locked="0"/>
    </xf>
    <xf numFmtId="0" fontId="66" fillId="0" borderId="0" applyNumberFormat="0" applyBorder="0" applyAlignment="0">
      <alignment horizontal="center"/>
    </xf>
    <xf numFmtId="211" fontId="67" fillId="0" borderId="0" applyFont="0" applyFill="0" applyBorder="0" applyAlignment="0" applyProtection="0"/>
    <xf numFmtId="0" fontId="64" fillId="0" borderId="0" applyFont="0" applyFill="0" applyBorder="0" applyAlignment="0" applyProtection="0"/>
    <xf numFmtId="211" fontId="67" fillId="0" borderId="0" applyFont="0" applyFill="0" applyBorder="0" applyAlignment="0" applyProtection="0"/>
    <xf numFmtId="194" fontId="67" fillId="0" borderId="0" applyFont="0" applyFill="0" applyBorder="0" applyAlignment="0" applyProtection="0"/>
    <xf numFmtId="0" fontId="64" fillId="0" borderId="0" applyFont="0" applyFill="0" applyBorder="0" applyAlignment="0" applyProtection="0"/>
    <xf numFmtId="194" fontId="67" fillId="0" borderId="0" applyFont="0" applyFill="0" applyBorder="0" applyAlignment="0" applyProtection="0"/>
    <xf numFmtId="180" fontId="2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68" fillId="7" borderId="0" applyNumberFormat="0" applyBorder="0" applyAlignment="0" applyProtection="0"/>
    <xf numFmtId="0" fontId="69" fillId="8" borderId="0" applyNumberFormat="0" applyBorder="0" applyAlignment="0" applyProtection="0"/>
    <xf numFmtId="0" fontId="70" fillId="0" borderId="0" applyNumberFormat="0" applyFill="0" applyBorder="0" applyAlignment="0" applyProtection="0"/>
    <xf numFmtId="0" fontId="64" fillId="0" borderId="0"/>
    <xf numFmtId="0" fontId="41" fillId="0" borderId="0"/>
    <xf numFmtId="0" fontId="18" fillId="0" borderId="0"/>
    <xf numFmtId="0" fontId="64" fillId="0" borderId="0"/>
    <xf numFmtId="0" fontId="71" fillId="0" borderId="0"/>
    <xf numFmtId="0" fontId="72" fillId="0" borderId="0"/>
    <xf numFmtId="0" fontId="73" fillId="0" borderId="0"/>
    <xf numFmtId="0" fontId="17" fillId="0" borderId="0" applyFill="0" applyBorder="0" applyAlignment="0"/>
    <xf numFmtId="228" fontId="74" fillId="0" borderId="0" applyFill="0" applyBorder="0" applyAlignment="0"/>
    <xf numFmtId="229" fontId="74" fillId="0" borderId="0" applyFill="0" applyBorder="0" applyAlignment="0"/>
    <xf numFmtId="230" fontId="74" fillId="0" borderId="0" applyFill="0" applyBorder="0" applyAlignment="0"/>
    <xf numFmtId="231" fontId="17" fillId="0" borderId="0" applyFill="0" applyBorder="0" applyAlignment="0"/>
    <xf numFmtId="181" fontId="74" fillId="0" borderId="0" applyFill="0" applyBorder="0" applyAlignment="0"/>
    <xf numFmtId="232" fontId="74" fillId="0" borderId="0" applyFill="0" applyBorder="0" applyAlignment="0"/>
    <xf numFmtId="228" fontId="74" fillId="0" borderId="0" applyFill="0" applyBorder="0" applyAlignment="0"/>
    <xf numFmtId="0" fontId="75" fillId="41" borderId="18" applyNumberFormat="0" applyAlignment="0" applyProtection="0"/>
    <xf numFmtId="0" fontId="75" fillId="41" borderId="18" applyNumberFormat="0" applyAlignment="0" applyProtection="0"/>
    <xf numFmtId="0" fontId="76" fillId="3" borderId="18" applyNumberFormat="0" applyAlignment="0" applyProtection="0"/>
    <xf numFmtId="0" fontId="77" fillId="0" borderId="0"/>
    <xf numFmtId="233" fontId="36" fillId="0" borderId="0" applyFont="0" applyFill="0" applyBorder="0" applyAlignment="0" applyProtection="0"/>
    <xf numFmtId="0" fontId="78" fillId="42" borderId="19" applyNumberFormat="0" applyAlignment="0" applyProtection="0"/>
    <xf numFmtId="0" fontId="79" fillId="43" borderId="19" applyNumberFormat="0" applyAlignment="0" applyProtection="0"/>
    <xf numFmtId="172" fontId="27" fillId="0" borderId="0" applyFont="0" applyFill="0" applyBorder="0" applyAlignment="0" applyProtection="0"/>
    <xf numFmtId="4" fontId="80" fillId="0" borderId="0" applyAlignment="0"/>
    <xf numFmtId="1" fontId="81" fillId="0" borderId="4" applyBorder="0"/>
    <xf numFmtId="1" fontId="81" fillId="0" borderId="4" applyBorder="0"/>
    <xf numFmtId="1" fontId="81" fillId="0" borderId="4" applyBorder="0"/>
    <xf numFmtId="1" fontId="81" fillId="0" borderId="4" applyBorder="0"/>
    <xf numFmtId="193" fontId="82" fillId="0" borderId="0" applyFont="0" applyFill="0" applyBorder="0" applyAlignment="0" applyProtection="0"/>
    <xf numFmtId="234" fontId="83" fillId="0" borderId="0"/>
    <xf numFmtId="234" fontId="83" fillId="0" borderId="0"/>
    <xf numFmtId="234" fontId="83" fillId="0" borderId="0"/>
    <xf numFmtId="234" fontId="83" fillId="0" borderId="0"/>
    <xf numFmtId="234" fontId="83" fillId="0" borderId="0"/>
    <xf numFmtId="234" fontId="83" fillId="0" borderId="0"/>
    <xf numFmtId="234" fontId="83" fillId="0" borderId="0"/>
    <xf numFmtId="234" fontId="83" fillId="0" borderId="0"/>
    <xf numFmtId="235" fontId="25" fillId="0" borderId="0" applyFill="0" applyBorder="0" applyAlignment="0" applyProtection="0"/>
    <xf numFmtId="168" fontId="58" fillId="0" borderId="0" applyFont="0" applyFill="0" applyBorder="0" applyAlignment="0" applyProtection="0"/>
    <xf numFmtId="235" fontId="25" fillId="0" borderId="0" applyFill="0" applyBorder="0" applyAlignment="0" applyProtection="0"/>
    <xf numFmtId="235" fontId="25" fillId="0" borderId="0" applyFill="0" applyBorder="0" applyAlignment="0" applyProtection="0"/>
    <xf numFmtId="164" fontId="27" fillId="0" borderId="0" applyFont="0" applyFill="0" applyBorder="0" applyAlignment="0" applyProtection="0"/>
    <xf numFmtId="168" fontId="58" fillId="0" borderId="0" applyFont="0" applyFill="0" applyBorder="0" applyAlignment="0" applyProtection="0"/>
    <xf numFmtId="181" fontId="74" fillId="0" borderId="0" applyFont="0" applyFill="0" applyBorder="0" applyAlignment="0" applyProtection="0"/>
    <xf numFmtId="170" fontId="17" fillId="0" borderId="0" applyFont="0" applyFill="0" applyBorder="0" applyAlignment="0" applyProtection="0"/>
    <xf numFmtId="170" fontId="58" fillId="0" borderId="0" applyFont="0" applyFill="0" applyBorder="0" applyAlignment="0" applyProtection="0"/>
    <xf numFmtId="171" fontId="17" fillId="0" borderId="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84" fillId="0" borderId="0" applyFont="0" applyFill="0" applyBorder="0" applyAlignment="0" applyProtection="0"/>
    <xf numFmtId="170" fontId="5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5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65" fontId="85" fillId="0" borderId="0" applyFont="0" applyFill="0" applyBorder="0" applyAlignment="0" applyProtection="0"/>
    <xf numFmtId="170" fontId="86" fillId="0" borderId="0" applyFont="0" applyFill="0" applyBorder="0" applyAlignment="0" applyProtection="0"/>
    <xf numFmtId="0" fontId="58" fillId="0" borderId="0" applyFont="0" applyFill="0" applyBorder="0" applyAlignment="0" applyProtection="0"/>
    <xf numFmtId="171" fontId="17" fillId="0" borderId="0" applyFill="0" applyBorder="0" applyAlignment="0" applyProtection="0"/>
    <xf numFmtId="170" fontId="87" fillId="0" borderId="0" applyFont="0" applyFill="0" applyBorder="0" applyAlignment="0" applyProtection="0"/>
    <xf numFmtId="171" fontId="17" fillId="0" borderId="0" applyFill="0" applyBorder="0" applyAlignment="0" applyProtection="0"/>
    <xf numFmtId="175" fontId="17" fillId="0" borderId="0" applyFont="0" applyFill="0" applyBorder="0" applyAlignment="0" applyProtection="0"/>
    <xf numFmtId="170" fontId="17" fillId="0" borderId="0" applyFont="0" applyFill="0" applyBorder="0" applyAlignment="0" applyProtection="0"/>
    <xf numFmtId="195" fontId="17" fillId="0" borderId="0" applyFont="0" applyFill="0" applyBorder="0" applyAlignment="0" applyProtection="0"/>
    <xf numFmtId="170" fontId="16" fillId="0" borderId="0" applyFont="0" applyFill="0" applyBorder="0" applyAlignment="0" applyProtection="0"/>
    <xf numFmtId="170" fontId="17" fillId="0" borderId="0" applyFont="0" applyFill="0" applyBorder="0" applyAlignment="0" applyProtection="0"/>
    <xf numFmtId="170" fontId="16"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65" fontId="88" fillId="0" borderId="0" applyFont="0" applyFill="0" applyBorder="0" applyAlignment="0" applyProtection="0"/>
    <xf numFmtId="170" fontId="16" fillId="0" borderId="0" applyFont="0" applyFill="0" applyBorder="0" applyAlignment="0" applyProtection="0"/>
    <xf numFmtId="165" fontId="88" fillId="0" borderId="0" applyFont="0" applyFill="0" applyBorder="0" applyAlignment="0" applyProtection="0"/>
    <xf numFmtId="170" fontId="17"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65" fontId="16" fillId="0" borderId="0" applyFont="0" applyFill="0" applyBorder="0" applyAlignment="0" applyProtection="0"/>
    <xf numFmtId="165" fontId="88" fillId="0" borderId="0" applyFont="0" applyFill="0" applyBorder="0" applyAlignment="0" applyProtection="0"/>
    <xf numFmtId="165" fontId="88" fillId="0" borderId="0" applyFont="0" applyFill="0" applyBorder="0" applyAlignment="0" applyProtection="0"/>
    <xf numFmtId="171" fontId="17" fillId="0" borderId="0" applyFill="0" applyBorder="0" applyAlignment="0" applyProtection="0"/>
    <xf numFmtId="170" fontId="17" fillId="0" borderId="0" applyFont="0" applyFill="0" applyBorder="0" applyAlignment="0" applyProtection="0"/>
    <xf numFmtId="171" fontId="22" fillId="0" borderId="0" applyFill="0" applyBorder="0" applyAlignment="0" applyProtection="0"/>
    <xf numFmtId="171" fontId="17" fillId="0" borderId="0" applyFill="0" applyBorder="0" applyAlignment="0" applyProtection="0"/>
    <xf numFmtId="165" fontId="86" fillId="0" borderId="0" applyFont="0" applyFill="0" applyBorder="0" applyAlignment="0" applyProtection="0"/>
    <xf numFmtId="170" fontId="17" fillId="0" borderId="0" applyFont="0" applyFill="0" applyBorder="0" applyAlignment="0" applyProtection="0"/>
    <xf numFmtId="171" fontId="17" fillId="0" borderId="0" applyFill="0" applyBorder="0" applyAlignment="0" applyProtection="0"/>
    <xf numFmtId="171" fontId="17" fillId="0" borderId="0" applyFill="0" applyBorder="0" applyAlignment="0" applyProtection="0"/>
    <xf numFmtId="165" fontId="16" fillId="0" borderId="0" applyFont="0" applyFill="0" applyBorder="0" applyAlignment="0" applyProtection="0"/>
    <xf numFmtId="170" fontId="17" fillId="0" borderId="0" applyFont="0" applyFill="0" applyBorder="0" applyAlignment="0" applyProtection="0"/>
    <xf numFmtId="165" fontId="86" fillId="0" borderId="0" applyFont="0" applyFill="0" applyBorder="0" applyAlignment="0" applyProtection="0"/>
    <xf numFmtId="0" fontId="58" fillId="0" borderId="0" applyFont="0" applyFill="0" applyBorder="0" applyAlignment="0" applyProtection="0"/>
    <xf numFmtId="236" fontId="86" fillId="0" borderId="0" applyFont="0" applyFill="0" applyBorder="0" applyAlignment="0" applyProtection="0"/>
    <xf numFmtId="170" fontId="17" fillId="0" borderId="0" applyFont="0" applyFill="0" applyBorder="0" applyAlignment="0" applyProtection="0"/>
    <xf numFmtId="165" fontId="27" fillId="0" borderId="0" applyFont="0" applyFill="0" applyBorder="0" applyAlignment="0" applyProtection="0"/>
    <xf numFmtId="170" fontId="58" fillId="0" borderId="0" applyFont="0" applyFill="0" applyBorder="0" applyAlignment="0" applyProtection="0"/>
    <xf numFmtId="170" fontId="17" fillId="0" borderId="0" applyFont="0" applyFill="0" applyBorder="0" applyAlignment="0" applyProtection="0"/>
    <xf numFmtId="165" fontId="5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237" fontId="18" fillId="0" borderId="0"/>
    <xf numFmtId="3" fontId="17" fillId="0" borderId="0" applyFill="0" applyBorder="0" applyAlignment="0" applyProtection="0"/>
    <xf numFmtId="0" fontId="89" fillId="0" borderId="0"/>
    <xf numFmtId="0" fontId="74" fillId="0" borderId="0"/>
    <xf numFmtId="3" fontId="17" fillId="0" borderId="0" applyFont="0" applyFill="0" applyBorder="0" applyAlignment="0" applyProtection="0"/>
    <xf numFmtId="3" fontId="17" fillId="0" borderId="0" applyFill="0" applyBorder="0" applyAlignment="0" applyProtection="0"/>
    <xf numFmtId="3" fontId="17" fillId="0" borderId="0" applyFill="0" applyBorder="0" applyAlignment="0" applyProtection="0"/>
    <xf numFmtId="3" fontId="17" fillId="0" borderId="0" applyFont="0" applyFill="0" applyBorder="0" applyAlignment="0" applyProtection="0"/>
    <xf numFmtId="0" fontId="89" fillId="0" borderId="0"/>
    <xf numFmtId="0" fontId="74" fillId="0" borderId="0"/>
    <xf numFmtId="0" fontId="90" fillId="0" borderId="0">
      <alignment horizontal="center"/>
    </xf>
    <xf numFmtId="0" fontId="91" fillId="0" borderId="0" applyNumberFormat="0" applyAlignment="0">
      <alignment horizontal="left"/>
    </xf>
    <xf numFmtId="238" fontId="41" fillId="0" borderId="0" applyFont="0" applyFill="0" applyBorder="0" applyAlignment="0" applyProtection="0"/>
    <xf numFmtId="228" fontId="74"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239" fontId="17" fillId="0" borderId="0" applyFill="0" applyBorder="0" applyAlignment="0" applyProtection="0"/>
    <xf numFmtId="240" fontId="17" fillId="0" borderId="0" applyFont="0" applyFill="0" applyBorder="0" applyAlignment="0" applyProtection="0"/>
    <xf numFmtId="240" fontId="17" fillId="0" borderId="0" applyFont="0" applyFill="0" applyBorder="0" applyAlignment="0" applyProtection="0"/>
    <xf numFmtId="240" fontId="17" fillId="0" borderId="0" applyFont="0" applyFill="0" applyBorder="0" applyAlignment="0" applyProtection="0"/>
    <xf numFmtId="240" fontId="17" fillId="0" borderId="0" applyFont="0" applyFill="0" applyBorder="0" applyAlignment="0" applyProtection="0"/>
    <xf numFmtId="241" fontId="17" fillId="0" borderId="0" applyFont="0" applyFill="0" applyBorder="0" applyAlignment="0" applyProtection="0"/>
    <xf numFmtId="241" fontId="17" fillId="0" borderId="0" applyFont="0" applyFill="0" applyBorder="0" applyAlignment="0" applyProtection="0"/>
    <xf numFmtId="241" fontId="17" fillId="0" borderId="0" applyFont="0" applyFill="0" applyBorder="0" applyAlignment="0" applyProtection="0"/>
    <xf numFmtId="239" fontId="17" fillId="0" borderId="0" applyFill="0" applyBorder="0" applyAlignment="0" applyProtection="0"/>
    <xf numFmtId="239" fontId="17" fillId="0" borderId="0" applyFill="0" applyBorder="0" applyAlignment="0" applyProtection="0"/>
    <xf numFmtId="240" fontId="17" fillId="0" borderId="0" applyFont="0" applyFill="0" applyBorder="0" applyAlignment="0" applyProtection="0"/>
    <xf numFmtId="242" fontId="17" fillId="0" borderId="0"/>
    <xf numFmtId="243" fontId="22" fillId="0" borderId="20"/>
    <xf numFmtId="0" fontId="17" fillId="0" borderId="0" applyFill="0" applyBorder="0" applyAlignment="0" applyProtection="0"/>
    <xf numFmtId="0" fontId="17" fillId="0" borderId="0" applyFont="0" applyFill="0" applyBorder="0" applyAlignment="0" applyProtection="0"/>
    <xf numFmtId="0" fontId="17" fillId="0" borderId="0" applyFill="0" applyBorder="0" applyAlignment="0" applyProtection="0"/>
    <xf numFmtId="14" fontId="38" fillId="0" borderId="0" applyFill="0" applyBorder="0" applyAlignment="0"/>
    <xf numFmtId="0" fontId="17" fillId="0" borderId="0" applyFont="0" applyFill="0" applyBorder="0" applyAlignment="0" applyProtection="0"/>
    <xf numFmtId="0" fontId="92" fillId="41" borderId="21" applyNumberFormat="0" applyAlignment="0" applyProtection="0"/>
    <xf numFmtId="0" fontId="92" fillId="41" borderId="21" applyNumberFormat="0" applyAlignment="0" applyProtection="0"/>
    <xf numFmtId="0" fontId="93" fillId="15" borderId="18" applyNumberFormat="0" applyAlignment="0" applyProtection="0"/>
    <xf numFmtId="0" fontId="93" fillId="15" borderId="18" applyNumberFormat="0" applyAlignment="0" applyProtection="0"/>
    <xf numFmtId="3" fontId="94" fillId="0" borderId="3">
      <alignment horizontal="left" vertical="top" wrapText="1"/>
    </xf>
    <xf numFmtId="0" fontId="95" fillId="0" borderId="22" applyNumberFormat="0" applyFill="0" applyAlignment="0" applyProtection="0"/>
    <xf numFmtId="0" fontId="96" fillId="0" borderId="23" applyNumberFormat="0" applyFill="0" applyAlignment="0" applyProtection="0"/>
    <xf numFmtId="0" fontId="97" fillId="0" borderId="24" applyNumberFormat="0" applyFill="0" applyAlignment="0" applyProtection="0"/>
    <xf numFmtId="0" fontId="97" fillId="0" borderId="0" applyNumberFormat="0" applyFill="0" applyBorder="0" applyAlignment="0" applyProtection="0"/>
    <xf numFmtId="244" fontId="25" fillId="0" borderId="0" applyFill="0" applyBorder="0" applyProtection="0">
      <alignment vertical="center"/>
    </xf>
    <xf numFmtId="245" fontId="22" fillId="0" borderId="0" applyFont="0" applyFill="0" applyBorder="0" applyProtection="0">
      <alignment vertical="center"/>
    </xf>
    <xf numFmtId="245" fontId="22" fillId="0" borderId="0" applyFont="0" applyFill="0" applyBorder="0" applyProtection="0">
      <alignment vertical="center"/>
    </xf>
    <xf numFmtId="245" fontId="22" fillId="0" borderId="0" applyFont="0" applyFill="0" applyBorder="0" applyProtection="0">
      <alignment vertical="center"/>
    </xf>
    <xf numFmtId="246" fontId="17" fillId="0" borderId="25">
      <alignment vertical="center"/>
    </xf>
    <xf numFmtId="0" fontId="17" fillId="0" borderId="0" applyFont="0" applyFill="0" applyBorder="0" applyAlignment="0" applyProtection="0"/>
    <xf numFmtId="0" fontId="17" fillId="0" borderId="0" applyFont="0" applyFill="0" applyBorder="0" applyAlignment="0" applyProtection="0"/>
    <xf numFmtId="247" fontId="22" fillId="0" borderId="0"/>
    <xf numFmtId="248" fontId="26" fillId="0" borderId="1"/>
    <xf numFmtId="248" fontId="26" fillId="0" borderId="1"/>
    <xf numFmtId="0" fontId="98" fillId="0" borderId="0">
      <protection locked="0"/>
    </xf>
    <xf numFmtId="249" fontId="17" fillId="0" borderId="0"/>
    <xf numFmtId="250" fontId="26" fillId="0" borderId="0"/>
    <xf numFmtId="0" fontId="82" fillId="0" borderId="0">
      <alignment vertical="top" wrapText="1"/>
    </xf>
    <xf numFmtId="0" fontId="82" fillId="0" borderId="0">
      <alignment vertical="top" wrapText="1"/>
    </xf>
    <xf numFmtId="41" fontId="99" fillId="0" borderId="0" applyFont="0" applyFill="0" applyBorder="0" applyAlignment="0" applyProtection="0"/>
    <xf numFmtId="43" fontId="99" fillId="0" borderId="0" applyFont="0" applyFill="0" applyBorder="0" applyAlignment="0" applyProtection="0"/>
    <xf numFmtId="41" fontId="99" fillId="0" borderId="0" applyFont="0" applyFill="0" applyBorder="0" applyAlignment="0" applyProtection="0"/>
    <xf numFmtId="164" fontId="99" fillId="0" borderId="0" applyFont="0" applyFill="0" applyBorder="0" applyAlignment="0" applyProtection="0"/>
    <xf numFmtId="251" fontId="17" fillId="0" borderId="0" applyFont="0" applyFill="0" applyBorder="0" applyAlignment="0" applyProtection="0"/>
    <xf numFmtId="251" fontId="17" fillId="0" borderId="0" applyFont="0" applyFill="0" applyBorder="0" applyAlignment="0" applyProtection="0"/>
    <xf numFmtId="251" fontId="17" fillId="0" borderId="0" applyFont="0" applyFill="0" applyBorder="0" applyAlignment="0" applyProtection="0"/>
    <xf numFmtId="251" fontId="17"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251" fontId="17" fillId="0" borderId="0" applyFont="0" applyFill="0" applyBorder="0" applyAlignment="0" applyProtection="0"/>
    <xf numFmtId="251" fontId="17" fillId="0" borderId="0" applyFont="0" applyFill="0" applyBorder="0" applyAlignment="0" applyProtection="0"/>
    <xf numFmtId="252" fontId="22" fillId="0" borderId="0" applyFont="0" applyFill="0" applyBorder="0" applyAlignment="0" applyProtection="0"/>
    <xf numFmtId="252" fontId="22" fillId="0" borderId="0" applyFont="0" applyFill="0" applyBorder="0" applyAlignment="0" applyProtection="0"/>
    <xf numFmtId="253" fontId="22" fillId="0" borderId="0" applyFont="0" applyFill="0" applyBorder="0" applyAlignment="0" applyProtection="0"/>
    <xf numFmtId="253" fontId="22" fillId="0" borderId="0" applyFont="0" applyFill="0" applyBorder="0" applyAlignment="0" applyProtection="0"/>
    <xf numFmtId="164" fontId="99" fillId="0" borderId="0" applyFont="0" applyFill="0" applyBorder="0" applyAlignment="0" applyProtection="0"/>
    <xf numFmtId="164" fontId="99" fillId="0" borderId="0" applyFont="0" applyFill="0" applyBorder="0" applyAlignment="0" applyProtection="0"/>
    <xf numFmtId="164" fontId="99" fillId="0" borderId="0" applyFont="0" applyFill="0" applyBorder="0" applyAlignment="0" applyProtection="0"/>
    <xf numFmtId="164" fontId="99" fillId="0" borderId="0" applyFont="0" applyFill="0" applyBorder="0" applyAlignment="0" applyProtection="0"/>
    <xf numFmtId="164" fontId="99" fillId="0" borderId="0" applyFont="0" applyFill="0" applyBorder="0" applyAlignment="0" applyProtection="0"/>
    <xf numFmtId="164" fontId="99" fillId="0" borderId="0" applyFont="0" applyFill="0" applyBorder="0" applyAlignment="0" applyProtection="0"/>
    <xf numFmtId="164" fontId="99" fillId="0" borderId="0" applyFont="0" applyFill="0" applyBorder="0" applyAlignment="0" applyProtection="0"/>
    <xf numFmtId="164" fontId="99" fillId="0" borderId="0" applyFont="0" applyFill="0" applyBorder="0" applyAlignment="0" applyProtection="0"/>
    <xf numFmtId="164" fontId="99" fillId="0" borderId="0" applyFont="0" applyFill="0" applyBorder="0" applyAlignment="0" applyProtection="0"/>
    <xf numFmtId="164" fontId="99" fillId="0" borderId="0" applyFont="0" applyFill="0" applyBorder="0" applyAlignment="0" applyProtection="0"/>
    <xf numFmtId="164" fontId="99" fillId="0" borderId="0" applyFont="0" applyFill="0" applyBorder="0" applyAlignment="0" applyProtection="0"/>
    <xf numFmtId="164" fontId="99" fillId="0" borderId="0" applyFont="0" applyFill="0" applyBorder="0" applyAlignment="0" applyProtection="0"/>
    <xf numFmtId="164" fontId="99" fillId="0" borderId="0" applyFont="0" applyFill="0" applyBorder="0" applyAlignment="0" applyProtection="0"/>
    <xf numFmtId="164" fontId="99" fillId="0" borderId="0" applyFont="0" applyFill="0" applyBorder="0" applyAlignment="0" applyProtection="0"/>
    <xf numFmtId="164" fontId="99" fillId="0" borderId="0" applyFont="0" applyFill="0" applyBorder="0" applyAlignment="0" applyProtection="0"/>
    <xf numFmtId="41" fontId="99" fillId="0" borderId="0" applyFont="0" applyFill="0" applyBorder="0" applyAlignment="0" applyProtection="0"/>
    <xf numFmtId="164" fontId="99" fillId="0" borderId="0" applyFont="0" applyFill="0" applyBorder="0" applyAlignment="0" applyProtection="0"/>
    <xf numFmtId="41" fontId="99" fillId="0" borderId="0" applyFont="0" applyFill="0" applyBorder="0" applyAlignment="0" applyProtection="0"/>
    <xf numFmtId="164" fontId="99" fillId="0" borderId="0" applyFont="0" applyFill="0" applyBorder="0" applyAlignment="0" applyProtection="0"/>
    <xf numFmtId="164" fontId="99" fillId="0" borderId="0" applyFont="0" applyFill="0" applyBorder="0" applyAlignment="0" applyProtection="0"/>
    <xf numFmtId="164" fontId="99" fillId="0" borderId="0" applyFont="0" applyFill="0" applyBorder="0" applyAlignment="0" applyProtection="0"/>
    <xf numFmtId="164" fontId="99" fillId="0" borderId="0" applyFont="0" applyFill="0" applyBorder="0" applyAlignment="0" applyProtection="0"/>
    <xf numFmtId="164" fontId="99" fillId="0" borderId="0" applyFont="0" applyFill="0" applyBorder="0" applyAlignment="0" applyProtection="0"/>
    <xf numFmtId="43" fontId="99" fillId="0" borderId="0" applyFont="0" applyFill="0" applyBorder="0" applyAlignment="0" applyProtection="0"/>
    <xf numFmtId="165" fontId="99" fillId="0" borderId="0" applyFont="0" applyFill="0" applyBorder="0" applyAlignment="0" applyProtection="0"/>
    <xf numFmtId="254" fontId="17" fillId="0" borderId="0" applyFont="0" applyFill="0" applyBorder="0" applyAlignment="0" applyProtection="0"/>
    <xf numFmtId="254" fontId="17" fillId="0" borderId="0" applyFont="0" applyFill="0" applyBorder="0" applyAlignment="0" applyProtection="0"/>
    <xf numFmtId="254" fontId="17" fillId="0" borderId="0" applyFont="0" applyFill="0" applyBorder="0" applyAlignment="0" applyProtection="0"/>
    <xf numFmtId="254" fontId="17"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254" fontId="17" fillId="0" borderId="0" applyFont="0" applyFill="0" applyBorder="0" applyAlignment="0" applyProtection="0"/>
    <xf numFmtId="254" fontId="17" fillId="0" borderId="0" applyFont="0" applyFill="0" applyBorder="0" applyAlignment="0" applyProtection="0"/>
    <xf numFmtId="255" fontId="22" fillId="0" borderId="0" applyFont="0" applyFill="0" applyBorder="0" applyAlignment="0" applyProtection="0"/>
    <xf numFmtId="255" fontId="22" fillId="0" borderId="0" applyFont="0" applyFill="0" applyBorder="0" applyAlignment="0" applyProtection="0"/>
    <xf numFmtId="256" fontId="22" fillId="0" borderId="0" applyFont="0" applyFill="0" applyBorder="0" applyAlignment="0" applyProtection="0"/>
    <xf numFmtId="256" fontId="22"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43" fontId="99" fillId="0" borderId="0" applyFont="0" applyFill="0" applyBorder="0" applyAlignment="0" applyProtection="0"/>
    <xf numFmtId="165" fontId="99" fillId="0" borderId="0" applyFont="0" applyFill="0" applyBorder="0" applyAlignment="0" applyProtection="0"/>
    <xf numFmtId="43"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3" fontId="22" fillId="0" borderId="0" applyFont="0" applyBorder="0" applyAlignment="0"/>
    <xf numFmtId="0" fontId="100" fillId="0" borderId="0">
      <protection locked="0"/>
    </xf>
    <xf numFmtId="0" fontId="100" fillId="0" borderId="0">
      <protection locked="0"/>
    </xf>
    <xf numFmtId="181" fontId="74" fillId="0" borderId="0" applyFill="0" applyBorder="0" applyAlignment="0"/>
    <xf numFmtId="228" fontId="74" fillId="0" borderId="0" applyFill="0" applyBorder="0" applyAlignment="0"/>
    <xf numFmtId="181" fontId="74" fillId="0" borderId="0" applyFill="0" applyBorder="0" applyAlignment="0"/>
    <xf numFmtId="232" fontId="74" fillId="0" borderId="0" applyFill="0" applyBorder="0" applyAlignment="0"/>
    <xf numFmtId="228" fontId="74" fillId="0" borderId="0" applyFill="0" applyBorder="0" applyAlignment="0"/>
    <xf numFmtId="0" fontId="101" fillId="0" borderId="0" applyNumberFormat="0" applyAlignment="0">
      <alignment horizontal="left"/>
    </xf>
    <xf numFmtId="174" fontId="102" fillId="0" borderId="0">
      <protection locked="0"/>
    </xf>
    <xf numFmtId="174" fontId="102" fillId="0" borderId="0">
      <protection locked="0"/>
    </xf>
    <xf numFmtId="174" fontId="102" fillId="0" borderId="0">
      <protection locked="0"/>
    </xf>
    <xf numFmtId="174" fontId="102" fillId="0" borderId="0">
      <protection locked="0"/>
    </xf>
    <xf numFmtId="257" fontId="17"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3" fontId="22" fillId="0" borderId="0" applyFont="0" applyBorder="0" applyAlignment="0"/>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4" fontId="98" fillId="0" borderId="0">
      <protection locked="0"/>
    </xf>
    <xf numFmtId="0" fontId="98" fillId="0" borderId="0">
      <protection locked="0"/>
    </xf>
    <xf numFmtId="258" fontId="22" fillId="0" borderId="0">
      <protection locked="0"/>
    </xf>
    <xf numFmtId="2" fontId="17" fillId="0" borderId="0" applyFill="0" applyBorder="0" applyAlignment="0" applyProtection="0"/>
    <xf numFmtId="2" fontId="17" fillId="0" borderId="0" applyFont="0" applyFill="0" applyBorder="0" applyAlignment="0" applyProtection="0"/>
    <xf numFmtId="2" fontId="17" fillId="0" borderId="0" applyFill="0" applyBorder="0" applyAlignment="0" applyProtection="0"/>
    <xf numFmtId="0" fontId="105" fillId="0" borderId="0" applyNumberFormat="0" applyFill="0" applyBorder="0" applyAlignment="0" applyProtection="0"/>
    <xf numFmtId="0" fontId="106" fillId="0" borderId="0" applyNumberFormat="0" applyFill="0" applyBorder="0" applyProtection="0">
      <alignment vertical="center"/>
    </xf>
    <xf numFmtId="0" fontId="107" fillId="0" borderId="0" applyNumberFormat="0" applyFill="0" applyBorder="0" applyAlignment="0" applyProtection="0"/>
    <xf numFmtId="0" fontId="108" fillId="0" borderId="0" applyNumberFormat="0" applyFill="0" applyBorder="0" applyProtection="0">
      <alignment vertical="center"/>
    </xf>
    <xf numFmtId="0" fontId="109" fillId="0" borderId="0" applyNumberFormat="0" applyFill="0" applyBorder="0" applyAlignment="0" applyProtection="0"/>
    <xf numFmtId="0" fontId="110" fillId="0" borderId="0" applyNumberFormat="0" applyFill="0" applyBorder="0" applyAlignment="0" applyProtection="0"/>
    <xf numFmtId="259" fontId="24" fillId="0" borderId="26" applyNumberFormat="0" applyFill="0" applyBorder="0" applyAlignment="0" applyProtection="0"/>
    <xf numFmtId="259" fontId="24" fillId="0" borderId="26" applyNumberFormat="0" applyFill="0" applyBorder="0" applyAlignment="0" applyProtection="0"/>
    <xf numFmtId="0" fontId="111" fillId="0" borderId="0" applyNumberFormat="0" applyFill="0" applyBorder="0" applyAlignment="0" applyProtection="0"/>
    <xf numFmtId="0" fontId="112" fillId="44" borderId="27" applyNumberFormat="0" applyAlignment="0">
      <protection locked="0"/>
    </xf>
    <xf numFmtId="0" fontId="112" fillId="44" borderId="27" applyNumberFormat="0" applyAlignment="0">
      <protection locked="0"/>
    </xf>
    <xf numFmtId="0" fontId="112" fillId="44" borderId="27" applyNumberFormat="0" applyAlignment="0">
      <protection locked="0"/>
    </xf>
    <xf numFmtId="0" fontId="17" fillId="45" borderId="28" applyNumberFormat="0" applyFont="0" applyAlignment="0" applyProtection="0"/>
    <xf numFmtId="0" fontId="17" fillId="45" borderId="28" applyNumberFormat="0" applyFont="0" applyAlignment="0" applyProtection="0"/>
    <xf numFmtId="0" fontId="113" fillId="0" borderId="0">
      <alignment vertical="top" wrapText="1"/>
    </xf>
    <xf numFmtId="0" fontId="114" fillId="9" borderId="0" applyNumberFormat="0" applyBorder="0" applyAlignment="0" applyProtection="0"/>
    <xf numFmtId="0" fontId="115" fillId="10" borderId="0" applyNumberFormat="0" applyBorder="0" applyAlignment="0" applyProtection="0"/>
    <xf numFmtId="38" fontId="8" fillId="46" borderId="0" applyNumberFormat="0" applyBorder="0" applyAlignment="0" applyProtection="0"/>
    <xf numFmtId="260" fontId="116" fillId="2" borderId="0" applyBorder="0" applyProtection="0"/>
    <xf numFmtId="0" fontId="117" fillId="0" borderId="11" applyNumberFormat="0" applyFill="0" applyBorder="0" applyAlignment="0" applyProtection="0">
      <alignment horizontal="center" vertical="center"/>
    </xf>
    <xf numFmtId="0" fontId="118" fillId="0" borderId="0" applyNumberFormat="0" applyFont="0" applyBorder="0" applyAlignment="0">
      <alignment horizontal="left" vertical="center"/>
    </xf>
    <xf numFmtId="261" fontId="119" fillId="0" borderId="29" applyFont="0" applyFill="0" applyBorder="0" applyAlignment="0" applyProtection="0">
      <alignment horizontal="right"/>
    </xf>
    <xf numFmtId="0" fontId="120" fillId="47" borderId="0"/>
    <xf numFmtId="0" fontId="121" fillId="0" borderId="0">
      <alignment horizontal="left"/>
    </xf>
    <xf numFmtId="0" fontId="122" fillId="0" borderId="30" applyNumberFormat="0" applyAlignment="0" applyProtection="0">
      <alignment horizontal="left" vertical="center"/>
    </xf>
    <xf numFmtId="0" fontId="122" fillId="0" borderId="8">
      <alignment horizontal="left" vertical="center"/>
    </xf>
    <xf numFmtId="0" fontId="122" fillId="0" borderId="8">
      <alignment horizontal="left" vertical="center"/>
    </xf>
    <xf numFmtId="0" fontId="123" fillId="0" borderId="0" applyNumberFormat="0" applyFill="0" applyBorder="0" applyAlignment="0" applyProtection="0"/>
    <xf numFmtId="0" fontId="95" fillId="0" borderId="22" applyNumberFormat="0" applyFill="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96" fillId="0" borderId="23" applyNumberFormat="0" applyFill="0" applyAlignment="0" applyProtection="0"/>
    <xf numFmtId="0" fontId="122" fillId="0" borderId="0" applyNumberFormat="0" applyFill="0" applyBorder="0" applyAlignment="0" applyProtection="0"/>
    <xf numFmtId="0" fontId="124" fillId="0" borderId="24" applyNumberFormat="0" applyFill="0" applyAlignment="0" applyProtection="0"/>
    <xf numFmtId="0" fontId="97" fillId="0" borderId="24" applyNumberFormat="0" applyFill="0" applyAlignment="0" applyProtection="0"/>
    <xf numFmtId="0" fontId="124" fillId="0" borderId="0" applyNumberFormat="0" applyFill="0" applyBorder="0" applyAlignment="0" applyProtection="0"/>
    <xf numFmtId="0" fontId="97" fillId="0" borderId="0" applyNumberFormat="0" applyFill="0" applyBorder="0" applyAlignment="0" applyProtection="0"/>
    <xf numFmtId="262" fontId="21" fillId="0" borderId="0">
      <protection locked="0"/>
    </xf>
    <xf numFmtId="262" fontId="21" fillId="0" borderId="0">
      <protection locked="0"/>
    </xf>
    <xf numFmtId="0" fontId="125" fillId="0" borderId="31">
      <alignment horizontal="center"/>
    </xf>
    <xf numFmtId="0" fontId="125" fillId="0" borderId="0">
      <alignment horizontal="center"/>
    </xf>
    <xf numFmtId="218" fontId="126" fillId="48" borderId="1" applyNumberFormat="0" applyAlignment="0">
      <alignment horizontal="left" vertical="top"/>
    </xf>
    <xf numFmtId="218" fontId="126" fillId="48" borderId="1" applyNumberFormat="0" applyAlignment="0">
      <alignment horizontal="left" vertical="top"/>
    </xf>
    <xf numFmtId="0" fontId="127" fillId="0" borderId="0"/>
    <xf numFmtId="49" fontId="128" fillId="0" borderId="1">
      <alignment vertical="center"/>
    </xf>
    <xf numFmtId="49" fontId="128" fillId="0" borderId="1">
      <alignment vertical="center"/>
    </xf>
    <xf numFmtId="0" fontId="18" fillId="0" borderId="0"/>
    <xf numFmtId="41" fontId="22" fillId="0" borderId="0" applyFont="0" applyFill="0" applyBorder="0" applyAlignment="0" applyProtection="0"/>
    <xf numFmtId="38" fontId="37" fillId="0" borderId="0" applyFont="0" applyFill="0" applyBorder="0" applyAlignment="0" applyProtection="0"/>
    <xf numFmtId="212" fontId="36" fillId="0" borderId="0" applyFont="0" applyFill="0" applyBorder="0" applyAlignment="0" applyProtection="0"/>
    <xf numFmtId="263" fontId="129" fillId="0" borderId="0" applyFont="0" applyFill="0" applyBorder="0" applyAlignment="0" applyProtection="0"/>
    <xf numFmtId="10" fontId="8" fillId="46" borderId="1" applyNumberFormat="0" applyBorder="0" applyAlignment="0" applyProtection="0"/>
    <xf numFmtId="10" fontId="8" fillId="46" borderId="1" applyNumberFormat="0" applyBorder="0" applyAlignment="0" applyProtection="0"/>
    <xf numFmtId="0" fontId="130" fillId="15" borderId="18" applyNumberFormat="0" applyAlignment="0" applyProtection="0"/>
    <xf numFmtId="0" fontId="130" fillId="15" borderId="18" applyNumberFormat="0" applyAlignment="0" applyProtection="0"/>
    <xf numFmtId="0" fontId="93" fillId="16" borderId="18" applyNumberFormat="0" applyAlignment="0" applyProtection="0"/>
    <xf numFmtId="0" fontId="93" fillId="16" borderId="18" applyNumberFormat="0" applyAlignment="0" applyProtection="0"/>
    <xf numFmtId="0" fontId="93" fillId="16" borderId="18" applyNumberFormat="0" applyAlignment="0" applyProtection="0"/>
    <xf numFmtId="0" fontId="93" fillId="16" borderId="18" applyNumberFormat="0" applyAlignment="0" applyProtection="0"/>
    <xf numFmtId="0" fontId="93" fillId="16" borderId="18" applyNumberFormat="0" applyAlignment="0" applyProtection="0"/>
    <xf numFmtId="2" fontId="40" fillId="0" borderId="7" applyBorder="0"/>
    <xf numFmtId="2" fontId="40" fillId="0" borderId="7" applyBorder="0"/>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41" fontId="22" fillId="0" borderId="0" applyFont="0" applyFill="0" applyBorder="0" applyAlignment="0" applyProtection="0"/>
    <xf numFmtId="0" fontId="22" fillId="0" borderId="0"/>
    <xf numFmtId="2" fontId="134" fillId="0" borderId="2" applyBorder="0"/>
    <xf numFmtId="2" fontId="134" fillId="0" borderId="2" applyBorder="0"/>
    <xf numFmtId="0" fontId="65" fillId="0" borderId="32">
      <alignment horizontal="centerContinuous"/>
    </xf>
    <xf numFmtId="0" fontId="65" fillId="0" borderId="32">
      <alignment horizontal="centerContinuous"/>
    </xf>
    <xf numFmtId="0" fontId="79" fillId="42" borderId="19" applyNumberFormat="0" applyAlignment="0" applyProtection="0"/>
    <xf numFmtId="0" fontId="135" fillId="0" borderId="33">
      <alignment horizontal="center" vertical="center" wrapText="1"/>
    </xf>
    <xf numFmtId="0" fontId="82" fillId="46" borderId="0" applyNumberFormat="0" applyFont="0" applyBorder="0" applyAlignment="0"/>
    <xf numFmtId="0" fontId="82" fillId="46" borderId="0" applyNumberFormat="0" applyFont="0" applyBorder="0" applyAlignment="0"/>
    <xf numFmtId="0" fontId="37" fillId="0" borderId="0"/>
    <xf numFmtId="0" fontId="58" fillId="0" borderId="0"/>
    <xf numFmtId="0" fontId="136" fillId="0" borderId="0"/>
    <xf numFmtId="0" fontId="58" fillId="0" borderId="0"/>
    <xf numFmtId="0" fontId="18" fillId="0" borderId="0" applyNumberFormat="0" applyFont="0" applyFill="0" applyBorder="0" applyProtection="0">
      <alignment horizontal="left" vertical="center"/>
    </xf>
    <xf numFmtId="0" fontId="37" fillId="0" borderId="0"/>
    <xf numFmtId="181" fontId="74" fillId="0" borderId="0" applyFill="0" applyBorder="0" applyAlignment="0"/>
    <xf numFmtId="228" fontId="74" fillId="0" borderId="0" applyFill="0" applyBorder="0" applyAlignment="0"/>
    <xf numFmtId="181" fontId="74" fillId="0" borderId="0" applyFill="0" applyBorder="0" applyAlignment="0"/>
    <xf numFmtId="232" fontId="74" fillId="0" borderId="0" applyFill="0" applyBorder="0" applyAlignment="0"/>
    <xf numFmtId="228" fontId="74" fillId="0" borderId="0" applyFill="0" applyBorder="0" applyAlignment="0"/>
    <xf numFmtId="0" fontId="137" fillId="0" borderId="34" applyNumberFormat="0" applyFill="0" applyAlignment="0" applyProtection="0"/>
    <xf numFmtId="0" fontId="138" fillId="0" borderId="34" applyNumberFormat="0" applyFill="0" applyAlignment="0" applyProtection="0"/>
    <xf numFmtId="243" fontId="139" fillId="0" borderId="10" applyNumberFormat="0" applyFont="0" applyFill="0" applyBorder="0">
      <alignment horizontal="center"/>
    </xf>
    <xf numFmtId="38" fontId="37" fillId="0" borderId="0" applyFont="0" applyFill="0" applyBorder="0" applyAlignment="0" applyProtection="0"/>
    <xf numFmtId="4" fontId="74" fillId="0" borderId="0" applyFont="0" applyFill="0" applyBorder="0" applyAlignment="0" applyProtection="0"/>
    <xf numFmtId="210" fontId="18" fillId="0" borderId="0" applyFont="0" applyFill="0" applyBorder="0" applyAlignment="0" applyProtection="0"/>
    <xf numFmtId="40" fontId="3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0" fontId="140" fillId="0" borderId="31"/>
    <xf numFmtId="264" fontId="141" fillId="0" borderId="10"/>
    <xf numFmtId="265" fontId="37" fillId="0" borderId="0" applyFont="0" applyFill="0" applyBorder="0" applyAlignment="0" applyProtection="0"/>
    <xf numFmtId="266" fontId="37" fillId="0" borderId="0" applyFont="0" applyFill="0" applyBorder="0" applyAlignment="0" applyProtection="0"/>
    <xf numFmtId="43" fontId="102" fillId="0" borderId="0">
      <protection locked="0"/>
    </xf>
    <xf numFmtId="267" fontId="17" fillId="0" borderId="0" applyFont="0" applyFill="0" applyBorder="0" applyAlignment="0" applyProtection="0"/>
    <xf numFmtId="43" fontId="102" fillId="0" borderId="0">
      <protection locked="0"/>
    </xf>
    <xf numFmtId="43" fontId="102" fillId="0" borderId="0">
      <protection locked="0"/>
    </xf>
    <xf numFmtId="268" fontId="17" fillId="0" borderId="0" applyFont="0" applyFill="0" applyBorder="0" applyAlignment="0" applyProtection="0"/>
    <xf numFmtId="0" fontId="136" fillId="0" borderId="0" applyNumberFormat="0" applyFont="0" applyFill="0" applyAlignment="0"/>
    <xf numFmtId="0" fontId="136" fillId="0" borderId="0" applyNumberFormat="0" applyFont="0" applyFill="0" applyAlignment="0"/>
    <xf numFmtId="0" fontId="25" fillId="0" borderId="0" applyNumberFormat="0" applyFill="0" applyAlignment="0"/>
    <xf numFmtId="0" fontId="25" fillId="0" borderId="0" applyNumberFormat="0" applyFill="0" applyAlignment="0"/>
    <xf numFmtId="0" fontId="136" fillId="0" borderId="0" applyNumberFormat="0" applyFont="0" applyFill="0" applyAlignment="0"/>
    <xf numFmtId="0" fontId="142" fillId="49" borderId="0" applyNumberFormat="0" applyBorder="0" applyAlignment="0" applyProtection="0"/>
    <xf numFmtId="0" fontId="143" fillId="50" borderId="0" applyNumberFormat="0" applyBorder="0" applyAlignment="0" applyProtection="0"/>
    <xf numFmtId="0" fontId="41" fillId="0" borderId="1"/>
    <xf numFmtId="0" fontId="41" fillId="0" borderId="1"/>
    <xf numFmtId="0" fontId="18" fillId="0" borderId="0"/>
    <xf numFmtId="0" fontId="26" fillId="0" borderId="6" applyNumberFormat="0" applyAlignment="0">
      <alignment horizontal="center"/>
    </xf>
    <xf numFmtId="0" fontId="62" fillId="33" borderId="0" applyNumberFormat="0" applyBorder="0" applyAlignment="0" applyProtection="0"/>
    <xf numFmtId="0" fontId="62" fillId="35" borderId="0" applyNumberFormat="0" applyBorder="0" applyAlignment="0" applyProtection="0"/>
    <xf numFmtId="0" fontId="62" fillId="37" borderId="0" applyNumberFormat="0" applyBorder="0" applyAlignment="0" applyProtection="0"/>
    <xf numFmtId="0" fontId="62" fillId="27" borderId="0" applyNumberFormat="0" applyBorder="0" applyAlignment="0" applyProtection="0"/>
    <xf numFmtId="0" fontId="62" fillId="29" borderId="0" applyNumberFormat="0" applyBorder="0" applyAlignment="0" applyProtection="0"/>
    <xf numFmtId="0" fontId="62" fillId="39" borderId="0" applyNumberFormat="0" applyBorder="0" applyAlignment="0" applyProtection="0"/>
    <xf numFmtId="37" fontId="144" fillId="0" borderId="0"/>
    <xf numFmtId="0" fontId="145" fillId="0" borderId="1" applyNumberFormat="0" applyFont="0" applyFill="0" applyBorder="0" applyAlignment="0">
      <alignment horizontal="center"/>
    </xf>
    <xf numFmtId="0" fontId="145" fillId="0" borderId="1" applyNumberFormat="0" applyFont="0" applyFill="0" applyBorder="0" applyAlignment="0">
      <alignment horizontal="center"/>
    </xf>
    <xf numFmtId="0" fontId="146" fillId="0" borderId="0"/>
    <xf numFmtId="269" fontId="24" fillId="0" borderId="0"/>
    <xf numFmtId="270" fontId="22" fillId="0" borderId="0"/>
    <xf numFmtId="270" fontId="22" fillId="0" borderId="0"/>
    <xf numFmtId="0" fontId="17" fillId="0" borderId="0"/>
    <xf numFmtId="270" fontId="22" fillId="0" borderId="0"/>
    <xf numFmtId="270" fontId="22" fillId="0" borderId="0"/>
    <xf numFmtId="271" fontId="39" fillId="0" borderId="0"/>
    <xf numFmtId="271" fontId="39" fillId="0" borderId="0"/>
    <xf numFmtId="271" fontId="39" fillId="0" borderId="0"/>
    <xf numFmtId="271" fontId="39" fillId="0" borderId="0"/>
    <xf numFmtId="271" fontId="39" fillId="0" borderId="0"/>
    <xf numFmtId="269" fontId="24" fillId="0" borderId="0"/>
    <xf numFmtId="269" fontId="24" fillId="0" borderId="0"/>
    <xf numFmtId="272" fontId="22" fillId="0" borderId="0"/>
    <xf numFmtId="0" fontId="147" fillId="0" borderId="0"/>
    <xf numFmtId="0" fontId="88" fillId="0" borderId="0"/>
    <xf numFmtId="0" fontId="58" fillId="0" borderId="0"/>
    <xf numFmtId="0" fontId="58" fillId="0" borderId="0"/>
    <xf numFmtId="0" fontId="148" fillId="0" borderId="0"/>
    <xf numFmtId="0" fontId="58" fillId="0" borderId="0"/>
    <xf numFmtId="0" fontId="86" fillId="0" borderId="0"/>
    <xf numFmtId="0" fontId="58" fillId="0" borderId="0"/>
    <xf numFmtId="0" fontId="16" fillId="0" borderId="0"/>
    <xf numFmtId="0" fontId="5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9" fillId="0" borderId="0"/>
    <xf numFmtId="0" fontId="16" fillId="0" borderId="0"/>
    <xf numFmtId="0" fontId="16" fillId="0" borderId="0"/>
    <xf numFmtId="0" fontId="16" fillId="0" borderId="0"/>
    <xf numFmtId="0" fontId="150" fillId="0" borderId="0"/>
    <xf numFmtId="0" fontId="17" fillId="0" borderId="0"/>
    <xf numFmtId="0" fontId="27" fillId="0" borderId="0"/>
    <xf numFmtId="3" fontId="41" fillId="0" borderId="0"/>
    <xf numFmtId="0" fontId="17" fillId="0" borderId="0"/>
    <xf numFmtId="0" fontId="25" fillId="0" borderId="0"/>
    <xf numFmtId="0" fontId="20" fillId="0" borderId="0"/>
    <xf numFmtId="0" fontId="16" fillId="0" borderId="0"/>
    <xf numFmtId="0" fontId="22" fillId="0" borderId="0"/>
    <xf numFmtId="0" fontId="16" fillId="0" borderId="0"/>
    <xf numFmtId="0" fontId="16" fillId="0" borderId="0"/>
    <xf numFmtId="0" fontId="16" fillId="0" borderId="0"/>
    <xf numFmtId="0" fontId="16" fillId="0" borderId="0"/>
    <xf numFmtId="0" fontId="16" fillId="0" borderId="0"/>
    <xf numFmtId="0" fontId="88" fillId="0" borderId="0"/>
    <xf numFmtId="0" fontId="88" fillId="0" borderId="0"/>
    <xf numFmtId="0" fontId="17" fillId="0" borderId="0"/>
    <xf numFmtId="0" fontId="151" fillId="0" borderId="0" applyProtection="0"/>
    <xf numFmtId="0" fontId="151" fillId="0" borderId="0" applyProtection="0"/>
    <xf numFmtId="0" fontId="152" fillId="0" borderId="0"/>
    <xf numFmtId="0" fontId="58" fillId="0" borderId="0"/>
    <xf numFmtId="0" fontId="17" fillId="0" borderId="0"/>
    <xf numFmtId="0" fontId="58" fillId="0" borderId="0"/>
    <xf numFmtId="0" fontId="86" fillId="0" borderId="0"/>
    <xf numFmtId="0" fontId="58" fillId="0" borderId="0"/>
    <xf numFmtId="0" fontId="58" fillId="0" borderId="0"/>
    <xf numFmtId="0" fontId="17" fillId="0" borderId="0"/>
    <xf numFmtId="0" fontId="153" fillId="0" borderId="0"/>
    <xf numFmtId="0" fontId="153" fillId="0" borderId="0"/>
    <xf numFmtId="0" fontId="153" fillId="0" borderId="0"/>
    <xf numFmtId="0" fontId="153" fillId="0" borderId="0"/>
    <xf numFmtId="0" fontId="17" fillId="0" borderId="0"/>
    <xf numFmtId="0" fontId="17" fillId="0" borderId="0"/>
    <xf numFmtId="0" fontId="17" fillId="0" borderId="0"/>
    <xf numFmtId="0" fontId="16" fillId="0" borderId="0"/>
    <xf numFmtId="0" fontId="153" fillId="0" borderId="0"/>
    <xf numFmtId="0" fontId="154" fillId="0" borderId="0"/>
    <xf numFmtId="0" fontId="86" fillId="0" borderId="0"/>
    <xf numFmtId="0" fontId="155" fillId="0" borderId="0"/>
    <xf numFmtId="0" fontId="16" fillId="0" borderId="0"/>
    <xf numFmtId="0" fontId="156" fillId="0" borderId="0"/>
    <xf numFmtId="0" fontId="17" fillId="0" borderId="0"/>
    <xf numFmtId="0" fontId="25" fillId="0" borderId="0"/>
    <xf numFmtId="0" fontId="86" fillId="0" borderId="0"/>
    <xf numFmtId="0" fontId="17" fillId="0" borderId="0"/>
    <xf numFmtId="0" fontId="17" fillId="0" borderId="0"/>
    <xf numFmtId="0" fontId="17" fillId="0" borderId="0"/>
    <xf numFmtId="0" fontId="86" fillId="0" borderId="0"/>
    <xf numFmtId="0" fontId="20" fillId="0" borderId="0"/>
    <xf numFmtId="0" fontId="16" fillId="0" borderId="0"/>
    <xf numFmtId="0" fontId="20" fillId="0" borderId="0"/>
    <xf numFmtId="0" fontId="20" fillId="0" borderId="0"/>
    <xf numFmtId="0" fontId="20" fillId="0" borderId="0"/>
    <xf numFmtId="0" fontId="20" fillId="0" borderId="0"/>
    <xf numFmtId="0" fontId="16" fillId="0" borderId="0"/>
    <xf numFmtId="0" fontId="157" fillId="0" borderId="0"/>
    <xf numFmtId="0" fontId="158" fillId="0" borderId="0" applyNumberFormat="0" applyFill="0" applyBorder="0" applyProtection="0">
      <alignment vertical="top"/>
    </xf>
    <xf numFmtId="0" fontId="16" fillId="0" borderId="0"/>
    <xf numFmtId="0" fontId="86" fillId="0" borderId="0"/>
    <xf numFmtId="0" fontId="148" fillId="0" borderId="0"/>
    <xf numFmtId="0" fontId="16" fillId="0" borderId="0"/>
    <xf numFmtId="0" fontId="58" fillId="0" borderId="0"/>
    <xf numFmtId="0" fontId="16" fillId="0" borderId="0"/>
    <xf numFmtId="0" fontId="16" fillId="0" borderId="0"/>
    <xf numFmtId="0" fontId="58" fillId="0" borderId="0"/>
    <xf numFmtId="0" fontId="17" fillId="0" borderId="0"/>
    <xf numFmtId="0" fontId="22" fillId="0" borderId="0"/>
    <xf numFmtId="0" fontId="47" fillId="0" borderId="0" applyFont="0"/>
    <xf numFmtId="0" fontId="159" fillId="0" borderId="0">
      <alignment horizontal="left" vertical="top"/>
    </xf>
    <xf numFmtId="0" fontId="74" fillId="46" borderId="0"/>
    <xf numFmtId="0" fontId="99" fillId="0" borderId="0"/>
    <xf numFmtId="0" fontId="17" fillId="45" borderId="28" applyNumberFormat="0" applyFont="0" applyAlignment="0" applyProtection="0"/>
    <xf numFmtId="0" fontId="17" fillId="45" borderId="28" applyNumberFormat="0" applyFont="0" applyAlignment="0" applyProtection="0"/>
    <xf numFmtId="0" fontId="17" fillId="51" borderId="28" applyNumberFormat="0" applyAlignment="0" applyProtection="0"/>
    <xf numFmtId="273" fontId="42" fillId="0" borderId="0" applyFont="0" applyFill="0" applyBorder="0" applyProtection="0">
      <alignment vertical="top" wrapText="1"/>
    </xf>
    <xf numFmtId="0" fontId="138" fillId="0" borderId="34" applyNumberFormat="0" applyFill="0" applyAlignment="0" applyProtection="0"/>
    <xf numFmtId="0" fontId="26" fillId="0" borderId="0"/>
    <xf numFmtId="43" fontId="45" fillId="0" borderId="0" applyFont="0" applyFill="0" applyBorder="0" applyAlignment="0" applyProtection="0"/>
    <xf numFmtId="41" fontId="45" fillId="0" borderId="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41" fillId="0" borderId="0" applyNumberFormat="0" applyFill="0" applyBorder="0" applyAlignment="0" applyProtection="0"/>
    <xf numFmtId="0" fontId="22" fillId="0" borderId="0" applyNumberFormat="0" applyFill="0" applyBorder="0" applyAlignment="0" applyProtection="0"/>
    <xf numFmtId="0" fontId="25" fillId="0" borderId="0" applyFill="0" applyBorder="0" applyAlignment="0" applyProtection="0"/>
    <xf numFmtId="0" fontId="18" fillId="0" borderId="0"/>
    <xf numFmtId="0" fontId="161" fillId="41" borderId="21" applyNumberFormat="0" applyAlignment="0" applyProtection="0"/>
    <xf numFmtId="0" fontId="161" fillId="41" borderId="21" applyNumberFormat="0" applyAlignment="0" applyProtection="0"/>
    <xf numFmtId="0" fontId="92" fillId="3" borderId="21" applyNumberFormat="0" applyAlignment="0" applyProtection="0"/>
    <xf numFmtId="172" fontId="162" fillId="0" borderId="6" applyFont="0" applyBorder="0" applyAlignment="0"/>
    <xf numFmtId="0" fontId="163" fillId="46" borderId="0"/>
    <xf numFmtId="164" fontId="17" fillId="0" borderId="0" applyFont="0" applyFill="0" applyBorder="0" applyAlignment="0" applyProtection="0"/>
    <xf numFmtId="14" fontId="65" fillId="0" borderId="0">
      <alignment horizontal="center" wrapText="1"/>
      <protection locked="0"/>
    </xf>
    <xf numFmtId="231" fontId="17" fillId="0" borderId="0" applyFont="0" applyFill="0" applyBorder="0" applyAlignment="0" applyProtection="0"/>
    <xf numFmtId="241" fontId="17" fillId="0" borderId="0" applyFont="0" applyFill="0" applyBorder="0" applyAlignment="0" applyProtection="0"/>
    <xf numFmtId="10" fontId="17" fillId="0" borderId="0" applyFont="0" applyFill="0" applyBorder="0" applyAlignment="0" applyProtection="0"/>
    <xf numFmtId="9" fontId="17" fillId="0" borderId="0" applyFont="0" applyFill="0" applyBorder="0" applyAlignment="0" applyProtection="0"/>
    <xf numFmtId="9" fontId="58" fillId="0" borderId="0" applyFont="0" applyFill="0" applyBorder="0" applyAlignment="0" applyProtection="0"/>
    <xf numFmtId="9" fontId="155" fillId="0" borderId="0" applyFont="0" applyFill="0" applyBorder="0" applyAlignment="0" applyProtection="0"/>
    <xf numFmtId="9" fontId="5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17" fillId="0" borderId="0" applyFont="0" applyFill="0" applyBorder="0" applyAlignment="0" applyProtection="0"/>
    <xf numFmtId="9" fontId="37" fillId="0" borderId="35" applyNumberFormat="0" applyBorder="0"/>
    <xf numFmtId="0" fontId="17" fillId="0" borderId="0"/>
    <xf numFmtId="172" fontId="102" fillId="0" borderId="0">
      <protection locked="0"/>
    </xf>
    <xf numFmtId="172" fontId="102" fillId="0" borderId="0">
      <protection locked="0"/>
    </xf>
    <xf numFmtId="181" fontId="74" fillId="0" borderId="0" applyFill="0" applyBorder="0" applyAlignment="0"/>
    <xf numFmtId="228" fontId="74" fillId="0" borderId="0" applyFill="0" applyBorder="0" applyAlignment="0"/>
    <xf numFmtId="181" fontId="74" fillId="0" borderId="0" applyFill="0" applyBorder="0" applyAlignment="0"/>
    <xf numFmtId="232" fontId="74" fillId="0" borderId="0" applyFill="0" applyBorder="0" applyAlignment="0"/>
    <xf numFmtId="228" fontId="74" fillId="0" borderId="0" applyFill="0" applyBorder="0" applyAlignment="0"/>
    <xf numFmtId="0" fontId="164" fillId="0" borderId="0"/>
    <xf numFmtId="0" fontId="37" fillId="0" borderId="0" applyNumberFormat="0" applyFont="0" applyFill="0" applyBorder="0" applyAlignment="0" applyProtection="0">
      <alignment horizontal="left"/>
    </xf>
    <xf numFmtId="0" fontId="165" fillId="0" borderId="31">
      <alignment horizontal="center"/>
    </xf>
    <xf numFmtId="0" fontId="166" fillId="52" borderId="0" applyNumberFormat="0" applyFont="0" applyBorder="0" applyAlignment="0">
      <alignment horizontal="center"/>
    </xf>
    <xf numFmtId="14" fontId="167" fillId="0" borderId="0" applyNumberFormat="0" applyFill="0" applyBorder="0" applyAlignment="0" applyProtection="0">
      <alignment horizontal="left"/>
    </xf>
    <xf numFmtId="0" fontId="132" fillId="0" borderId="0" applyNumberFormat="0" applyFill="0" applyBorder="0" applyAlignment="0" applyProtection="0">
      <alignment vertical="top"/>
      <protection locked="0"/>
    </xf>
    <xf numFmtId="0" fontId="26" fillId="0" borderId="0"/>
    <xf numFmtId="212" fontId="36" fillId="0" borderId="0" applyFont="0" applyFill="0" applyBorder="0" applyAlignment="0" applyProtection="0"/>
    <xf numFmtId="0" fontId="22" fillId="0" borderId="0" applyNumberFormat="0" applyFill="0" applyBorder="0" applyAlignment="0" applyProtection="0"/>
    <xf numFmtId="4" fontId="168" fillId="53" borderId="36" applyNumberFormat="0" applyProtection="0">
      <alignment vertical="center"/>
    </xf>
    <xf numFmtId="4" fontId="168" fillId="53" borderId="36" applyNumberFormat="0" applyProtection="0">
      <alignment vertical="center"/>
    </xf>
    <xf numFmtId="4" fontId="169" fillId="53" borderId="36" applyNumberFormat="0" applyProtection="0">
      <alignment vertical="center"/>
    </xf>
    <xf numFmtId="4" fontId="169" fillId="53" borderId="36" applyNumberFormat="0" applyProtection="0">
      <alignment vertical="center"/>
    </xf>
    <xf numFmtId="4" fontId="170" fillId="53" borderId="36" applyNumberFormat="0" applyProtection="0">
      <alignment horizontal="left" vertical="center" indent="1"/>
    </xf>
    <xf numFmtId="4" fontId="170" fillId="53" borderId="36" applyNumberFormat="0" applyProtection="0">
      <alignment horizontal="left" vertical="center" indent="1"/>
    </xf>
    <xf numFmtId="4" fontId="170" fillId="54" borderId="0" applyNumberFormat="0" applyProtection="0">
      <alignment horizontal="left" vertical="center" indent="1"/>
    </xf>
    <xf numFmtId="4" fontId="170" fillId="55" borderId="36" applyNumberFormat="0" applyProtection="0">
      <alignment horizontal="right" vertical="center"/>
    </xf>
    <xf numFmtId="4" fontId="170" fillId="55" borderId="36" applyNumberFormat="0" applyProtection="0">
      <alignment horizontal="right" vertical="center"/>
    </xf>
    <xf numFmtId="4" fontId="170" fillId="56" borderId="36" applyNumberFormat="0" applyProtection="0">
      <alignment horizontal="right" vertical="center"/>
    </xf>
    <xf numFmtId="4" fontId="170" fillId="56" borderId="36" applyNumberFormat="0" applyProtection="0">
      <alignment horizontal="right" vertical="center"/>
    </xf>
    <xf numFmtId="4" fontId="170" fillId="57" borderId="36" applyNumberFormat="0" applyProtection="0">
      <alignment horizontal="right" vertical="center"/>
    </xf>
    <xf numFmtId="4" fontId="170" fillId="57" borderId="36" applyNumberFormat="0" applyProtection="0">
      <alignment horizontal="right" vertical="center"/>
    </xf>
    <xf numFmtId="4" fontId="170" fillId="58" borderId="36" applyNumberFormat="0" applyProtection="0">
      <alignment horizontal="right" vertical="center"/>
    </xf>
    <xf numFmtId="4" fontId="170" fillId="58" borderId="36" applyNumberFormat="0" applyProtection="0">
      <alignment horizontal="right" vertical="center"/>
    </xf>
    <xf numFmtId="4" fontId="170" fillId="59" borderId="36" applyNumberFormat="0" applyProtection="0">
      <alignment horizontal="right" vertical="center"/>
    </xf>
    <xf numFmtId="4" fontId="170" fillId="59" borderId="36" applyNumberFormat="0" applyProtection="0">
      <alignment horizontal="right" vertical="center"/>
    </xf>
    <xf numFmtId="4" fontId="170" fillId="60" borderId="36" applyNumberFormat="0" applyProtection="0">
      <alignment horizontal="right" vertical="center"/>
    </xf>
    <xf numFmtId="4" fontId="170" fillId="60" borderId="36" applyNumberFormat="0" applyProtection="0">
      <alignment horizontal="right" vertical="center"/>
    </xf>
    <xf numFmtId="4" fontId="170" fillId="61" borderId="36" applyNumberFormat="0" applyProtection="0">
      <alignment horizontal="right" vertical="center"/>
    </xf>
    <xf numFmtId="4" fontId="170" fillId="61" borderId="36" applyNumberFormat="0" applyProtection="0">
      <alignment horizontal="right" vertical="center"/>
    </xf>
    <xf numFmtId="4" fontId="170" fillId="62" borderId="36" applyNumberFormat="0" applyProtection="0">
      <alignment horizontal="right" vertical="center"/>
    </xf>
    <xf numFmtId="4" fontId="170" fillId="62" borderId="36" applyNumberFormat="0" applyProtection="0">
      <alignment horizontal="right" vertical="center"/>
    </xf>
    <xf numFmtId="4" fontId="170" fillId="63" borderId="36" applyNumberFormat="0" applyProtection="0">
      <alignment horizontal="right" vertical="center"/>
    </xf>
    <xf numFmtId="4" fontId="170" fillId="63" borderId="36" applyNumberFormat="0" applyProtection="0">
      <alignment horizontal="right" vertical="center"/>
    </xf>
    <xf numFmtId="4" fontId="168" fillId="64" borderId="37" applyNumberFormat="0" applyProtection="0">
      <alignment horizontal="left" vertical="center" indent="1"/>
    </xf>
    <xf numFmtId="4" fontId="168" fillId="65" borderId="0" applyNumberFormat="0" applyProtection="0">
      <alignment horizontal="left" vertical="center" indent="1"/>
    </xf>
    <xf numFmtId="4" fontId="168" fillId="54" borderId="0" applyNumberFormat="0" applyProtection="0">
      <alignment horizontal="left" vertical="center" indent="1"/>
    </xf>
    <xf numFmtId="4" fontId="170" fillId="65" borderId="36" applyNumberFormat="0" applyProtection="0">
      <alignment horizontal="right" vertical="center"/>
    </xf>
    <xf numFmtId="4" fontId="170" fillId="65" borderId="36" applyNumberFormat="0" applyProtection="0">
      <alignment horizontal="right" vertical="center"/>
    </xf>
    <xf numFmtId="4" fontId="38" fillId="65" borderId="0" applyNumberFormat="0" applyProtection="0">
      <alignment horizontal="left" vertical="center" indent="1"/>
    </xf>
    <xf numFmtId="4" fontId="38" fillId="54" borderId="0" applyNumberFormat="0" applyProtection="0">
      <alignment horizontal="left" vertical="center" indent="1"/>
    </xf>
    <xf numFmtId="4" fontId="170" fillId="66" borderId="36" applyNumberFormat="0" applyProtection="0">
      <alignment vertical="center"/>
    </xf>
    <xf numFmtId="4" fontId="170" fillId="66" borderId="36" applyNumberFormat="0" applyProtection="0">
      <alignment vertical="center"/>
    </xf>
    <xf numFmtId="4" fontId="171" fillId="66" borderId="36" applyNumberFormat="0" applyProtection="0">
      <alignment vertical="center"/>
    </xf>
    <xf numFmtId="4" fontId="171" fillId="66" borderId="36" applyNumberFormat="0" applyProtection="0">
      <alignment vertical="center"/>
    </xf>
    <xf numFmtId="4" fontId="168" fillId="65" borderId="38" applyNumberFormat="0" applyProtection="0">
      <alignment horizontal="left" vertical="center" indent="1"/>
    </xf>
    <xf numFmtId="4" fontId="168" fillId="65" borderId="38" applyNumberFormat="0" applyProtection="0">
      <alignment horizontal="left" vertical="center" indent="1"/>
    </xf>
    <xf numFmtId="4" fontId="170" fillId="66" borderId="36" applyNumberFormat="0" applyProtection="0">
      <alignment horizontal="right" vertical="center"/>
    </xf>
    <xf numFmtId="4" fontId="170" fillId="66" borderId="36" applyNumberFormat="0" applyProtection="0">
      <alignment horizontal="right" vertical="center"/>
    </xf>
    <xf numFmtId="4" fontId="171" fillId="66" borderId="36" applyNumberFormat="0" applyProtection="0">
      <alignment horizontal="right" vertical="center"/>
    </xf>
    <xf numFmtId="4" fontId="171" fillId="66" borderId="36" applyNumberFormat="0" applyProtection="0">
      <alignment horizontal="right" vertical="center"/>
    </xf>
    <xf numFmtId="4" fontId="168" fillId="65" borderId="36" applyNumberFormat="0" applyProtection="0">
      <alignment horizontal="left" vertical="center" indent="1"/>
    </xf>
    <xf numFmtId="4" fontId="168" fillId="65" borderId="36" applyNumberFormat="0" applyProtection="0">
      <alignment horizontal="left" vertical="center" indent="1"/>
    </xf>
    <xf numFmtId="4" fontId="172" fillId="48" borderId="38" applyNumberFormat="0" applyProtection="0">
      <alignment horizontal="left" vertical="center" indent="1"/>
    </xf>
    <xf numFmtId="4" fontId="172" fillId="48" borderId="38" applyNumberFormat="0" applyProtection="0">
      <alignment horizontal="left" vertical="center" indent="1"/>
    </xf>
    <xf numFmtId="4" fontId="173" fillId="66" borderId="36" applyNumberFormat="0" applyProtection="0">
      <alignment horizontal="right" vertical="center"/>
    </xf>
    <xf numFmtId="4" fontId="173" fillId="66" borderId="36" applyNumberFormat="0" applyProtection="0">
      <alignment horizontal="right" vertical="center"/>
    </xf>
    <xf numFmtId="274" fontId="174" fillId="0" borderId="0" applyFont="0" applyFill="0" applyBorder="0" applyAlignment="0" applyProtection="0"/>
    <xf numFmtId="0" fontId="166" fillId="1" borderId="8" applyNumberFormat="0" applyFont="0" applyAlignment="0">
      <alignment horizontal="center"/>
    </xf>
    <xf numFmtId="0" fontId="166" fillId="1" borderId="8" applyNumberFormat="0" applyFont="0" applyAlignment="0">
      <alignment horizontal="center"/>
    </xf>
    <xf numFmtId="4" fontId="17" fillId="0" borderId="3" applyBorder="0"/>
    <xf numFmtId="2" fontId="17" fillId="0" borderId="3"/>
    <xf numFmtId="275" fontId="17" fillId="0" borderId="0"/>
    <xf numFmtId="3" fontId="21" fillId="0" borderId="0"/>
    <xf numFmtId="0" fontId="175" fillId="0" borderId="0" applyNumberFormat="0" applyFill="0" applyBorder="0" applyAlignment="0">
      <alignment horizontal="center"/>
    </xf>
    <xf numFmtId="0" fontId="176" fillId="0" borderId="39" applyNumberFormat="0" applyFill="0" applyBorder="0" applyAlignment="0" applyProtection="0"/>
    <xf numFmtId="0" fontId="176" fillId="0" borderId="39" applyNumberFormat="0" applyFill="0" applyBorder="0" applyAlignment="0" applyProtection="0"/>
    <xf numFmtId="0" fontId="17" fillId="0" borderId="0"/>
    <xf numFmtId="1" fontId="17" fillId="0" borderId="0"/>
    <xf numFmtId="172" fontId="177" fillId="0" borderId="0" applyNumberFormat="0" applyBorder="0" applyAlignment="0">
      <alignment horizontal="centerContinuous"/>
    </xf>
    <xf numFmtId="0" fontId="22" fillId="0" borderId="3">
      <alignment horizontal="center"/>
    </xf>
    <xf numFmtId="0" fontId="28" fillId="0" borderId="0"/>
    <xf numFmtId="172" fontId="27" fillId="0" borderId="0" applyFont="0" applyFill="0" applyBorder="0" applyAlignment="0" applyProtection="0"/>
    <xf numFmtId="212" fontId="36" fillId="0" borderId="0" applyFont="0" applyFill="0" applyBorder="0" applyAlignment="0" applyProtection="0"/>
    <xf numFmtId="214" fontId="36" fillId="0" borderId="0" applyFont="0" applyFill="0" applyBorder="0" applyAlignment="0" applyProtection="0"/>
    <xf numFmtId="214" fontId="36" fillId="0" borderId="0" applyFont="0" applyFill="0" applyBorder="0" applyAlignment="0" applyProtection="0"/>
    <xf numFmtId="184" fontId="36" fillId="0" borderId="0" applyFont="0" applyFill="0" applyBorder="0" applyAlignment="0" applyProtection="0"/>
    <xf numFmtId="217" fontId="36" fillId="0" borderId="0" applyFont="0" applyFill="0" applyBorder="0" applyAlignment="0" applyProtection="0"/>
    <xf numFmtId="164" fontId="36" fillId="0" borderId="0" applyFont="0" applyFill="0" applyBorder="0" applyAlignment="0" applyProtection="0"/>
    <xf numFmtId="212" fontId="36" fillId="0" borderId="0" applyFont="0" applyFill="0" applyBorder="0" applyAlignment="0" applyProtection="0"/>
    <xf numFmtId="218" fontId="21"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41" fontId="22"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184" fontId="36" fillId="0" borderId="0" applyFont="0" applyFill="0" applyBorder="0" applyAlignment="0" applyProtection="0"/>
    <xf numFmtId="176" fontId="40" fillId="0" borderId="0" applyFont="0" applyFill="0" applyBorder="0" applyAlignment="0" applyProtection="0"/>
    <xf numFmtId="219" fontId="36" fillId="0" borderId="0" applyFont="0" applyFill="0" applyBorder="0" applyAlignment="0" applyProtection="0"/>
    <xf numFmtId="219" fontId="36" fillId="0" borderId="0" applyFont="0" applyFill="0" applyBorder="0" applyAlignment="0" applyProtection="0"/>
    <xf numFmtId="220" fontId="17" fillId="0" borderId="0" applyFont="0" applyFill="0" applyBorder="0" applyAlignment="0" applyProtection="0"/>
    <xf numFmtId="188" fontId="40" fillId="0" borderId="0" applyFont="0" applyFill="0" applyBorder="0" applyAlignment="0" applyProtection="0"/>
    <xf numFmtId="41" fontId="22" fillId="0" borderId="0" applyFont="0" applyFill="0" applyBorder="0" applyAlignment="0" applyProtection="0"/>
    <xf numFmtId="219" fontId="36" fillId="0" borderId="0" applyFont="0" applyFill="0" applyBorder="0" applyAlignment="0" applyProtection="0"/>
    <xf numFmtId="176" fontId="40" fillId="0" borderId="0" applyFont="0" applyFill="0" applyBorder="0" applyAlignment="0" applyProtection="0"/>
    <xf numFmtId="221" fontId="41" fillId="0" borderId="0" applyFont="0" applyFill="0" applyBorder="0" applyAlignment="0" applyProtection="0"/>
    <xf numFmtId="212"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164" fontId="36" fillId="0" borderId="0" applyFont="0" applyFill="0" applyBorder="0" applyAlignment="0" applyProtection="0"/>
    <xf numFmtId="212" fontId="36" fillId="0" borderId="0" applyFont="0" applyFill="0" applyBorder="0" applyAlignment="0" applyProtection="0"/>
    <xf numFmtId="41" fontId="22" fillId="0" borderId="0" applyFont="0" applyFill="0" applyBorder="0" applyAlignment="0" applyProtection="0"/>
    <xf numFmtId="180" fontId="36" fillId="0" borderId="0" applyFont="0" applyFill="0" applyBorder="0" applyAlignment="0" applyProtection="0"/>
    <xf numFmtId="185" fontId="21" fillId="0" borderId="0" applyFont="0" applyFill="0" applyBorder="0" applyAlignment="0" applyProtection="0"/>
    <xf numFmtId="186" fontId="36" fillId="0" borderId="0" applyFont="0" applyFill="0" applyBorder="0" applyAlignment="0" applyProtection="0"/>
    <xf numFmtId="187" fontId="36" fillId="0" borderId="0" applyFont="0" applyFill="0" applyBorder="0" applyAlignment="0" applyProtection="0"/>
    <xf numFmtId="186" fontId="36"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67" fontId="36" fillId="0" borderId="0" applyFont="0" applyFill="0" applyBorder="0" applyAlignment="0" applyProtection="0"/>
    <xf numFmtId="173" fontId="21" fillId="0" borderId="0" applyFont="0" applyFill="0" applyBorder="0" applyAlignment="0" applyProtection="0"/>
    <xf numFmtId="167" fontId="36" fillId="0" borderId="0" applyFont="0" applyFill="0" applyBorder="0" applyAlignment="0" applyProtection="0"/>
    <xf numFmtId="186" fontId="36" fillId="0" borderId="0" applyFont="0" applyFill="0" applyBorder="0" applyAlignment="0" applyProtection="0"/>
    <xf numFmtId="172" fontId="27"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7" fontId="36" fillId="0" borderId="0" applyFont="0" applyFill="0" applyBorder="0" applyAlignment="0" applyProtection="0"/>
    <xf numFmtId="185" fontId="21" fillId="0" borderId="0" applyFont="0" applyFill="0" applyBorder="0" applyAlignment="0" applyProtection="0"/>
    <xf numFmtId="204" fontId="40" fillId="0" borderId="0" applyFont="0" applyFill="0" applyBorder="0" applyAlignment="0" applyProtection="0"/>
    <xf numFmtId="205" fontId="36" fillId="0" borderId="0" applyFont="0" applyFill="0" applyBorder="0" applyAlignment="0" applyProtection="0"/>
    <xf numFmtId="205" fontId="36" fillId="0" borderId="0" applyFont="0" applyFill="0" applyBorder="0" applyAlignment="0" applyProtection="0"/>
    <xf numFmtId="206" fontId="40" fillId="0" borderId="0" applyFont="0" applyFill="0" applyBorder="0" applyAlignment="0" applyProtection="0"/>
    <xf numFmtId="205" fontId="36" fillId="0" borderId="0" applyFont="0" applyFill="0" applyBorder="0" applyAlignment="0" applyProtection="0"/>
    <xf numFmtId="204" fontId="40" fillId="0" borderId="0" applyFont="0" applyFill="0" applyBorder="0" applyAlignment="0" applyProtection="0"/>
    <xf numFmtId="205" fontId="36" fillId="0" borderId="0" applyFont="0" applyFill="0" applyBorder="0" applyAlignment="0" applyProtection="0"/>
    <xf numFmtId="172" fontId="27" fillId="0" borderId="0" applyFont="0" applyFill="0" applyBorder="0" applyAlignment="0" applyProtection="0"/>
    <xf numFmtId="185" fontId="36" fillId="0" borderId="0" applyFont="0" applyFill="0" applyBorder="0" applyAlignment="0" applyProtection="0"/>
    <xf numFmtId="185" fontId="36" fillId="0" borderId="0" applyFont="0" applyFill="0" applyBorder="0" applyAlignment="0" applyProtection="0"/>
    <xf numFmtId="206" fontId="40" fillId="0" borderId="0" applyFont="0" applyFill="0" applyBorder="0" applyAlignment="0" applyProtection="0"/>
    <xf numFmtId="207" fontId="36" fillId="0" borderId="0" applyFont="0" applyFill="0" applyBorder="0" applyAlignment="0" applyProtection="0"/>
    <xf numFmtId="207" fontId="36" fillId="0" borderId="0" applyFont="0" applyFill="0" applyBorder="0" applyAlignment="0" applyProtection="0"/>
    <xf numFmtId="208" fontId="17" fillId="0" borderId="0" applyFont="0" applyFill="0" applyBorder="0" applyAlignment="0" applyProtection="0"/>
    <xf numFmtId="41" fontId="40" fillId="0" borderId="0" applyFont="0" applyFill="0" applyBorder="0" applyAlignment="0" applyProtection="0"/>
    <xf numFmtId="207" fontId="36" fillId="0" borderId="0" applyFont="0" applyFill="0" applyBorder="0" applyAlignment="0" applyProtection="0"/>
    <xf numFmtId="206" fontId="40" fillId="0" borderId="0" applyFont="0" applyFill="0" applyBorder="0" applyAlignment="0" applyProtection="0"/>
    <xf numFmtId="209" fontId="41" fillId="0" borderId="0" applyFont="0" applyFill="0" applyBorder="0" applyAlignment="0" applyProtection="0"/>
    <xf numFmtId="164" fontId="36" fillId="0" borderId="0" applyFont="0" applyFill="0" applyBorder="0" applyAlignment="0" applyProtection="0"/>
    <xf numFmtId="210" fontId="36" fillId="0" borderId="0" applyFont="0" applyFill="0" applyBorder="0" applyAlignment="0" applyProtection="0"/>
    <xf numFmtId="167" fontId="36" fillId="0" borderId="0" applyFont="0" applyFill="0" applyBorder="0" applyAlignment="0" applyProtection="0"/>
    <xf numFmtId="0" fontId="26" fillId="0" borderId="0"/>
    <xf numFmtId="276" fontId="41"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72" fontId="27"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7" fontId="36" fillId="0" borderId="0" applyFont="0" applyFill="0" applyBorder="0" applyAlignment="0" applyProtection="0"/>
    <xf numFmtId="205" fontId="36" fillId="0" borderId="0" applyFont="0" applyFill="0" applyBorder="0" applyAlignment="0" applyProtection="0"/>
    <xf numFmtId="185" fontId="21" fillId="0" borderId="0" applyFont="0" applyFill="0" applyBorder="0" applyAlignment="0" applyProtection="0"/>
    <xf numFmtId="185" fontId="36" fillId="0" borderId="0" applyFont="0" applyFill="0" applyBorder="0" applyAlignment="0" applyProtection="0"/>
    <xf numFmtId="0" fontId="26" fillId="0" borderId="0"/>
    <xf numFmtId="276" fontId="41"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4" fontId="36" fillId="0" borderId="0" applyFont="0" applyFill="0" applyBorder="0" applyAlignment="0" applyProtection="0"/>
    <xf numFmtId="184" fontId="36" fillId="0" borderId="0" applyFont="0" applyFill="0" applyBorder="0" applyAlignment="0" applyProtection="0"/>
    <xf numFmtId="217" fontId="36" fillId="0" borderId="0" applyFont="0" applyFill="0" applyBorder="0" applyAlignment="0" applyProtection="0"/>
    <xf numFmtId="164" fontId="36" fillId="0" borderId="0" applyFont="0" applyFill="0" applyBorder="0" applyAlignment="0" applyProtection="0"/>
    <xf numFmtId="212" fontId="36" fillId="0" borderId="0" applyFont="0" applyFill="0" applyBorder="0" applyAlignment="0" applyProtection="0"/>
    <xf numFmtId="164" fontId="36" fillId="0" borderId="0" applyFont="0" applyFill="0" applyBorder="0" applyAlignment="0" applyProtection="0"/>
    <xf numFmtId="218" fontId="21"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184" fontId="36" fillId="0" borderId="0" applyFont="0" applyFill="0" applyBorder="0" applyAlignment="0" applyProtection="0"/>
    <xf numFmtId="176" fontId="40" fillId="0" borderId="0" applyFont="0" applyFill="0" applyBorder="0" applyAlignment="0" applyProtection="0"/>
    <xf numFmtId="219" fontId="36" fillId="0" borderId="0" applyFont="0" applyFill="0" applyBorder="0" applyAlignment="0" applyProtection="0"/>
    <xf numFmtId="184" fontId="36" fillId="0" borderId="0" applyFont="0" applyFill="0" applyBorder="0" applyAlignment="0" applyProtection="0"/>
    <xf numFmtId="219" fontId="36" fillId="0" borderId="0" applyFont="0" applyFill="0" applyBorder="0" applyAlignment="0" applyProtection="0"/>
    <xf numFmtId="220" fontId="17" fillId="0" borderId="0" applyFont="0" applyFill="0" applyBorder="0" applyAlignment="0" applyProtection="0"/>
    <xf numFmtId="188" fontId="40" fillId="0" borderId="0" applyFont="0" applyFill="0" applyBorder="0" applyAlignment="0" applyProtection="0"/>
    <xf numFmtId="219" fontId="36" fillId="0" borderId="0" applyFont="0" applyFill="0" applyBorder="0" applyAlignment="0" applyProtection="0"/>
    <xf numFmtId="176" fontId="40" fillId="0" borderId="0" applyFont="0" applyFill="0" applyBorder="0" applyAlignment="0" applyProtection="0"/>
    <xf numFmtId="221" fontId="41" fillId="0" borderId="0" applyFont="0" applyFill="0" applyBorder="0" applyAlignment="0" applyProtection="0"/>
    <xf numFmtId="212"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212" fontId="36" fillId="0" borderId="0" applyFont="0" applyFill="0" applyBorder="0" applyAlignment="0" applyProtection="0"/>
    <xf numFmtId="164" fontId="36" fillId="0" borderId="0" applyFont="0" applyFill="0" applyBorder="0" applyAlignment="0" applyProtection="0"/>
    <xf numFmtId="212" fontId="36" fillId="0" borderId="0" applyFont="0" applyFill="0" applyBorder="0" applyAlignment="0" applyProtection="0"/>
    <xf numFmtId="164" fontId="36" fillId="0" borderId="0" applyFont="0" applyFill="0" applyBorder="0" applyAlignment="0" applyProtection="0"/>
    <xf numFmtId="212" fontId="36" fillId="0" borderId="0" applyFont="0" applyFill="0" applyBorder="0" applyAlignment="0" applyProtection="0"/>
    <xf numFmtId="172" fontId="27"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211" fontId="36" fillId="0" borderId="0" applyFont="0" applyFill="0" applyBorder="0" applyAlignment="0" applyProtection="0"/>
    <xf numFmtId="212" fontId="36"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211" fontId="36" fillId="0" borderId="0" applyFont="0" applyFill="0" applyBorder="0" applyAlignment="0" applyProtection="0"/>
    <xf numFmtId="213" fontId="36" fillId="0" borderId="0" applyFont="0" applyFill="0" applyBorder="0" applyAlignment="0" applyProtection="0"/>
    <xf numFmtId="164" fontId="36" fillId="0" borderId="0" applyFont="0" applyFill="0" applyBorder="0" applyAlignment="0" applyProtection="0"/>
    <xf numFmtId="184" fontId="21" fillId="0" borderId="0" applyFont="0" applyFill="0" applyBorder="0" applyAlignment="0" applyProtection="0"/>
    <xf numFmtId="164" fontId="36" fillId="0" borderId="0" applyFont="0" applyFill="0" applyBorder="0" applyAlignment="0" applyProtection="0"/>
    <xf numFmtId="184" fontId="21"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1" fontId="36" fillId="0" borderId="0" applyFont="0" applyFill="0" applyBorder="0" applyAlignment="0" applyProtection="0"/>
    <xf numFmtId="214" fontId="36" fillId="0" borderId="0" applyFont="0" applyFill="0" applyBorder="0" applyAlignment="0" applyProtection="0"/>
    <xf numFmtId="212" fontId="36" fillId="0" borderId="0" applyFont="0" applyFill="0" applyBorder="0" applyAlignment="0" applyProtection="0"/>
    <xf numFmtId="215" fontId="36" fillId="0" borderId="0" applyFont="0" applyFill="0" applyBorder="0" applyAlignment="0" applyProtection="0"/>
    <xf numFmtId="216" fontId="36" fillId="0" borderId="0" applyFont="0" applyFill="0" applyBorder="0" applyAlignment="0" applyProtection="0"/>
    <xf numFmtId="164" fontId="36" fillId="0" borderId="0" applyFont="0" applyFill="0" applyBorder="0" applyAlignment="0" applyProtection="0"/>
    <xf numFmtId="215" fontId="36" fillId="0" borderId="0" applyFont="0" applyFill="0" applyBorder="0" applyAlignment="0" applyProtection="0"/>
    <xf numFmtId="211"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212"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14" fontId="178" fillId="0" borderId="0"/>
    <xf numFmtId="14" fontId="178" fillId="0" borderId="0"/>
    <xf numFmtId="0" fontId="179" fillId="0" borderId="0"/>
    <xf numFmtId="0" fontId="140" fillId="0" borderId="0"/>
    <xf numFmtId="40" fontId="180" fillId="0" borderId="0" applyBorder="0">
      <alignment horizontal="right"/>
    </xf>
    <xf numFmtId="0" fontId="181" fillId="0" borderId="0"/>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180" fontId="182" fillId="0" borderId="7">
      <alignment horizontal="right" vertical="center"/>
    </xf>
    <xf numFmtId="180" fontId="182" fillId="0" borderId="7">
      <alignment horizontal="right" vertical="center"/>
    </xf>
    <xf numFmtId="200" fontId="63" fillId="0" borderId="7">
      <alignment horizontal="right" vertical="center"/>
    </xf>
    <xf numFmtId="200" fontId="63"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8" fontId="41" fillId="0" borderId="40">
      <alignment horizontal="right" vertical="center"/>
    </xf>
    <xf numFmtId="278" fontId="41" fillId="0" borderId="40">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77" fontId="41" fillId="0" borderId="7">
      <alignment horizontal="right" vertical="center"/>
    </xf>
    <xf numFmtId="277" fontId="41" fillId="0" borderId="7">
      <alignment horizontal="right" vertical="center"/>
    </xf>
    <xf numFmtId="278" fontId="41" fillId="0" borderId="40">
      <alignment horizontal="right" vertical="center"/>
    </xf>
    <xf numFmtId="278" fontId="41" fillId="0" borderId="40">
      <alignment horizontal="right" vertical="center"/>
    </xf>
    <xf numFmtId="181" fontId="26" fillId="0" borderId="7">
      <alignment horizontal="right" vertical="center"/>
    </xf>
    <xf numFmtId="181" fontId="26"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181" fontId="26" fillId="0" borderId="7">
      <alignment horizontal="right" vertical="center"/>
    </xf>
    <xf numFmtId="181" fontId="26" fillId="0" borderId="7">
      <alignment horizontal="right" vertical="center"/>
    </xf>
    <xf numFmtId="202" fontId="22" fillId="0" borderId="7">
      <alignment horizontal="right" vertical="center"/>
    </xf>
    <xf numFmtId="202" fontId="22" fillId="0" borderId="7">
      <alignment horizontal="right" vertical="center"/>
    </xf>
    <xf numFmtId="279" fontId="22" fillId="0" borderId="7">
      <alignment horizontal="right" vertical="center"/>
    </xf>
    <xf numFmtId="279" fontId="22" fillId="0" borderId="7">
      <alignment horizontal="right" vertical="center"/>
    </xf>
    <xf numFmtId="280" fontId="36" fillId="0" borderId="7">
      <alignment horizontal="right" vertical="center"/>
    </xf>
    <xf numFmtId="280" fontId="36" fillId="0" borderId="7">
      <alignment horizontal="right" vertical="center"/>
    </xf>
    <xf numFmtId="281" fontId="22" fillId="0" borderId="7">
      <alignment horizontal="right" vertical="center"/>
    </xf>
    <xf numFmtId="281" fontId="22" fillId="0" borderId="7">
      <alignment horizontal="right" vertical="center"/>
    </xf>
    <xf numFmtId="281" fontId="22" fillId="0" borderId="7">
      <alignment horizontal="right" vertical="center"/>
    </xf>
    <xf numFmtId="281" fontId="22" fillId="0" borderId="7">
      <alignment horizontal="right" vertical="center"/>
    </xf>
    <xf numFmtId="279" fontId="22" fillId="0" borderId="7">
      <alignment horizontal="right" vertical="center"/>
    </xf>
    <xf numFmtId="279" fontId="22" fillId="0" borderId="7">
      <alignment horizontal="right" vertical="center"/>
    </xf>
    <xf numFmtId="181" fontId="26" fillId="0" borderId="7">
      <alignment horizontal="right" vertical="center"/>
    </xf>
    <xf numFmtId="181" fontId="26" fillId="0" borderId="7">
      <alignment horizontal="right" vertical="center"/>
    </xf>
    <xf numFmtId="202" fontId="22" fillId="0" borderId="7">
      <alignment horizontal="right" vertical="center"/>
    </xf>
    <xf numFmtId="202" fontId="22" fillId="0" borderId="7">
      <alignment horizontal="right" vertical="center"/>
    </xf>
    <xf numFmtId="181" fontId="26" fillId="0" borderId="7">
      <alignment horizontal="right" vertical="center"/>
    </xf>
    <xf numFmtId="181" fontId="26"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82" fontId="21" fillId="0" borderId="7">
      <alignment horizontal="right" vertical="center"/>
    </xf>
    <xf numFmtId="282" fontId="21" fillId="0" borderId="7">
      <alignment horizontal="right" vertical="center"/>
    </xf>
    <xf numFmtId="181" fontId="26" fillId="0" borderId="7">
      <alignment horizontal="right" vertical="center"/>
    </xf>
    <xf numFmtId="181" fontId="26" fillId="0" borderId="7">
      <alignment horizontal="right" vertical="center"/>
    </xf>
    <xf numFmtId="278" fontId="41" fillId="0" borderId="40">
      <alignment horizontal="right" vertical="center"/>
    </xf>
    <xf numFmtId="278" fontId="41" fillId="0" borderId="40">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8" fontId="41" fillId="0" borderId="40">
      <alignment horizontal="right" vertical="center"/>
    </xf>
    <xf numFmtId="278" fontId="41" fillId="0" borderId="40">
      <alignment horizontal="right" vertical="center"/>
    </xf>
    <xf numFmtId="279" fontId="22" fillId="0" borderId="7">
      <alignment horizontal="right" vertical="center"/>
    </xf>
    <xf numFmtId="279" fontId="22" fillId="0" borderId="7">
      <alignment horizontal="right" vertical="center"/>
    </xf>
    <xf numFmtId="280" fontId="36" fillId="0" borderId="7">
      <alignment horizontal="right" vertical="center"/>
    </xf>
    <xf numFmtId="280" fontId="36" fillId="0" borderId="7">
      <alignment horizontal="right" vertical="center"/>
    </xf>
    <xf numFmtId="279" fontId="22" fillId="0" borderId="7">
      <alignment horizontal="right" vertical="center"/>
    </xf>
    <xf numFmtId="279" fontId="22" fillId="0" borderId="7">
      <alignment horizontal="right" vertical="center"/>
    </xf>
    <xf numFmtId="281" fontId="22" fillId="0" borderId="7">
      <alignment horizontal="right" vertical="center"/>
    </xf>
    <xf numFmtId="281" fontId="22"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9" fontId="22" fillId="0" borderId="7">
      <alignment horizontal="right" vertical="center"/>
    </xf>
    <xf numFmtId="279" fontId="22" fillId="0" borderId="7">
      <alignment horizontal="right" vertical="center"/>
    </xf>
    <xf numFmtId="283" fontId="183" fillId="2" borderId="41" applyFont="0" applyFill="0" applyBorder="0"/>
    <xf numFmtId="279" fontId="22" fillId="0" borderId="7">
      <alignment horizontal="right" vertical="center"/>
    </xf>
    <xf numFmtId="279" fontId="22" fillId="0" borderId="7">
      <alignment horizontal="right" vertical="center"/>
    </xf>
    <xf numFmtId="278" fontId="41" fillId="0" borderId="40">
      <alignment horizontal="right" vertical="center"/>
    </xf>
    <xf numFmtId="278" fontId="41" fillId="0" borderId="40">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18" fontId="41" fillId="0" borderId="7">
      <alignment horizontal="right" vertical="center"/>
    </xf>
    <xf numFmtId="218" fontId="41" fillId="0" borderId="7">
      <alignment horizontal="right" vertical="center"/>
    </xf>
    <xf numFmtId="283" fontId="183" fillId="2" borderId="41" applyFont="0" applyFill="0" applyBorder="0"/>
    <xf numFmtId="284" fontId="17" fillId="0" borderId="7">
      <alignment horizontal="right" vertical="center"/>
    </xf>
    <xf numFmtId="284" fontId="17"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18" fontId="41" fillId="0" borderId="7">
      <alignment horizontal="right" vertical="center"/>
    </xf>
    <xf numFmtId="218" fontId="41" fillId="0" borderId="7">
      <alignment horizontal="right" vertical="center"/>
    </xf>
    <xf numFmtId="202" fontId="22" fillId="0" borderId="7">
      <alignment horizontal="right" vertical="center"/>
    </xf>
    <xf numFmtId="202" fontId="22" fillId="0" borderId="7">
      <alignment horizontal="right" vertical="center"/>
    </xf>
    <xf numFmtId="278" fontId="41" fillId="0" borderId="40">
      <alignment horizontal="right" vertical="center"/>
    </xf>
    <xf numFmtId="278" fontId="41" fillId="0" borderId="40">
      <alignment horizontal="right" vertical="center"/>
    </xf>
    <xf numFmtId="279" fontId="22" fillId="0" borderId="7">
      <alignment horizontal="right" vertical="center"/>
    </xf>
    <xf numFmtId="279" fontId="22" fillId="0" borderId="7">
      <alignment horizontal="right" vertical="center"/>
    </xf>
    <xf numFmtId="280" fontId="36" fillId="0" borderId="7">
      <alignment horizontal="right" vertical="center"/>
    </xf>
    <xf numFmtId="280" fontId="36" fillId="0" borderId="7">
      <alignment horizontal="right" vertical="center"/>
    </xf>
    <xf numFmtId="279" fontId="22" fillId="0" borderId="7">
      <alignment horizontal="right" vertical="center"/>
    </xf>
    <xf numFmtId="279" fontId="22" fillId="0" borderId="7">
      <alignment horizontal="right" vertical="center"/>
    </xf>
    <xf numFmtId="277" fontId="41" fillId="0" borderId="7">
      <alignment horizontal="right" vertical="center"/>
    </xf>
    <xf numFmtId="277" fontId="41" fillId="0" borderId="7">
      <alignment horizontal="right" vertical="center"/>
    </xf>
    <xf numFmtId="202" fontId="22" fillId="0" borderId="7">
      <alignment horizontal="right" vertical="center"/>
    </xf>
    <xf numFmtId="202" fontId="22" fillId="0" borderId="7">
      <alignment horizontal="right" vertical="center"/>
    </xf>
    <xf numFmtId="202" fontId="22" fillId="0" borderId="7">
      <alignment horizontal="right" vertical="center"/>
    </xf>
    <xf numFmtId="202" fontId="22" fillId="0" borderId="7">
      <alignment horizontal="right" vertical="center"/>
    </xf>
    <xf numFmtId="285" fontId="21" fillId="0" borderId="7">
      <alignment horizontal="right" vertical="center"/>
    </xf>
    <xf numFmtId="285" fontId="21" fillId="0" borderId="7">
      <alignment horizontal="right" vertical="center"/>
    </xf>
    <xf numFmtId="278" fontId="41" fillId="0" borderId="40">
      <alignment horizontal="right" vertical="center"/>
    </xf>
    <xf numFmtId="278" fontId="41" fillId="0" borderId="40">
      <alignment horizontal="right" vertical="center"/>
    </xf>
    <xf numFmtId="286" fontId="22" fillId="0" borderId="7">
      <alignment horizontal="right" vertical="center"/>
    </xf>
    <xf numFmtId="286" fontId="22"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79" fontId="22" fillId="0" borderId="7">
      <alignment horizontal="right" vertical="center"/>
    </xf>
    <xf numFmtId="279" fontId="22" fillId="0" borderId="7">
      <alignment horizontal="right" vertical="center"/>
    </xf>
    <xf numFmtId="281" fontId="22" fillId="0" borderId="7">
      <alignment horizontal="right" vertical="center"/>
    </xf>
    <xf numFmtId="281" fontId="22" fillId="0" borderId="7">
      <alignment horizontal="right" vertical="center"/>
    </xf>
    <xf numFmtId="204" fontId="22" fillId="0" borderId="7">
      <alignment horizontal="right" vertical="center"/>
    </xf>
    <xf numFmtId="204" fontId="22"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83" fontId="183" fillId="2" borderId="41" applyFont="0" applyFill="0" applyBorder="0"/>
    <xf numFmtId="279" fontId="22" fillId="0" borderId="7">
      <alignment horizontal="right" vertical="center"/>
    </xf>
    <xf numFmtId="279" fontId="22"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9" fontId="22" fillId="0" borderId="7">
      <alignment horizontal="right" vertical="center"/>
    </xf>
    <xf numFmtId="279" fontId="22"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87" fontId="63" fillId="0" borderId="7">
      <alignment horizontal="right" vertical="center"/>
    </xf>
    <xf numFmtId="287" fontId="63" fillId="0" borderId="7">
      <alignment horizontal="right" vertical="center"/>
    </xf>
    <xf numFmtId="279" fontId="22" fillId="0" borderId="7">
      <alignment horizontal="right" vertical="center"/>
    </xf>
    <xf numFmtId="279" fontId="22" fillId="0" borderId="7">
      <alignment horizontal="right" vertical="center"/>
    </xf>
    <xf numFmtId="283" fontId="183" fillId="2" borderId="41" applyFont="0" applyFill="0" applyBorder="0"/>
    <xf numFmtId="283" fontId="183" fillId="2" borderId="41" applyFont="0" applyFill="0" applyBorder="0"/>
    <xf numFmtId="203" fontId="41" fillId="0" borderId="7">
      <alignment horizontal="right" vertical="center"/>
    </xf>
    <xf numFmtId="203" fontId="41" fillId="0" borderId="7">
      <alignment horizontal="right" vertical="center"/>
    </xf>
    <xf numFmtId="181" fontId="26" fillId="0" borderId="7">
      <alignment horizontal="right" vertical="center"/>
    </xf>
    <xf numFmtId="181" fontId="26" fillId="0" borderId="7">
      <alignment horizontal="right" vertical="center"/>
    </xf>
    <xf numFmtId="200" fontId="63" fillId="0" borderId="7">
      <alignment horizontal="right" vertical="center"/>
    </xf>
    <xf numFmtId="200" fontId="63" fillId="0" borderId="7">
      <alignment horizontal="right" vertical="center"/>
    </xf>
    <xf numFmtId="279" fontId="22" fillId="0" borderId="7">
      <alignment horizontal="right" vertical="center"/>
    </xf>
    <xf numFmtId="279" fontId="22"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00" fontId="63" fillId="0" borderId="7">
      <alignment horizontal="right" vertical="center"/>
    </xf>
    <xf numFmtId="277" fontId="41" fillId="0" borderId="7">
      <alignment horizontal="right" vertical="center"/>
    </xf>
    <xf numFmtId="277" fontId="41" fillId="0" borderId="7">
      <alignment horizontal="right" vertical="center"/>
    </xf>
    <xf numFmtId="283" fontId="183" fillId="2" borderId="41" applyFont="0" applyFill="0" applyBorder="0"/>
    <xf numFmtId="267" fontId="22" fillId="0" borderId="7">
      <alignment horizontal="right" vertical="center"/>
    </xf>
    <xf numFmtId="267" fontId="22" fillId="0" borderId="7">
      <alignment horizontal="right" vertical="center"/>
    </xf>
    <xf numFmtId="267" fontId="22" fillId="0" borderId="7">
      <alignment horizontal="right" vertical="center"/>
    </xf>
    <xf numFmtId="267" fontId="22" fillId="0" borderId="7">
      <alignment horizontal="right" vertical="center"/>
    </xf>
    <xf numFmtId="267" fontId="22" fillId="0" borderId="7">
      <alignment horizontal="right" vertical="center"/>
    </xf>
    <xf numFmtId="267" fontId="22" fillId="0" borderId="7">
      <alignment horizontal="right" vertical="center"/>
    </xf>
    <xf numFmtId="267" fontId="22" fillId="0" borderId="7">
      <alignment horizontal="right" vertical="center"/>
    </xf>
    <xf numFmtId="267" fontId="22" fillId="0" borderId="7">
      <alignment horizontal="right" vertical="center"/>
    </xf>
    <xf numFmtId="277" fontId="41" fillId="0" borderId="7">
      <alignment horizontal="right" vertical="center"/>
    </xf>
    <xf numFmtId="277" fontId="41" fillId="0" borderId="7">
      <alignment horizontal="right" vertical="center"/>
    </xf>
    <xf numFmtId="267" fontId="22" fillId="0" borderId="7">
      <alignment horizontal="right" vertical="center"/>
    </xf>
    <xf numFmtId="267" fontId="22" fillId="0" borderId="7">
      <alignment horizontal="right" vertical="center"/>
    </xf>
    <xf numFmtId="288" fontId="22" fillId="0" borderId="40">
      <alignment horizontal="right" vertical="center"/>
    </xf>
    <xf numFmtId="288" fontId="22" fillId="0" borderId="40">
      <alignment horizontal="right" vertical="center"/>
    </xf>
    <xf numFmtId="288" fontId="22" fillId="0" borderId="40">
      <alignment horizontal="right" vertical="center"/>
    </xf>
    <xf numFmtId="288" fontId="22" fillId="0" borderId="40">
      <alignment horizontal="right" vertical="center"/>
    </xf>
    <xf numFmtId="288" fontId="22" fillId="0" borderId="40">
      <alignment horizontal="right" vertical="center"/>
    </xf>
    <xf numFmtId="288" fontId="22" fillId="0" borderId="40">
      <alignment horizontal="right" vertical="center"/>
    </xf>
    <xf numFmtId="288" fontId="22" fillId="0" borderId="40">
      <alignment horizontal="right" vertical="center"/>
    </xf>
    <xf numFmtId="288" fontId="22" fillId="0" borderId="40">
      <alignment horizontal="right" vertical="center"/>
    </xf>
    <xf numFmtId="288" fontId="22" fillId="0" borderId="40">
      <alignment horizontal="right" vertical="center"/>
    </xf>
    <xf numFmtId="288" fontId="22" fillId="0" borderId="40">
      <alignment horizontal="right" vertical="center"/>
    </xf>
    <xf numFmtId="180" fontId="182" fillId="0" borderId="7">
      <alignment horizontal="right" vertical="center"/>
    </xf>
    <xf numFmtId="180" fontId="182" fillId="0" borderId="7">
      <alignment horizontal="right" vertical="center"/>
    </xf>
    <xf numFmtId="277" fontId="41" fillId="0" borderId="7">
      <alignment horizontal="right" vertical="center"/>
    </xf>
    <xf numFmtId="277" fontId="41" fillId="0" borderId="7">
      <alignment horizontal="right" vertical="center"/>
    </xf>
    <xf numFmtId="204" fontId="22" fillId="0" borderId="7">
      <alignment horizontal="right" vertical="center"/>
    </xf>
    <xf numFmtId="204" fontId="22" fillId="0" borderId="7">
      <alignment horizontal="right" vertical="center"/>
    </xf>
    <xf numFmtId="181" fontId="26" fillId="0" borderId="7">
      <alignment horizontal="right" vertical="center"/>
    </xf>
    <xf numFmtId="181" fontId="26"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277" fontId="41" fillId="0" borderId="7">
      <alignment horizontal="right" vertical="center"/>
    </xf>
    <xf numFmtId="181" fontId="26" fillId="0" borderId="7">
      <alignment horizontal="right" vertical="center"/>
    </xf>
    <xf numFmtId="181" fontId="26" fillId="0" borderId="7">
      <alignment horizontal="right" vertical="center"/>
    </xf>
    <xf numFmtId="277" fontId="41" fillId="0" borderId="7">
      <alignment horizontal="right" vertical="center"/>
    </xf>
    <xf numFmtId="277" fontId="41" fillId="0" borderId="7">
      <alignment horizontal="right" vertical="center"/>
    </xf>
    <xf numFmtId="279" fontId="22" fillId="0" borderId="7">
      <alignment horizontal="right" vertical="center"/>
    </xf>
    <xf numFmtId="279" fontId="22" fillId="0" borderId="7">
      <alignment horizontal="right" vertical="center"/>
    </xf>
    <xf numFmtId="277" fontId="41" fillId="0" borderId="7">
      <alignment horizontal="right" vertical="center"/>
    </xf>
    <xf numFmtId="277" fontId="41" fillId="0" borderId="7">
      <alignment horizontal="right" vertical="center"/>
    </xf>
    <xf numFmtId="278" fontId="41" fillId="0" borderId="40">
      <alignment horizontal="right" vertical="center"/>
    </xf>
    <xf numFmtId="278" fontId="41" fillId="0" borderId="40">
      <alignment horizontal="right" vertical="center"/>
    </xf>
    <xf numFmtId="278" fontId="41" fillId="0" borderId="40">
      <alignment horizontal="right" vertical="center"/>
    </xf>
    <xf numFmtId="278" fontId="41" fillId="0" borderId="40">
      <alignment horizontal="right" vertical="center"/>
    </xf>
    <xf numFmtId="278" fontId="41" fillId="0" borderId="40">
      <alignment horizontal="right" vertical="center"/>
    </xf>
    <xf numFmtId="278" fontId="41" fillId="0" borderId="40">
      <alignment horizontal="right" vertical="center"/>
    </xf>
    <xf numFmtId="278" fontId="41" fillId="0" borderId="40">
      <alignment horizontal="right" vertical="center"/>
    </xf>
    <xf numFmtId="278" fontId="41" fillId="0" borderId="40">
      <alignment horizontal="right" vertical="center"/>
    </xf>
    <xf numFmtId="278" fontId="41" fillId="0" borderId="40">
      <alignment horizontal="right" vertical="center"/>
    </xf>
    <xf numFmtId="278" fontId="41" fillId="0" borderId="40">
      <alignment horizontal="right" vertical="center"/>
    </xf>
    <xf numFmtId="277" fontId="41" fillId="0" borderId="7">
      <alignment horizontal="right" vertical="center"/>
    </xf>
    <xf numFmtId="277" fontId="41" fillId="0" borderId="7">
      <alignment horizontal="right" vertical="center"/>
    </xf>
    <xf numFmtId="203" fontId="41" fillId="0" borderId="7">
      <alignment horizontal="right" vertical="center"/>
    </xf>
    <xf numFmtId="203" fontId="41" fillId="0" borderId="7">
      <alignment horizontal="right" vertical="center"/>
    </xf>
    <xf numFmtId="289" fontId="184" fillId="0" borderId="7">
      <alignment horizontal="right" vertical="center"/>
    </xf>
    <xf numFmtId="289" fontId="184" fillId="0" borderId="7">
      <alignment horizontal="right" vertical="center"/>
    </xf>
    <xf numFmtId="49" fontId="25" fillId="0" borderId="0" applyFill="0" applyBorder="0" applyProtection="0">
      <alignment horizontal="center" vertical="center" wrapText="1" shrinkToFit="1"/>
    </xf>
    <xf numFmtId="49" fontId="38" fillId="0" borderId="0" applyFill="0" applyBorder="0" applyAlignment="0"/>
    <xf numFmtId="290" fontId="17" fillId="0" borderId="0" applyFill="0" applyBorder="0" applyAlignment="0"/>
    <xf numFmtId="291" fontId="17" fillId="0" borderId="0" applyFill="0" applyBorder="0" applyAlignment="0"/>
    <xf numFmtId="49" fontId="25" fillId="0" borderId="0" applyFill="0" applyBorder="0" applyProtection="0">
      <alignment horizontal="center" vertical="center" wrapText="1" shrinkToFit="1"/>
    </xf>
    <xf numFmtId="185" fontId="41" fillId="0" borderId="7">
      <alignment horizontal="center"/>
    </xf>
    <xf numFmtId="185" fontId="41" fillId="0" borderId="7">
      <alignment horizontal="center"/>
    </xf>
    <xf numFmtId="292" fontId="185" fillId="0" borderId="0" applyNumberFormat="0" applyFont="0" applyFill="0" applyBorder="0" applyAlignment="0">
      <alignment horizontal="centerContinuous"/>
    </xf>
    <xf numFmtId="264" fontId="186" fillId="0" borderId="0">
      <alignment horizontal="center"/>
      <protection locked="0"/>
    </xf>
    <xf numFmtId="0" fontId="22" fillId="0" borderId="42"/>
    <xf numFmtId="0" fontId="4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60" fillId="0" borderId="0" applyNumberFormat="0" applyFill="0" applyBorder="0" applyAlignment="0" applyProtection="0"/>
    <xf numFmtId="0" fontId="27" fillId="0" borderId="6" applyNumberFormat="0" applyBorder="0" applyAlignment="0"/>
    <xf numFmtId="0" fontId="187" fillId="0" borderId="10" applyNumberFormat="0" applyBorder="0" applyAlignment="0">
      <alignment horizontal="center"/>
    </xf>
    <xf numFmtId="3" fontId="188" fillId="0" borderId="11" applyNumberFormat="0" applyBorder="0" applyAlignment="0"/>
    <xf numFmtId="0" fontId="189" fillId="0" borderId="6">
      <alignment horizontal="center" vertical="center" wrapText="1"/>
    </xf>
    <xf numFmtId="0" fontId="190" fillId="0" borderId="0" applyNumberFormat="0" applyFill="0" applyBorder="0" applyAlignment="0" applyProtection="0"/>
    <xf numFmtId="40" fontId="116" fillId="0" borderId="0"/>
    <xf numFmtId="0" fontId="76" fillId="41" borderId="18" applyNumberFormat="0" applyAlignment="0" applyProtection="0"/>
    <xf numFmtId="0" fontId="76" fillId="41" borderId="18" applyNumberFormat="0" applyAlignment="0" applyProtection="0"/>
    <xf numFmtId="3" fontId="191" fillId="0" borderId="0" applyNumberFormat="0" applyFill="0" applyBorder="0" applyAlignment="0" applyProtection="0">
      <alignment horizontal="center" wrapText="1"/>
    </xf>
    <xf numFmtId="0" fontId="192" fillId="0" borderId="2" applyBorder="0" applyAlignment="0">
      <alignment horizontal="center" vertical="center"/>
    </xf>
    <xf numFmtId="0" fontId="192" fillId="0" borderId="2" applyBorder="0" applyAlignment="0">
      <alignment horizontal="center" vertical="center"/>
    </xf>
    <xf numFmtId="0" fontId="193" fillId="0" borderId="0" applyNumberFormat="0" applyFill="0" applyBorder="0" applyAlignment="0" applyProtection="0">
      <alignment horizontal="centerContinuous"/>
    </xf>
    <xf numFmtId="0" fontId="117" fillId="0" borderId="43" applyNumberFormat="0" applyFill="0" applyBorder="0" applyAlignment="0" applyProtection="0">
      <alignment horizontal="center" vertical="center" wrapText="1"/>
    </xf>
    <xf numFmtId="0" fontId="190" fillId="0" borderId="0" applyNumberFormat="0" applyFill="0" applyBorder="0" applyAlignment="0" applyProtection="0"/>
    <xf numFmtId="0" fontId="190" fillId="0" borderId="0" applyNumberFormat="0" applyFill="0" applyBorder="0" applyAlignment="0" applyProtection="0"/>
    <xf numFmtId="0" fontId="194" fillId="0" borderId="44" applyNumberFormat="0" applyFill="0" applyAlignment="0" applyProtection="0"/>
    <xf numFmtId="0" fontId="194" fillId="0" borderId="44" applyNumberFormat="0" applyFill="0" applyAlignment="0" applyProtection="0"/>
    <xf numFmtId="0" fontId="195" fillId="0" borderId="45" applyNumberFormat="0" applyBorder="0" applyAlignment="0">
      <alignment vertical="center"/>
    </xf>
    <xf numFmtId="0" fontId="195" fillId="0" borderId="45" applyNumberFormat="0" applyBorder="0" applyAlignment="0">
      <alignment vertical="center"/>
    </xf>
    <xf numFmtId="0" fontId="115" fillId="9" borderId="0" applyNumberFormat="0" applyBorder="0" applyAlignment="0" applyProtection="0"/>
    <xf numFmtId="0" fontId="17" fillId="0" borderId="17" applyNumberFormat="0" applyFont="0" applyFill="0" applyAlignment="0" applyProtection="0"/>
    <xf numFmtId="0" fontId="194" fillId="0" borderId="44" applyNumberFormat="0" applyFill="0" applyAlignment="0" applyProtection="0"/>
    <xf numFmtId="0" fontId="194" fillId="0" borderId="44" applyNumberFormat="0" applyFill="0" applyAlignment="0" applyProtection="0"/>
    <xf numFmtId="0" fontId="17" fillId="0" borderId="46" applyNumberFormat="0" applyFill="0" applyAlignment="0" applyProtection="0"/>
    <xf numFmtId="0" fontId="141" fillId="0" borderId="47" applyNumberFormat="0" applyAlignment="0">
      <alignment horizontal="center"/>
    </xf>
    <xf numFmtId="0" fontId="143" fillId="49" borderId="0" applyNumberFormat="0" applyBorder="0" applyAlignment="0" applyProtection="0"/>
    <xf numFmtId="0" fontId="196" fillId="0" borderId="48">
      <alignment horizontal="center"/>
    </xf>
    <xf numFmtId="3" fontId="197" fillId="0" borderId="0" applyFill="0">
      <alignment vertical="center"/>
    </xf>
    <xf numFmtId="41" fontId="17" fillId="0" borderId="0" applyFont="0" applyFill="0" applyBorder="0" applyAlignment="0" applyProtection="0"/>
    <xf numFmtId="192" fontId="17" fillId="0" borderId="0" applyFont="0" applyFill="0" applyBorder="0" applyAlignment="0" applyProtection="0"/>
    <xf numFmtId="172" fontId="198" fillId="0" borderId="49" applyNumberFormat="0" applyFont="0" applyAlignment="0">
      <alignment horizontal="centerContinuous"/>
    </xf>
    <xf numFmtId="255" fontId="129" fillId="0" borderId="0" applyFont="0" applyFill="0" applyBorder="0" applyAlignment="0" applyProtection="0"/>
    <xf numFmtId="293" fontId="22" fillId="0" borderId="0" applyFont="0" applyFill="0" applyBorder="0" applyAlignment="0" applyProtection="0"/>
    <xf numFmtId="294" fontId="22" fillId="0" borderId="0" applyFont="0" applyFill="0" applyBorder="0" applyAlignment="0" applyProtection="0"/>
    <xf numFmtId="0" fontId="199" fillId="0" borderId="0" applyNumberFormat="0" applyFill="0" applyBorder="0" applyAlignment="0" applyProtection="0"/>
    <xf numFmtId="0" fontId="104" fillId="0" borderId="0" applyNumberFormat="0" applyFill="0" applyBorder="0" applyAlignment="0" applyProtection="0"/>
    <xf numFmtId="0" fontId="122" fillId="0" borderId="50">
      <alignment horizontal="center"/>
    </xf>
    <xf numFmtId="291" fontId="41" fillId="0" borderId="0"/>
    <xf numFmtId="203" fontId="41" fillId="0" borderId="1"/>
    <xf numFmtId="203" fontId="41" fillId="0" borderId="1"/>
    <xf numFmtId="0" fontId="200" fillId="0" borderId="0"/>
    <xf numFmtId="0" fontId="39" fillId="0" borderId="0"/>
    <xf numFmtId="0" fontId="39" fillId="0" borderId="0"/>
    <xf numFmtId="0" fontId="201" fillId="0" borderId="0"/>
    <xf numFmtId="3" fontId="41" fillId="0" borderId="0" applyNumberFormat="0" applyBorder="0" applyAlignment="0" applyProtection="0">
      <alignment horizontal="centerContinuous"/>
      <protection locked="0"/>
    </xf>
    <xf numFmtId="3" fontId="202" fillId="0" borderId="0">
      <protection locked="0"/>
    </xf>
    <xf numFmtId="0" fontId="39" fillId="0" borderId="0"/>
    <xf numFmtId="0" fontId="39" fillId="0" borderId="0"/>
    <xf numFmtId="0" fontId="203" fillId="0" borderId="51" applyFill="0" applyBorder="0" applyAlignment="0">
      <alignment horizontal="center"/>
    </xf>
    <xf numFmtId="218" fontId="204" fillId="67" borderId="2">
      <alignment vertical="top"/>
    </xf>
    <xf numFmtId="218" fontId="204" fillId="67" borderId="2">
      <alignment vertical="top"/>
    </xf>
    <xf numFmtId="0" fontId="205" fillId="68" borderId="1">
      <alignment horizontal="left" vertical="center"/>
    </xf>
    <xf numFmtId="0" fontId="205" fillId="68" borderId="1">
      <alignment horizontal="left" vertical="center"/>
    </xf>
    <xf numFmtId="200" fontId="206" fillId="51" borderId="2"/>
    <xf numFmtId="200" fontId="206" fillId="51" borderId="2"/>
    <xf numFmtId="218" fontId="126" fillId="0" borderId="2">
      <alignment horizontal="left" vertical="top"/>
    </xf>
    <xf numFmtId="218" fontId="126" fillId="0" borderId="2">
      <alignment horizontal="left" vertical="top"/>
    </xf>
    <xf numFmtId="0" fontId="207" fillId="69" borderId="0">
      <alignment horizontal="left" vertical="center"/>
    </xf>
    <xf numFmtId="218" fontId="26" fillId="0" borderId="3">
      <alignment horizontal="left" vertical="top"/>
    </xf>
    <xf numFmtId="0" fontId="208" fillId="0" borderId="3">
      <alignment horizontal="left" vertical="center"/>
    </xf>
    <xf numFmtId="0" fontId="17" fillId="0" borderId="0" applyFont="0" applyFill="0" applyBorder="0" applyAlignment="0" applyProtection="0"/>
    <xf numFmtId="0" fontId="17" fillId="0" borderId="0" applyFont="0" applyFill="0" applyBorder="0" applyAlignment="0" applyProtection="0"/>
    <xf numFmtId="295" fontId="17" fillId="0" borderId="0" applyFont="0" applyFill="0" applyBorder="0" applyAlignment="0" applyProtection="0"/>
    <xf numFmtId="296" fontId="17" fillId="0" borderId="0" applyFont="0" applyFill="0" applyBorder="0" applyAlignment="0" applyProtection="0"/>
    <xf numFmtId="167" fontId="99" fillId="0" borderId="0" applyFont="0" applyFill="0" applyBorder="0" applyAlignment="0" applyProtection="0"/>
    <xf numFmtId="169" fontId="99" fillId="0" borderId="0" applyFont="0" applyFill="0" applyBorder="0" applyAlignment="0" applyProtection="0"/>
    <xf numFmtId="0" fontId="209" fillId="0" borderId="0" applyNumberFormat="0" applyFill="0" applyBorder="0" applyAlignment="0" applyProtection="0"/>
    <xf numFmtId="0" fontId="199" fillId="0" borderId="0" applyNumberFormat="0" applyFill="0" applyBorder="0" applyAlignment="0" applyProtection="0"/>
    <xf numFmtId="0" fontId="210" fillId="0" borderId="0" applyNumberFormat="0" applyFont="0" applyFill="0" applyBorder="0" applyProtection="0">
      <alignment horizontal="center" vertical="center" wrapText="1"/>
    </xf>
    <xf numFmtId="0" fontId="17" fillId="0" borderId="0" applyFont="0" applyFill="0" applyBorder="0" applyAlignment="0" applyProtection="0"/>
    <xf numFmtId="0" fontId="17" fillId="0" borderId="0" applyFont="0" applyFill="0" applyBorder="0" applyAlignment="0" applyProtection="0"/>
    <xf numFmtId="0" fontId="69" fillId="7" borderId="0" applyNumberFormat="0" applyBorder="0" applyAlignment="0" applyProtection="0"/>
    <xf numFmtId="0" fontId="211" fillId="0" borderId="0" applyNumberFormat="0" applyFill="0" applyBorder="0" applyAlignment="0" applyProtection="0"/>
    <xf numFmtId="0" fontId="63" fillId="0" borderId="52" applyFont="0" applyBorder="0" applyAlignment="0">
      <alignment horizontal="center"/>
    </xf>
    <xf numFmtId="41" fontId="22" fillId="0" borderId="0" applyFont="0" applyFill="0" applyBorder="0" applyAlignment="0" applyProtection="0"/>
    <xf numFmtId="180" fontId="31" fillId="0" borderId="0" applyFont="0" applyFill="0" applyBorder="0" applyAlignment="0" applyProtection="0"/>
    <xf numFmtId="181" fontId="31" fillId="0" borderId="0" applyFont="0" applyFill="0" applyBorder="0" applyAlignment="0" applyProtection="0"/>
    <xf numFmtId="0" fontId="31" fillId="0" borderId="0"/>
    <xf numFmtId="0" fontId="212" fillId="0" borderId="0" applyFont="0" applyFill="0" applyBorder="0" applyAlignment="0" applyProtection="0"/>
    <xf numFmtId="0" fontId="212" fillId="0" borderId="0" applyFont="0" applyFill="0" applyBorder="0" applyAlignment="0" applyProtection="0"/>
    <xf numFmtId="0" fontId="86" fillId="0" borderId="0">
      <alignment vertical="center"/>
    </xf>
    <xf numFmtId="40" fontId="17" fillId="0" borderId="0" applyFill="0" applyBorder="0" applyAlignment="0" applyProtection="0"/>
    <xf numFmtId="38" fontId="17" fillId="0" borderId="0" applyFill="0" applyBorder="0" applyAlignment="0" applyProtection="0"/>
    <xf numFmtId="0" fontId="17" fillId="0" borderId="0" applyFill="0" applyBorder="0" applyAlignment="0" applyProtection="0"/>
    <xf numFmtId="0" fontId="17" fillId="0" borderId="0" applyFill="0" applyBorder="0" applyAlignment="0" applyProtection="0"/>
    <xf numFmtId="9" fontId="213" fillId="0" borderId="0" applyBorder="0" applyAlignment="0" applyProtection="0"/>
    <xf numFmtId="0" fontId="214" fillId="0" borderId="0"/>
    <xf numFmtId="0" fontId="215" fillId="0" borderId="14"/>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47" fillId="0" borderId="0" applyFont="0" applyFill="0" applyBorder="0" applyAlignment="0" applyProtection="0"/>
    <xf numFmtId="0" fontId="147" fillId="0" borderId="0" applyFont="0" applyFill="0" applyBorder="0" applyAlignment="0" applyProtection="0"/>
    <xf numFmtId="176" fontId="17" fillId="0" borderId="0" applyFont="0" applyFill="0" applyBorder="0" applyAlignment="0" applyProtection="0"/>
    <xf numFmtId="188" fontId="17" fillId="0" borderId="0" applyFont="0" applyFill="0" applyBorder="0" applyAlignment="0" applyProtection="0"/>
    <xf numFmtId="0" fontId="147" fillId="0" borderId="0"/>
    <xf numFmtId="0" fontId="216" fillId="0" borderId="0"/>
    <xf numFmtId="0" fontId="136" fillId="0" borderId="0"/>
    <xf numFmtId="41" fontId="151" fillId="0" borderId="0" applyFont="0" applyFill="0" applyBorder="0" applyAlignment="0" applyProtection="0"/>
    <xf numFmtId="43" fontId="151" fillId="0" borderId="0" applyFont="0" applyFill="0" applyBorder="0" applyAlignment="0" applyProtection="0"/>
    <xf numFmtId="297" fontId="39" fillId="0" borderId="0" applyFont="0" applyFill="0" applyBorder="0" applyAlignment="0" applyProtection="0"/>
    <xf numFmtId="275" fontId="39" fillId="0" borderId="0" applyFont="0" applyFill="0" applyBorder="0" applyAlignment="0" applyProtection="0"/>
    <xf numFmtId="0" fontId="17" fillId="0" borderId="0"/>
    <xf numFmtId="180" fontId="151" fillId="0" borderId="0" applyFont="0" applyFill="0" applyBorder="0" applyAlignment="0" applyProtection="0"/>
    <xf numFmtId="166" fontId="33" fillId="0" borderId="0" applyFont="0" applyFill="0" applyBorder="0" applyAlignment="0" applyProtection="0"/>
    <xf numFmtId="181" fontId="151" fillId="0" borderId="0" applyFont="0" applyFill="0" applyBorder="0" applyAlignment="0" applyProtection="0"/>
    <xf numFmtId="174" fontId="17" fillId="0" borderId="0" applyFont="0" applyFill="0" applyBorder="0" applyAlignment="0" applyProtection="0"/>
    <xf numFmtId="176" fontId="39"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170" fontId="17" fillId="0" borderId="0" applyFont="0" applyFill="0" applyBorder="0" applyAlignment="0" applyProtection="0"/>
    <xf numFmtId="9" fontId="16" fillId="0" borderId="0" applyFont="0" applyFill="0" applyBorder="0" applyAlignment="0" applyProtection="0"/>
    <xf numFmtId="0" fontId="246" fillId="0" borderId="0"/>
    <xf numFmtId="0" fontId="17" fillId="0" borderId="0"/>
    <xf numFmtId="0" fontId="22" fillId="0" borderId="0"/>
    <xf numFmtId="0" fontId="254" fillId="0" borderId="0"/>
    <xf numFmtId="170" fontId="25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685">
    <xf numFmtId="0" fontId="0" fillId="0" borderId="0" xfId="0"/>
    <xf numFmtId="0" fontId="9" fillId="0" borderId="1" xfId="0" applyFont="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3" fillId="0" borderId="0" xfId="0" applyFont="1"/>
    <xf numFmtId="0" fontId="13" fillId="0" borderId="0" xfId="0" applyFont="1" applyAlignment="1">
      <alignment horizontal="left" vertical="center"/>
    </xf>
    <xf numFmtId="0" fontId="13" fillId="0" borderId="0" xfId="0" applyFont="1" applyAlignment="1">
      <alignment vertical="center"/>
    </xf>
    <xf numFmtId="3" fontId="10" fillId="0" borderId="1" xfId="0" applyNumberFormat="1" applyFont="1" applyBorder="1" applyAlignment="1">
      <alignment horizontal="right" vertical="center" wrapText="1"/>
    </xf>
    <xf numFmtId="0" fontId="222" fillId="0" borderId="0" xfId="0" applyFont="1" applyAlignment="1">
      <alignment vertical="center"/>
    </xf>
    <xf numFmtId="0" fontId="222" fillId="0" borderId="1" xfId="0" applyFont="1" applyBorder="1" applyAlignment="1">
      <alignment horizontal="center" vertical="center" wrapText="1"/>
    </xf>
    <xf numFmtId="0" fontId="222" fillId="0" borderId="0" xfId="0" applyFont="1" applyAlignment="1">
      <alignment horizontal="center" vertical="center" wrapText="1"/>
    </xf>
    <xf numFmtId="0" fontId="223" fillId="0" borderId="10" xfId="0" quotePrefix="1" applyFont="1" applyBorder="1" applyAlignment="1">
      <alignment horizontal="center" vertical="center"/>
    </xf>
    <xf numFmtId="0" fontId="223" fillId="0" borderId="10" xfId="0" applyFont="1" applyBorder="1" applyAlignment="1">
      <alignment vertical="center" wrapText="1"/>
    </xf>
    <xf numFmtId="0" fontId="223" fillId="0" borderId="10" xfId="0" applyFont="1" applyBorder="1" applyAlignment="1">
      <alignment vertical="center"/>
    </xf>
    <xf numFmtId="0" fontId="223" fillId="0" borderId="6" xfId="0" applyFont="1" applyBorder="1" applyAlignment="1">
      <alignment horizontal="center" vertical="center"/>
    </xf>
    <xf numFmtId="0" fontId="223" fillId="0" borderId="0" xfId="0" applyFont="1" applyAlignment="1">
      <alignment vertical="center"/>
    </xf>
    <xf numFmtId="0" fontId="223" fillId="0" borderId="6" xfId="0" applyFont="1" applyBorder="1" applyAlignment="1">
      <alignment vertical="center" wrapText="1"/>
    </xf>
    <xf numFmtId="0" fontId="223" fillId="0" borderId="6" xfId="0" applyFont="1" applyBorder="1" applyAlignment="1">
      <alignment vertical="center"/>
    </xf>
    <xf numFmtId="0" fontId="223" fillId="0" borderId="12" xfId="0" applyFont="1" applyBorder="1" applyAlignment="1">
      <alignment vertical="center"/>
    </xf>
    <xf numFmtId="0" fontId="225" fillId="0" borderId="0" xfId="0" applyFont="1" applyAlignment="1">
      <alignment vertical="center"/>
    </xf>
    <xf numFmtId="170" fontId="225" fillId="0" borderId="0" xfId="1" applyFont="1" applyAlignment="1">
      <alignment vertical="center"/>
    </xf>
    <xf numFmtId="0" fontId="225" fillId="70" borderId="0" xfId="0" applyFont="1" applyFill="1" applyAlignment="1">
      <alignment vertical="center"/>
    </xf>
    <xf numFmtId="0" fontId="13" fillId="70" borderId="0" xfId="0" applyFont="1" applyFill="1" applyAlignment="1">
      <alignment vertical="center"/>
    </xf>
    <xf numFmtId="0" fontId="226" fillId="70" borderId="0" xfId="0" applyFont="1" applyFill="1" applyAlignment="1">
      <alignment vertical="center"/>
    </xf>
    <xf numFmtId="3" fontId="225" fillId="0" borderId="0" xfId="0" applyNumberFormat="1" applyFont="1" applyAlignment="1">
      <alignment vertical="center"/>
    </xf>
    <xf numFmtId="0" fontId="226" fillId="0" borderId="0" xfId="0" applyFont="1" applyAlignment="1">
      <alignment vertical="center"/>
    </xf>
    <xf numFmtId="0" fontId="230" fillId="70" borderId="0" xfId="0" applyFont="1" applyFill="1" applyAlignment="1">
      <alignment horizontal="left" vertical="center"/>
    </xf>
    <xf numFmtId="0" fontId="7" fillId="70" borderId="0" xfId="0" applyFont="1" applyFill="1"/>
    <xf numFmtId="172" fontId="231" fillId="70" borderId="0" xfId="1" applyNumberFormat="1" applyFont="1" applyFill="1"/>
    <xf numFmtId="172" fontId="7" fillId="70" borderId="0" xfId="0" applyNumberFormat="1" applyFont="1" applyFill="1"/>
    <xf numFmtId="0" fontId="231" fillId="70" borderId="0" xfId="0" applyFont="1" applyFill="1"/>
    <xf numFmtId="0" fontId="6" fillId="70" borderId="0" xfId="0" applyFont="1" applyFill="1" applyAlignment="1">
      <alignment horizontal="left" vertical="center"/>
    </xf>
    <xf numFmtId="0" fontId="7" fillId="70" borderId="0" xfId="0" applyFont="1" applyFill="1" applyAlignment="1">
      <alignment horizontal="center" vertical="center"/>
    </xf>
    <xf numFmtId="0" fontId="219" fillId="70" borderId="0" xfId="0" applyFont="1" applyFill="1"/>
    <xf numFmtId="0" fontId="217" fillId="70" borderId="0" xfId="0" applyFont="1" applyFill="1"/>
    <xf numFmtId="0" fontId="232" fillId="70" borderId="0" xfId="0" applyFont="1" applyFill="1"/>
    <xf numFmtId="0" fontId="6" fillId="70" borderId="0" xfId="0" applyFont="1" applyFill="1" applyAlignment="1">
      <alignment vertical="center"/>
    </xf>
    <xf numFmtId="0" fontId="7" fillId="70" borderId="0" xfId="0" applyFont="1" applyFill="1" applyAlignment="1">
      <alignment vertical="center"/>
    </xf>
    <xf numFmtId="0" fontId="0" fillId="70" borderId="0" xfId="0" applyFill="1"/>
    <xf numFmtId="0" fontId="10" fillId="0" borderId="0" xfId="0" applyFont="1" applyAlignment="1">
      <alignment vertical="center"/>
    </xf>
    <xf numFmtId="0" fontId="13" fillId="71" borderId="0" xfId="0" applyFont="1" applyFill="1"/>
    <xf numFmtId="3" fontId="13" fillId="0" borderId="0" xfId="0" applyNumberFormat="1" applyFont="1"/>
    <xf numFmtId="0" fontId="10" fillId="0" borderId="11" xfId="0" applyFont="1" applyBorder="1" applyAlignment="1">
      <alignment horizontal="center" vertical="center" wrapText="1"/>
    </xf>
    <xf numFmtId="0" fontId="9" fillId="0" borderId="11" xfId="0" applyFont="1" applyBorder="1" applyAlignment="1">
      <alignment horizontal="center" vertical="center" wrapText="1"/>
    </xf>
    <xf numFmtId="3" fontId="9" fillId="71" borderId="54" xfId="0" applyNumberFormat="1" applyFont="1" applyFill="1" applyBorder="1" applyAlignment="1">
      <alignment horizontal="right" vertical="center" wrapText="1"/>
    </xf>
    <xf numFmtId="3" fontId="9" fillId="0" borderId="54" xfId="0" applyNumberFormat="1" applyFont="1" applyBorder="1" applyAlignment="1">
      <alignment horizontal="right" vertical="center" wrapText="1"/>
    </xf>
    <xf numFmtId="0" fontId="9" fillId="0" borderId="6" xfId="0" applyFont="1" applyBorder="1" applyAlignment="1">
      <alignment horizontal="center" vertical="center" wrapText="1"/>
    </xf>
    <xf numFmtId="0" fontId="9" fillId="0" borderId="6" xfId="0" applyFont="1" applyBorder="1" applyAlignment="1">
      <alignment vertical="center" wrapText="1"/>
    </xf>
    <xf numFmtId="0" fontId="10" fillId="0" borderId="6" xfId="0" applyFont="1" applyBorder="1" applyAlignment="1">
      <alignment horizontal="center" vertical="center" wrapText="1"/>
    </xf>
    <xf numFmtId="0" fontId="10" fillId="0" borderId="53" xfId="0" applyFont="1" applyBorder="1" applyAlignment="1">
      <alignment vertical="center" wrapText="1"/>
    </xf>
    <xf numFmtId="3" fontId="10" fillId="0" borderId="6" xfId="5" applyNumberFormat="1" applyFont="1" applyBorder="1" applyAlignment="1">
      <alignment horizontal="right" vertical="center" wrapText="1"/>
    </xf>
    <xf numFmtId="3" fontId="10" fillId="0" borderId="6" xfId="0" applyNumberFormat="1" applyFont="1" applyBorder="1" applyAlignment="1">
      <alignment horizontal="right" vertical="center" wrapText="1"/>
    </xf>
    <xf numFmtId="3" fontId="218" fillId="0" borderId="6" xfId="0" applyNumberFormat="1" applyFont="1" applyBorder="1" applyAlignment="1">
      <alignment horizontal="right" vertical="center" wrapText="1"/>
    </xf>
    <xf numFmtId="0" fontId="10" fillId="0" borderId="6" xfId="0" applyFont="1" applyBorder="1" applyAlignment="1">
      <alignment vertical="center" wrapText="1"/>
    </xf>
    <xf numFmtId="0" fontId="219" fillId="0" borderId="0" xfId="0" applyFont="1"/>
    <xf numFmtId="3" fontId="10" fillId="0" borderId="6" xfId="5" applyNumberFormat="1" applyFont="1" applyBorder="1" applyAlignment="1">
      <alignment vertical="center" wrapText="1"/>
    </xf>
    <xf numFmtId="3" fontId="10" fillId="0" borderId="6" xfId="0" applyNumberFormat="1" applyFont="1" applyBorder="1" applyAlignment="1">
      <alignment vertical="center" wrapText="1"/>
    </xf>
    <xf numFmtId="3" fontId="10" fillId="0" borderId="54" xfId="0" applyNumberFormat="1" applyFont="1" applyBorder="1" applyAlignment="1">
      <alignment vertical="center" wrapText="1"/>
    </xf>
    <xf numFmtId="3" fontId="10" fillId="0" borderId="53" xfId="0" applyNumberFormat="1" applyFont="1" applyBorder="1" applyAlignment="1">
      <alignment vertical="center" wrapText="1"/>
    </xf>
    <xf numFmtId="0" fontId="10" fillId="0" borderId="12" xfId="0" applyFont="1" applyBorder="1" applyAlignment="1">
      <alignment horizontal="center" vertical="center" wrapText="1"/>
    </xf>
    <xf numFmtId="0" fontId="10" fillId="0" borderId="4" xfId="0" applyFont="1" applyBorder="1" applyAlignment="1">
      <alignment vertical="center" wrapText="1"/>
    </xf>
    <xf numFmtId="3" fontId="10" fillId="0" borderId="12" xfId="5" applyNumberFormat="1" applyFont="1" applyBorder="1" applyAlignment="1">
      <alignment vertical="center" wrapText="1"/>
    </xf>
    <xf numFmtId="3" fontId="10" fillId="0" borderId="12" xfId="0" applyNumberFormat="1" applyFont="1" applyBorder="1" applyAlignment="1">
      <alignment vertical="center" wrapText="1"/>
    </xf>
    <xf numFmtId="3" fontId="18" fillId="0" borderId="6" xfId="2" applyNumberFormat="1" applyFont="1" applyFill="1" applyBorder="1" applyAlignment="1">
      <alignment vertical="center" wrapText="1"/>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3" fontId="19" fillId="0" borderId="10" xfId="0" applyNumberFormat="1" applyFont="1" applyBorder="1" applyAlignment="1">
      <alignment vertical="center" wrapText="1"/>
    </xf>
    <xf numFmtId="3" fontId="18" fillId="0" borderId="6" xfId="0" applyNumberFormat="1" applyFont="1" applyBorder="1" applyAlignment="1">
      <alignment vertical="center" wrapText="1"/>
    </xf>
    <xf numFmtId="3" fontId="19" fillId="0" borderId="6" xfId="0" applyNumberFormat="1" applyFont="1" applyBorder="1" applyAlignment="1">
      <alignment vertical="center" wrapText="1"/>
    </xf>
    <xf numFmtId="0" fontId="9" fillId="0" borderId="12" xfId="0" applyFont="1" applyBorder="1" applyAlignment="1">
      <alignment horizontal="center" vertical="center" wrapText="1"/>
    </xf>
    <xf numFmtId="0" fontId="9" fillId="0" borderId="12" xfId="0" applyFont="1" applyBorder="1" applyAlignment="1">
      <alignment vertical="center" wrapText="1"/>
    </xf>
    <xf numFmtId="3" fontId="18" fillId="0" borderId="12" xfId="0" applyNumberFormat="1" applyFont="1" applyBorder="1" applyAlignment="1">
      <alignment vertical="center" wrapText="1"/>
    </xf>
    <xf numFmtId="9" fontId="18" fillId="0" borderId="6" xfId="2" applyNumberFormat="1" applyFont="1" applyFill="1" applyBorder="1" applyAlignment="1">
      <alignment horizontal="center" vertical="center" wrapText="1"/>
    </xf>
    <xf numFmtId="0" fontId="218" fillId="0" borderId="1" xfId="0" applyFont="1" applyBorder="1" applyAlignment="1">
      <alignment horizontal="center" vertical="center" wrapText="1"/>
    </xf>
    <xf numFmtId="0" fontId="12" fillId="0" borderId="0" xfId="0" applyFont="1" applyAlignment="1">
      <alignment horizontal="center" vertical="center"/>
    </xf>
    <xf numFmtId="9" fontId="9" fillId="0" borderId="54" xfId="2267" applyFont="1" applyBorder="1" applyAlignment="1">
      <alignment horizontal="right" vertical="center" wrapText="1"/>
    </xf>
    <xf numFmtId="9" fontId="10" fillId="0" borderId="54" xfId="2267" applyFont="1" applyBorder="1" applyAlignment="1">
      <alignment horizontal="right" vertical="center" wrapText="1"/>
    </xf>
    <xf numFmtId="0" fontId="10" fillId="0" borderId="53" xfId="0" applyFont="1" applyBorder="1" applyAlignment="1">
      <alignment horizontal="center" vertical="center" wrapText="1"/>
    </xf>
    <xf numFmtId="3" fontId="10" fillId="0" borderId="53" xfId="5" applyNumberFormat="1" applyFont="1" applyBorder="1" applyAlignment="1">
      <alignment vertical="center" wrapText="1"/>
    </xf>
    <xf numFmtId="3" fontId="10" fillId="0" borderId="53" xfId="0" applyNumberFormat="1" applyFont="1" applyBorder="1" applyAlignment="1">
      <alignment horizontal="right" vertical="center" wrapText="1"/>
    </xf>
    <xf numFmtId="3" fontId="10" fillId="0" borderId="55" xfId="0" applyNumberFormat="1" applyFont="1" applyBorder="1" applyAlignment="1">
      <alignment vertical="center" wrapText="1"/>
    </xf>
    <xf numFmtId="9" fontId="10" fillId="0" borderId="55" xfId="2267" applyFont="1" applyBorder="1" applyAlignment="1">
      <alignment horizontal="right" vertical="center" wrapText="1"/>
    </xf>
    <xf numFmtId="0" fontId="9" fillId="0" borderId="3" xfId="0" applyFont="1" applyBorder="1" applyAlignment="1">
      <alignment vertical="center" wrapText="1"/>
    </xf>
    <xf numFmtId="298" fontId="9" fillId="0" borderId="56" xfId="5" applyNumberFormat="1" applyFont="1" applyBorder="1" applyAlignment="1">
      <alignment horizontal="right" vertical="center" wrapText="1"/>
    </xf>
    <xf numFmtId="3" fontId="9" fillId="0" borderId="56" xfId="0" applyNumberFormat="1" applyFont="1" applyBorder="1" applyAlignment="1">
      <alignment horizontal="right" vertical="center" wrapText="1"/>
    </xf>
    <xf numFmtId="9" fontId="9" fillId="0" borderId="56" xfId="2267" applyFont="1" applyBorder="1" applyAlignment="1">
      <alignment horizontal="right" vertical="center" wrapText="1"/>
    </xf>
    <xf numFmtId="0" fontId="219" fillId="0" borderId="0" xfId="0" applyFont="1" applyAlignment="1">
      <alignment vertical="center"/>
    </xf>
    <xf numFmtId="3" fontId="18" fillId="0" borderId="1" xfId="0" applyNumberFormat="1" applyFont="1" applyBorder="1" applyAlignment="1">
      <alignment horizontal="right" vertical="center" wrapText="1"/>
    </xf>
    <xf numFmtId="300" fontId="18" fillId="0" borderId="1" xfId="5" applyNumberFormat="1" applyFont="1" applyBorder="1" applyAlignment="1">
      <alignment horizontal="right" vertical="center" wrapText="1"/>
    </xf>
    <xf numFmtId="10" fontId="233" fillId="0" borderId="1" xfId="0" applyNumberFormat="1" applyFont="1" applyBorder="1" applyAlignment="1">
      <alignment horizontal="right" vertical="center" wrapText="1"/>
    </xf>
    <xf numFmtId="3" fontId="18" fillId="0" borderId="1" xfId="1" applyNumberFormat="1" applyFont="1" applyBorder="1" applyAlignment="1">
      <alignment vertical="center" wrapText="1"/>
    </xf>
    <xf numFmtId="174" fontId="25" fillId="0" borderId="0" xfId="2268" applyNumberFormat="1" applyFont="1" applyFill="1" applyAlignment="1" applyProtection="1">
      <alignment vertical="center" wrapText="1"/>
      <protection locked="0"/>
    </xf>
    <xf numFmtId="172" fontId="25" fillId="0" borderId="0" xfId="0" applyNumberFormat="1" applyFont="1" applyAlignment="1" applyProtection="1">
      <alignment vertical="center" wrapText="1"/>
      <protection locked="0"/>
    </xf>
    <xf numFmtId="174" fontId="25" fillId="0" borderId="0" xfId="0" applyNumberFormat="1" applyFont="1" applyAlignment="1" applyProtection="1">
      <alignment vertical="center" wrapText="1"/>
      <protection locked="0"/>
    </xf>
    <xf numFmtId="0" fontId="25" fillId="0" borderId="0" xfId="0" applyFont="1" applyAlignment="1" applyProtection="1">
      <alignment vertical="center" wrapText="1"/>
      <protection locked="0"/>
    </xf>
    <xf numFmtId="301" fontId="25" fillId="0" borderId="0" xfId="0" applyNumberFormat="1" applyFont="1" applyAlignment="1" applyProtection="1">
      <alignment vertical="center" wrapText="1"/>
      <protection locked="0"/>
    </xf>
    <xf numFmtId="0" fontId="236" fillId="0" borderId="0" xfId="0" applyFont="1" applyAlignment="1" applyProtection="1">
      <alignment horizontal="center" vertical="center" wrapText="1"/>
      <protection locked="0"/>
    </xf>
    <xf numFmtId="3" fontId="25" fillId="0" borderId="0" xfId="0" applyNumberFormat="1" applyFont="1" applyAlignment="1" applyProtection="1">
      <alignment vertical="center" wrapText="1"/>
      <protection locked="0"/>
    </xf>
    <xf numFmtId="0" fontId="237" fillId="0" borderId="0" xfId="0" applyFont="1" applyAlignment="1">
      <alignment horizontal="left"/>
    </xf>
    <xf numFmtId="0" fontId="237" fillId="0" borderId="0" xfId="0" applyFont="1" applyAlignment="1" applyProtection="1">
      <alignment horizontal="left" vertical="center" wrapText="1"/>
      <protection locked="0"/>
    </xf>
    <xf numFmtId="3" fontId="237" fillId="0" borderId="0" xfId="0" applyNumberFormat="1" applyFont="1" applyAlignment="1" applyProtection="1">
      <alignment horizontal="left" vertical="center" wrapText="1"/>
      <protection locked="0"/>
    </xf>
    <xf numFmtId="3" fontId="236" fillId="0" borderId="0" xfId="0" applyNumberFormat="1" applyFont="1" applyAlignment="1" applyProtection="1">
      <alignment horizontal="center" vertical="center" wrapText="1"/>
      <protection locked="0"/>
    </xf>
    <xf numFmtId="302" fontId="236" fillId="0" borderId="0" xfId="0" applyNumberFormat="1" applyFont="1" applyAlignment="1" applyProtection="1">
      <alignment horizontal="center" vertical="center" wrapText="1"/>
      <protection locked="0"/>
    </xf>
    <xf numFmtId="298" fontId="236" fillId="0" borderId="0" xfId="0" applyNumberFormat="1" applyFont="1" applyAlignment="1" applyProtection="1">
      <alignment horizontal="center" vertical="center" wrapText="1"/>
      <protection locked="0"/>
    </xf>
    <xf numFmtId="298" fontId="238" fillId="0" borderId="0" xfId="5" applyNumberFormat="1" applyFont="1" applyFill="1" applyAlignment="1" applyProtection="1">
      <alignment horizontal="center" vertical="center" wrapText="1"/>
      <protection locked="0"/>
    </xf>
    <xf numFmtId="3" fontId="239" fillId="0" borderId="0" xfId="0" applyNumberFormat="1" applyFont="1" applyAlignment="1" applyProtection="1">
      <alignment horizontal="center" vertical="center" wrapText="1"/>
      <protection locked="0"/>
    </xf>
    <xf numFmtId="303" fontId="239" fillId="0" borderId="0" xfId="0" applyNumberFormat="1" applyFont="1" applyAlignment="1">
      <alignment horizontal="center" vertical="center" wrapText="1"/>
    </xf>
    <xf numFmtId="3" fontId="239" fillId="0" borderId="0" xfId="0" applyNumberFormat="1" applyFont="1" applyAlignment="1" applyProtection="1">
      <alignment horizontal="right" vertical="center" wrapText="1"/>
      <protection locked="0"/>
    </xf>
    <xf numFmtId="298" fontId="240" fillId="0" borderId="0" xfId="5" applyNumberFormat="1" applyFont="1" applyFill="1" applyAlignment="1" applyProtection="1">
      <alignment horizontal="center" vertical="center" wrapText="1"/>
      <protection locked="0"/>
    </xf>
    <xf numFmtId="174" fontId="239" fillId="0" borderId="5" xfId="0" applyNumberFormat="1" applyFont="1" applyBorder="1" applyAlignment="1">
      <alignment vertical="center" wrapText="1"/>
    </xf>
    <xf numFmtId="170" fontId="239" fillId="0" borderId="5" xfId="0" applyNumberFormat="1" applyFont="1" applyBorder="1" applyAlignment="1">
      <alignment vertical="center" wrapText="1"/>
    </xf>
    <xf numFmtId="172" fontId="239" fillId="0" borderId="0" xfId="0" applyNumberFormat="1" applyFont="1" applyAlignment="1" applyProtection="1">
      <alignment horizontal="left" vertical="center" wrapText="1"/>
      <protection locked="0"/>
    </xf>
    <xf numFmtId="304" fontId="239" fillId="0" borderId="0" xfId="0" applyNumberFormat="1" applyFont="1" applyAlignment="1" applyProtection="1">
      <alignment horizontal="center" vertical="center" wrapText="1"/>
      <protection locked="0"/>
    </xf>
    <xf numFmtId="305" fontId="239" fillId="0" borderId="0" xfId="0" applyNumberFormat="1" applyFont="1" applyAlignment="1" applyProtection="1">
      <alignment horizontal="center" vertical="center" wrapText="1"/>
      <protection locked="0"/>
    </xf>
    <xf numFmtId="0" fontId="241" fillId="0" borderId="0" xfId="0" applyFont="1" applyAlignment="1" applyProtection="1">
      <alignment vertical="center" wrapText="1"/>
      <protection locked="0"/>
    </xf>
    <xf numFmtId="0" fontId="242" fillId="0" borderId="0" xfId="0" applyFont="1" applyAlignment="1" applyProtection="1">
      <alignment horizontal="center" vertical="center" wrapText="1"/>
      <protection locked="0"/>
    </xf>
    <xf numFmtId="0" fontId="242" fillId="0" borderId="0" xfId="0" applyFont="1" applyAlignment="1" applyProtection="1">
      <alignment vertical="center" wrapText="1"/>
      <protection locked="0"/>
    </xf>
    <xf numFmtId="0" fontId="244" fillId="0" borderId="0" xfId="0" applyFont="1" applyAlignment="1" applyProtection="1">
      <alignment vertical="center" wrapText="1"/>
      <protection locked="0"/>
    </xf>
    <xf numFmtId="0" fontId="242" fillId="0" borderId="59" xfId="0" applyFont="1" applyBorder="1" applyAlignment="1" applyProtection="1">
      <alignment horizontal="center" vertical="center" wrapText="1"/>
      <protection locked="0"/>
    </xf>
    <xf numFmtId="3" fontId="242" fillId="0" borderId="1" xfId="0" applyNumberFormat="1" applyFont="1" applyBorder="1" applyAlignment="1" applyProtection="1">
      <alignment horizontal="center" vertical="center" wrapText="1"/>
      <protection locked="0"/>
    </xf>
    <xf numFmtId="3" fontId="242" fillId="0" borderId="1" xfId="0" applyNumberFormat="1" applyFont="1" applyBorder="1" applyAlignment="1" applyProtection="1">
      <alignment horizontal="right" vertical="center" wrapText="1"/>
      <protection locked="0"/>
    </xf>
    <xf numFmtId="0" fontId="242" fillId="0" borderId="1" xfId="0" applyFont="1" applyBorder="1" applyAlignment="1" applyProtection="1">
      <alignment horizontal="center" vertical="center" wrapText="1"/>
      <protection locked="0"/>
    </xf>
    <xf numFmtId="0" fontId="242" fillId="0" borderId="1" xfId="0" applyFont="1" applyBorder="1" applyAlignment="1">
      <alignment horizontal="center" vertical="center" wrapText="1"/>
    </xf>
    <xf numFmtId="172" fontId="242" fillId="0" borderId="60" xfId="0" applyNumberFormat="1" applyFont="1" applyBorder="1" applyAlignment="1" applyProtection="1">
      <alignment horizontal="center" vertical="center" wrapText="1"/>
      <protection locked="0"/>
    </xf>
    <xf numFmtId="3" fontId="242" fillId="0" borderId="2" xfId="0" applyNumberFormat="1" applyFont="1" applyBorder="1" applyAlignment="1" applyProtection="1">
      <alignment horizontal="center" vertical="center" wrapText="1"/>
      <protection locked="0"/>
    </xf>
    <xf numFmtId="3" fontId="242" fillId="0" borderId="2" xfId="0" applyNumberFormat="1" applyFont="1" applyBorder="1" applyAlignment="1" applyProtection="1">
      <alignment horizontal="right" vertical="center" wrapText="1"/>
      <protection locked="0"/>
    </xf>
    <xf numFmtId="3" fontId="242" fillId="0" borderId="6" xfId="2268" applyNumberFormat="1" applyFont="1" applyFill="1" applyBorder="1" applyAlignment="1" applyProtection="1">
      <alignment horizontal="right" vertical="center" wrapText="1"/>
      <protection locked="0"/>
    </xf>
    <xf numFmtId="3" fontId="242" fillId="0" borderId="10" xfId="0" applyNumberFormat="1" applyFont="1" applyBorder="1" applyAlignment="1" applyProtection="1">
      <alignment horizontal="center" vertical="center" wrapText="1"/>
      <protection locked="0"/>
    </xf>
    <xf numFmtId="0" fontId="243" fillId="0" borderId="10" xfId="0" applyFont="1" applyBorder="1" applyAlignment="1" applyProtection="1">
      <alignment horizontal="center" vertical="center" wrapText="1"/>
      <protection locked="0"/>
    </xf>
    <xf numFmtId="3" fontId="243" fillId="0" borderId="10" xfId="0" applyNumberFormat="1" applyFont="1" applyBorder="1" applyAlignment="1" applyProtection="1">
      <alignment horizontal="right" vertical="center" wrapText="1"/>
      <protection locked="0"/>
    </xf>
    <xf numFmtId="3" fontId="243" fillId="0" borderId="0" xfId="0" applyNumberFormat="1" applyFont="1" applyAlignment="1" applyProtection="1">
      <alignment vertical="center" wrapText="1"/>
      <protection locked="0"/>
    </xf>
    <xf numFmtId="0" fontId="243" fillId="0" borderId="0" xfId="0" applyFont="1" applyAlignment="1" applyProtection="1">
      <alignment vertical="center" wrapText="1"/>
      <protection locked="0"/>
    </xf>
    <xf numFmtId="0" fontId="245" fillId="0" borderId="0" xfId="0" applyFont="1" applyAlignment="1" applyProtection="1">
      <alignment vertical="center" wrapText="1"/>
      <protection locked="0"/>
    </xf>
    <xf numFmtId="3" fontId="243" fillId="0" borderId="6" xfId="2268" applyNumberFormat="1" applyFont="1" applyFill="1" applyBorder="1" applyAlignment="1" applyProtection="1">
      <alignment horizontal="center" vertical="center" wrapText="1"/>
      <protection locked="0"/>
    </xf>
    <xf numFmtId="172" fontId="243" fillId="0" borderId="6" xfId="2268" applyNumberFormat="1" applyFont="1" applyFill="1" applyBorder="1" applyAlignment="1" applyProtection="1">
      <alignment horizontal="left" vertical="center" wrapText="1" shrinkToFit="1"/>
      <protection locked="0"/>
    </xf>
    <xf numFmtId="3" fontId="243" fillId="0" borderId="6" xfId="2268" applyNumberFormat="1" applyFont="1" applyFill="1" applyBorder="1" applyAlignment="1" applyProtection="1">
      <alignment horizontal="right" vertical="center" wrapText="1" shrinkToFit="1"/>
      <protection locked="0"/>
    </xf>
    <xf numFmtId="3" fontId="242" fillId="0" borderId="6" xfId="2268" applyNumberFormat="1" applyFont="1" applyFill="1" applyBorder="1" applyAlignment="1" applyProtection="1">
      <alignment horizontal="center" vertical="center"/>
      <protection locked="0"/>
    </xf>
    <xf numFmtId="175" fontId="242" fillId="0" borderId="6" xfId="2268" applyNumberFormat="1" applyFont="1" applyFill="1" applyBorder="1" applyAlignment="1" applyProtection="1">
      <alignment vertical="center" wrapText="1"/>
      <protection locked="0"/>
    </xf>
    <xf numFmtId="3" fontId="242" fillId="0" borderId="6" xfId="2268" applyNumberFormat="1" applyFont="1" applyFill="1" applyBorder="1" applyAlignment="1" applyProtection="1">
      <alignment vertical="center" wrapText="1"/>
      <protection locked="0"/>
    </xf>
    <xf numFmtId="3" fontId="242" fillId="0" borderId="6" xfId="2268" applyNumberFormat="1" applyFont="1" applyFill="1" applyBorder="1" applyAlignment="1" applyProtection="1">
      <alignment horizontal="center" vertical="center" wrapText="1"/>
      <protection locked="0"/>
    </xf>
    <xf numFmtId="306" fontId="242" fillId="0" borderId="6" xfId="2270" applyNumberFormat="1" applyFont="1" applyBorder="1" applyAlignment="1" applyProtection="1">
      <alignment vertical="center" wrapText="1"/>
      <protection locked="0"/>
    </xf>
    <xf numFmtId="3" fontId="242" fillId="0" borderId="6" xfId="2270" applyNumberFormat="1" applyFont="1" applyBorder="1" applyAlignment="1" applyProtection="1">
      <alignment horizontal="right" vertical="center" wrapText="1"/>
      <protection locked="0"/>
    </xf>
    <xf numFmtId="172" fontId="243" fillId="0" borderId="6" xfId="2268" applyNumberFormat="1" applyFont="1" applyFill="1" applyBorder="1" applyAlignment="1" applyProtection="1">
      <alignment horizontal="center" vertical="center" wrapText="1"/>
      <protection locked="0"/>
    </xf>
    <xf numFmtId="3" fontId="243" fillId="0" borderId="6" xfId="2270" applyNumberFormat="1" applyFont="1" applyBorder="1" applyAlignment="1" applyProtection="1">
      <alignment horizontal="right" vertical="center" wrapText="1"/>
      <protection locked="0"/>
    </xf>
    <xf numFmtId="172" fontId="243" fillId="0" borderId="6" xfId="2268" quotePrefix="1" applyNumberFormat="1" applyFont="1" applyFill="1" applyBorder="1" applyAlignment="1" applyProtection="1">
      <alignment horizontal="center" vertical="center" wrapText="1"/>
      <protection locked="0"/>
    </xf>
    <xf numFmtId="3" fontId="243" fillId="0" borderId="6" xfId="2268" applyNumberFormat="1" applyFont="1" applyFill="1" applyBorder="1" applyAlignment="1" applyProtection="1">
      <alignment horizontal="right" vertical="center" wrapText="1"/>
      <protection locked="0"/>
    </xf>
    <xf numFmtId="0" fontId="242" fillId="0" borderId="6" xfId="0" applyFont="1" applyBorder="1" applyAlignment="1" applyProtection="1">
      <alignment horizontal="center" vertical="center" wrapText="1"/>
      <protection locked="0"/>
    </xf>
    <xf numFmtId="0" fontId="242" fillId="0" borderId="6" xfId="0" applyFont="1" applyBorder="1" applyAlignment="1" applyProtection="1">
      <alignment vertical="center" wrapText="1"/>
      <protection locked="0"/>
    </xf>
    <xf numFmtId="0" fontId="148" fillId="0" borderId="0" xfId="0" applyFont="1" applyAlignment="1" applyProtection="1">
      <alignment vertical="center" wrapText="1"/>
      <protection locked="0"/>
    </xf>
    <xf numFmtId="175" fontId="243" fillId="0" borderId="6" xfId="2268" quotePrefix="1" applyNumberFormat="1" applyFont="1" applyFill="1" applyBorder="1" applyAlignment="1" applyProtection="1">
      <alignment horizontal="center" vertical="center"/>
      <protection locked="0"/>
    </xf>
    <xf numFmtId="175" fontId="243" fillId="0" borderId="6" xfId="2268" applyNumberFormat="1" applyFont="1" applyFill="1" applyBorder="1" applyAlignment="1" applyProtection="1">
      <alignment vertical="center" wrapText="1"/>
      <protection locked="0"/>
    </xf>
    <xf numFmtId="3" fontId="242" fillId="0" borderId="6" xfId="2268" quotePrefix="1" applyNumberFormat="1" applyFont="1" applyFill="1" applyBorder="1" applyAlignment="1" applyProtection="1">
      <alignment horizontal="center" vertical="center" wrapText="1"/>
      <protection locked="0"/>
    </xf>
    <xf numFmtId="172" fontId="242" fillId="0" borderId="6" xfId="2268" applyNumberFormat="1" applyFont="1" applyFill="1" applyBorder="1" applyAlignment="1" applyProtection="1">
      <alignment horizontal="left" vertical="center" wrapText="1" shrinkToFit="1"/>
      <protection locked="0"/>
    </xf>
    <xf numFmtId="3" fontId="242" fillId="0" borderId="6" xfId="2268" applyNumberFormat="1" applyFont="1" applyFill="1" applyBorder="1" applyAlignment="1" applyProtection="1">
      <alignment horizontal="right" vertical="center" wrapText="1" shrinkToFit="1"/>
      <protection locked="0"/>
    </xf>
    <xf numFmtId="3" fontId="242" fillId="0" borderId="6" xfId="0" applyNumberFormat="1" applyFont="1" applyBorder="1" applyAlignment="1" applyProtection="1">
      <alignment horizontal="center" vertical="center" wrapText="1"/>
      <protection locked="0"/>
    </xf>
    <xf numFmtId="3" fontId="242" fillId="0" borderId="6" xfId="0" applyNumberFormat="1" applyFont="1" applyBorder="1" applyAlignment="1" applyProtection="1">
      <alignment horizontal="right" vertical="center" wrapText="1"/>
      <protection locked="0"/>
    </xf>
    <xf numFmtId="172" fontId="242" fillId="0" borderId="6" xfId="2268" applyNumberFormat="1" applyFont="1" applyFill="1" applyBorder="1" applyAlignment="1" applyProtection="1">
      <alignment vertical="center" wrapText="1"/>
      <protection locked="0"/>
    </xf>
    <xf numFmtId="0" fontId="247" fillId="0" borderId="0" xfId="0" applyFont="1" applyAlignment="1" applyProtection="1">
      <alignment vertical="center" wrapText="1"/>
      <protection locked="0"/>
    </xf>
    <xf numFmtId="172" fontId="243" fillId="0" borderId="6" xfId="2268" applyNumberFormat="1" applyFont="1" applyFill="1" applyBorder="1" applyAlignment="1" applyProtection="1">
      <alignment horizontal="left" vertical="center" wrapText="1"/>
      <protection locked="0"/>
    </xf>
    <xf numFmtId="3" fontId="243" fillId="71" borderId="0" xfId="0" applyNumberFormat="1" applyFont="1" applyFill="1" applyAlignment="1" applyProtection="1">
      <alignment vertical="center" wrapText="1"/>
      <protection locked="0"/>
    </xf>
    <xf numFmtId="0" fontId="248" fillId="70" borderId="0" xfId="0" applyFont="1" applyFill="1" applyAlignment="1" applyProtection="1">
      <alignment horizontal="center" vertical="center"/>
      <protection locked="0"/>
    </xf>
    <xf numFmtId="0" fontId="248" fillId="0" borderId="0" xfId="0" applyFont="1" applyAlignment="1" applyProtection="1">
      <alignment vertical="center" wrapText="1"/>
      <protection locked="0"/>
    </xf>
    <xf numFmtId="172" fontId="243" fillId="0" borderId="6" xfId="2268" applyNumberFormat="1" applyFont="1" applyFill="1" applyBorder="1" applyAlignment="1" applyProtection="1">
      <alignment vertical="center" wrapText="1" shrinkToFit="1"/>
      <protection locked="0"/>
    </xf>
    <xf numFmtId="0" fontId="242" fillId="0" borderId="6" xfId="1001" applyFont="1" applyBorder="1" applyAlignment="1">
      <alignment vertical="center" wrapText="1"/>
    </xf>
    <xf numFmtId="3" fontId="242" fillId="0" borderId="6" xfId="1001" applyNumberFormat="1" applyFont="1" applyBorder="1" applyAlignment="1">
      <alignment horizontal="right" vertical="center" wrapText="1"/>
    </xf>
    <xf numFmtId="0" fontId="249" fillId="0" borderId="0" xfId="0" applyFont="1" applyAlignment="1" applyProtection="1">
      <alignment vertical="center" wrapText="1"/>
      <protection locked="0"/>
    </xf>
    <xf numFmtId="3" fontId="242" fillId="0" borderId="6" xfId="2268" quotePrefix="1" applyNumberFormat="1" applyFont="1" applyFill="1" applyBorder="1" applyAlignment="1" applyProtection="1">
      <alignment horizontal="center" vertical="center"/>
      <protection locked="0"/>
    </xf>
    <xf numFmtId="3" fontId="242" fillId="0" borderId="6" xfId="1001" applyNumberFormat="1" applyFont="1" applyBorder="1" applyAlignment="1">
      <alignment vertical="center" wrapText="1"/>
    </xf>
    <xf numFmtId="3" fontId="243" fillId="0" borderId="6" xfId="2268" quotePrefix="1" applyNumberFormat="1" applyFont="1" applyFill="1" applyBorder="1" applyAlignment="1" applyProtection="1">
      <alignment horizontal="center" vertical="center"/>
      <protection locked="0"/>
    </xf>
    <xf numFmtId="175" fontId="250" fillId="0" borderId="6" xfId="2268" applyNumberFormat="1" applyFont="1" applyFill="1" applyBorder="1" applyAlignment="1" applyProtection="1">
      <alignment vertical="center" wrapText="1"/>
      <protection locked="0"/>
    </xf>
    <xf numFmtId="3" fontId="243" fillId="0" borderId="6" xfId="0" applyNumberFormat="1" applyFont="1" applyBorder="1" applyAlignment="1" applyProtection="1">
      <alignment horizontal="center" vertical="center" wrapText="1"/>
      <protection locked="0"/>
    </xf>
    <xf numFmtId="306" fontId="243" fillId="0" borderId="6" xfId="2270" applyNumberFormat="1" applyFont="1" applyBorder="1" applyAlignment="1" applyProtection="1">
      <alignment vertical="center" wrapText="1"/>
      <protection locked="0"/>
    </xf>
    <xf numFmtId="0" fontId="242" fillId="0" borderId="6" xfId="0" applyFont="1" applyBorder="1" applyAlignment="1" applyProtection="1">
      <alignment horizontal="left" vertical="center" wrapText="1"/>
      <protection locked="0"/>
    </xf>
    <xf numFmtId="172" fontId="242" fillId="0" borderId="6" xfId="2268" applyNumberFormat="1" applyFont="1" applyFill="1" applyBorder="1" applyAlignment="1" applyProtection="1">
      <alignment horizontal="left" vertical="center" wrapText="1"/>
      <protection locked="0"/>
    </xf>
    <xf numFmtId="3" fontId="250" fillId="0" borderId="6" xfId="2268" applyNumberFormat="1" applyFont="1" applyFill="1" applyBorder="1" applyAlignment="1" applyProtection="1">
      <alignment horizontal="center" vertical="center"/>
      <protection locked="0"/>
    </xf>
    <xf numFmtId="3" fontId="250" fillId="0" borderId="6" xfId="2268" applyNumberFormat="1" applyFont="1" applyFill="1" applyBorder="1" applyAlignment="1" applyProtection="1">
      <alignment horizontal="right" vertical="center" wrapText="1"/>
      <protection locked="0"/>
    </xf>
    <xf numFmtId="0" fontId="250" fillId="0" borderId="0" xfId="0" applyFont="1" applyAlignment="1" applyProtection="1">
      <alignment vertical="center" wrapText="1"/>
      <protection locked="0"/>
    </xf>
    <xf numFmtId="0" fontId="251" fillId="0" borderId="0" xfId="0" applyFont="1" applyAlignment="1" applyProtection="1">
      <alignment vertical="center" wrapText="1"/>
      <protection locked="0"/>
    </xf>
    <xf numFmtId="0" fontId="242" fillId="0" borderId="6" xfId="0" applyFont="1" applyBorder="1" applyAlignment="1">
      <alignment vertical="center" wrapText="1"/>
    </xf>
    <xf numFmtId="3" fontId="242" fillId="0" borderId="6" xfId="0" applyNumberFormat="1" applyFont="1" applyBorder="1" applyAlignment="1">
      <alignment horizontal="right" vertical="center" wrapText="1"/>
    </xf>
    <xf numFmtId="3" fontId="242" fillId="0" borderId="6" xfId="2268" applyNumberFormat="1" applyFont="1" applyFill="1" applyBorder="1" applyAlignment="1">
      <alignment horizontal="right" vertical="center"/>
    </xf>
    <xf numFmtId="172" fontId="242" fillId="0" borderId="6" xfId="2268" applyNumberFormat="1" applyFont="1" applyFill="1" applyBorder="1" applyAlignment="1">
      <alignment vertical="center" wrapText="1"/>
    </xf>
    <xf numFmtId="172" fontId="242" fillId="0" borderId="6" xfId="2268" applyNumberFormat="1" applyFont="1" applyFill="1" applyBorder="1" applyAlignment="1">
      <alignment vertical="center"/>
    </xf>
    <xf numFmtId="3" fontId="242" fillId="0" borderId="6" xfId="0" applyNumberFormat="1" applyFont="1" applyBorder="1" applyAlignment="1">
      <alignment horizontal="left" vertical="center" wrapText="1"/>
    </xf>
    <xf numFmtId="3" fontId="244" fillId="0" borderId="6" xfId="0" applyNumberFormat="1" applyFont="1" applyBorder="1" applyAlignment="1">
      <alignment horizontal="right" vertical="center" wrapText="1"/>
    </xf>
    <xf numFmtId="3" fontId="242" fillId="0" borderId="6" xfId="0" quotePrefix="1" applyNumberFormat="1" applyFont="1" applyBorder="1" applyAlignment="1" applyProtection="1">
      <alignment horizontal="center" vertical="center" wrapText="1"/>
      <protection locked="0"/>
    </xf>
    <xf numFmtId="172" fontId="252" fillId="0" borderId="6" xfId="2268" applyNumberFormat="1" applyFont="1" applyFill="1" applyBorder="1" applyAlignment="1">
      <alignment horizontal="right" vertical="center"/>
    </xf>
    <xf numFmtId="0" fontId="252" fillId="0" borderId="0" xfId="0" applyFont="1"/>
    <xf numFmtId="3" fontId="242" fillId="0" borderId="6" xfId="2268" applyNumberFormat="1" applyFont="1" applyBorder="1" applyAlignment="1" applyProtection="1">
      <alignment horizontal="center" vertical="center"/>
      <protection locked="0"/>
    </xf>
    <xf numFmtId="175" fontId="242" fillId="0" borderId="6" xfId="2268" applyNumberFormat="1" applyFont="1" applyBorder="1" applyAlignment="1" applyProtection="1">
      <alignment vertical="center" wrapText="1"/>
      <protection locked="0"/>
    </xf>
    <xf numFmtId="3" fontId="242" fillId="0" borderId="6" xfId="2268" applyNumberFormat="1" applyFont="1" applyBorder="1" applyAlignment="1" applyProtection="1">
      <alignment horizontal="right" vertical="center" wrapText="1"/>
      <protection locked="0"/>
    </xf>
    <xf numFmtId="172" fontId="242" fillId="0" borderId="6" xfId="2268" applyNumberFormat="1" applyFont="1" applyBorder="1" applyAlignment="1" applyProtection="1">
      <alignment vertical="center" wrapText="1"/>
      <protection locked="0"/>
    </xf>
    <xf numFmtId="3" fontId="243" fillId="0" borderId="6" xfId="2268" applyNumberFormat="1" applyFont="1" applyFill="1" applyBorder="1" applyAlignment="1" applyProtection="1">
      <alignment horizontal="center" vertical="center"/>
      <protection locked="0"/>
    </xf>
    <xf numFmtId="175" fontId="243" fillId="0" borderId="6" xfId="2268" applyNumberFormat="1" applyFont="1" applyFill="1" applyBorder="1" applyAlignment="1" applyProtection="1">
      <alignment horizontal="left" vertical="center"/>
      <protection locked="0"/>
    </xf>
    <xf numFmtId="175" fontId="242" fillId="0" borderId="6" xfId="2268" applyNumberFormat="1" applyFont="1" applyFill="1" applyBorder="1" applyAlignment="1" applyProtection="1">
      <alignment horizontal="left" vertical="center" wrapText="1"/>
      <protection locked="0"/>
    </xf>
    <xf numFmtId="209" fontId="242" fillId="0" borderId="6" xfId="2271" applyNumberFormat="1" applyFont="1" applyBorder="1" applyAlignment="1" applyProtection="1">
      <alignment vertical="center" wrapText="1"/>
      <protection locked="0"/>
    </xf>
    <xf numFmtId="3" fontId="242" fillId="0" borderId="6" xfId="2271" applyNumberFormat="1" applyFont="1" applyBorder="1" applyAlignment="1" applyProtection="1">
      <alignment horizontal="right" vertical="center" wrapText="1"/>
      <protection locked="0"/>
    </xf>
    <xf numFmtId="3" fontId="244" fillId="0" borderId="0" xfId="0" applyNumberFormat="1" applyFont="1" applyAlignment="1" applyProtection="1">
      <alignment horizontal="center" vertical="center" wrapText="1"/>
      <protection locked="0"/>
    </xf>
    <xf numFmtId="3" fontId="244" fillId="0" borderId="0" xfId="0" applyNumberFormat="1" applyFont="1" applyAlignment="1" applyProtection="1">
      <alignment horizontal="right" vertical="center" wrapText="1"/>
      <protection locked="0"/>
    </xf>
    <xf numFmtId="172" fontId="253" fillId="0" borderId="0" xfId="2268" applyNumberFormat="1" applyFont="1" applyFill="1" applyBorder="1" applyAlignment="1">
      <alignment horizontal="center" vertical="center"/>
    </xf>
    <xf numFmtId="0" fontId="244" fillId="0" borderId="0" xfId="0" applyFont="1" applyAlignment="1" applyProtection="1">
      <alignment vertical="center"/>
      <protection locked="0"/>
    </xf>
    <xf numFmtId="172" fontId="253" fillId="0" borderId="0" xfId="2268" applyNumberFormat="1" applyFont="1" applyFill="1" applyBorder="1" applyAlignment="1">
      <alignment horizontal="left" vertical="center"/>
    </xf>
    <xf numFmtId="3" fontId="244" fillId="0" borderId="0" xfId="0" applyNumberFormat="1" applyFont="1" applyAlignment="1">
      <alignment vertical="center" wrapText="1"/>
    </xf>
    <xf numFmtId="0" fontId="244" fillId="0" borderId="0" xfId="0" applyFont="1" applyAlignment="1">
      <alignment vertical="center" wrapText="1"/>
    </xf>
    <xf numFmtId="3" fontId="244" fillId="0" borderId="0" xfId="0" applyNumberFormat="1" applyFont="1" applyAlignment="1" applyProtection="1">
      <alignment vertical="center" wrapText="1"/>
      <protection locked="0"/>
    </xf>
    <xf numFmtId="0" fontId="244" fillId="0" borderId="0" xfId="0" applyFont="1" applyAlignment="1" applyProtection="1">
      <alignment horizontal="left" vertical="center" wrapText="1"/>
      <protection locked="0"/>
    </xf>
    <xf numFmtId="172" fontId="244" fillId="0" borderId="0" xfId="0" applyNumberFormat="1" applyFont="1" applyAlignment="1" applyProtection="1">
      <alignment vertical="center" wrapText="1"/>
      <protection locked="0"/>
    </xf>
    <xf numFmtId="172" fontId="244" fillId="0" borderId="0" xfId="2268" applyNumberFormat="1" applyFont="1" applyFill="1" applyAlignment="1" applyProtection="1">
      <alignment vertical="center" wrapText="1"/>
    </xf>
    <xf numFmtId="172" fontId="244" fillId="0" borderId="0" xfId="0" applyNumberFormat="1" applyFont="1" applyAlignment="1">
      <alignment vertical="center" wrapText="1"/>
    </xf>
    <xf numFmtId="0" fontId="244" fillId="0" borderId="0" xfId="2272" applyFont="1" applyAlignment="1">
      <alignment vertical="center" wrapText="1"/>
    </xf>
    <xf numFmtId="307" fontId="244" fillId="0" borderId="0" xfId="5" applyNumberFormat="1" applyFont="1" applyFill="1" applyAlignment="1" applyProtection="1">
      <alignment vertical="center" wrapText="1"/>
      <protection locked="0"/>
    </xf>
    <xf numFmtId="0" fontId="244" fillId="0" borderId="0" xfId="0" applyFont="1" applyAlignment="1" applyProtection="1">
      <alignment horizontal="right" vertical="center" wrapText="1"/>
      <protection locked="0"/>
    </xf>
    <xf numFmtId="0" fontId="244" fillId="0" borderId="0" xfId="0" applyFont="1" applyAlignment="1">
      <alignment horizontal="left" vertical="center" wrapText="1"/>
    </xf>
    <xf numFmtId="172" fontId="244" fillId="0" borderId="0" xfId="2268" applyNumberFormat="1" applyFont="1" applyFill="1" applyBorder="1" applyAlignment="1" applyProtection="1">
      <alignment vertical="center" wrapText="1"/>
      <protection locked="0"/>
    </xf>
    <xf numFmtId="172" fontId="244" fillId="0" borderId="0" xfId="2268" applyNumberFormat="1" applyFont="1" applyFill="1" applyAlignment="1" applyProtection="1">
      <alignment vertical="center" wrapText="1"/>
      <protection locked="0"/>
    </xf>
    <xf numFmtId="3" fontId="245" fillId="0" borderId="0" xfId="0" applyNumberFormat="1" applyFont="1" applyAlignment="1" applyProtection="1">
      <alignment horizontal="center" vertical="center" wrapText="1"/>
      <protection locked="0"/>
    </xf>
    <xf numFmtId="0" fontId="245" fillId="0" borderId="0" xfId="0" applyFont="1" applyAlignment="1" applyProtection="1">
      <alignment horizontal="center" vertical="center" wrapText="1"/>
      <protection locked="0"/>
    </xf>
    <xf numFmtId="307" fontId="245" fillId="0" borderId="0" xfId="5" applyNumberFormat="1" applyFont="1" applyFill="1" applyAlignment="1" applyProtection="1">
      <alignment horizontal="center" vertical="center" wrapText="1"/>
      <protection locked="0"/>
    </xf>
    <xf numFmtId="308" fontId="244" fillId="0" borderId="0" xfId="0" applyNumberFormat="1" applyFont="1" applyAlignment="1" applyProtection="1">
      <alignment vertical="center" wrapText="1"/>
      <protection locked="0"/>
    </xf>
    <xf numFmtId="3" fontId="244" fillId="0" borderId="0" xfId="2268" applyNumberFormat="1" applyFont="1" applyFill="1" applyAlignment="1" applyProtection="1">
      <alignment vertical="center" wrapText="1"/>
      <protection locked="0"/>
    </xf>
    <xf numFmtId="3" fontId="25" fillId="0" borderId="0" xfId="0" applyNumberFormat="1" applyFont="1" applyAlignment="1" applyProtection="1">
      <alignment horizontal="center" vertical="center" wrapText="1"/>
      <protection locked="0"/>
    </xf>
    <xf numFmtId="3" fontId="25" fillId="0" borderId="0" xfId="0" applyNumberFormat="1" applyFont="1" applyAlignment="1" applyProtection="1">
      <alignment horizontal="right" vertical="center" wrapText="1"/>
      <protection locked="0"/>
    </xf>
    <xf numFmtId="0" fontId="25" fillId="0" borderId="0" xfId="0" applyFont="1" applyAlignment="1">
      <alignment vertical="center" wrapText="1"/>
    </xf>
    <xf numFmtId="0" fontId="237" fillId="0" borderId="0" xfId="2273" applyFont="1" applyAlignment="1">
      <alignment vertical="center"/>
    </xf>
    <xf numFmtId="172" fontId="255" fillId="0" borderId="0" xfId="2273" applyNumberFormat="1" applyFont="1"/>
    <xf numFmtId="0" fontId="255" fillId="0" borderId="0" xfId="2273" applyFont="1"/>
    <xf numFmtId="172" fontId="255" fillId="0" borderId="0" xfId="2274" applyNumberFormat="1" applyFont="1" applyAlignment="1"/>
    <xf numFmtId="172" fontId="237" fillId="0" borderId="0" xfId="2273" applyNumberFormat="1" applyFont="1" applyAlignment="1">
      <alignment horizontal="center" vertical="center"/>
    </xf>
    <xf numFmtId="172" fontId="255" fillId="0" borderId="0" xfId="2274" applyNumberFormat="1" applyFont="1"/>
    <xf numFmtId="0" fontId="116" fillId="70" borderId="0" xfId="2273" applyFont="1" applyFill="1"/>
    <xf numFmtId="0" fontId="116" fillId="0" borderId="0" xfId="2273" applyFont="1"/>
    <xf numFmtId="0" fontId="86" fillId="0" borderId="0" xfId="2273" applyFont="1" applyAlignment="1">
      <alignment horizontal="left" vertical="center"/>
    </xf>
    <xf numFmtId="0" fontId="237" fillId="0" borderId="1" xfId="2273" applyFont="1" applyBorder="1" applyAlignment="1">
      <alignment horizontal="center" vertical="center" wrapText="1"/>
    </xf>
    <xf numFmtId="0" fontId="86" fillId="0" borderId="1" xfId="2273" applyFont="1" applyBorder="1" applyAlignment="1">
      <alignment horizontal="center" vertical="center" wrapText="1"/>
    </xf>
    <xf numFmtId="0" fontId="237" fillId="0" borderId="10" xfId="2273" applyFont="1" applyBorder="1" applyAlignment="1">
      <alignment horizontal="center" vertical="center" wrapText="1"/>
    </xf>
    <xf numFmtId="172" fontId="237" fillId="0" borderId="10" xfId="2274" applyNumberFormat="1" applyFont="1" applyBorder="1" applyAlignment="1">
      <alignment horizontal="center" vertical="center" wrapText="1"/>
    </xf>
    <xf numFmtId="172" fontId="237" fillId="0" borderId="10" xfId="2273" applyNumberFormat="1" applyFont="1" applyBorder="1" applyAlignment="1">
      <alignment horizontal="center" vertical="center" wrapText="1"/>
    </xf>
    <xf numFmtId="0" fontId="237" fillId="0" borderId="6" xfId="2273" applyFont="1" applyBorder="1" applyAlignment="1">
      <alignment vertical="center" wrapText="1"/>
    </xf>
    <xf numFmtId="172" fontId="237" fillId="0" borderId="6" xfId="2274" applyNumberFormat="1" applyFont="1" applyBorder="1" applyAlignment="1">
      <alignment vertical="center" wrapText="1"/>
    </xf>
    <xf numFmtId="172" fontId="237" fillId="0" borderId="6" xfId="2274" applyNumberFormat="1" applyFont="1" applyBorder="1" applyAlignment="1">
      <alignment horizontal="center" vertical="center" wrapText="1"/>
    </xf>
    <xf numFmtId="0" fontId="86" fillId="0" borderId="6" xfId="2273" applyFont="1" applyBorder="1" applyAlignment="1">
      <alignment vertical="center" wrapText="1"/>
    </xf>
    <xf numFmtId="172" fontId="86" fillId="0" borderId="6" xfId="2274" applyNumberFormat="1" applyFont="1" applyBorder="1" applyAlignment="1">
      <alignment vertical="center" wrapText="1"/>
    </xf>
    <xf numFmtId="172" fontId="86" fillId="70" borderId="6" xfId="2274" applyNumberFormat="1" applyFont="1" applyFill="1" applyBorder="1" applyAlignment="1">
      <alignment vertical="center" wrapText="1"/>
    </xf>
    <xf numFmtId="0" fontId="86" fillId="0" borderId="6" xfId="2273" applyFont="1" applyBorder="1" applyAlignment="1">
      <alignment horizontal="justify" vertical="center" wrapText="1"/>
    </xf>
    <xf numFmtId="172" fontId="86" fillId="0" borderId="6" xfId="2274" applyNumberFormat="1" applyFont="1" applyBorder="1" applyAlignment="1">
      <alignment horizontal="center" vertical="center" wrapText="1"/>
    </xf>
    <xf numFmtId="0" fontId="255" fillId="0" borderId="6" xfId="2273" applyFont="1" applyBorder="1" applyAlignment="1">
      <alignment horizontal="justify" vertical="center" wrapText="1"/>
    </xf>
    <xf numFmtId="0" fontId="257" fillId="0" borderId="6" xfId="2273" applyFont="1" applyBorder="1" applyAlignment="1">
      <alignment vertical="center" wrapText="1"/>
    </xf>
    <xf numFmtId="172" fontId="257" fillId="0" borderId="6" xfId="2274" applyNumberFormat="1" applyFont="1" applyBorder="1" applyAlignment="1">
      <alignment vertical="center" wrapText="1"/>
    </xf>
    <xf numFmtId="0" fontId="237" fillId="0" borderId="6" xfId="2273" applyFont="1" applyBorder="1" applyAlignment="1">
      <alignment horizontal="left" vertical="center" wrapText="1"/>
    </xf>
    <xf numFmtId="172" fontId="237" fillId="70" borderId="6" xfId="2274" applyNumberFormat="1" applyFont="1" applyFill="1" applyBorder="1" applyAlignment="1">
      <alignment vertical="center"/>
    </xf>
    <xf numFmtId="172" fontId="237" fillId="0" borderId="6" xfId="2274" applyNumberFormat="1" applyFont="1" applyBorder="1" applyAlignment="1">
      <alignment vertical="center"/>
    </xf>
    <xf numFmtId="0" fontId="86" fillId="0" borderId="6" xfId="2273" applyFont="1" applyBorder="1" applyAlignment="1">
      <alignment vertical="center"/>
    </xf>
    <xf numFmtId="172" fontId="86" fillId="0" borderId="6" xfId="2274" applyNumberFormat="1" applyFont="1" applyBorder="1" applyAlignment="1">
      <alignment vertical="center"/>
    </xf>
    <xf numFmtId="0" fontId="237" fillId="0" borderId="6" xfId="2273" quotePrefix="1" applyFont="1" applyBorder="1" applyAlignment="1">
      <alignment vertical="center"/>
    </xf>
    <xf numFmtId="0" fontId="237" fillId="0" borderId="6" xfId="2273" applyFont="1" applyBorder="1" applyAlignment="1">
      <alignment vertical="center"/>
    </xf>
    <xf numFmtId="172" fontId="237" fillId="0" borderId="6" xfId="2273" applyNumberFormat="1" applyFont="1" applyBorder="1" applyAlignment="1">
      <alignment vertical="center"/>
    </xf>
    <xf numFmtId="0" fontId="86" fillId="0" borderId="12" xfId="2273" applyFont="1" applyBorder="1" applyAlignment="1">
      <alignment vertical="center" wrapText="1"/>
    </xf>
    <xf numFmtId="172" fontId="86" fillId="0" borderId="12" xfId="2274" applyNumberFormat="1" applyFont="1" applyBorder="1" applyAlignment="1">
      <alignment horizontal="center" vertical="center" wrapText="1"/>
    </xf>
    <xf numFmtId="0" fontId="86" fillId="0" borderId="0" xfId="2273" applyFont="1" applyAlignment="1">
      <alignment vertical="center"/>
    </xf>
    <xf numFmtId="0" fontId="224" fillId="0" borderId="0" xfId="2273" applyFont="1"/>
    <xf numFmtId="172" fontId="224" fillId="0" borderId="0" xfId="2274" applyNumberFormat="1" applyFont="1"/>
    <xf numFmtId="172" fontId="224" fillId="0" borderId="0" xfId="2273" applyNumberFormat="1" applyFont="1"/>
    <xf numFmtId="0" fontId="259" fillId="0" borderId="0" xfId="2273" applyFont="1" applyAlignment="1">
      <alignment horizontal="center" vertical="center" wrapText="1"/>
    </xf>
    <xf numFmtId="172" fontId="253" fillId="0" borderId="0" xfId="2273" applyNumberFormat="1" applyFont="1"/>
    <xf numFmtId="172" fontId="258" fillId="0" borderId="0" xfId="2273" applyNumberFormat="1" applyFont="1" applyAlignment="1">
      <alignment horizontal="center" vertical="center" wrapText="1"/>
    </xf>
    <xf numFmtId="0" fontId="258" fillId="0" borderId="0" xfId="2273" applyFont="1" applyAlignment="1">
      <alignment horizontal="center" vertical="center" wrapText="1"/>
    </xf>
    <xf numFmtId="0" fontId="257" fillId="0" borderId="0" xfId="2273" applyFont="1" applyAlignment="1">
      <alignment horizontal="center" vertical="center" wrapText="1"/>
    </xf>
    <xf numFmtId="172" fontId="86" fillId="0" borderId="0" xfId="2273" applyNumberFormat="1" applyFont="1" applyAlignment="1">
      <alignment horizontal="center" vertical="center" wrapText="1"/>
    </xf>
    <xf numFmtId="172" fontId="257" fillId="0" borderId="0" xfId="2273" applyNumberFormat="1" applyFont="1" applyAlignment="1">
      <alignment horizontal="center" vertical="center" wrapText="1"/>
    </xf>
    <xf numFmtId="0" fontId="260" fillId="0" borderId="0" xfId="2273" applyFont="1" applyAlignment="1">
      <alignment horizontal="left" vertical="center" wrapText="1"/>
    </xf>
    <xf numFmtId="172" fontId="229" fillId="0" borderId="0" xfId="2273" applyNumberFormat="1" applyFont="1"/>
    <xf numFmtId="0" fontId="235" fillId="0" borderId="0" xfId="2273" applyFont="1" applyAlignment="1">
      <alignment horizontal="left" vertical="center" wrapText="1"/>
    </xf>
    <xf numFmtId="172" fontId="261" fillId="0" borderId="0" xfId="2274" applyNumberFormat="1" applyFont="1"/>
    <xf numFmtId="172" fontId="229" fillId="0" borderId="0" xfId="2274" applyNumberFormat="1" applyFont="1"/>
    <xf numFmtId="172" fontId="237" fillId="0" borderId="0" xfId="2274" applyNumberFormat="1" applyFont="1" applyAlignment="1">
      <alignment horizontal="center" vertical="center" wrapText="1"/>
    </xf>
    <xf numFmtId="0" fontId="237" fillId="0" borderId="0" xfId="2273" applyFont="1" applyAlignment="1">
      <alignment horizontal="center" vertical="center" wrapText="1"/>
    </xf>
    <xf numFmtId="172" fontId="116" fillId="0" borderId="0" xfId="2274" applyNumberFormat="1" applyFont="1"/>
    <xf numFmtId="0" fontId="229" fillId="0" borderId="0" xfId="2273" applyFont="1"/>
    <xf numFmtId="0" fontId="9" fillId="0" borderId="0" xfId="0" applyFont="1" applyAlignment="1">
      <alignment horizontal="center" vertical="center" wrapText="1"/>
    </xf>
    <xf numFmtId="0" fontId="237" fillId="70" borderId="0" xfId="2273" applyFont="1" applyFill="1" applyAlignment="1">
      <alignment vertical="center"/>
    </xf>
    <xf numFmtId="0" fontId="255" fillId="70" borderId="0" xfId="2273" applyFont="1" applyFill="1"/>
    <xf numFmtId="172" fontId="255" fillId="70" borderId="0" xfId="2273" applyNumberFormat="1" applyFont="1" applyFill="1"/>
    <xf numFmtId="172" fontId="255" fillId="70" borderId="0" xfId="2274" applyNumberFormat="1" applyFont="1" applyFill="1" applyAlignment="1"/>
    <xf numFmtId="0" fontId="237" fillId="70" borderId="0" xfId="2273" applyFont="1" applyFill="1" applyAlignment="1">
      <alignment horizontal="center" vertical="center"/>
    </xf>
    <xf numFmtId="0" fontId="261" fillId="70" borderId="0" xfId="2273" applyFont="1" applyFill="1"/>
    <xf numFmtId="0" fontId="257" fillId="70" borderId="0" xfId="2273" applyFont="1" applyFill="1" applyAlignment="1">
      <alignment horizontal="right" vertical="center"/>
    </xf>
    <xf numFmtId="0" fontId="237" fillId="70" borderId="1" xfId="2273" applyFont="1" applyFill="1" applyBorder="1" applyAlignment="1">
      <alignment horizontal="center" vertical="center" wrapText="1"/>
    </xf>
    <xf numFmtId="0" fontId="18" fillId="70" borderId="1" xfId="2273" applyFont="1" applyFill="1" applyBorder="1" applyAlignment="1">
      <alignment horizontal="center" vertical="center" wrapText="1"/>
    </xf>
    <xf numFmtId="0" fontId="18" fillId="70" borderId="0" xfId="2273" applyFont="1" applyFill="1"/>
    <xf numFmtId="0" fontId="237" fillId="0" borderId="10" xfId="2273" applyFont="1" applyBorder="1" applyAlignment="1">
      <alignment vertical="center" wrapText="1"/>
    </xf>
    <xf numFmtId="172" fontId="237" fillId="70" borderId="6" xfId="2274" applyNumberFormat="1" applyFont="1" applyFill="1" applyBorder="1" applyAlignment="1">
      <alignment horizontal="center" vertical="center" wrapText="1"/>
    </xf>
    <xf numFmtId="172" fontId="237" fillId="70" borderId="10" xfId="2274" applyNumberFormat="1" applyFont="1" applyFill="1" applyBorder="1" applyAlignment="1">
      <alignment horizontal="center" vertical="center" wrapText="1"/>
    </xf>
    <xf numFmtId="174" fontId="237" fillId="70" borderId="10" xfId="2274" applyNumberFormat="1" applyFont="1" applyFill="1" applyBorder="1" applyAlignment="1">
      <alignment horizontal="center" vertical="center" wrapText="1"/>
    </xf>
    <xf numFmtId="0" fontId="237" fillId="0" borderId="6" xfId="2273" applyFont="1" applyBorder="1" applyAlignment="1">
      <alignment horizontal="center" vertical="center" wrapText="1"/>
    </xf>
    <xf numFmtId="174" fontId="237" fillId="70" borderId="6" xfId="2274" applyNumberFormat="1" applyFont="1" applyFill="1" applyBorder="1" applyAlignment="1">
      <alignment horizontal="center" vertical="center" wrapText="1"/>
    </xf>
    <xf numFmtId="0" fontId="86" fillId="0" borderId="6" xfId="2273" applyFont="1" applyBorder="1" applyAlignment="1">
      <alignment horizontal="center" vertical="center" wrapText="1"/>
    </xf>
    <xf numFmtId="172" fontId="86" fillId="70" borderId="6" xfId="2274" applyNumberFormat="1" applyFont="1" applyFill="1" applyBorder="1" applyAlignment="1">
      <alignment horizontal="center" vertical="center" wrapText="1"/>
    </xf>
    <xf numFmtId="174" fontId="86" fillId="70" borderId="6" xfId="2274" applyNumberFormat="1" applyFont="1" applyFill="1" applyBorder="1" applyAlignment="1">
      <alignment horizontal="center" vertical="center" wrapText="1"/>
    </xf>
    <xf numFmtId="0" fontId="86" fillId="70" borderId="6" xfId="2273" applyFont="1" applyFill="1" applyBorder="1" applyAlignment="1">
      <alignment vertical="center" wrapText="1"/>
    </xf>
    <xf numFmtId="174" fontId="86" fillId="0" borderId="6" xfId="2274" applyNumberFormat="1" applyFont="1" applyFill="1" applyBorder="1" applyAlignment="1">
      <alignment horizontal="center" vertical="center" wrapText="1"/>
    </xf>
    <xf numFmtId="0" fontId="255" fillId="70" borderId="0" xfId="2273" applyFont="1" applyFill="1" applyAlignment="1">
      <alignment vertical="center"/>
    </xf>
    <xf numFmtId="0" fontId="237" fillId="0" borderId="6" xfId="2273" applyFont="1" applyBorder="1" applyAlignment="1">
      <alignment horizontal="center" wrapText="1"/>
    </xf>
    <xf numFmtId="0" fontId="237" fillId="0" borderId="6" xfId="2273" applyFont="1" applyBorder="1" applyAlignment="1">
      <alignment horizontal="justify" vertical="center" wrapText="1"/>
    </xf>
    <xf numFmtId="172" fontId="116" fillId="70" borderId="0" xfId="2273" applyNumberFormat="1" applyFont="1" applyFill="1"/>
    <xf numFmtId="0" fontId="237" fillId="0" borderId="6" xfId="2273" applyFont="1" applyBorder="1" applyAlignment="1">
      <alignment wrapText="1"/>
    </xf>
    <xf numFmtId="0" fontId="86" fillId="0" borderId="6" xfId="2273" applyFont="1" applyBorder="1" applyAlignment="1">
      <alignment horizontal="center" wrapText="1"/>
    </xf>
    <xf numFmtId="174" fontId="237" fillId="0" borderId="6" xfId="2274" applyNumberFormat="1" applyFont="1" applyFill="1" applyBorder="1" applyAlignment="1">
      <alignment horizontal="center" vertical="center" wrapText="1"/>
    </xf>
    <xf numFmtId="0" fontId="237" fillId="70" borderId="6" xfId="2273" applyFont="1" applyFill="1" applyBorder="1" applyAlignment="1">
      <alignment horizontal="center" vertical="center" wrapText="1"/>
    </xf>
    <xf numFmtId="0" fontId="237" fillId="70" borderId="6" xfId="2273" applyFont="1" applyFill="1" applyBorder="1" applyAlignment="1">
      <alignment vertical="center" wrapText="1"/>
    </xf>
    <xf numFmtId="0" fontId="86" fillId="70" borderId="6" xfId="2273" applyFont="1" applyFill="1" applyBorder="1" applyAlignment="1">
      <alignment horizontal="center" vertical="center" wrapText="1"/>
    </xf>
    <xf numFmtId="0" fontId="257" fillId="70" borderId="6" xfId="2273" applyFont="1" applyFill="1" applyBorder="1" applyAlignment="1">
      <alignment vertical="center"/>
    </xf>
    <xf numFmtId="0" fontId="237" fillId="70" borderId="12" xfId="2273" applyFont="1" applyFill="1" applyBorder="1" applyAlignment="1">
      <alignment horizontal="center" vertical="center" wrapText="1"/>
    </xf>
    <xf numFmtId="0" fontId="237" fillId="70" borderId="12" xfId="2273" applyFont="1" applyFill="1" applyBorder="1" applyAlignment="1">
      <alignment vertical="center" wrapText="1"/>
    </xf>
    <xf numFmtId="174" fontId="237" fillId="70" borderId="12" xfId="2274" applyNumberFormat="1" applyFont="1" applyFill="1" applyBorder="1" applyAlignment="1">
      <alignment horizontal="center" vertical="center" wrapText="1"/>
    </xf>
    <xf numFmtId="172" fontId="237" fillId="70" borderId="1" xfId="2273" applyNumberFormat="1" applyFont="1" applyFill="1" applyBorder="1" applyAlignment="1">
      <alignment horizontal="center" vertical="center" wrapText="1"/>
    </xf>
    <xf numFmtId="174" fontId="237" fillId="70" borderId="1" xfId="2274" applyNumberFormat="1" applyFont="1" applyFill="1" applyBorder="1" applyAlignment="1">
      <alignment horizontal="center" vertical="center" wrapText="1"/>
    </xf>
    <xf numFmtId="0" fontId="86" fillId="70" borderId="0" xfId="2273" applyFont="1" applyFill="1" applyAlignment="1">
      <alignment vertical="center"/>
    </xf>
    <xf numFmtId="172" fontId="255" fillId="70" borderId="0" xfId="2274" applyNumberFormat="1" applyFont="1" applyFill="1"/>
    <xf numFmtId="0" fontId="224" fillId="70" borderId="0" xfId="2273" applyFont="1" applyFill="1"/>
    <xf numFmtId="0" fontId="258" fillId="70" borderId="0" xfId="2273" applyFont="1" applyFill="1" applyAlignment="1">
      <alignment horizontal="center" vertical="center" wrapText="1"/>
    </xf>
    <xf numFmtId="172" fontId="86" fillId="70" borderId="0" xfId="2274" applyNumberFormat="1" applyFont="1" applyFill="1" applyAlignment="1">
      <alignment horizontal="center" vertical="center" wrapText="1"/>
    </xf>
    <xf numFmtId="172" fontId="258" fillId="70" borderId="0" xfId="2273" applyNumberFormat="1" applyFont="1" applyFill="1" applyAlignment="1">
      <alignment horizontal="center" vertical="center" wrapText="1"/>
    </xf>
    <xf numFmtId="172" fontId="224" fillId="70" borderId="0" xfId="2273" applyNumberFormat="1" applyFont="1" applyFill="1"/>
    <xf numFmtId="0" fontId="257" fillId="70" borderId="0" xfId="2273" applyFont="1" applyFill="1" applyAlignment="1">
      <alignment horizontal="center" vertical="center" wrapText="1"/>
    </xf>
    <xf numFmtId="172" fontId="86" fillId="70" borderId="0" xfId="2273" applyNumberFormat="1" applyFont="1" applyFill="1" applyAlignment="1">
      <alignment horizontal="center" vertical="center" wrapText="1"/>
    </xf>
    <xf numFmtId="172" fontId="257" fillId="70" borderId="0" xfId="2274" applyNumberFormat="1" applyFont="1" applyFill="1" applyAlignment="1">
      <alignment horizontal="center" vertical="center" wrapText="1"/>
    </xf>
    <xf numFmtId="0" fontId="86" fillId="70" borderId="0" xfId="2273" applyFont="1" applyFill="1" applyAlignment="1">
      <alignment horizontal="center" vertical="center" wrapText="1"/>
    </xf>
    <xf numFmtId="172" fontId="235" fillId="70" borderId="0" xfId="2274" applyNumberFormat="1" applyFont="1" applyFill="1" applyAlignment="1">
      <alignment horizontal="center" vertical="center" wrapText="1"/>
    </xf>
    <xf numFmtId="172" fontId="229" fillId="70" borderId="0" xfId="2274" applyNumberFormat="1" applyFont="1" applyFill="1"/>
    <xf numFmtId="172" fontId="255" fillId="70" borderId="0" xfId="2274" applyNumberFormat="1" applyFont="1" applyFill="1" applyAlignment="1">
      <alignment horizontal="center" vertical="center" wrapText="1"/>
    </xf>
    <xf numFmtId="172" fontId="260" fillId="70" borderId="0" xfId="2273" applyNumberFormat="1" applyFont="1" applyFill="1" applyAlignment="1">
      <alignment horizontal="center" vertical="center" wrapText="1"/>
    </xf>
    <xf numFmtId="172" fontId="255" fillId="70" borderId="0" xfId="2273" applyNumberFormat="1" applyFont="1" applyFill="1" applyAlignment="1">
      <alignment horizontal="center" vertical="center" wrapText="1"/>
    </xf>
    <xf numFmtId="172" fontId="257" fillId="70" borderId="0" xfId="2273" applyNumberFormat="1" applyFont="1" applyFill="1" applyAlignment="1">
      <alignment horizontal="center" vertical="center" wrapText="1"/>
    </xf>
    <xf numFmtId="0" fontId="262" fillId="70" borderId="0" xfId="2273" applyFont="1" applyFill="1" applyAlignment="1">
      <alignment horizontal="center" vertical="center" wrapText="1"/>
    </xf>
    <xf numFmtId="3" fontId="18" fillId="70" borderId="6" xfId="1004" applyNumberFormat="1" applyFont="1" applyFill="1" applyBorder="1" applyAlignment="1">
      <alignment vertical="center" wrapText="1"/>
    </xf>
    <xf numFmtId="0" fontId="18" fillId="70" borderId="6" xfId="1500" applyFont="1" applyFill="1" applyBorder="1" applyAlignment="1">
      <alignment vertical="center" wrapText="1"/>
    </xf>
    <xf numFmtId="0" fontId="18" fillId="70" borderId="6" xfId="1004" applyFont="1" applyFill="1" applyBorder="1" applyAlignment="1">
      <alignment vertical="center" wrapText="1"/>
    </xf>
    <xf numFmtId="0" fontId="220" fillId="0" borderId="0" xfId="0" applyFont="1" applyAlignment="1">
      <alignment vertical="center"/>
    </xf>
    <xf numFmtId="172" fontId="220" fillId="0" borderId="0" xfId="0" applyNumberFormat="1" applyFont="1" applyAlignment="1">
      <alignment vertical="center"/>
    </xf>
    <xf numFmtId="0" fontId="15" fillId="0" borderId="1" xfId="0" applyFont="1" applyBorder="1" applyAlignment="1">
      <alignment horizontal="center" vertical="center" wrapText="1"/>
    </xf>
    <xf numFmtId="3" fontId="243" fillId="71" borderId="6" xfId="2268" applyNumberFormat="1" applyFont="1" applyFill="1" applyBorder="1" applyAlignment="1" applyProtection="1">
      <alignment horizontal="center" vertical="center" wrapText="1"/>
      <protection locked="0"/>
    </xf>
    <xf numFmtId="172" fontId="243" fillId="71" borderId="6" xfId="2268" applyNumberFormat="1" applyFont="1" applyFill="1" applyBorder="1" applyAlignment="1" applyProtection="1">
      <alignment horizontal="left" vertical="center" wrapText="1" shrinkToFit="1"/>
      <protection locked="0"/>
    </xf>
    <xf numFmtId="3" fontId="243" fillId="71" borderId="6" xfId="2268" applyNumberFormat="1" applyFont="1" applyFill="1" applyBorder="1" applyAlignment="1" applyProtection="1">
      <alignment horizontal="right" vertical="center" wrapText="1" shrinkToFit="1"/>
      <protection locked="0"/>
    </xf>
    <xf numFmtId="3" fontId="242" fillId="71" borderId="6" xfId="2268" applyNumberFormat="1" applyFont="1" applyFill="1" applyBorder="1" applyAlignment="1" applyProtection="1">
      <alignment horizontal="right" vertical="center" wrapText="1"/>
      <protection locked="0"/>
    </xf>
    <xf numFmtId="0" fontId="243" fillId="71" borderId="0" xfId="0" applyFont="1" applyFill="1" applyAlignment="1" applyProtection="1">
      <alignment vertical="center" wrapText="1"/>
      <protection locked="0"/>
    </xf>
    <xf numFmtId="0" fontId="245" fillId="71" borderId="0" xfId="0" applyFont="1" applyFill="1" applyAlignment="1" applyProtection="1">
      <alignment vertical="center" wrapText="1"/>
      <protection locked="0"/>
    </xf>
    <xf numFmtId="3" fontId="10" fillId="0" borderId="1" xfId="0" applyNumberFormat="1" applyFont="1" applyFill="1" applyBorder="1" applyAlignment="1">
      <alignment horizontal="right" vertical="center" wrapText="1"/>
    </xf>
    <xf numFmtId="0" fontId="12" fillId="0" borderId="0" xfId="0" applyFont="1" applyAlignment="1">
      <alignment horizontal="center" vertical="center"/>
    </xf>
    <xf numFmtId="0" fontId="218" fillId="0" borderId="1" xfId="0" applyFont="1" applyBorder="1" applyAlignment="1">
      <alignment horizontal="center" vertical="center" wrapText="1"/>
    </xf>
    <xf numFmtId="9" fontId="9" fillId="0" borderId="54" xfId="2276" applyFont="1" applyBorder="1" applyAlignment="1">
      <alignment horizontal="right" vertical="center" wrapText="1"/>
    </xf>
    <xf numFmtId="9" fontId="10" fillId="0" borderId="54" xfId="2276" applyFont="1" applyBorder="1" applyAlignment="1">
      <alignment horizontal="right" vertical="center" wrapText="1"/>
    </xf>
    <xf numFmtId="9" fontId="10" fillId="0" borderId="55" xfId="2276" applyFont="1" applyBorder="1" applyAlignment="1">
      <alignment horizontal="right" vertical="center" wrapText="1"/>
    </xf>
    <xf numFmtId="9" fontId="9" fillId="0" borderId="56" xfId="2276" applyFont="1" applyBorder="1" applyAlignment="1">
      <alignment horizontal="right" vertical="center" wrapText="1"/>
    </xf>
    <xf numFmtId="309" fontId="233" fillId="0" borderId="1" xfId="0" applyNumberFormat="1" applyFont="1" applyBorder="1" applyAlignment="1">
      <alignment horizontal="right" vertical="center" wrapText="1"/>
    </xf>
    <xf numFmtId="0" fontId="19" fillId="0" borderId="11" xfId="0" applyFont="1" applyBorder="1" applyAlignment="1">
      <alignment horizontal="center" vertical="center" wrapText="1"/>
    </xf>
    <xf numFmtId="0" fontId="19" fillId="0" borderId="11" xfId="0" applyFont="1" applyBorder="1" applyAlignment="1">
      <alignment vertical="center" wrapText="1"/>
    </xf>
    <xf numFmtId="3" fontId="19" fillId="0" borderId="11" xfId="0" applyNumberFormat="1" applyFont="1" applyBorder="1" applyAlignment="1">
      <alignment vertical="center" wrapText="1"/>
    </xf>
    <xf numFmtId="0" fontId="19" fillId="0" borderId="6" xfId="0" applyFont="1" applyBorder="1" applyAlignment="1">
      <alignment horizontal="center" vertical="center" wrapText="1"/>
    </xf>
    <xf numFmtId="0" fontId="19" fillId="0" borderId="6" xfId="0" applyFont="1" applyBorder="1" applyAlignment="1">
      <alignment vertical="center" wrapText="1"/>
    </xf>
    <xf numFmtId="0" fontId="18" fillId="0" borderId="6" xfId="0" applyFont="1" applyBorder="1" applyAlignment="1">
      <alignment horizontal="center" vertical="center" wrapText="1"/>
    </xf>
    <xf numFmtId="0" fontId="18" fillId="0" borderId="6" xfId="0" applyFont="1" applyBorder="1" applyAlignment="1">
      <alignment vertical="center" wrapText="1"/>
    </xf>
    <xf numFmtId="0" fontId="263" fillId="0" borderId="6" xfId="0" applyFont="1" applyBorder="1" applyAlignment="1">
      <alignment vertical="center" wrapText="1"/>
    </xf>
    <xf numFmtId="0" fontId="18" fillId="70" borderId="6" xfId="0" applyFont="1" applyFill="1" applyBorder="1" applyAlignment="1">
      <alignment horizontal="center" vertical="center" wrapText="1"/>
    </xf>
    <xf numFmtId="0" fontId="263" fillId="70" borderId="6" xfId="0" applyFont="1" applyFill="1" applyBorder="1" applyAlignment="1">
      <alignment vertical="center" wrapText="1"/>
    </xf>
    <xf numFmtId="3" fontId="18" fillId="70" borderId="6" xfId="0" applyNumberFormat="1" applyFont="1" applyFill="1" applyBorder="1" applyAlignment="1">
      <alignment vertical="center" wrapText="1"/>
    </xf>
    <xf numFmtId="0" fontId="18" fillId="70" borderId="6" xfId="0" applyFont="1" applyFill="1" applyBorder="1" applyAlignment="1">
      <alignment vertical="center" wrapText="1"/>
    </xf>
    <xf numFmtId="0" fontId="19" fillId="70" borderId="6" xfId="0" applyFont="1" applyFill="1" applyBorder="1" applyAlignment="1">
      <alignment horizontal="center" vertical="center" wrapText="1"/>
    </xf>
    <xf numFmtId="0" fontId="19" fillId="70" borderId="6" xfId="0" applyFont="1" applyFill="1" applyBorder="1" applyAlignment="1">
      <alignment vertical="center" wrapText="1"/>
    </xf>
    <xf numFmtId="3" fontId="18" fillId="0" borderId="6" xfId="0" applyNumberFormat="1" applyFont="1" applyFill="1" applyBorder="1" applyAlignment="1">
      <alignment vertical="center" wrapText="1"/>
    </xf>
    <xf numFmtId="297" fontId="18" fillId="70" borderId="6" xfId="0" applyNumberFormat="1" applyFont="1" applyFill="1" applyBorder="1" applyAlignment="1">
      <alignment vertical="center" wrapText="1"/>
    </xf>
    <xf numFmtId="297" fontId="18" fillId="0" borderId="6" xfId="0" applyNumberFormat="1" applyFont="1" applyBorder="1" applyAlignment="1">
      <alignment vertical="center" wrapText="1"/>
    </xf>
    <xf numFmtId="3" fontId="19" fillId="70" borderId="6" xfId="1468" applyNumberFormat="1" applyFont="1" applyFill="1" applyBorder="1" applyAlignment="1">
      <alignment vertical="center" wrapText="1"/>
    </xf>
    <xf numFmtId="3" fontId="19" fillId="70" borderId="6" xfId="0" applyNumberFormat="1" applyFont="1" applyFill="1" applyBorder="1" applyAlignment="1">
      <alignment vertical="center" wrapText="1"/>
    </xf>
    <xf numFmtId="170" fontId="18" fillId="0" borderId="6" xfId="1" applyFont="1" applyFill="1" applyBorder="1" applyAlignment="1">
      <alignment vertical="center" wrapText="1"/>
    </xf>
    <xf numFmtId="170" fontId="18" fillId="70" borderId="6" xfId="1" applyFont="1" applyFill="1" applyBorder="1" applyAlignment="1">
      <alignment vertical="center" wrapText="1"/>
    </xf>
    <xf numFmtId="0" fontId="19" fillId="0" borderId="6" xfId="0" applyFont="1" applyFill="1" applyBorder="1" applyAlignment="1">
      <alignment horizontal="center" vertical="center" wrapText="1"/>
    </xf>
    <xf numFmtId="0" fontId="19" fillId="0" borderId="6" xfId="0" applyFont="1" applyFill="1" applyBorder="1" applyAlignment="1">
      <alignment vertical="center" wrapText="1"/>
    </xf>
    <xf numFmtId="3" fontId="19" fillId="0" borderId="6" xfId="0" applyNumberFormat="1" applyFont="1" applyFill="1" applyBorder="1" applyAlignment="1">
      <alignment vertical="center" wrapText="1"/>
    </xf>
    <xf numFmtId="0" fontId="18" fillId="0" borderId="6" xfId="0" applyFont="1" applyFill="1" applyBorder="1" applyAlignment="1">
      <alignment horizontal="center" vertical="center" wrapText="1"/>
    </xf>
    <xf numFmtId="0" fontId="18" fillId="0" borderId="6" xfId="0" applyFont="1" applyFill="1" applyBorder="1" applyAlignment="1">
      <alignment vertical="center" wrapText="1"/>
    </xf>
    <xf numFmtId="0" fontId="18" fillId="0" borderId="6" xfId="0" quotePrefix="1" applyFont="1" applyBorder="1" applyAlignment="1">
      <alignment horizontal="center" vertical="center" wrapText="1"/>
    </xf>
    <xf numFmtId="0" fontId="19" fillId="0" borderId="6" xfId="0" quotePrefix="1" applyFont="1" applyBorder="1" applyAlignment="1">
      <alignment horizontal="center" vertical="center" wrapText="1"/>
    </xf>
    <xf numFmtId="0" fontId="19" fillId="0" borderId="6" xfId="0" applyFont="1" applyBorder="1" applyAlignment="1">
      <alignment horizontal="left" vertical="center" wrapText="1"/>
    </xf>
    <xf numFmtId="172" fontId="19" fillId="0" borderId="6" xfId="1" applyNumberFormat="1" applyFont="1" applyBorder="1" applyAlignment="1">
      <alignment vertical="center" wrapText="1"/>
    </xf>
    <xf numFmtId="0" fontId="19" fillId="0" borderId="12" xfId="0" applyFont="1" applyBorder="1" applyAlignment="1">
      <alignment horizontal="center" vertical="center" wrapText="1"/>
    </xf>
    <xf numFmtId="0" fontId="19" fillId="0" borderId="12" xfId="0" applyFont="1" applyBorder="1" applyAlignment="1">
      <alignment vertical="center" wrapText="1"/>
    </xf>
    <xf numFmtId="172" fontId="19" fillId="0" borderId="12" xfId="1" applyNumberFormat="1" applyFont="1" applyBorder="1" applyAlignment="1">
      <alignment vertical="center" wrapText="1"/>
    </xf>
    <xf numFmtId="0" fontId="13" fillId="0" borderId="0" xfId="0" applyFont="1" applyFill="1" applyAlignment="1">
      <alignment horizontal="left" vertical="center"/>
    </xf>
    <xf numFmtId="0" fontId="13" fillId="0" borderId="0" xfId="0" applyFont="1" applyFill="1" applyAlignment="1">
      <alignment vertical="center"/>
    </xf>
    <xf numFmtId="172" fontId="225" fillId="0" borderId="0" xfId="1" applyNumberFormat="1" applyFont="1" applyFill="1" applyAlignment="1">
      <alignment vertical="center"/>
    </xf>
    <xf numFmtId="0" fontId="225" fillId="0" borderId="0" xfId="0" applyFont="1" applyFill="1" applyAlignment="1">
      <alignment vertical="center"/>
    </xf>
    <xf numFmtId="170" fontId="225" fillId="0" borderId="0" xfId="1" applyFont="1" applyFill="1" applyAlignment="1">
      <alignment vertical="center"/>
    </xf>
    <xf numFmtId="0" fontId="226" fillId="0" borderId="0" xfId="0" applyFont="1" applyFill="1" applyAlignment="1">
      <alignment vertical="center"/>
    </xf>
    <xf numFmtId="0" fontId="219" fillId="0" borderId="0" xfId="0" applyFont="1" applyFill="1" applyAlignment="1">
      <alignment vertical="center"/>
    </xf>
    <xf numFmtId="209" fontId="19" fillId="0" borderId="1" xfId="0" applyNumberFormat="1" applyFont="1" applyBorder="1" applyAlignment="1">
      <alignment horizontal="center" vertical="center" wrapText="1"/>
    </xf>
    <xf numFmtId="209" fontId="19" fillId="0" borderId="11" xfId="1" applyNumberFormat="1" applyFont="1" applyBorder="1" applyAlignment="1">
      <alignment horizontal="center" vertical="center" wrapText="1"/>
    </xf>
    <xf numFmtId="209" fontId="19" fillId="0" borderId="6" xfId="1" applyNumberFormat="1" applyFont="1" applyBorder="1" applyAlignment="1">
      <alignment horizontal="center" vertical="center" wrapText="1"/>
    </xf>
    <xf numFmtId="209" fontId="18" fillId="0" borderId="6" xfId="1" applyNumberFormat="1" applyFont="1" applyBorder="1" applyAlignment="1">
      <alignment horizontal="center" vertical="center" wrapText="1"/>
    </xf>
    <xf numFmtId="209" fontId="19" fillId="0" borderId="6" xfId="1" applyNumberFormat="1" applyFont="1" applyFill="1" applyBorder="1" applyAlignment="1">
      <alignment horizontal="center" vertical="center" wrapText="1"/>
    </xf>
    <xf numFmtId="209" fontId="18" fillId="0" borderId="6" xfId="1" applyNumberFormat="1" applyFont="1" applyFill="1" applyBorder="1" applyAlignment="1">
      <alignment horizontal="center" vertical="center" wrapText="1"/>
    </xf>
    <xf numFmtId="209" fontId="18" fillId="0" borderId="12" xfId="1" applyNumberFormat="1" applyFont="1" applyBorder="1" applyAlignment="1">
      <alignment horizontal="center" vertical="center" wrapText="1"/>
    </xf>
    <xf numFmtId="209" fontId="13" fillId="0" borderId="0" xfId="0" applyNumberFormat="1" applyFont="1" applyAlignment="1">
      <alignment horizontal="center" vertical="center"/>
    </xf>
    <xf numFmtId="0" fontId="19" fillId="0" borderId="0" xfId="0" applyFont="1" applyAlignment="1">
      <alignment horizontal="left" vertical="center"/>
    </xf>
    <xf numFmtId="0" fontId="255" fillId="0" borderId="0" xfId="0" applyFont="1" applyAlignment="1">
      <alignment vertical="center"/>
    </xf>
    <xf numFmtId="3" fontId="255" fillId="0" borderId="0" xfId="0" applyNumberFormat="1" applyFont="1" applyAlignment="1">
      <alignment vertical="center"/>
    </xf>
    <xf numFmtId="0" fontId="19" fillId="0" borderId="10" xfId="0" applyFont="1" applyBorder="1" applyAlignment="1">
      <alignment horizontal="center" vertical="center" wrapText="1"/>
    </xf>
    <xf numFmtId="0" fontId="19" fillId="0" borderId="10" xfId="0" applyFont="1" applyBorder="1" applyAlignment="1">
      <alignment vertical="center" wrapText="1"/>
    </xf>
    <xf numFmtId="3" fontId="19" fillId="0" borderId="10" xfId="0" applyNumberFormat="1" applyFont="1" applyBorder="1" applyAlignment="1">
      <alignment horizontal="right" vertical="center" wrapText="1"/>
    </xf>
    <xf numFmtId="3" fontId="19" fillId="0" borderId="6" xfId="0" applyNumberFormat="1" applyFont="1" applyBorder="1" applyAlignment="1">
      <alignment horizontal="right" vertical="center" wrapText="1"/>
    </xf>
    <xf numFmtId="3" fontId="18" fillId="0" borderId="6" xfId="0" applyNumberFormat="1" applyFont="1" applyBorder="1" applyAlignment="1">
      <alignment horizontal="right" vertical="center" wrapText="1"/>
    </xf>
    <xf numFmtId="170" fontId="18" fillId="0" borderId="6" xfId="1" applyFont="1" applyBorder="1" applyAlignment="1">
      <alignment horizontal="right" vertical="center" wrapText="1"/>
    </xf>
    <xf numFmtId="3" fontId="19" fillId="0" borderId="6" xfId="0" applyNumberFormat="1" applyFont="1" applyFill="1" applyBorder="1" applyAlignment="1">
      <alignment horizontal="right" vertical="center" wrapText="1"/>
    </xf>
    <xf numFmtId="3" fontId="19" fillId="0" borderId="12" xfId="0" applyNumberFormat="1" applyFont="1" applyBorder="1" applyAlignment="1">
      <alignment horizontal="right" vertical="center" wrapText="1"/>
    </xf>
    <xf numFmtId="174" fontId="19" fillId="0" borderId="10" xfId="1" applyNumberFormat="1" applyFont="1" applyBorder="1" applyAlignment="1">
      <alignment horizontal="center" vertical="center" wrapText="1"/>
    </xf>
    <xf numFmtId="174" fontId="19" fillId="0" borderId="6" xfId="1" applyNumberFormat="1" applyFont="1" applyBorder="1" applyAlignment="1">
      <alignment horizontal="center" vertical="center" wrapText="1"/>
    </xf>
    <xf numFmtId="174" fontId="18" fillId="0" borderId="6" xfId="1" applyNumberFormat="1" applyFont="1" applyBorder="1" applyAlignment="1">
      <alignment horizontal="center" vertical="center" wrapText="1"/>
    </xf>
    <xf numFmtId="209" fontId="19" fillId="0" borderId="10" xfId="1" applyNumberFormat="1" applyFont="1" applyBorder="1" applyAlignment="1">
      <alignment horizontal="center" vertical="center" wrapText="1"/>
    </xf>
    <xf numFmtId="209" fontId="19" fillId="0" borderId="12" xfId="1" applyNumberFormat="1" applyFont="1" applyBorder="1" applyAlignment="1">
      <alignment horizontal="center" vertical="center" wrapText="1"/>
    </xf>
    <xf numFmtId="174" fontId="263" fillId="0" borderId="6" xfId="1" applyNumberFormat="1" applyFont="1" applyBorder="1" applyAlignment="1">
      <alignment horizontal="center" vertical="center" wrapText="1"/>
    </xf>
    <xf numFmtId="172" fontId="18" fillId="70" borderId="6" xfId="1099" applyNumberFormat="1" applyFont="1" applyFill="1" applyBorder="1" applyAlignment="1">
      <alignment horizontal="center" vertical="center" wrapText="1"/>
    </xf>
    <xf numFmtId="174" fontId="18" fillId="70" borderId="6" xfId="1099" applyNumberFormat="1" applyFont="1" applyFill="1" applyBorder="1" applyAlignment="1">
      <alignment horizontal="center" vertical="center" wrapText="1"/>
    </xf>
    <xf numFmtId="174" fontId="18" fillId="0" borderId="6" xfId="1099" applyNumberFormat="1" applyFont="1" applyBorder="1" applyAlignment="1">
      <alignment horizontal="center" vertical="center" wrapText="1"/>
    </xf>
    <xf numFmtId="170" fontId="18" fillId="70" borderId="6" xfId="1099" applyFont="1" applyFill="1" applyBorder="1" applyAlignment="1">
      <alignment horizontal="center" vertical="center" wrapText="1"/>
    </xf>
    <xf numFmtId="0" fontId="10" fillId="0" borderId="6" xfId="0" quotePrefix="1" applyFont="1" applyBorder="1" applyAlignment="1">
      <alignment horizontal="center" vertical="center" wrapText="1"/>
    </xf>
    <xf numFmtId="172" fontId="19" fillId="70" borderId="6" xfId="1" applyNumberFormat="1" applyFont="1" applyFill="1" applyBorder="1" applyAlignment="1">
      <alignment horizontal="center" vertical="center" wrapText="1"/>
    </xf>
    <xf numFmtId="172" fontId="19" fillId="70" borderId="12" xfId="1" applyNumberFormat="1" applyFont="1" applyFill="1" applyBorder="1" applyAlignment="1">
      <alignment horizontal="center" vertical="center" wrapText="1"/>
    </xf>
    <xf numFmtId="174" fontId="18" fillId="0" borderId="12" xfId="1" applyNumberFormat="1" applyFont="1" applyBorder="1" applyAlignment="1">
      <alignment horizontal="center" vertical="center" wrapText="1"/>
    </xf>
    <xf numFmtId="3" fontId="9" fillId="0" borderId="10" xfId="0" applyNumberFormat="1" applyFont="1" applyBorder="1" applyAlignment="1">
      <alignment horizontal="right" vertical="center" wrapText="1"/>
    </xf>
    <xf numFmtId="299" fontId="9" fillId="0" borderId="10" xfId="2269" applyNumberFormat="1" applyFont="1" applyBorder="1" applyAlignment="1">
      <alignment horizontal="center" vertical="center" wrapText="1"/>
    </xf>
    <xf numFmtId="299" fontId="9" fillId="0" borderId="6" xfId="2269" applyNumberFormat="1" applyFont="1" applyBorder="1" applyAlignment="1">
      <alignment horizontal="center" vertical="center" wrapText="1"/>
    </xf>
    <xf numFmtId="3" fontId="9" fillId="0" borderId="6" xfId="0" applyNumberFormat="1" applyFont="1" applyBorder="1" applyAlignment="1">
      <alignment horizontal="right" vertical="center" wrapText="1"/>
    </xf>
    <xf numFmtId="299" fontId="10" fillId="0" borderId="6" xfId="2269" applyNumberFormat="1" applyFont="1" applyBorder="1" applyAlignment="1">
      <alignment horizontal="center" vertical="center" wrapText="1"/>
    </xf>
    <xf numFmtId="0" fontId="12" fillId="0" borderId="6" xfId="0" applyFont="1" applyBorder="1" applyAlignment="1">
      <alignment horizontal="center" vertical="center" wrapText="1"/>
    </xf>
    <xf numFmtId="0" fontId="12" fillId="0" borderId="6" xfId="0" applyFont="1" applyBorder="1" applyAlignment="1">
      <alignment vertical="center" wrapText="1"/>
    </xf>
    <xf numFmtId="3" fontId="12" fillId="0" borderId="6" xfId="0" applyNumberFormat="1" applyFont="1" applyBorder="1" applyAlignment="1">
      <alignment horizontal="right" vertical="center" wrapText="1"/>
    </xf>
    <xf numFmtId="299" fontId="12" fillId="0" borderId="6" xfId="2269" applyNumberFormat="1" applyFont="1" applyBorder="1" applyAlignment="1">
      <alignment horizontal="center" vertical="center" wrapText="1"/>
    </xf>
    <xf numFmtId="3" fontId="9" fillId="0" borderId="12" xfId="0" applyNumberFormat="1" applyFont="1" applyBorder="1" applyAlignment="1">
      <alignment horizontal="right" vertical="center" wrapText="1"/>
    </xf>
    <xf numFmtId="299" fontId="9" fillId="0" borderId="12" xfId="2269" applyNumberFormat="1" applyFont="1" applyBorder="1" applyAlignment="1">
      <alignment horizontal="center" vertical="center" wrapText="1"/>
    </xf>
    <xf numFmtId="0" fontId="9"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3" fillId="0" borderId="0" xfId="0" applyFont="1" applyAlignment="1">
      <alignment horizontal="center" vertical="center"/>
    </xf>
    <xf numFmtId="172" fontId="7" fillId="0" borderId="0" xfId="0" applyNumberFormat="1" applyFont="1"/>
    <xf numFmtId="0" fontId="231" fillId="0" borderId="0" xfId="0" applyFont="1"/>
    <xf numFmtId="0" fontId="7" fillId="0" borderId="0" xfId="0" applyFont="1"/>
    <xf numFmtId="0" fontId="6" fillId="0" borderId="0" xfId="0" applyFont="1" applyAlignment="1">
      <alignment vertical="center"/>
    </xf>
    <xf numFmtId="174" fontId="86" fillId="0" borderId="6" xfId="3" quotePrefix="1" applyNumberFormat="1" applyFont="1" applyFill="1" applyBorder="1" applyAlignment="1">
      <alignment horizontal="center" vertical="center" wrapText="1"/>
    </xf>
    <xf numFmtId="172" fontId="86" fillId="0" borderId="6" xfId="3" applyNumberFormat="1" applyFont="1" applyFill="1" applyBorder="1" applyAlignment="1">
      <alignment horizontal="left" vertical="center" wrapText="1"/>
    </xf>
    <xf numFmtId="0" fontId="7" fillId="0" borderId="0" xfId="0" applyFont="1" applyAlignment="1">
      <alignment vertical="center"/>
    </xf>
    <xf numFmtId="172" fontId="86" fillId="0" borderId="6" xfId="3" quotePrefix="1" applyNumberFormat="1" applyFont="1" applyFill="1" applyBorder="1" applyAlignment="1">
      <alignment horizontal="center" vertical="center"/>
    </xf>
    <xf numFmtId="172" fontId="86" fillId="0" borderId="6" xfId="3" applyNumberFormat="1" applyFont="1" applyFill="1" applyBorder="1" applyAlignment="1">
      <alignment vertical="center" wrapText="1"/>
    </xf>
    <xf numFmtId="168" fontId="18" fillId="0" borderId="6" xfId="3" applyNumberFormat="1" applyFont="1" applyFill="1" applyBorder="1" applyAlignment="1">
      <alignment vertical="center"/>
    </xf>
    <xf numFmtId="0" fontId="13" fillId="0" borderId="0" xfId="0" applyFont="1" applyFill="1"/>
    <xf numFmtId="9" fontId="233" fillId="0" borderId="1" xfId="0" applyNumberFormat="1" applyFont="1" applyBorder="1" applyAlignment="1">
      <alignment horizontal="right" vertical="center" wrapText="1"/>
    </xf>
    <xf numFmtId="0" fontId="10"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3" fontId="9" fillId="0" borderId="54" xfId="0" applyNumberFormat="1" applyFont="1" applyFill="1" applyBorder="1" applyAlignment="1">
      <alignment horizontal="right" vertical="center" wrapText="1"/>
    </xf>
    <xf numFmtId="9" fontId="9" fillId="0" borderId="54" xfId="2276" applyFont="1" applyFill="1" applyBorder="1" applyAlignment="1">
      <alignment horizontal="right" vertical="center" wrapText="1"/>
    </xf>
    <xf numFmtId="0" fontId="13" fillId="0" borderId="0" xfId="0" applyFont="1" applyFill="1" applyAlignment="1">
      <alignment horizontal="center" vertical="center"/>
    </xf>
    <xf numFmtId="3" fontId="10" fillId="0" borderId="10" xfId="0" applyNumberFormat="1" applyFont="1" applyBorder="1" applyAlignment="1">
      <alignment horizontal="right" vertical="center" wrapText="1"/>
    </xf>
    <xf numFmtId="3" fontId="18" fillId="0" borderId="10" xfId="0" applyNumberFormat="1" applyFont="1" applyBorder="1" applyAlignment="1">
      <alignment horizontal="right" vertical="center" wrapText="1"/>
    </xf>
    <xf numFmtId="209" fontId="18" fillId="0" borderId="10" xfId="0" applyNumberFormat="1" applyFont="1" applyBorder="1" applyAlignment="1">
      <alignment horizontal="right" vertical="center" wrapText="1"/>
    </xf>
    <xf numFmtId="3" fontId="18" fillId="0" borderId="6" xfId="0" applyNumberFormat="1" applyFont="1" applyFill="1" applyBorder="1" applyAlignment="1">
      <alignment horizontal="right" vertical="center" wrapText="1"/>
    </xf>
    <xf numFmtId="3" fontId="234" fillId="0" borderId="6" xfId="0" applyNumberFormat="1" applyFont="1" applyBorder="1" applyAlignment="1">
      <alignment horizontal="right" vertical="center" wrapText="1"/>
    </xf>
    <xf numFmtId="3" fontId="18" fillId="0" borderId="6" xfId="1" applyNumberFormat="1" applyFont="1" applyFill="1" applyBorder="1" applyAlignment="1">
      <alignment horizontal="right" vertical="center" wrapText="1"/>
    </xf>
    <xf numFmtId="3" fontId="218" fillId="0" borderId="6" xfId="0" applyNumberFormat="1" applyFont="1" applyBorder="1" applyAlignment="1">
      <alignment vertical="center"/>
    </xf>
    <xf numFmtId="209" fontId="18" fillId="0" borderId="6" xfId="0" applyNumberFormat="1" applyFont="1" applyBorder="1" applyAlignment="1">
      <alignment horizontal="right" vertical="center" wrapText="1"/>
    </xf>
    <xf numFmtId="0" fontId="18" fillId="0" borderId="6" xfId="0" applyFont="1" applyBorder="1" applyAlignment="1">
      <alignment horizontal="right" vertical="center" wrapText="1"/>
    </xf>
    <xf numFmtId="3" fontId="264" fillId="0" borderId="6" xfId="0" applyNumberFormat="1" applyFont="1" applyBorder="1" applyAlignment="1">
      <alignment horizontal="right" vertical="center" wrapText="1"/>
    </xf>
    <xf numFmtId="300" fontId="18" fillId="0" borderId="6" xfId="5" applyNumberFormat="1" applyFont="1" applyFill="1" applyBorder="1" applyAlignment="1">
      <alignment horizontal="right" vertical="center" wrapText="1"/>
    </xf>
    <xf numFmtId="3" fontId="18" fillId="0" borderId="6" xfId="5" applyNumberFormat="1" applyFont="1" applyFill="1" applyBorder="1" applyAlignment="1">
      <alignment horizontal="right" vertical="center" wrapText="1"/>
    </xf>
    <xf numFmtId="173" fontId="18" fillId="0" borderId="6" xfId="1" applyNumberFormat="1" applyFont="1" applyFill="1" applyBorder="1" applyAlignment="1">
      <alignment horizontal="right" vertical="center" wrapText="1"/>
    </xf>
    <xf numFmtId="173" fontId="18" fillId="0" borderId="6" xfId="1" applyNumberFormat="1" applyFont="1" applyFill="1" applyBorder="1" applyAlignment="1">
      <alignment horizontal="center" vertical="center" wrapText="1"/>
    </xf>
    <xf numFmtId="1" fontId="18" fillId="0" borderId="6" xfId="0" applyNumberFormat="1" applyFont="1" applyBorder="1" applyAlignment="1">
      <alignment horizontal="right" vertical="center" wrapText="1"/>
    </xf>
    <xf numFmtId="0" fontId="10" fillId="0" borderId="12" xfId="0" applyFont="1" applyBorder="1" applyAlignment="1">
      <alignment vertical="center" wrapText="1"/>
    </xf>
    <xf numFmtId="3" fontId="10" fillId="0" borderId="12" xfId="0" applyNumberFormat="1" applyFont="1" applyBorder="1" applyAlignment="1">
      <alignment horizontal="right" vertical="center" wrapText="1"/>
    </xf>
    <xf numFmtId="3" fontId="18" fillId="0" borderId="12" xfId="0" applyNumberFormat="1" applyFont="1" applyFill="1" applyBorder="1" applyAlignment="1">
      <alignment horizontal="right" vertical="center" wrapText="1"/>
    </xf>
    <xf numFmtId="3" fontId="234" fillId="0" borderId="12" xfId="0" applyNumberFormat="1" applyFont="1" applyBorder="1" applyAlignment="1">
      <alignment horizontal="right" vertical="center" wrapText="1"/>
    </xf>
    <xf numFmtId="3" fontId="18" fillId="0" borderId="12" xfId="0" applyNumberFormat="1" applyFont="1" applyBorder="1" applyAlignment="1">
      <alignment horizontal="right" vertical="center" wrapText="1"/>
    </xf>
    <xf numFmtId="298" fontId="10" fillId="0" borderId="12" xfId="0" applyNumberFormat="1" applyFont="1" applyBorder="1" applyAlignment="1">
      <alignment horizontal="right" vertical="center" wrapText="1"/>
    </xf>
    <xf numFmtId="0" fontId="10" fillId="0" borderId="12" xfId="0" applyFont="1" applyBorder="1" applyAlignment="1">
      <alignment horizontal="right" vertical="center" wrapText="1"/>
    </xf>
    <xf numFmtId="3" fontId="18" fillId="0" borderId="12" xfId="1" applyNumberFormat="1" applyFont="1" applyFill="1" applyBorder="1" applyAlignment="1">
      <alignment horizontal="right" vertical="center" wrapText="1"/>
    </xf>
    <xf numFmtId="298" fontId="10" fillId="0" borderId="12" xfId="5" applyNumberFormat="1" applyFont="1" applyFill="1" applyBorder="1" applyAlignment="1">
      <alignment horizontal="right" vertical="center" wrapText="1"/>
    </xf>
    <xf numFmtId="1" fontId="10" fillId="0" borderId="12" xfId="0" applyNumberFormat="1" applyFont="1" applyBorder="1" applyAlignment="1">
      <alignment horizontal="right" vertical="center" wrapText="1"/>
    </xf>
    <xf numFmtId="209" fontId="18" fillId="0" borderId="12" xfId="0" applyNumberFormat="1" applyFont="1" applyBorder="1" applyAlignment="1">
      <alignment horizontal="right" vertical="center" wrapText="1"/>
    </xf>
    <xf numFmtId="0" fontId="18" fillId="0" borderId="12" xfId="0" applyFont="1" applyBorder="1" applyAlignment="1">
      <alignment horizontal="right" vertical="center" wrapText="1"/>
    </xf>
    <xf numFmtId="3" fontId="218" fillId="0" borderId="10" xfId="0" applyNumberFormat="1" applyFont="1" applyBorder="1" applyAlignment="1">
      <alignment vertical="center"/>
    </xf>
    <xf numFmtId="0" fontId="14" fillId="0" borderId="0" xfId="0" applyFont="1" applyAlignment="1">
      <alignment vertical="center"/>
    </xf>
    <xf numFmtId="3" fontId="13" fillId="0" borderId="0" xfId="0" applyNumberFormat="1" applyFont="1" applyAlignment="1">
      <alignment vertical="center"/>
    </xf>
    <xf numFmtId="0" fontId="12" fillId="0" borderId="0" xfId="0" applyFont="1" applyAlignment="1">
      <alignment vertical="center"/>
    </xf>
    <xf numFmtId="0" fontId="262" fillId="0" borderId="0" xfId="0" applyFont="1" applyAlignment="1">
      <alignment vertical="center"/>
    </xf>
    <xf numFmtId="172" fontId="237" fillId="0" borderId="10" xfId="1" applyNumberFormat="1" applyFont="1" applyFill="1" applyBorder="1" applyAlignment="1">
      <alignment horizontal="center" vertical="center" wrapText="1"/>
    </xf>
    <xf numFmtId="172" fontId="237" fillId="0" borderId="6" xfId="1" applyNumberFormat="1" applyFont="1" applyFill="1" applyBorder="1" applyAlignment="1">
      <alignment horizontal="center" vertical="center" wrapText="1"/>
    </xf>
    <xf numFmtId="172" fontId="237" fillId="0" borderId="6" xfId="1" applyNumberFormat="1" applyFont="1" applyFill="1" applyBorder="1" applyAlignment="1">
      <alignment vertical="center" wrapText="1"/>
    </xf>
    <xf numFmtId="174" fontId="237" fillId="0" borderId="6" xfId="1" applyNumberFormat="1" applyFont="1" applyFill="1" applyBorder="1" applyAlignment="1">
      <alignment horizontal="center" vertical="center" wrapText="1"/>
    </xf>
    <xf numFmtId="172" fontId="86" fillId="0" borderId="6" xfId="1" applyNumberFormat="1" applyFont="1" applyFill="1" applyBorder="1" applyAlignment="1">
      <alignment horizontal="center" vertical="center" wrapText="1"/>
    </xf>
    <xf numFmtId="172" fontId="86" fillId="0" borderId="6" xfId="1" applyNumberFormat="1" applyFont="1" applyFill="1" applyBorder="1" applyAlignment="1">
      <alignment vertical="center"/>
    </xf>
    <xf numFmtId="174" fontId="86" fillId="0" borderId="6" xfId="1" applyNumberFormat="1" applyFont="1" applyFill="1" applyBorder="1" applyAlignment="1">
      <alignment horizontal="center" vertical="center" wrapText="1"/>
    </xf>
    <xf numFmtId="172" fontId="86" fillId="0" borderId="6" xfId="1" applyNumberFormat="1" applyFont="1" applyFill="1" applyBorder="1" applyAlignment="1">
      <alignment horizontal="right" vertical="center" wrapText="1"/>
    </xf>
    <xf numFmtId="3" fontId="86" fillId="0" borderId="6" xfId="1" applyNumberFormat="1" applyFont="1" applyFill="1" applyBorder="1" applyAlignment="1">
      <alignment horizontal="right" vertical="center" wrapText="1"/>
    </xf>
    <xf numFmtId="172" fontId="237" fillId="0" borderId="6" xfId="1" applyNumberFormat="1" applyFont="1" applyFill="1" applyBorder="1" applyAlignment="1">
      <alignment vertical="center"/>
    </xf>
    <xf numFmtId="172" fontId="237" fillId="0" borderId="53" xfId="1" applyNumberFormat="1" applyFont="1" applyFill="1" applyBorder="1" applyAlignment="1">
      <alignment vertical="center"/>
    </xf>
    <xf numFmtId="174" fontId="86" fillId="0" borderId="53" xfId="1" applyNumberFormat="1" applyFont="1" applyFill="1" applyBorder="1" applyAlignment="1">
      <alignment horizontal="center" vertical="center" wrapText="1"/>
    </xf>
    <xf numFmtId="172" fontId="237" fillId="0" borderId="12" xfId="1" applyNumberFormat="1" applyFont="1" applyFill="1" applyBorder="1" applyAlignment="1">
      <alignment vertical="center"/>
    </xf>
    <xf numFmtId="174" fontId="86" fillId="0" borderId="12" xfId="1" applyNumberFormat="1" applyFont="1" applyFill="1" applyBorder="1" applyAlignment="1">
      <alignment horizontal="center" vertical="center" wrapText="1"/>
    </xf>
    <xf numFmtId="0" fontId="86" fillId="0" borderId="0" xfId="0" applyFont="1" applyFill="1"/>
    <xf numFmtId="0" fontId="237" fillId="0" borderId="0" xfId="0" applyFont="1" applyFill="1"/>
    <xf numFmtId="172" fontId="86" fillId="0" borderId="0" xfId="0" applyNumberFormat="1" applyFont="1" applyFill="1"/>
    <xf numFmtId="3" fontId="86" fillId="0" borderId="0" xfId="0" applyNumberFormat="1" applyFont="1" applyFill="1"/>
    <xf numFmtId="172" fontId="86" fillId="0" borderId="0" xfId="1" applyNumberFormat="1" applyFont="1" applyFill="1"/>
    <xf numFmtId="0" fontId="116" fillId="0" borderId="8" xfId="0" applyFont="1" applyFill="1" applyBorder="1" applyAlignment="1">
      <alignment horizontal="center" vertical="center" wrapText="1"/>
    </xf>
    <xf numFmtId="0" fontId="116"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33" fillId="0" borderId="1" xfId="0" applyFont="1" applyFill="1" applyBorder="1" applyAlignment="1">
      <alignment horizontal="center" vertical="center" wrapText="1"/>
    </xf>
    <xf numFmtId="0" fontId="65" fillId="0" borderId="1" xfId="0" applyFont="1" applyFill="1" applyBorder="1" applyAlignment="1">
      <alignment horizontal="center" vertical="center" wrapText="1"/>
    </xf>
    <xf numFmtId="0" fontId="86" fillId="0" borderId="6" xfId="4" applyFont="1" applyFill="1" applyBorder="1" applyAlignment="1">
      <alignment vertical="center" wrapText="1"/>
    </xf>
    <xf numFmtId="0" fontId="86" fillId="0" borderId="6" xfId="0" applyFont="1" applyFill="1" applyBorder="1" applyAlignment="1" applyProtection="1">
      <alignment horizontal="left" vertical="center" wrapText="1"/>
      <protection locked="0"/>
    </xf>
    <xf numFmtId="0" fontId="86" fillId="0" borderId="6" xfId="1004" applyFont="1" applyFill="1" applyBorder="1" applyAlignment="1">
      <alignment vertical="center" wrapText="1"/>
    </xf>
    <xf numFmtId="172" fontId="237" fillId="0" borderId="6" xfId="1" quotePrefix="1" applyNumberFormat="1" applyFont="1" applyFill="1" applyBorder="1" applyAlignment="1">
      <alignment horizontal="center" vertical="center" wrapText="1"/>
    </xf>
    <xf numFmtId="3" fontId="237" fillId="0" borderId="6" xfId="1004" applyNumberFormat="1" applyFont="1" applyFill="1" applyBorder="1" applyAlignment="1">
      <alignment horizontal="left" vertical="center" wrapText="1"/>
    </xf>
    <xf numFmtId="172" fontId="86" fillId="0" borderId="6" xfId="1" quotePrefix="1" applyNumberFormat="1" applyFont="1" applyFill="1" applyBorder="1" applyAlignment="1">
      <alignment horizontal="center" vertical="center" wrapText="1"/>
    </xf>
    <xf numFmtId="172" fontId="86" fillId="0" borderId="6" xfId="1" applyNumberFormat="1" applyFont="1" applyFill="1" applyBorder="1" applyAlignment="1">
      <alignment horizontal="left" vertical="center" wrapText="1"/>
    </xf>
    <xf numFmtId="172" fontId="237" fillId="0" borderId="6" xfId="1" applyNumberFormat="1" applyFont="1" applyFill="1" applyBorder="1" applyAlignment="1">
      <alignment horizontal="left" vertical="center" wrapText="1"/>
    </xf>
    <xf numFmtId="0" fontId="237" fillId="0" borderId="6" xfId="0" applyFont="1" applyFill="1" applyBorder="1" applyAlignment="1">
      <alignment horizontal="center" vertical="center" wrapText="1"/>
    </xf>
    <xf numFmtId="0" fontId="237" fillId="0" borderId="6" xfId="0" applyFont="1" applyFill="1" applyBorder="1" applyAlignment="1">
      <alignment vertical="center" wrapText="1"/>
    </xf>
    <xf numFmtId="0" fontId="237" fillId="0" borderId="53" xfId="0" applyFont="1" applyFill="1" applyBorder="1" applyAlignment="1">
      <alignment horizontal="center" vertical="center" wrapText="1"/>
    </xf>
    <xf numFmtId="0" fontId="237" fillId="0" borderId="53" xfId="0" applyFont="1" applyFill="1" applyBorder="1" applyAlignment="1">
      <alignment vertical="center" wrapText="1"/>
    </xf>
    <xf numFmtId="172" fontId="237" fillId="0" borderId="53" xfId="1" applyNumberFormat="1" applyFont="1" applyFill="1" applyBorder="1" applyAlignment="1">
      <alignment horizontal="center" vertical="center" wrapText="1"/>
    </xf>
    <xf numFmtId="0" fontId="237" fillId="0" borderId="12" xfId="0" applyFont="1" applyFill="1" applyBorder="1" applyAlignment="1">
      <alignment horizontal="center" vertical="center" wrapText="1"/>
    </xf>
    <xf numFmtId="0" fontId="237" fillId="0" borderId="12" xfId="0" applyFont="1" applyFill="1" applyBorder="1" applyAlignment="1">
      <alignment vertical="center" wrapText="1"/>
    </xf>
    <xf numFmtId="172" fontId="237" fillId="0" borderId="12" xfId="1" applyNumberFormat="1" applyFont="1" applyFill="1" applyBorder="1" applyAlignment="1">
      <alignment horizontal="center" vertical="center" wrapText="1"/>
    </xf>
    <xf numFmtId="0" fontId="270" fillId="0" borderId="1" xfId="0" applyFont="1" applyBorder="1" applyAlignment="1">
      <alignment horizontal="center" vertical="center" wrapText="1"/>
    </xf>
    <xf numFmtId="0" fontId="270" fillId="0" borderId="10" xfId="0" applyFont="1" applyBorder="1" applyAlignment="1">
      <alignment horizontal="center" vertical="center" wrapText="1"/>
    </xf>
    <xf numFmtId="0" fontId="270" fillId="0" borderId="10" xfId="0" applyFont="1" applyBorder="1" applyAlignment="1">
      <alignment vertical="center" wrapText="1"/>
    </xf>
    <xf numFmtId="0" fontId="270" fillId="0" borderId="6" xfId="0" applyFont="1" applyBorder="1" applyAlignment="1">
      <alignment horizontal="center" vertical="center" wrapText="1"/>
    </xf>
    <xf numFmtId="0" fontId="270" fillId="0" borderId="6" xfId="0" applyFont="1" applyBorder="1" applyAlignment="1">
      <alignment vertical="center" wrapText="1"/>
    </xf>
    <xf numFmtId="0" fontId="65" fillId="0" borderId="6" xfId="0" applyFont="1" applyBorder="1" applyAlignment="1">
      <alignment horizontal="center" vertical="center" wrapText="1"/>
    </xf>
    <xf numFmtId="0" fontId="65" fillId="0" borderId="6" xfId="0" applyFont="1" applyBorder="1" applyAlignment="1">
      <alignment vertical="center" wrapText="1"/>
    </xf>
    <xf numFmtId="172" fontId="18" fillId="0" borderId="6" xfId="0" applyNumberFormat="1" applyFont="1" applyBorder="1" applyAlignment="1">
      <alignment horizontal="center" vertical="center" wrapText="1"/>
    </xf>
    <xf numFmtId="172" fontId="18" fillId="0" borderId="6" xfId="1" applyNumberFormat="1" applyFont="1" applyBorder="1" applyAlignment="1">
      <alignment horizontal="center" vertical="center" wrapText="1"/>
    </xf>
    <xf numFmtId="0" fontId="271" fillId="0" borderId="6" xfId="0" applyFont="1" applyBorder="1" applyAlignment="1">
      <alignment vertical="center" wrapText="1"/>
    </xf>
    <xf numFmtId="170" fontId="18" fillId="0" borderId="6" xfId="1" applyFont="1" applyBorder="1" applyAlignment="1">
      <alignment vertical="center" wrapText="1"/>
    </xf>
    <xf numFmtId="170" fontId="19" fillId="0" borderId="6" xfId="1" applyFont="1" applyBorder="1" applyAlignment="1">
      <alignment vertical="center" wrapText="1"/>
    </xf>
    <xf numFmtId="172" fontId="19" fillId="0" borderId="6" xfId="0" applyNumberFormat="1" applyFont="1" applyBorder="1" applyAlignment="1">
      <alignment horizontal="center" vertical="center" wrapText="1"/>
    </xf>
    <xf numFmtId="172" fontId="19" fillId="0" borderId="6" xfId="1" applyNumberFormat="1" applyFont="1" applyBorder="1" applyAlignment="1">
      <alignment horizontal="center" vertical="center" wrapText="1"/>
    </xf>
    <xf numFmtId="0" fontId="271" fillId="0" borderId="6" xfId="0" applyFont="1" applyBorder="1" applyAlignment="1">
      <alignment horizontal="center" vertical="center" wrapText="1"/>
    </xf>
    <xf numFmtId="3" fontId="263" fillId="0" borderId="6" xfId="0" applyNumberFormat="1" applyFont="1" applyBorder="1" applyAlignment="1">
      <alignment vertical="center" wrapText="1"/>
    </xf>
    <xf numFmtId="172" fontId="265" fillId="0" borderId="6" xfId="0" applyNumberFormat="1" applyFont="1" applyBorder="1" applyAlignment="1">
      <alignment horizontal="center" vertical="center" wrapText="1"/>
    </xf>
    <xf numFmtId="172" fontId="263" fillId="0" borderId="6" xfId="1" applyNumberFormat="1" applyFont="1" applyBorder="1" applyAlignment="1">
      <alignment horizontal="center" vertical="center" wrapText="1"/>
    </xf>
    <xf numFmtId="172" fontId="263" fillId="0" borderId="6" xfId="0" applyNumberFormat="1" applyFont="1" applyBorder="1" applyAlignment="1">
      <alignment horizontal="center" vertical="center" wrapText="1"/>
    </xf>
    <xf numFmtId="174" fontId="19" fillId="0" borderId="6" xfId="1" applyNumberFormat="1" applyFont="1" applyBorder="1" applyAlignment="1">
      <alignment vertical="center" wrapText="1"/>
    </xf>
    <xf numFmtId="172" fontId="18" fillId="0" borderId="6" xfId="1" applyNumberFormat="1" applyFont="1" applyBorder="1" applyAlignment="1">
      <alignment vertical="center" wrapText="1"/>
    </xf>
    <xf numFmtId="172" fontId="18" fillId="0" borderId="6" xfId="0" applyNumberFormat="1" applyFont="1" applyBorder="1" applyAlignment="1">
      <alignment vertical="center" wrapText="1"/>
    </xf>
    <xf numFmtId="172" fontId="18" fillId="0" borderId="6" xfId="1099" applyNumberFormat="1" applyFont="1" applyBorder="1" applyAlignment="1">
      <alignment horizontal="center" vertical="center" wrapText="1"/>
    </xf>
    <xf numFmtId="174" fontId="18" fillId="0" borderId="6" xfId="0" applyNumberFormat="1" applyFont="1" applyBorder="1" applyAlignment="1">
      <alignment vertical="center" wrapText="1"/>
    </xf>
    <xf numFmtId="170" fontId="19" fillId="0" borderId="6" xfId="1" applyFont="1" applyFill="1" applyBorder="1" applyAlignment="1">
      <alignment vertical="center" wrapText="1"/>
    </xf>
    <xf numFmtId="0" fontId="270" fillId="0" borderId="12" xfId="0" applyFont="1" applyBorder="1" applyAlignment="1">
      <alignment horizontal="center" vertical="center" wrapText="1"/>
    </xf>
    <xf numFmtId="0" fontId="270" fillId="0" borderId="12" xfId="0" applyFont="1" applyBorder="1" applyAlignment="1">
      <alignment vertical="center" wrapText="1"/>
    </xf>
    <xf numFmtId="0" fontId="18" fillId="0" borderId="12" xfId="0" applyFont="1" applyBorder="1" applyAlignment="1">
      <alignment horizontal="center" vertical="center" wrapText="1"/>
    </xf>
    <xf numFmtId="172" fontId="19" fillId="0" borderId="12" xfId="0" applyNumberFormat="1" applyFont="1" applyBorder="1" applyAlignment="1">
      <alignment horizontal="center" vertical="center" wrapText="1"/>
    </xf>
    <xf numFmtId="172" fontId="19" fillId="0" borderId="12" xfId="1" applyNumberFormat="1" applyFont="1" applyBorder="1" applyAlignment="1">
      <alignment horizontal="center" vertical="center" wrapText="1"/>
    </xf>
    <xf numFmtId="0" fontId="13" fillId="0" borderId="0" xfId="0" applyFont="1" applyAlignment="1">
      <alignment horizontal="right" vertical="center"/>
    </xf>
    <xf numFmtId="3" fontId="272" fillId="0" borderId="0" xfId="0" applyNumberFormat="1" applyFont="1" applyAlignment="1">
      <alignment vertical="center"/>
    </xf>
    <xf numFmtId="0" fontId="272" fillId="0" borderId="0" xfId="0" applyFont="1" applyAlignment="1">
      <alignment vertical="center"/>
    </xf>
    <xf numFmtId="170" fontId="13" fillId="0" borderId="0" xfId="1" applyFont="1" applyAlignment="1">
      <alignment vertical="center"/>
    </xf>
    <xf numFmtId="172" fontId="273" fillId="0" borderId="0" xfId="0" applyNumberFormat="1" applyFont="1" applyFill="1"/>
    <xf numFmtId="3" fontId="219" fillId="0" borderId="0" xfId="0" applyNumberFormat="1" applyFont="1" applyAlignment="1">
      <alignment vertical="center"/>
    </xf>
    <xf numFmtId="0" fontId="274" fillId="71" borderId="0" xfId="0" applyFont="1" applyFill="1"/>
    <xf numFmtId="0" fontId="222" fillId="0" borderId="0" xfId="0" applyFont="1" applyAlignment="1">
      <alignment horizontal="center" vertical="center"/>
    </xf>
    <xf numFmtId="0" fontId="224" fillId="0" borderId="2" xfId="0" applyFont="1" applyBorder="1" applyAlignment="1">
      <alignment horizontal="center" vertical="center" wrapText="1"/>
    </xf>
    <xf numFmtId="0" fontId="224" fillId="0" borderId="3" xfId="0" applyFont="1" applyBorder="1" applyAlignment="1">
      <alignment horizontal="center" vertical="center" wrapText="1"/>
    </xf>
    <xf numFmtId="0" fontId="224" fillId="0" borderId="11" xfId="0" applyFont="1" applyBorder="1" applyAlignment="1">
      <alignment horizontal="center" vertical="center" wrapText="1"/>
    </xf>
    <xf numFmtId="0" fontId="219" fillId="0" borderId="0" xfId="0" applyFont="1" applyAlignment="1">
      <alignment horizontal="center"/>
    </xf>
    <xf numFmtId="0" fontId="12" fillId="0" borderId="5" xfId="0" applyFont="1" applyBorder="1" applyAlignment="1">
      <alignment horizontal="right"/>
    </xf>
    <xf numFmtId="0" fontId="9" fillId="0" borderId="1" xfId="0" applyFont="1" applyBorder="1" applyAlignment="1">
      <alignment horizontal="center" vertical="center" wrapText="1"/>
    </xf>
    <xf numFmtId="0" fontId="12" fillId="0" borderId="0" xfId="0" applyFont="1" applyAlignment="1">
      <alignment horizontal="left" vertical="center" wrapText="1"/>
    </xf>
    <xf numFmtId="0" fontId="12" fillId="0" borderId="5" xfId="0" applyFont="1" applyBorder="1" applyAlignment="1">
      <alignment horizontal="right" vertical="center"/>
    </xf>
    <xf numFmtId="0" fontId="9" fillId="0" borderId="0" xfId="0" applyFont="1" applyAlignment="1">
      <alignment horizontal="center" vertical="center" wrapText="1"/>
    </xf>
    <xf numFmtId="0" fontId="220" fillId="0" borderId="0" xfId="0" applyFont="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268" fillId="0" borderId="0" xfId="0" applyFont="1" applyAlignment="1">
      <alignment horizontal="left" vertical="center" wrapText="1"/>
    </xf>
    <xf numFmtId="0" fontId="263" fillId="0" borderId="0" xfId="0" applyFont="1" applyAlignment="1">
      <alignment horizontal="left" vertical="center" wrapText="1"/>
    </xf>
    <xf numFmtId="0" fontId="265" fillId="0" borderId="0" xfId="0" applyFont="1" applyAlignment="1">
      <alignment horizontal="left" vertical="center" wrapText="1"/>
    </xf>
    <xf numFmtId="0" fontId="12" fillId="0" borderId="0" xfId="0" applyFont="1" applyAlignment="1">
      <alignment horizontal="center" vertical="center"/>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263" fillId="0" borderId="0" xfId="0" applyFont="1" applyAlignment="1">
      <alignment horizontal="center" vertical="center"/>
    </xf>
    <xf numFmtId="0" fontId="270" fillId="0" borderId="1" xfId="0" applyFont="1" applyBorder="1" applyAlignment="1">
      <alignment horizontal="center" vertical="center" wrapText="1"/>
    </xf>
    <xf numFmtId="0" fontId="116" fillId="0" borderId="1"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6" fillId="0" borderId="8" xfId="0" applyFont="1" applyFill="1" applyBorder="1" applyAlignment="1">
      <alignment horizontal="center" vertical="center" wrapText="1"/>
    </xf>
    <xf numFmtId="0" fontId="116" fillId="0" borderId="9" xfId="0" applyFont="1" applyFill="1" applyBorder="1" applyAlignment="1">
      <alignment horizontal="center" vertical="center" wrapText="1"/>
    </xf>
    <xf numFmtId="0" fontId="275" fillId="70" borderId="0" xfId="0" applyFont="1" applyFill="1" applyAlignment="1">
      <alignment horizontal="center" vertical="center" wrapText="1"/>
    </xf>
    <xf numFmtId="0" fontId="230" fillId="70" borderId="0" xfId="0" applyFont="1" applyFill="1" applyAlignment="1">
      <alignment horizontal="center" vertical="center" wrapText="1"/>
    </xf>
    <xf numFmtId="0" fontId="269" fillId="0" borderId="1"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68" fillId="0" borderId="5"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220" fillId="0" borderId="0" xfId="0" applyFont="1" applyAlignment="1">
      <alignment horizontal="center" vertical="center"/>
    </xf>
    <xf numFmtId="0" fontId="268" fillId="0" borderId="5" xfId="0" applyFont="1" applyBorder="1" applyAlignment="1">
      <alignment horizontal="center"/>
    </xf>
    <xf numFmtId="0" fontId="9" fillId="0" borderId="0" xfId="0" applyFont="1" applyAlignment="1">
      <alignment horizontal="center" wrapText="1"/>
    </xf>
    <xf numFmtId="0" fontId="12" fillId="0" borderId="0" xfId="0" applyFont="1" applyAlignment="1">
      <alignment horizont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217" fillId="0" borderId="1" xfId="0" applyFont="1" applyBorder="1" applyAlignment="1">
      <alignment horizontal="center" vertical="center" wrapText="1"/>
    </xf>
    <xf numFmtId="0" fontId="219" fillId="0" borderId="1" xfId="0" applyFont="1" applyBorder="1" applyAlignment="1">
      <alignment horizontal="center" vertical="center"/>
    </xf>
    <xf numFmtId="0" fontId="218" fillId="0" borderId="1" xfId="0" applyFont="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center" vertical="center"/>
    </xf>
    <xf numFmtId="0" fontId="12" fillId="70" borderId="0" xfId="0" applyFont="1" applyFill="1" applyAlignment="1">
      <alignment horizontal="center" vertical="center"/>
    </xf>
    <xf numFmtId="0" fontId="244" fillId="0" borderId="0" xfId="0" applyFont="1" applyAlignment="1">
      <alignment horizontal="left" vertical="center" wrapText="1"/>
    </xf>
    <xf numFmtId="0" fontId="244" fillId="0" borderId="0" xfId="0" applyFont="1" applyAlignment="1" applyProtection="1">
      <alignment horizontal="left" vertical="center" wrapText="1"/>
      <protection locked="0"/>
    </xf>
    <xf numFmtId="3" fontId="242" fillId="0" borderId="2" xfId="0" applyNumberFormat="1" applyFont="1" applyBorder="1" applyAlignment="1" applyProtection="1">
      <alignment horizontal="center" vertical="center" wrapText="1"/>
      <protection locked="0"/>
    </xf>
    <xf numFmtId="3" fontId="242" fillId="0" borderId="4" xfId="0" applyNumberFormat="1" applyFont="1" applyBorder="1" applyAlignment="1" applyProtection="1">
      <alignment horizontal="center" vertical="center" wrapText="1"/>
      <protection locked="0"/>
    </xf>
    <xf numFmtId="0" fontId="245" fillId="0" borderId="0" xfId="0" applyFont="1" applyAlignment="1" applyProtection="1">
      <alignment horizontal="center" vertical="center" wrapText="1"/>
      <protection locked="0"/>
    </xf>
    <xf numFmtId="0" fontId="253" fillId="0" borderId="0" xfId="0" applyFont="1" applyAlignment="1">
      <alignment horizontal="center"/>
    </xf>
    <xf numFmtId="3" fontId="245" fillId="0" borderId="0" xfId="0" applyNumberFormat="1" applyFont="1" applyAlignment="1" applyProtection="1">
      <alignment horizontal="center" vertical="center" wrapText="1"/>
      <protection locked="0"/>
    </xf>
    <xf numFmtId="0" fontId="242" fillId="0" borderId="2" xfId="0" applyFont="1" applyBorder="1" applyAlignment="1" applyProtection="1">
      <alignment horizontal="center" vertical="center" wrapText="1"/>
      <protection locked="0"/>
    </xf>
    <xf numFmtId="0" fontId="242" fillId="0" borderId="4" xfId="0" applyFont="1" applyBorder="1" applyAlignment="1" applyProtection="1">
      <alignment horizontal="center" vertical="center" wrapText="1"/>
      <protection locked="0"/>
    </xf>
    <xf numFmtId="3" fontId="242" fillId="0" borderId="7" xfId="0" applyNumberFormat="1" applyFont="1" applyBorder="1" applyAlignment="1" applyProtection="1">
      <alignment horizontal="center" vertical="center" wrapText="1"/>
      <protection locked="0"/>
    </xf>
    <xf numFmtId="3" fontId="242" fillId="0" borderId="9" xfId="0" applyNumberFormat="1" applyFont="1" applyBorder="1" applyAlignment="1" applyProtection="1">
      <alignment horizontal="center" vertical="center" wrapText="1"/>
      <protection locked="0"/>
    </xf>
    <xf numFmtId="0" fontId="243" fillId="0" borderId="59" xfId="0" applyFont="1" applyBorder="1" applyAlignment="1" applyProtection="1">
      <alignment horizontal="center" vertical="center" wrapText="1"/>
      <protection locked="0"/>
    </xf>
    <xf numFmtId="0" fontId="242" fillId="0" borderId="2" xfId="0" applyFont="1" applyBorder="1" applyAlignment="1">
      <alignment horizontal="center" vertical="center" wrapText="1"/>
    </xf>
    <xf numFmtId="0" fontId="242" fillId="0" borderId="4" xfId="0" applyFont="1" applyBorder="1" applyAlignment="1">
      <alignment horizontal="center" vertical="center" wrapText="1"/>
    </xf>
    <xf numFmtId="0" fontId="242" fillId="0" borderId="7" xfId="0" applyFont="1" applyBorder="1" applyAlignment="1" applyProtection="1">
      <alignment horizontal="center" vertical="center" wrapText="1"/>
      <protection locked="0"/>
    </xf>
    <xf numFmtId="0" fontId="242" fillId="0" borderId="8" xfId="0" applyFont="1" applyBorder="1" applyAlignment="1" applyProtection="1">
      <alignment horizontal="center" vertical="center" wrapText="1"/>
      <protection locked="0"/>
    </xf>
    <xf numFmtId="0" fontId="242" fillId="0" borderId="9" xfId="0" applyFont="1" applyBorder="1" applyAlignment="1" applyProtection="1">
      <alignment horizontal="center" vertical="center" wrapText="1"/>
      <protection locked="0"/>
    </xf>
    <xf numFmtId="3" fontId="242" fillId="0" borderId="8" xfId="0" applyNumberFormat="1" applyFont="1" applyBorder="1" applyAlignment="1" applyProtection="1">
      <alignment horizontal="center" vertical="center" wrapText="1"/>
      <protection locked="0"/>
    </xf>
    <xf numFmtId="0" fontId="242" fillId="0" borderId="1" xfId="0" applyFont="1" applyBorder="1" applyAlignment="1" applyProtection="1">
      <alignment horizontal="center" vertical="center" wrapText="1"/>
      <protection locked="0"/>
    </xf>
    <xf numFmtId="0" fontId="239" fillId="0" borderId="1" xfId="0" applyFont="1" applyBorder="1" applyAlignment="1">
      <alignment horizontal="center" vertical="center" wrapText="1"/>
    </xf>
    <xf numFmtId="0" fontId="242" fillId="0" borderId="3" xfId="0" applyFont="1" applyBorder="1" applyAlignment="1" applyProtection="1">
      <alignment horizontal="center" vertical="center" wrapText="1"/>
      <protection locked="0"/>
    </xf>
    <xf numFmtId="3" fontId="243" fillId="0" borderId="2" xfId="0" applyNumberFormat="1" applyFont="1" applyBorder="1" applyAlignment="1" applyProtection="1">
      <alignment horizontal="center" vertical="center" wrapText="1"/>
      <protection locked="0"/>
    </xf>
    <xf numFmtId="3" fontId="243" fillId="0" borderId="3" xfId="0" applyNumberFormat="1" applyFont="1" applyBorder="1" applyAlignment="1" applyProtection="1">
      <alignment horizontal="center" vertical="center" wrapText="1"/>
      <protection locked="0"/>
    </xf>
    <xf numFmtId="0" fontId="242" fillId="0" borderId="8" xfId="0" applyFont="1" applyBorder="1" applyAlignment="1">
      <alignment horizontal="center" vertical="center" wrapText="1"/>
    </xf>
    <xf numFmtId="0" fontId="242" fillId="0" borderId="9" xfId="0" applyFont="1" applyBorder="1" applyAlignment="1">
      <alignment horizontal="center" vertical="center" wrapText="1"/>
    </xf>
    <xf numFmtId="0" fontId="86" fillId="0" borderId="0" xfId="0" applyFont="1" applyAlignment="1" applyProtection="1">
      <alignment horizontal="left" vertical="center" wrapText="1"/>
      <protection locked="0"/>
    </xf>
    <xf numFmtId="3" fontId="242" fillId="0" borderId="3" xfId="0" applyNumberFormat="1" applyFont="1" applyBorder="1" applyAlignment="1" applyProtection="1">
      <alignment horizontal="center" vertical="center" wrapText="1"/>
      <protection locked="0"/>
    </xf>
    <xf numFmtId="0" fontId="242" fillId="0" borderId="57" xfId="0" applyFont="1" applyBorder="1" applyAlignment="1" applyProtection="1">
      <alignment horizontal="center" vertical="center" wrapText="1"/>
      <protection locked="0"/>
    </xf>
    <xf numFmtId="0" fontId="242" fillId="0" borderId="58" xfId="0" applyFont="1" applyBorder="1" applyAlignment="1" applyProtection="1">
      <alignment horizontal="center" vertical="center" wrapText="1"/>
      <protection locked="0"/>
    </xf>
    <xf numFmtId="0" fontId="242" fillId="0" borderId="3" xfId="0" applyFont="1" applyBorder="1" applyAlignment="1">
      <alignment horizontal="center" vertical="center" wrapText="1"/>
    </xf>
    <xf numFmtId="0" fontId="236" fillId="0" borderId="0" xfId="0" applyFont="1" applyAlignment="1" applyProtection="1">
      <alignment horizontal="center" vertical="center" wrapText="1"/>
      <protection locked="0"/>
    </xf>
    <xf numFmtId="172" fontId="239" fillId="0" borderId="5" xfId="0" applyNumberFormat="1" applyFont="1" applyBorder="1" applyAlignment="1" applyProtection="1">
      <alignment horizontal="left" vertical="center" wrapText="1"/>
      <protection locked="0"/>
    </xf>
    <xf numFmtId="3" fontId="239" fillId="0" borderId="5" xfId="0" applyNumberFormat="1" applyFont="1" applyBorder="1" applyAlignment="1" applyProtection="1">
      <alignment horizontal="center" vertical="center" wrapText="1"/>
      <protection locked="0"/>
    </xf>
    <xf numFmtId="0" fontId="253" fillId="0" borderId="0" xfId="2273" applyFont="1" applyAlignment="1">
      <alignment horizontal="center" vertical="center" wrapText="1"/>
    </xf>
    <xf numFmtId="0" fontId="237" fillId="0" borderId="0" xfId="2273" applyFont="1" applyAlignment="1">
      <alignment horizontal="center" vertical="center"/>
    </xf>
    <xf numFmtId="0" fontId="256" fillId="0" borderId="0" xfId="2273" applyFont="1" applyAlignment="1">
      <alignment horizontal="center" vertical="center"/>
    </xf>
    <xf numFmtId="0" fontId="258" fillId="0" borderId="0" xfId="2273" applyFont="1" applyAlignment="1">
      <alignment horizontal="center" vertical="center" wrapText="1"/>
    </xf>
    <xf numFmtId="0" fontId="253" fillId="70" borderId="0" xfId="2273" applyFont="1" applyFill="1" applyAlignment="1">
      <alignment horizontal="center" vertical="center" wrapText="1"/>
    </xf>
    <xf numFmtId="0" fontId="258" fillId="70" borderId="0" xfId="2273" applyFont="1" applyFill="1" applyAlignment="1">
      <alignment horizontal="center" vertical="center" wrapText="1"/>
    </xf>
    <xf numFmtId="0" fontId="237" fillId="70" borderId="0" xfId="2273" applyFont="1" applyFill="1" applyAlignment="1">
      <alignment horizontal="center" vertical="center"/>
    </xf>
    <xf numFmtId="0" fontId="257" fillId="70" borderId="0" xfId="2273" applyFont="1" applyFill="1" applyAlignment="1">
      <alignment horizontal="center" vertical="center"/>
    </xf>
    <xf numFmtId="0" fontId="237" fillId="70" borderId="1" xfId="2273" applyFont="1" applyFill="1" applyBorder="1" applyAlignment="1">
      <alignment horizontal="center" vertical="center" wrapText="1"/>
    </xf>
    <xf numFmtId="0" fontId="11" fillId="0" borderId="0" xfId="0" applyFont="1" applyFill="1"/>
    <xf numFmtId="0" fontId="219" fillId="0" borderId="0" xfId="0" applyFont="1" applyFill="1" applyAlignment="1">
      <alignment horizontal="center"/>
    </xf>
    <xf numFmtId="0" fontId="9" fillId="0" borderId="0" xfId="0" applyFont="1" applyFill="1" applyAlignment="1">
      <alignment horizontal="center"/>
    </xf>
    <xf numFmtId="0" fontId="12" fillId="0" borderId="0" xfId="0" applyFont="1" applyFill="1" applyAlignment="1">
      <alignment horizontal="center"/>
    </xf>
    <xf numFmtId="0" fontId="274" fillId="0" borderId="0" xfId="0" applyFont="1" applyFill="1"/>
    <xf numFmtId="0" fontId="9" fillId="0" borderId="0" xfId="0" applyFont="1" applyFill="1" applyAlignment="1">
      <alignment horizontal="center"/>
    </xf>
    <xf numFmtId="0" fontId="12" fillId="0" borderId="5" xfId="0" applyFont="1" applyFill="1" applyBorder="1" applyAlignment="1">
      <alignment horizontal="right"/>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vertical="center" wrapText="1"/>
    </xf>
    <xf numFmtId="3" fontId="19" fillId="0" borderId="10" xfId="0" applyNumberFormat="1" applyFont="1" applyFill="1" applyBorder="1" applyAlignment="1">
      <alignment vertical="center" wrapText="1"/>
    </xf>
    <xf numFmtId="9" fontId="19" fillId="0" borderId="10" xfId="0" applyNumberFormat="1" applyFont="1" applyFill="1" applyBorder="1" applyAlignment="1">
      <alignment horizontal="center" vertical="center" wrapText="1"/>
    </xf>
    <xf numFmtId="3" fontId="13" fillId="0" borderId="0" xfId="0" applyNumberFormat="1" applyFont="1" applyFill="1"/>
    <xf numFmtId="0" fontId="9" fillId="0" borderId="6" xfId="0" applyFont="1" applyFill="1" applyBorder="1" applyAlignment="1">
      <alignment horizontal="center" vertical="center" wrapText="1"/>
    </xf>
    <xf numFmtId="0" fontId="9" fillId="0" borderId="6" xfId="0" applyFont="1" applyFill="1" applyBorder="1" applyAlignment="1">
      <alignment vertical="center" wrapText="1"/>
    </xf>
    <xf numFmtId="9" fontId="19" fillId="0" borderId="6" xfId="0" applyNumberFormat="1" applyFont="1" applyFill="1" applyBorder="1" applyAlignment="1">
      <alignment horizontal="center" vertical="center" wrapText="1"/>
    </xf>
    <xf numFmtId="0" fontId="219" fillId="0" borderId="0" xfId="0" applyFont="1" applyFill="1"/>
    <xf numFmtId="0" fontId="10" fillId="0" borderId="6" xfId="0" applyFont="1" applyFill="1" applyBorder="1" applyAlignment="1">
      <alignment horizontal="center" vertical="center" wrapText="1"/>
    </xf>
    <xf numFmtId="0" fontId="10" fillId="0" borderId="6" xfId="0" applyFont="1" applyFill="1" applyBorder="1" applyAlignment="1">
      <alignment vertical="center" wrapText="1"/>
    </xf>
    <xf numFmtId="3" fontId="18" fillId="0" borderId="6" xfId="1" applyNumberFormat="1" applyFont="1" applyFill="1" applyBorder="1" applyAlignment="1">
      <alignment vertical="center" wrapText="1"/>
    </xf>
    <xf numFmtId="9" fontId="18" fillId="0" borderId="6" xfId="1" applyNumberFormat="1" applyFont="1" applyFill="1" applyBorder="1" applyAlignment="1">
      <alignment horizontal="center" vertical="center" wrapText="1"/>
    </xf>
    <xf numFmtId="9" fontId="18" fillId="0" borderId="6"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vertical="center" wrapText="1"/>
    </xf>
    <xf numFmtId="3" fontId="18" fillId="0" borderId="12" xfId="0" applyNumberFormat="1" applyFont="1" applyFill="1" applyBorder="1" applyAlignment="1">
      <alignment vertical="center" wrapText="1"/>
    </xf>
    <xf numFmtId="9" fontId="18" fillId="0" borderId="12" xfId="0" applyNumberFormat="1" applyFont="1" applyFill="1" applyBorder="1" applyAlignment="1">
      <alignment horizontal="center" vertical="center" wrapText="1"/>
    </xf>
    <xf numFmtId="0" fontId="13" fillId="0" borderId="0" xfId="0" applyFont="1" applyFill="1" applyAlignment="1">
      <alignment horizontal="left" vertical="center" wrapText="1"/>
    </xf>
  </cellXfs>
  <cellStyles count="2277">
    <cellStyle name="_x0001_" xfId="10" xr:uid="{00000000-0005-0000-0000-000000000000}"/>
    <cellStyle name="          _x000d__x000a_shell=progman.exe_x000d__x000a_m" xfId="11" xr:uid="{00000000-0005-0000-0000-000001000000}"/>
    <cellStyle name="#,##0" xfId="12" xr:uid="{00000000-0005-0000-0000-000002000000}"/>
    <cellStyle name="#,##0 2" xfId="13" xr:uid="{00000000-0005-0000-0000-000003000000}"/>
    <cellStyle name="#,##0 2 2" xfId="14" xr:uid="{00000000-0005-0000-0000-000004000000}"/>
    <cellStyle name="#,##0 3" xfId="15" xr:uid="{00000000-0005-0000-0000-000005000000}"/>
    <cellStyle name="#,##0 3 2" xfId="16" xr:uid="{00000000-0005-0000-0000-000006000000}"/>
    <cellStyle name="#,##0 4" xfId="17" xr:uid="{00000000-0005-0000-0000-000007000000}"/>
    <cellStyle name="." xfId="18" xr:uid="{00000000-0005-0000-0000-000008000000}"/>
    <cellStyle name=". 2" xfId="19" xr:uid="{00000000-0005-0000-0000-000009000000}"/>
    <cellStyle name="._Book1" xfId="20" xr:uid="{00000000-0005-0000-0000-00000A000000}"/>
    <cellStyle name="._VBPL kiểm toán Đầu tư XDCB 2010" xfId="21" xr:uid="{00000000-0005-0000-0000-00000B000000}"/>
    <cellStyle name="._VBPL kiểm toán Đầu tư XDCB 2010 2" xfId="22" xr:uid="{00000000-0005-0000-0000-00000C000000}"/>
    <cellStyle name=".d©y" xfId="23" xr:uid="{00000000-0005-0000-0000-00000D000000}"/>
    <cellStyle name="??" xfId="24" xr:uid="{00000000-0005-0000-0000-00000E000000}"/>
    <cellStyle name="?? [ - ??1" xfId="25" xr:uid="{00000000-0005-0000-0000-00000F000000}"/>
    <cellStyle name="?? [ - ??2" xfId="26" xr:uid="{00000000-0005-0000-0000-000010000000}"/>
    <cellStyle name="?? [ - ??3" xfId="27" xr:uid="{00000000-0005-0000-0000-000011000000}"/>
    <cellStyle name="?? [ - ??4" xfId="28" xr:uid="{00000000-0005-0000-0000-000012000000}"/>
    <cellStyle name="?? [ - ??5" xfId="29" xr:uid="{00000000-0005-0000-0000-000013000000}"/>
    <cellStyle name="?? [ - ??6" xfId="30" xr:uid="{00000000-0005-0000-0000-000014000000}"/>
    <cellStyle name="?? [ - ??7" xfId="31" xr:uid="{00000000-0005-0000-0000-000015000000}"/>
    <cellStyle name="?? [ - ??8" xfId="32" xr:uid="{00000000-0005-0000-0000-000016000000}"/>
    <cellStyle name="?? [0.00]_        " xfId="33" xr:uid="{00000000-0005-0000-0000-000017000000}"/>
    <cellStyle name="?? [0]" xfId="34" xr:uid="{00000000-0005-0000-0000-000018000000}"/>
    <cellStyle name="?_x001d_??%U©÷u&amp;H©÷9_x0008_? s_x000a__x0007__x0001__x0001_" xfId="35" xr:uid="{00000000-0005-0000-0000-000019000000}"/>
    <cellStyle name="?_x001d_??%U©÷u&amp;H©÷9_x0008_?_x0009_s_x000a__x0007__x0001__x0001_" xfId="36" xr:uid="{00000000-0005-0000-0000-00001A000000}"/>
    <cellStyle name="???? [0.00]_      " xfId="37" xr:uid="{00000000-0005-0000-0000-00001B000000}"/>
    <cellStyle name="??????" xfId="38" xr:uid="{00000000-0005-0000-0000-00001C000000}"/>
    <cellStyle name="??????????????????? [0]_FTC_OFFER" xfId="39" xr:uid="{00000000-0005-0000-0000-00001D000000}"/>
    <cellStyle name="???????????????????_FTC_OFFER" xfId="40" xr:uid="{00000000-0005-0000-0000-00001E000000}"/>
    <cellStyle name="????_      " xfId="41" xr:uid="{00000000-0005-0000-0000-00001F000000}"/>
    <cellStyle name="???[0]_?? DI" xfId="42" xr:uid="{00000000-0005-0000-0000-000020000000}"/>
    <cellStyle name="???_?? DI" xfId="43" xr:uid="{00000000-0005-0000-0000-000021000000}"/>
    <cellStyle name="??[0]_BRE" xfId="44" xr:uid="{00000000-0005-0000-0000-000022000000}"/>
    <cellStyle name="??_      " xfId="45" xr:uid="{00000000-0005-0000-0000-000023000000}"/>
    <cellStyle name="??A? [0]_laroux_1_¢¬???¢â? " xfId="46" xr:uid="{00000000-0005-0000-0000-000024000000}"/>
    <cellStyle name="??A?_laroux_1_¢¬???¢â? " xfId="47" xr:uid="{00000000-0005-0000-0000-000025000000}"/>
    <cellStyle name="?¡±¢¥?_?¨ù??¢´¢¥_¢¬???¢â? " xfId="48" xr:uid="{00000000-0005-0000-0000-000026000000}"/>
    <cellStyle name="?ðÇ%U?&amp;H?_x0008_?s_x000a__x0007__x0001__x0001_" xfId="49" xr:uid="{00000000-0005-0000-0000-000027000000}"/>
    <cellStyle name="[0]_Chi phÝ kh¸c_V" xfId="50" xr:uid="{00000000-0005-0000-0000-000028000000}"/>
    <cellStyle name="_1 TONG HOP - CA NA" xfId="51" xr:uid="{00000000-0005-0000-0000-000029000000}"/>
    <cellStyle name="_130307 So sanh thuc hien 2012 - du toan 2012 moi (pan khac)" xfId="52" xr:uid="{00000000-0005-0000-0000-00002A000000}"/>
    <cellStyle name="_130313 Mau  bieu bao cao nguon luc cua dia phuong sua" xfId="53" xr:uid="{00000000-0005-0000-0000-00002B000000}"/>
    <cellStyle name="_130818 Tong hop Danh gia thu 2013" xfId="54" xr:uid="{00000000-0005-0000-0000-00002C000000}"/>
    <cellStyle name="_130818 Tong hop Danh gia thu 2013_140921 bu giam thu ND 209" xfId="55" xr:uid="{00000000-0005-0000-0000-00002D000000}"/>
    <cellStyle name="_130818 Tong hop Danh gia thu 2013_140921 bu giam thu ND 209_Phu luc so 5 - sua ngay 04-01" xfId="56" xr:uid="{00000000-0005-0000-0000-00002E000000}"/>
    <cellStyle name="_Bang Chi tieu (2)" xfId="57" xr:uid="{00000000-0005-0000-0000-00002F000000}"/>
    <cellStyle name="_BAO GIA NGAY 24-10-08 (co dam)" xfId="58" xr:uid="{00000000-0005-0000-0000-000030000000}"/>
    <cellStyle name="_Bao gia TB Kon Dao 2010" xfId="59" xr:uid="{00000000-0005-0000-0000-000031000000}"/>
    <cellStyle name="_Bieu tong hop nhu cau ung_Mien Trung" xfId="61" xr:uid="{00000000-0005-0000-0000-000032000000}"/>
    <cellStyle name="_Bieu ung von 2011 NSNN - TPCP vung DBSClong (10-6-2010)" xfId="62" xr:uid="{00000000-0005-0000-0000-000033000000}"/>
    <cellStyle name="_Biểu KH 5 năm gửi UB sửa biểu VHXH" xfId="60" xr:uid="{00000000-0005-0000-0000-000034000000}"/>
    <cellStyle name="_Book1" xfId="63" xr:uid="{00000000-0005-0000-0000-000035000000}"/>
    <cellStyle name="_Book1_1" xfId="64" xr:uid="{00000000-0005-0000-0000-000036000000}"/>
    <cellStyle name="_Book1_2" xfId="65" xr:uid="{00000000-0005-0000-0000-000037000000}"/>
    <cellStyle name="_Book1_BC-QT-WB-dthao" xfId="66" xr:uid="{00000000-0005-0000-0000-000038000000}"/>
    <cellStyle name="_Book1_Book1" xfId="67" xr:uid="{00000000-0005-0000-0000-000039000000}"/>
    <cellStyle name="_Book1_DT truong thinh phu" xfId="68" xr:uid="{00000000-0005-0000-0000-00003A000000}"/>
    <cellStyle name="_Book1_Kiem Tra Don Gia" xfId="71" xr:uid="{00000000-0005-0000-0000-00003B000000}"/>
    <cellStyle name="_Book1_Kh ql62 (2010) 11-09" xfId="69" xr:uid="{00000000-0005-0000-0000-00003C000000}"/>
    <cellStyle name="_Book1_khoiluongbdacdoa" xfId="70" xr:uid="{00000000-0005-0000-0000-00003D000000}"/>
    <cellStyle name="_Book1_TH KHAI TOAN THU THIEM cac tuyen TT noi" xfId="72" xr:uid="{00000000-0005-0000-0000-00003E000000}"/>
    <cellStyle name="_C.cong+B.luong-Sanluong" xfId="73" xr:uid="{00000000-0005-0000-0000-00003F000000}"/>
    <cellStyle name="_DG 2012-DT2013 - Theo sac thue -sua" xfId="74" xr:uid="{00000000-0005-0000-0000-000040000000}"/>
    <cellStyle name="_DG 2012-DT2013 - Theo sac thue -sua_27-8Tong hop PA uoc 2012-DT 2013 -PA 420.000 ty-490.000 ty chuyen doi" xfId="75" xr:uid="{00000000-0005-0000-0000-000041000000}"/>
    <cellStyle name="_DO-D1500-KHONG CO TRONG DT" xfId="76" xr:uid="{00000000-0005-0000-0000-000042000000}"/>
    <cellStyle name="_DT truong thinh phu" xfId="77" xr:uid="{00000000-0005-0000-0000-000043000000}"/>
    <cellStyle name="_DTDT BL-DL" xfId="78" xr:uid="{00000000-0005-0000-0000-000044000000}"/>
    <cellStyle name="_DTDT BL-DL 2" xfId="79" xr:uid="{00000000-0005-0000-0000-000045000000}"/>
    <cellStyle name="_du toan lan 3" xfId="80" xr:uid="{00000000-0005-0000-0000-000046000000}"/>
    <cellStyle name="_Duyet TK thay đôi" xfId="81" xr:uid="{00000000-0005-0000-0000-000047000000}"/>
    <cellStyle name="_GOITHAUSO2" xfId="82" xr:uid="{00000000-0005-0000-0000-000048000000}"/>
    <cellStyle name="_GOITHAUSO3" xfId="83" xr:uid="{00000000-0005-0000-0000-000049000000}"/>
    <cellStyle name="_GOITHAUSO4" xfId="84" xr:uid="{00000000-0005-0000-0000-00004A000000}"/>
    <cellStyle name="_GTXD GOI 2" xfId="85" xr:uid="{00000000-0005-0000-0000-00004B000000}"/>
    <cellStyle name="_GTXD GOI1" xfId="86" xr:uid="{00000000-0005-0000-0000-00004C000000}"/>
    <cellStyle name="_GTXD GOI3" xfId="87" xr:uid="{00000000-0005-0000-0000-00004D000000}"/>
    <cellStyle name="_HaHoa_TDT_DienCSang" xfId="88" xr:uid="{00000000-0005-0000-0000-00004E000000}"/>
    <cellStyle name="_HaHoa19-5-07" xfId="89" xr:uid="{00000000-0005-0000-0000-00004F000000}"/>
    <cellStyle name="_Huong CHI tieu Nhiem vu CTMTQG 2014(1)" xfId="90" xr:uid="{00000000-0005-0000-0000-000050000000}"/>
    <cellStyle name="_Kiem Tra Don Gia" xfId="94" xr:uid="{00000000-0005-0000-0000-000051000000}"/>
    <cellStyle name="_KT (2)" xfId="95" xr:uid="{00000000-0005-0000-0000-000052000000}"/>
    <cellStyle name="_KT (2)_1" xfId="96" xr:uid="{00000000-0005-0000-0000-000053000000}"/>
    <cellStyle name="_KT (2)_1_Book1" xfId="97" xr:uid="{00000000-0005-0000-0000-000054000000}"/>
    <cellStyle name="_KT (2)_1_Lora-tungchau" xfId="98" xr:uid="{00000000-0005-0000-0000-000055000000}"/>
    <cellStyle name="_KT (2)_1_Qt-HT3PQ1(CauKho)" xfId="99" xr:uid="{00000000-0005-0000-0000-000056000000}"/>
    <cellStyle name="_KT (2)_1_Qt-HT3PQ1(CauKho)_Book1" xfId="100" xr:uid="{00000000-0005-0000-0000-000057000000}"/>
    <cellStyle name="_KT (2)_1_Qt-HT3PQ1(CauKho)_Don gia quy 3 nam 2003 - Ban Dien Luc" xfId="101" xr:uid="{00000000-0005-0000-0000-000058000000}"/>
    <cellStyle name="_KT (2)_1_Qt-HT3PQ1(CauKho)_Kiem Tra Don Gia" xfId="102" xr:uid="{00000000-0005-0000-0000-000059000000}"/>
    <cellStyle name="_KT (2)_1_Qt-HT3PQ1(CauKho)_NC-VL2-2003" xfId="103" xr:uid="{00000000-0005-0000-0000-00005A000000}"/>
    <cellStyle name="_KT (2)_1_Qt-HT3PQ1(CauKho)_NC-VL2-2003_1" xfId="104" xr:uid="{00000000-0005-0000-0000-00005B000000}"/>
    <cellStyle name="_KT (2)_1_Qt-HT3PQ1(CauKho)_XL4Test5" xfId="105" xr:uid="{00000000-0005-0000-0000-00005C000000}"/>
    <cellStyle name="_KT (2)_1_quy luong con lai nam 2004" xfId="106" xr:uid="{00000000-0005-0000-0000-00005D000000}"/>
    <cellStyle name="_KT (2)_1_" xfId="107" xr:uid="{00000000-0005-0000-0000-00005E000000}"/>
    <cellStyle name="_KT (2)_2" xfId="108" xr:uid="{00000000-0005-0000-0000-00005F000000}"/>
    <cellStyle name="_KT (2)_2_Book1" xfId="109" xr:uid="{00000000-0005-0000-0000-000060000000}"/>
    <cellStyle name="_KT (2)_2_DTDuong dong tien -sua tham tra 2009 - luong 650" xfId="110" xr:uid="{00000000-0005-0000-0000-000061000000}"/>
    <cellStyle name="_KT (2)_2_quy luong con lai nam 2004" xfId="111" xr:uid="{00000000-0005-0000-0000-000062000000}"/>
    <cellStyle name="_KT (2)_2_TG-TH" xfId="112" xr:uid="{00000000-0005-0000-0000-000063000000}"/>
    <cellStyle name="_KT (2)_2_TG-TH_BANG TONG HOP TINH HINH THANH QUYET TOAN (MOI I)" xfId="113" xr:uid="{00000000-0005-0000-0000-000064000000}"/>
    <cellStyle name="_KT (2)_2_TG-TH_BAO CAO KLCT PT2000" xfId="114" xr:uid="{00000000-0005-0000-0000-000065000000}"/>
    <cellStyle name="_KT (2)_2_TG-TH_BAO CAO PT2000" xfId="115" xr:uid="{00000000-0005-0000-0000-000066000000}"/>
    <cellStyle name="_KT (2)_2_TG-TH_BAO CAO PT2000_Book1" xfId="116" xr:uid="{00000000-0005-0000-0000-000067000000}"/>
    <cellStyle name="_KT (2)_2_TG-TH_Bao cao XDCB 2001 - T11 KH dieu chinh 20-11-THAI" xfId="117" xr:uid="{00000000-0005-0000-0000-000068000000}"/>
    <cellStyle name="_KT (2)_2_TG-TH_BAO GIA NGAY 24-10-08 (co dam)" xfId="118" xr:uid="{00000000-0005-0000-0000-000069000000}"/>
    <cellStyle name="_KT (2)_2_TG-TH_Biểu KH 5 năm gửi UB sửa biểu VHXH" xfId="119" xr:uid="{00000000-0005-0000-0000-00006A000000}"/>
    <cellStyle name="_KT (2)_2_TG-TH_Book1" xfId="120" xr:uid="{00000000-0005-0000-0000-00006B000000}"/>
    <cellStyle name="_KT (2)_2_TG-TH_Book1_1" xfId="121" xr:uid="{00000000-0005-0000-0000-00006C000000}"/>
    <cellStyle name="_KT (2)_2_TG-TH_Book1_1_Book1" xfId="122" xr:uid="{00000000-0005-0000-0000-00006D000000}"/>
    <cellStyle name="_KT (2)_2_TG-TH_Book1_1_DanhMucDonGiaVTTB_Dien_TAM" xfId="123" xr:uid="{00000000-0005-0000-0000-00006E000000}"/>
    <cellStyle name="_KT (2)_2_TG-TH_Book1_1_khoiluongbdacdoa" xfId="124" xr:uid="{00000000-0005-0000-0000-00006F000000}"/>
    <cellStyle name="_KT (2)_2_TG-TH_Book1_2" xfId="125" xr:uid="{00000000-0005-0000-0000-000070000000}"/>
    <cellStyle name="_KT (2)_2_TG-TH_Book1_2_Book1" xfId="126" xr:uid="{00000000-0005-0000-0000-000071000000}"/>
    <cellStyle name="_KT (2)_2_TG-TH_Book1_3" xfId="127" xr:uid="{00000000-0005-0000-0000-000072000000}"/>
    <cellStyle name="_KT (2)_2_TG-TH_Book1_3_Book1" xfId="128" xr:uid="{00000000-0005-0000-0000-000073000000}"/>
    <cellStyle name="_KT (2)_2_TG-TH_Book1_3_DT truong thinh phu" xfId="129" xr:uid="{00000000-0005-0000-0000-000074000000}"/>
    <cellStyle name="_KT (2)_2_TG-TH_Book1_3_XL4Test5" xfId="130" xr:uid="{00000000-0005-0000-0000-000075000000}"/>
    <cellStyle name="_KT (2)_2_TG-TH_Book1_4" xfId="131" xr:uid="{00000000-0005-0000-0000-000076000000}"/>
    <cellStyle name="_KT (2)_2_TG-TH_Book1_Book1" xfId="132" xr:uid="{00000000-0005-0000-0000-000077000000}"/>
    <cellStyle name="_KT (2)_2_TG-TH_Book1_DanhMucDonGiaVTTB_Dien_TAM" xfId="133" xr:uid="{00000000-0005-0000-0000-000078000000}"/>
    <cellStyle name="_KT (2)_2_TG-TH_Book1_Kiem Tra Don Gia" xfId="135" xr:uid="{00000000-0005-0000-0000-000079000000}"/>
    <cellStyle name="_KT (2)_2_TG-TH_Book1_khoiluongbdacdoa" xfId="134" xr:uid="{00000000-0005-0000-0000-00007A000000}"/>
    <cellStyle name="_KT (2)_2_TG-TH_Book1_Tong hop 3 tinh (11_5)-TTH-QN-QT" xfId="136" xr:uid="{00000000-0005-0000-0000-00007B000000}"/>
    <cellStyle name="_KT (2)_2_TG-TH_Book1_" xfId="137" xr:uid="{00000000-0005-0000-0000-00007C000000}"/>
    <cellStyle name="_KT (2)_2_TG-TH_CAU Khanh Nam(Thi Cong)" xfId="138" xr:uid="{00000000-0005-0000-0000-00007D000000}"/>
    <cellStyle name="_KT (2)_2_TG-TH_DAU NOI PL-CL TAI PHU LAMHC" xfId="139" xr:uid="{00000000-0005-0000-0000-00007E000000}"/>
    <cellStyle name="_KT (2)_2_TG-TH_Dcdtoan-bcnckt " xfId="140" xr:uid="{00000000-0005-0000-0000-00007F000000}"/>
    <cellStyle name="_KT (2)_2_TG-TH_DN_MTP" xfId="141" xr:uid="{00000000-0005-0000-0000-000080000000}"/>
    <cellStyle name="_KT (2)_2_TG-TH_Dongia2-2003" xfId="142" xr:uid="{00000000-0005-0000-0000-000081000000}"/>
    <cellStyle name="_KT (2)_2_TG-TH_Dongia2-2003_DT truong thinh phu" xfId="143" xr:uid="{00000000-0005-0000-0000-000082000000}"/>
    <cellStyle name="_KT (2)_2_TG-TH_DT truong thinh phu" xfId="144" xr:uid="{00000000-0005-0000-0000-000083000000}"/>
    <cellStyle name="_KT (2)_2_TG-TH_DTCDT MR.2N110.HOCMON.TDTOAN.CCUNG" xfId="145" xr:uid="{00000000-0005-0000-0000-000084000000}"/>
    <cellStyle name="_KT (2)_2_TG-TH_DTDuong dong tien -sua tham tra 2009 - luong 650" xfId="146" xr:uid="{00000000-0005-0000-0000-000085000000}"/>
    <cellStyle name="_KT (2)_2_TG-TH_DU TRU VAT TU" xfId="147" xr:uid="{00000000-0005-0000-0000-000086000000}"/>
    <cellStyle name="_KT (2)_2_TG-TH_Kiem Tra Don Gia" xfId="149" xr:uid="{00000000-0005-0000-0000-000087000000}"/>
    <cellStyle name="_KT (2)_2_TG-TH_khoiluongbdacdoa" xfId="148" xr:uid="{00000000-0005-0000-0000-000088000000}"/>
    <cellStyle name="_KT (2)_2_TG-TH_Lora-tungchau" xfId="150" xr:uid="{00000000-0005-0000-0000-000089000000}"/>
    <cellStyle name="_KT (2)_2_TG-TH_moi" xfId="151" xr:uid="{00000000-0005-0000-0000-00008A000000}"/>
    <cellStyle name="_KT (2)_2_TG-TH_PGIA-phieu tham tra Kho bac" xfId="152" xr:uid="{00000000-0005-0000-0000-00008B000000}"/>
    <cellStyle name="_KT (2)_2_TG-TH_PT02-02" xfId="153" xr:uid="{00000000-0005-0000-0000-00008C000000}"/>
    <cellStyle name="_KT (2)_2_TG-TH_PT02-02_Book1" xfId="154" xr:uid="{00000000-0005-0000-0000-00008D000000}"/>
    <cellStyle name="_KT (2)_2_TG-TH_PT02-03" xfId="155" xr:uid="{00000000-0005-0000-0000-00008E000000}"/>
    <cellStyle name="_KT (2)_2_TG-TH_PT02-03_Book1" xfId="156" xr:uid="{00000000-0005-0000-0000-00008F000000}"/>
    <cellStyle name="_KT (2)_2_TG-TH_Qt-HT3PQ1(CauKho)" xfId="157" xr:uid="{00000000-0005-0000-0000-000090000000}"/>
    <cellStyle name="_KT (2)_2_TG-TH_Qt-HT3PQ1(CauKho)_Book1" xfId="158" xr:uid="{00000000-0005-0000-0000-000091000000}"/>
    <cellStyle name="_KT (2)_2_TG-TH_Qt-HT3PQ1(CauKho)_Don gia quy 3 nam 2003 - Ban Dien Luc" xfId="159" xr:uid="{00000000-0005-0000-0000-000092000000}"/>
    <cellStyle name="_KT (2)_2_TG-TH_Qt-HT3PQ1(CauKho)_Kiem Tra Don Gia" xfId="160" xr:uid="{00000000-0005-0000-0000-000093000000}"/>
    <cellStyle name="_KT (2)_2_TG-TH_Qt-HT3PQ1(CauKho)_NC-VL2-2003" xfId="161" xr:uid="{00000000-0005-0000-0000-000094000000}"/>
    <cellStyle name="_KT (2)_2_TG-TH_Qt-HT3PQ1(CauKho)_NC-VL2-2003_1" xfId="162" xr:uid="{00000000-0005-0000-0000-000095000000}"/>
    <cellStyle name="_KT (2)_2_TG-TH_Qt-HT3PQ1(CauKho)_XL4Test5" xfId="163" xr:uid="{00000000-0005-0000-0000-000096000000}"/>
    <cellStyle name="_KT (2)_2_TG-TH_QT-LCTP-AE" xfId="164" xr:uid="{00000000-0005-0000-0000-000097000000}"/>
    <cellStyle name="_KT (2)_2_TG-TH_quy luong con lai nam 2004" xfId="165" xr:uid="{00000000-0005-0000-0000-000098000000}"/>
    <cellStyle name="_KT (2)_2_TG-TH_Sheet2" xfId="166" xr:uid="{00000000-0005-0000-0000-000099000000}"/>
    <cellStyle name="_KT (2)_2_TG-TH_TEL OUT 2004" xfId="167" xr:uid="{00000000-0005-0000-0000-00009A000000}"/>
    <cellStyle name="_KT (2)_2_TG-TH_Tong hop 3 tinh (11_5)-TTH-QN-QT" xfId="168" xr:uid="{00000000-0005-0000-0000-00009B000000}"/>
    <cellStyle name="_KT (2)_2_TG-TH_XL4Poppy" xfId="169" xr:uid="{00000000-0005-0000-0000-00009C000000}"/>
    <cellStyle name="_KT (2)_2_TG-TH_XL4Test5" xfId="170" xr:uid="{00000000-0005-0000-0000-00009D000000}"/>
    <cellStyle name="_KT (2)_2_TG-TH_ÿÿÿÿÿ" xfId="171" xr:uid="{00000000-0005-0000-0000-00009E000000}"/>
    <cellStyle name="_KT (2)_2_TG-TH_" xfId="172" xr:uid="{00000000-0005-0000-0000-00009F000000}"/>
    <cellStyle name="_KT (2)_3" xfId="173" xr:uid="{00000000-0005-0000-0000-0000A0000000}"/>
    <cellStyle name="_KT (2)_3_TG-TH" xfId="174" xr:uid="{00000000-0005-0000-0000-0000A1000000}"/>
    <cellStyle name="_KT (2)_3_TG-TH_Book1" xfId="175" xr:uid="{00000000-0005-0000-0000-0000A2000000}"/>
    <cellStyle name="_KT (2)_3_TG-TH_Book1_1" xfId="176" xr:uid="{00000000-0005-0000-0000-0000A3000000}"/>
    <cellStyle name="_KT (2)_3_TG-TH_Book1_BC-QT-WB-dthao" xfId="177" xr:uid="{00000000-0005-0000-0000-0000A4000000}"/>
    <cellStyle name="_KT (2)_3_TG-TH_Book1_Book1" xfId="178" xr:uid="{00000000-0005-0000-0000-0000A5000000}"/>
    <cellStyle name="_KT (2)_3_TG-TH_Book1_Kiem Tra Don Gia" xfId="179" xr:uid="{00000000-0005-0000-0000-0000A6000000}"/>
    <cellStyle name="_KT (2)_3_TG-TH_Book1_Kiem Tra Don Gia 2" xfId="180" xr:uid="{00000000-0005-0000-0000-0000A7000000}"/>
    <cellStyle name="_KT (2)_3_TG-TH_Kiem Tra Don Gia" xfId="182" xr:uid="{00000000-0005-0000-0000-0000A8000000}"/>
    <cellStyle name="_KT (2)_3_TG-TH_khoiluongbdacdoa" xfId="181" xr:uid="{00000000-0005-0000-0000-0000A9000000}"/>
    <cellStyle name="_KT (2)_3_TG-TH_Lora-tungchau" xfId="183" xr:uid="{00000000-0005-0000-0000-0000AA000000}"/>
    <cellStyle name="_KT (2)_3_TG-TH_Lora-tungchau_Book1" xfId="184" xr:uid="{00000000-0005-0000-0000-0000AB000000}"/>
    <cellStyle name="_KT (2)_3_TG-TH_Lora-tungchau_Kiem Tra Don Gia" xfId="185" xr:uid="{00000000-0005-0000-0000-0000AC000000}"/>
    <cellStyle name="_KT (2)_3_TG-TH_Lora-tungchau_Kiem Tra Don Gia 2" xfId="186" xr:uid="{00000000-0005-0000-0000-0000AD000000}"/>
    <cellStyle name="_KT (2)_3_TG-TH_PERSONAL" xfId="187" xr:uid="{00000000-0005-0000-0000-0000AE000000}"/>
    <cellStyle name="_KT (2)_3_TG-TH_PERSONAL_Book1" xfId="188" xr:uid="{00000000-0005-0000-0000-0000AF000000}"/>
    <cellStyle name="_KT (2)_3_TG-TH_PERSONAL_HTQ.8 GD1" xfId="189" xr:uid="{00000000-0005-0000-0000-0000B0000000}"/>
    <cellStyle name="_KT (2)_3_TG-TH_PERSONAL_HTQ.8 GD1_Book1" xfId="190" xr:uid="{00000000-0005-0000-0000-0000B1000000}"/>
    <cellStyle name="_KT (2)_3_TG-TH_PERSONAL_HTQ.8 GD1_Don gia quy 3 nam 2003 - Ban Dien Luc" xfId="191" xr:uid="{00000000-0005-0000-0000-0000B2000000}"/>
    <cellStyle name="_KT (2)_3_TG-TH_PERSONAL_HTQ.8 GD1_NC-VL2-2003" xfId="192" xr:uid="{00000000-0005-0000-0000-0000B3000000}"/>
    <cellStyle name="_KT (2)_3_TG-TH_PERSONAL_HTQ.8 GD1_NC-VL2-2003_1" xfId="193" xr:uid="{00000000-0005-0000-0000-0000B4000000}"/>
    <cellStyle name="_KT (2)_3_TG-TH_PERSONAL_HTQ.8 GD1_XL4Test5" xfId="194" xr:uid="{00000000-0005-0000-0000-0000B5000000}"/>
    <cellStyle name="_KT (2)_3_TG-TH_PERSONAL_khoiluongbdacdoa" xfId="195" xr:uid="{00000000-0005-0000-0000-0000B6000000}"/>
    <cellStyle name="_KT (2)_3_TG-TH_PERSONAL_Tong hop KHCB 2001" xfId="196" xr:uid="{00000000-0005-0000-0000-0000B7000000}"/>
    <cellStyle name="_KT (2)_3_TG-TH_PERSONAL_" xfId="197" xr:uid="{00000000-0005-0000-0000-0000B8000000}"/>
    <cellStyle name="_KT (2)_3_TG-TH_Qt-HT3PQ1(CauKho)" xfId="198" xr:uid="{00000000-0005-0000-0000-0000B9000000}"/>
    <cellStyle name="_KT (2)_3_TG-TH_Qt-HT3PQ1(CauKho)_Book1" xfId="199" xr:uid="{00000000-0005-0000-0000-0000BA000000}"/>
    <cellStyle name="_KT (2)_3_TG-TH_Qt-HT3PQ1(CauKho)_Don gia quy 3 nam 2003 - Ban Dien Luc" xfId="200" xr:uid="{00000000-0005-0000-0000-0000BB000000}"/>
    <cellStyle name="_KT (2)_3_TG-TH_Qt-HT3PQ1(CauKho)_Kiem Tra Don Gia" xfId="201" xr:uid="{00000000-0005-0000-0000-0000BC000000}"/>
    <cellStyle name="_KT (2)_3_TG-TH_Qt-HT3PQ1(CauKho)_NC-VL2-2003" xfId="202" xr:uid="{00000000-0005-0000-0000-0000BD000000}"/>
    <cellStyle name="_KT (2)_3_TG-TH_Qt-HT3PQ1(CauKho)_NC-VL2-2003_1" xfId="203" xr:uid="{00000000-0005-0000-0000-0000BE000000}"/>
    <cellStyle name="_KT (2)_3_TG-TH_Qt-HT3PQ1(CauKho)_XL4Test5" xfId="204" xr:uid="{00000000-0005-0000-0000-0000BF000000}"/>
    <cellStyle name="_KT (2)_3_TG-TH_QT-LCTP-AE" xfId="205" xr:uid="{00000000-0005-0000-0000-0000C0000000}"/>
    <cellStyle name="_KT (2)_3_TG-TH_quy luong con lai nam 2004" xfId="206" xr:uid="{00000000-0005-0000-0000-0000C1000000}"/>
    <cellStyle name="_KT (2)_3_TG-TH_" xfId="207" xr:uid="{00000000-0005-0000-0000-0000C2000000}"/>
    <cellStyle name="_KT (2)_4" xfId="208" xr:uid="{00000000-0005-0000-0000-0000C3000000}"/>
    <cellStyle name="_KT (2)_4_BANG TONG HOP TINH HINH THANH QUYET TOAN (MOI I)" xfId="209" xr:uid="{00000000-0005-0000-0000-0000C4000000}"/>
    <cellStyle name="_KT (2)_4_BAO CAO KLCT PT2000" xfId="210" xr:uid="{00000000-0005-0000-0000-0000C5000000}"/>
    <cellStyle name="_KT (2)_4_BAO CAO PT2000" xfId="211" xr:uid="{00000000-0005-0000-0000-0000C6000000}"/>
    <cellStyle name="_KT (2)_4_BAO CAO PT2000_Book1" xfId="212" xr:uid="{00000000-0005-0000-0000-0000C7000000}"/>
    <cellStyle name="_KT (2)_4_Bao cao XDCB 2001 - T11 KH dieu chinh 20-11-THAI" xfId="213" xr:uid="{00000000-0005-0000-0000-0000C8000000}"/>
    <cellStyle name="_KT (2)_4_BAO GIA NGAY 24-10-08 (co dam)" xfId="214" xr:uid="{00000000-0005-0000-0000-0000C9000000}"/>
    <cellStyle name="_KT (2)_4_Biểu KH 5 năm gửi UB sửa biểu VHXH" xfId="215" xr:uid="{00000000-0005-0000-0000-0000CA000000}"/>
    <cellStyle name="_KT (2)_4_Book1" xfId="216" xr:uid="{00000000-0005-0000-0000-0000CB000000}"/>
    <cellStyle name="_KT (2)_4_Book1_1" xfId="217" xr:uid="{00000000-0005-0000-0000-0000CC000000}"/>
    <cellStyle name="_KT (2)_4_Book1_1_Book1" xfId="218" xr:uid="{00000000-0005-0000-0000-0000CD000000}"/>
    <cellStyle name="_KT (2)_4_Book1_1_DanhMucDonGiaVTTB_Dien_TAM" xfId="219" xr:uid="{00000000-0005-0000-0000-0000CE000000}"/>
    <cellStyle name="_KT (2)_4_Book1_1_khoiluongbdacdoa" xfId="220" xr:uid="{00000000-0005-0000-0000-0000CF000000}"/>
    <cellStyle name="_KT (2)_4_Book1_2" xfId="221" xr:uid="{00000000-0005-0000-0000-0000D0000000}"/>
    <cellStyle name="_KT (2)_4_Book1_2_Book1" xfId="222" xr:uid="{00000000-0005-0000-0000-0000D1000000}"/>
    <cellStyle name="_KT (2)_4_Book1_3" xfId="223" xr:uid="{00000000-0005-0000-0000-0000D2000000}"/>
    <cellStyle name="_KT (2)_4_Book1_3_Book1" xfId="224" xr:uid="{00000000-0005-0000-0000-0000D3000000}"/>
    <cellStyle name="_KT (2)_4_Book1_3_DT truong thinh phu" xfId="225" xr:uid="{00000000-0005-0000-0000-0000D4000000}"/>
    <cellStyle name="_KT (2)_4_Book1_3_XL4Test5" xfId="226" xr:uid="{00000000-0005-0000-0000-0000D5000000}"/>
    <cellStyle name="_KT (2)_4_Book1_4" xfId="227" xr:uid="{00000000-0005-0000-0000-0000D6000000}"/>
    <cellStyle name="_KT (2)_4_Book1_Book1" xfId="228" xr:uid="{00000000-0005-0000-0000-0000D7000000}"/>
    <cellStyle name="_KT (2)_4_Book1_DanhMucDonGiaVTTB_Dien_TAM" xfId="229" xr:uid="{00000000-0005-0000-0000-0000D8000000}"/>
    <cellStyle name="_KT (2)_4_Book1_Kiem Tra Don Gia" xfId="231" xr:uid="{00000000-0005-0000-0000-0000D9000000}"/>
    <cellStyle name="_KT (2)_4_Book1_khoiluongbdacdoa" xfId="230" xr:uid="{00000000-0005-0000-0000-0000DA000000}"/>
    <cellStyle name="_KT (2)_4_Book1_Tong hop 3 tinh (11_5)-TTH-QN-QT" xfId="232" xr:uid="{00000000-0005-0000-0000-0000DB000000}"/>
    <cellStyle name="_KT (2)_4_Book1_" xfId="233" xr:uid="{00000000-0005-0000-0000-0000DC000000}"/>
    <cellStyle name="_KT (2)_4_CAU Khanh Nam(Thi Cong)" xfId="234" xr:uid="{00000000-0005-0000-0000-0000DD000000}"/>
    <cellStyle name="_KT (2)_4_DAU NOI PL-CL TAI PHU LAMHC" xfId="235" xr:uid="{00000000-0005-0000-0000-0000DE000000}"/>
    <cellStyle name="_KT (2)_4_Dcdtoan-bcnckt " xfId="236" xr:uid="{00000000-0005-0000-0000-0000DF000000}"/>
    <cellStyle name="_KT (2)_4_DN_MTP" xfId="237" xr:uid="{00000000-0005-0000-0000-0000E0000000}"/>
    <cellStyle name="_KT (2)_4_Dongia2-2003" xfId="238" xr:uid="{00000000-0005-0000-0000-0000E1000000}"/>
    <cellStyle name="_KT (2)_4_Dongia2-2003_DT truong thinh phu" xfId="239" xr:uid="{00000000-0005-0000-0000-0000E2000000}"/>
    <cellStyle name="_KT (2)_4_DT truong thinh phu" xfId="240" xr:uid="{00000000-0005-0000-0000-0000E3000000}"/>
    <cellStyle name="_KT (2)_4_DTCDT MR.2N110.HOCMON.TDTOAN.CCUNG" xfId="241" xr:uid="{00000000-0005-0000-0000-0000E4000000}"/>
    <cellStyle name="_KT (2)_4_DTDuong dong tien -sua tham tra 2009 - luong 650" xfId="242" xr:uid="{00000000-0005-0000-0000-0000E5000000}"/>
    <cellStyle name="_KT (2)_4_DU TRU VAT TU" xfId="243" xr:uid="{00000000-0005-0000-0000-0000E6000000}"/>
    <cellStyle name="_KT (2)_4_Kiem Tra Don Gia" xfId="245" xr:uid="{00000000-0005-0000-0000-0000E7000000}"/>
    <cellStyle name="_KT (2)_4_khoiluongbdacdoa" xfId="244" xr:uid="{00000000-0005-0000-0000-0000E8000000}"/>
    <cellStyle name="_KT (2)_4_Lora-tungchau" xfId="246" xr:uid="{00000000-0005-0000-0000-0000E9000000}"/>
    <cellStyle name="_KT (2)_4_moi" xfId="247" xr:uid="{00000000-0005-0000-0000-0000EA000000}"/>
    <cellStyle name="_KT (2)_4_PGIA-phieu tham tra Kho bac" xfId="248" xr:uid="{00000000-0005-0000-0000-0000EB000000}"/>
    <cellStyle name="_KT (2)_4_PT02-02" xfId="249" xr:uid="{00000000-0005-0000-0000-0000EC000000}"/>
    <cellStyle name="_KT (2)_4_PT02-02_Book1" xfId="250" xr:uid="{00000000-0005-0000-0000-0000ED000000}"/>
    <cellStyle name="_KT (2)_4_PT02-03" xfId="251" xr:uid="{00000000-0005-0000-0000-0000EE000000}"/>
    <cellStyle name="_KT (2)_4_PT02-03_Book1" xfId="252" xr:uid="{00000000-0005-0000-0000-0000EF000000}"/>
    <cellStyle name="_KT (2)_4_Qt-HT3PQ1(CauKho)" xfId="253" xr:uid="{00000000-0005-0000-0000-0000F0000000}"/>
    <cellStyle name="_KT (2)_4_Qt-HT3PQ1(CauKho)_Book1" xfId="254" xr:uid="{00000000-0005-0000-0000-0000F1000000}"/>
    <cellStyle name="_KT (2)_4_Qt-HT3PQ1(CauKho)_Don gia quy 3 nam 2003 - Ban Dien Luc" xfId="255" xr:uid="{00000000-0005-0000-0000-0000F2000000}"/>
    <cellStyle name="_KT (2)_4_Qt-HT3PQ1(CauKho)_Kiem Tra Don Gia" xfId="256" xr:uid="{00000000-0005-0000-0000-0000F3000000}"/>
    <cellStyle name="_KT (2)_4_Qt-HT3PQ1(CauKho)_NC-VL2-2003" xfId="257" xr:uid="{00000000-0005-0000-0000-0000F4000000}"/>
    <cellStyle name="_KT (2)_4_Qt-HT3PQ1(CauKho)_NC-VL2-2003_1" xfId="258" xr:uid="{00000000-0005-0000-0000-0000F5000000}"/>
    <cellStyle name="_KT (2)_4_Qt-HT3PQ1(CauKho)_XL4Test5" xfId="259" xr:uid="{00000000-0005-0000-0000-0000F6000000}"/>
    <cellStyle name="_KT (2)_4_QT-LCTP-AE" xfId="260" xr:uid="{00000000-0005-0000-0000-0000F7000000}"/>
    <cellStyle name="_KT (2)_4_quy luong con lai nam 2004" xfId="261" xr:uid="{00000000-0005-0000-0000-0000F8000000}"/>
    <cellStyle name="_KT (2)_4_Sheet2" xfId="262" xr:uid="{00000000-0005-0000-0000-0000F9000000}"/>
    <cellStyle name="_KT (2)_4_TEL OUT 2004" xfId="263" xr:uid="{00000000-0005-0000-0000-0000FA000000}"/>
    <cellStyle name="_KT (2)_4_TG-TH" xfId="264" xr:uid="{00000000-0005-0000-0000-0000FB000000}"/>
    <cellStyle name="_KT (2)_4_TG-TH_Book1" xfId="265" xr:uid="{00000000-0005-0000-0000-0000FC000000}"/>
    <cellStyle name="_KT (2)_4_TG-TH_DTDuong dong tien -sua tham tra 2009 - luong 650" xfId="266" xr:uid="{00000000-0005-0000-0000-0000FD000000}"/>
    <cellStyle name="_KT (2)_4_TG-TH_quy luong con lai nam 2004" xfId="267" xr:uid="{00000000-0005-0000-0000-0000FE000000}"/>
    <cellStyle name="_KT (2)_4_Tong hop 3 tinh (11_5)-TTH-QN-QT" xfId="268" xr:uid="{00000000-0005-0000-0000-0000FF000000}"/>
    <cellStyle name="_KT (2)_4_XL4Poppy" xfId="269" xr:uid="{00000000-0005-0000-0000-000000010000}"/>
    <cellStyle name="_KT (2)_4_XL4Test5" xfId="270" xr:uid="{00000000-0005-0000-0000-000001010000}"/>
    <cellStyle name="_KT (2)_4_ÿÿÿÿÿ" xfId="271" xr:uid="{00000000-0005-0000-0000-000002010000}"/>
    <cellStyle name="_KT (2)_4_" xfId="272" xr:uid="{00000000-0005-0000-0000-000003010000}"/>
    <cellStyle name="_KT (2)_5" xfId="273" xr:uid="{00000000-0005-0000-0000-000004010000}"/>
    <cellStyle name="_KT (2)_5_BANG TONG HOP TINH HINH THANH QUYET TOAN (MOI I)" xfId="274" xr:uid="{00000000-0005-0000-0000-000005010000}"/>
    <cellStyle name="_KT (2)_5_BAO CAO KLCT PT2000" xfId="275" xr:uid="{00000000-0005-0000-0000-000006010000}"/>
    <cellStyle name="_KT (2)_5_BAO CAO PT2000" xfId="276" xr:uid="{00000000-0005-0000-0000-000007010000}"/>
    <cellStyle name="_KT (2)_5_BAO CAO PT2000_Book1" xfId="277" xr:uid="{00000000-0005-0000-0000-000008010000}"/>
    <cellStyle name="_KT (2)_5_Bao cao XDCB 2001 - T11 KH dieu chinh 20-11-THAI" xfId="278" xr:uid="{00000000-0005-0000-0000-000009010000}"/>
    <cellStyle name="_KT (2)_5_BAO GIA NGAY 24-10-08 (co dam)" xfId="279" xr:uid="{00000000-0005-0000-0000-00000A010000}"/>
    <cellStyle name="_KT (2)_5_Biểu KH 5 năm gửi UB sửa biểu VHXH" xfId="280" xr:uid="{00000000-0005-0000-0000-00000B010000}"/>
    <cellStyle name="_KT (2)_5_Book1" xfId="281" xr:uid="{00000000-0005-0000-0000-00000C010000}"/>
    <cellStyle name="_KT (2)_5_Book1_1" xfId="282" xr:uid="{00000000-0005-0000-0000-00000D010000}"/>
    <cellStyle name="_KT (2)_5_Book1_1_Book1" xfId="283" xr:uid="{00000000-0005-0000-0000-00000E010000}"/>
    <cellStyle name="_KT (2)_5_Book1_1_DanhMucDonGiaVTTB_Dien_TAM" xfId="284" xr:uid="{00000000-0005-0000-0000-00000F010000}"/>
    <cellStyle name="_KT (2)_5_Book1_1_khoiluongbdacdoa" xfId="285" xr:uid="{00000000-0005-0000-0000-000010010000}"/>
    <cellStyle name="_KT (2)_5_Book1_2" xfId="286" xr:uid="{00000000-0005-0000-0000-000011010000}"/>
    <cellStyle name="_KT (2)_5_Book1_2_Book1" xfId="287" xr:uid="{00000000-0005-0000-0000-000012010000}"/>
    <cellStyle name="_KT (2)_5_Book1_3" xfId="288" xr:uid="{00000000-0005-0000-0000-000013010000}"/>
    <cellStyle name="_KT (2)_5_Book1_3_Book1" xfId="289" xr:uid="{00000000-0005-0000-0000-000014010000}"/>
    <cellStyle name="_KT (2)_5_Book1_3_DT truong thinh phu" xfId="290" xr:uid="{00000000-0005-0000-0000-000015010000}"/>
    <cellStyle name="_KT (2)_5_Book1_3_XL4Test5" xfId="291" xr:uid="{00000000-0005-0000-0000-000016010000}"/>
    <cellStyle name="_KT (2)_5_Book1_4" xfId="292" xr:uid="{00000000-0005-0000-0000-000017010000}"/>
    <cellStyle name="_KT (2)_5_Book1_BC-QT-WB-dthao" xfId="293" xr:uid="{00000000-0005-0000-0000-000018010000}"/>
    <cellStyle name="_KT (2)_5_Book1_Book1" xfId="294" xr:uid="{00000000-0005-0000-0000-000019010000}"/>
    <cellStyle name="_KT (2)_5_Book1_DanhMucDonGiaVTTB_Dien_TAM" xfId="295" xr:uid="{00000000-0005-0000-0000-00001A010000}"/>
    <cellStyle name="_KT (2)_5_Book1_Kiem Tra Don Gia" xfId="297" xr:uid="{00000000-0005-0000-0000-00001B010000}"/>
    <cellStyle name="_KT (2)_5_Book1_khoiluongbdacdoa" xfId="296" xr:uid="{00000000-0005-0000-0000-00001C010000}"/>
    <cellStyle name="_KT (2)_5_Book1_Tong hop 3 tinh (11_5)-TTH-QN-QT" xfId="298" xr:uid="{00000000-0005-0000-0000-00001D010000}"/>
    <cellStyle name="_KT (2)_5_Book1_" xfId="299" xr:uid="{00000000-0005-0000-0000-00001E010000}"/>
    <cellStyle name="_KT (2)_5_CAU Khanh Nam(Thi Cong)" xfId="300" xr:uid="{00000000-0005-0000-0000-00001F010000}"/>
    <cellStyle name="_KT (2)_5_DAU NOI PL-CL TAI PHU LAMHC" xfId="301" xr:uid="{00000000-0005-0000-0000-000020010000}"/>
    <cellStyle name="_KT (2)_5_Dcdtoan-bcnckt " xfId="302" xr:uid="{00000000-0005-0000-0000-000021010000}"/>
    <cellStyle name="_KT (2)_5_DN_MTP" xfId="303" xr:uid="{00000000-0005-0000-0000-000022010000}"/>
    <cellStyle name="_KT (2)_5_Dongia2-2003" xfId="304" xr:uid="{00000000-0005-0000-0000-000023010000}"/>
    <cellStyle name="_KT (2)_5_Dongia2-2003_DT truong thinh phu" xfId="305" xr:uid="{00000000-0005-0000-0000-000024010000}"/>
    <cellStyle name="_KT (2)_5_DT truong thinh phu" xfId="306" xr:uid="{00000000-0005-0000-0000-000025010000}"/>
    <cellStyle name="_KT (2)_5_DTCDT MR.2N110.HOCMON.TDTOAN.CCUNG" xfId="307" xr:uid="{00000000-0005-0000-0000-000026010000}"/>
    <cellStyle name="_KT (2)_5_DTDuong dong tien -sua tham tra 2009 - luong 650" xfId="308" xr:uid="{00000000-0005-0000-0000-000027010000}"/>
    <cellStyle name="_KT (2)_5_DU TRU VAT TU" xfId="309" xr:uid="{00000000-0005-0000-0000-000028010000}"/>
    <cellStyle name="_KT (2)_5_Kiem Tra Don Gia" xfId="311" xr:uid="{00000000-0005-0000-0000-000029010000}"/>
    <cellStyle name="_KT (2)_5_khoiluongbdacdoa" xfId="310" xr:uid="{00000000-0005-0000-0000-00002A010000}"/>
    <cellStyle name="_KT (2)_5_Lora-tungchau" xfId="312" xr:uid="{00000000-0005-0000-0000-00002B010000}"/>
    <cellStyle name="_KT (2)_5_moi" xfId="313" xr:uid="{00000000-0005-0000-0000-00002C010000}"/>
    <cellStyle name="_KT (2)_5_PGIA-phieu tham tra Kho bac" xfId="314" xr:uid="{00000000-0005-0000-0000-00002D010000}"/>
    <cellStyle name="_KT (2)_5_PT02-02" xfId="315" xr:uid="{00000000-0005-0000-0000-00002E010000}"/>
    <cellStyle name="_KT (2)_5_PT02-02_Book1" xfId="316" xr:uid="{00000000-0005-0000-0000-00002F010000}"/>
    <cellStyle name="_KT (2)_5_PT02-03" xfId="317" xr:uid="{00000000-0005-0000-0000-000030010000}"/>
    <cellStyle name="_KT (2)_5_PT02-03_Book1" xfId="318" xr:uid="{00000000-0005-0000-0000-000031010000}"/>
    <cellStyle name="_KT (2)_5_Qt-HT3PQ1(CauKho)" xfId="319" xr:uid="{00000000-0005-0000-0000-000032010000}"/>
    <cellStyle name="_KT (2)_5_Qt-HT3PQ1(CauKho)_Book1" xfId="320" xr:uid="{00000000-0005-0000-0000-000033010000}"/>
    <cellStyle name="_KT (2)_5_Qt-HT3PQ1(CauKho)_Don gia quy 3 nam 2003 - Ban Dien Luc" xfId="321" xr:uid="{00000000-0005-0000-0000-000034010000}"/>
    <cellStyle name="_KT (2)_5_Qt-HT3PQ1(CauKho)_Kiem Tra Don Gia" xfId="322" xr:uid="{00000000-0005-0000-0000-000035010000}"/>
    <cellStyle name="_KT (2)_5_Qt-HT3PQ1(CauKho)_NC-VL2-2003" xfId="323" xr:uid="{00000000-0005-0000-0000-000036010000}"/>
    <cellStyle name="_KT (2)_5_Qt-HT3PQ1(CauKho)_NC-VL2-2003_1" xfId="324" xr:uid="{00000000-0005-0000-0000-000037010000}"/>
    <cellStyle name="_KT (2)_5_Qt-HT3PQ1(CauKho)_XL4Test5" xfId="325" xr:uid="{00000000-0005-0000-0000-000038010000}"/>
    <cellStyle name="_KT (2)_5_QT-LCTP-AE" xfId="326" xr:uid="{00000000-0005-0000-0000-000039010000}"/>
    <cellStyle name="_KT (2)_5_Sheet2" xfId="327" xr:uid="{00000000-0005-0000-0000-00003A010000}"/>
    <cellStyle name="_KT (2)_5_TEL OUT 2004" xfId="328" xr:uid="{00000000-0005-0000-0000-00003B010000}"/>
    <cellStyle name="_KT (2)_5_Tong hop 3 tinh (11_5)-TTH-QN-QT" xfId="329" xr:uid="{00000000-0005-0000-0000-00003C010000}"/>
    <cellStyle name="_KT (2)_5_XL4Poppy" xfId="330" xr:uid="{00000000-0005-0000-0000-00003D010000}"/>
    <cellStyle name="_KT (2)_5_XL4Test5" xfId="331" xr:uid="{00000000-0005-0000-0000-00003E010000}"/>
    <cellStyle name="_KT (2)_5_ÿÿÿÿÿ" xfId="332" xr:uid="{00000000-0005-0000-0000-00003F010000}"/>
    <cellStyle name="_KT (2)_5_" xfId="333" xr:uid="{00000000-0005-0000-0000-000040010000}"/>
    <cellStyle name="_KT (2)_Book1" xfId="334" xr:uid="{00000000-0005-0000-0000-000041010000}"/>
    <cellStyle name="_KT (2)_Book1_1" xfId="335" xr:uid="{00000000-0005-0000-0000-000042010000}"/>
    <cellStyle name="_KT (2)_Book1_BC-QT-WB-dthao" xfId="336" xr:uid="{00000000-0005-0000-0000-000043010000}"/>
    <cellStyle name="_KT (2)_Book1_Book1" xfId="337" xr:uid="{00000000-0005-0000-0000-000044010000}"/>
    <cellStyle name="_KT (2)_Book1_Kiem Tra Don Gia" xfId="338" xr:uid="{00000000-0005-0000-0000-000045010000}"/>
    <cellStyle name="_KT (2)_Book1_Kiem Tra Don Gia 2" xfId="339" xr:uid="{00000000-0005-0000-0000-000046010000}"/>
    <cellStyle name="_KT (2)_Kiem Tra Don Gia" xfId="341" xr:uid="{00000000-0005-0000-0000-000047010000}"/>
    <cellStyle name="_KT (2)_khoiluongbdacdoa" xfId="340" xr:uid="{00000000-0005-0000-0000-000048010000}"/>
    <cellStyle name="_KT (2)_Lora-tungchau" xfId="342" xr:uid="{00000000-0005-0000-0000-000049010000}"/>
    <cellStyle name="_KT (2)_Lora-tungchau_Book1" xfId="343" xr:uid="{00000000-0005-0000-0000-00004A010000}"/>
    <cellStyle name="_KT (2)_Lora-tungchau_Kiem Tra Don Gia" xfId="344" xr:uid="{00000000-0005-0000-0000-00004B010000}"/>
    <cellStyle name="_KT (2)_Lora-tungchau_Kiem Tra Don Gia 2" xfId="345" xr:uid="{00000000-0005-0000-0000-00004C010000}"/>
    <cellStyle name="_KT (2)_PERSONAL" xfId="346" xr:uid="{00000000-0005-0000-0000-00004D010000}"/>
    <cellStyle name="_KT (2)_PERSONAL_Book1" xfId="347" xr:uid="{00000000-0005-0000-0000-00004E010000}"/>
    <cellStyle name="_KT (2)_PERSONAL_HTQ.8 GD1" xfId="348" xr:uid="{00000000-0005-0000-0000-00004F010000}"/>
    <cellStyle name="_KT (2)_PERSONAL_HTQ.8 GD1_Book1" xfId="349" xr:uid="{00000000-0005-0000-0000-000050010000}"/>
    <cellStyle name="_KT (2)_PERSONAL_HTQ.8 GD1_Don gia quy 3 nam 2003 - Ban Dien Luc" xfId="350" xr:uid="{00000000-0005-0000-0000-000051010000}"/>
    <cellStyle name="_KT (2)_PERSONAL_HTQ.8 GD1_NC-VL2-2003" xfId="351" xr:uid="{00000000-0005-0000-0000-000052010000}"/>
    <cellStyle name="_KT (2)_PERSONAL_HTQ.8 GD1_NC-VL2-2003_1" xfId="352" xr:uid="{00000000-0005-0000-0000-000053010000}"/>
    <cellStyle name="_KT (2)_PERSONAL_HTQ.8 GD1_XL4Test5" xfId="353" xr:uid="{00000000-0005-0000-0000-000054010000}"/>
    <cellStyle name="_KT (2)_PERSONAL_khoiluongbdacdoa" xfId="354" xr:uid="{00000000-0005-0000-0000-000055010000}"/>
    <cellStyle name="_KT (2)_PERSONAL_Tong hop KHCB 2001" xfId="355" xr:uid="{00000000-0005-0000-0000-000056010000}"/>
    <cellStyle name="_KT (2)_PERSONAL_" xfId="356" xr:uid="{00000000-0005-0000-0000-000057010000}"/>
    <cellStyle name="_KT (2)_Qt-HT3PQ1(CauKho)" xfId="357" xr:uid="{00000000-0005-0000-0000-000058010000}"/>
    <cellStyle name="_KT (2)_Qt-HT3PQ1(CauKho)_Book1" xfId="358" xr:uid="{00000000-0005-0000-0000-000059010000}"/>
    <cellStyle name="_KT (2)_Qt-HT3PQ1(CauKho)_Don gia quy 3 nam 2003 - Ban Dien Luc" xfId="359" xr:uid="{00000000-0005-0000-0000-00005A010000}"/>
    <cellStyle name="_KT (2)_Qt-HT3PQ1(CauKho)_Kiem Tra Don Gia" xfId="360" xr:uid="{00000000-0005-0000-0000-00005B010000}"/>
    <cellStyle name="_KT (2)_Qt-HT3PQ1(CauKho)_NC-VL2-2003" xfId="361" xr:uid="{00000000-0005-0000-0000-00005C010000}"/>
    <cellStyle name="_KT (2)_Qt-HT3PQ1(CauKho)_NC-VL2-2003_1" xfId="362" xr:uid="{00000000-0005-0000-0000-00005D010000}"/>
    <cellStyle name="_KT (2)_Qt-HT3PQ1(CauKho)_XL4Test5" xfId="363" xr:uid="{00000000-0005-0000-0000-00005E010000}"/>
    <cellStyle name="_KT (2)_QT-LCTP-AE" xfId="364" xr:uid="{00000000-0005-0000-0000-00005F010000}"/>
    <cellStyle name="_KT (2)_quy luong con lai nam 2004" xfId="365" xr:uid="{00000000-0005-0000-0000-000060010000}"/>
    <cellStyle name="_KT (2)_TG-TH" xfId="366" xr:uid="{00000000-0005-0000-0000-000061010000}"/>
    <cellStyle name="_KT (2)_" xfId="367" xr:uid="{00000000-0005-0000-0000-000062010000}"/>
    <cellStyle name="_KT_TG" xfId="368" xr:uid="{00000000-0005-0000-0000-000063010000}"/>
    <cellStyle name="_KT_TG_1" xfId="369" xr:uid="{00000000-0005-0000-0000-000064010000}"/>
    <cellStyle name="_KT_TG_1_BANG TONG HOP TINH HINH THANH QUYET TOAN (MOI I)" xfId="370" xr:uid="{00000000-0005-0000-0000-000065010000}"/>
    <cellStyle name="_KT_TG_1_BAO CAO KLCT PT2000" xfId="371" xr:uid="{00000000-0005-0000-0000-000066010000}"/>
    <cellStyle name="_KT_TG_1_BAO CAO PT2000" xfId="372" xr:uid="{00000000-0005-0000-0000-000067010000}"/>
    <cellStyle name="_KT_TG_1_BAO CAO PT2000_Book1" xfId="373" xr:uid="{00000000-0005-0000-0000-000068010000}"/>
    <cellStyle name="_KT_TG_1_Bao cao XDCB 2001 - T11 KH dieu chinh 20-11-THAI" xfId="374" xr:uid="{00000000-0005-0000-0000-000069010000}"/>
    <cellStyle name="_KT_TG_1_BAO GIA NGAY 24-10-08 (co dam)" xfId="375" xr:uid="{00000000-0005-0000-0000-00006A010000}"/>
    <cellStyle name="_KT_TG_1_Biểu KH 5 năm gửi UB sửa biểu VHXH" xfId="376" xr:uid="{00000000-0005-0000-0000-00006B010000}"/>
    <cellStyle name="_KT_TG_1_Book1" xfId="377" xr:uid="{00000000-0005-0000-0000-00006C010000}"/>
    <cellStyle name="_KT_TG_1_Book1_1" xfId="378" xr:uid="{00000000-0005-0000-0000-00006D010000}"/>
    <cellStyle name="_KT_TG_1_Book1_1_Book1" xfId="379" xr:uid="{00000000-0005-0000-0000-00006E010000}"/>
    <cellStyle name="_KT_TG_1_Book1_1_DanhMucDonGiaVTTB_Dien_TAM" xfId="380" xr:uid="{00000000-0005-0000-0000-00006F010000}"/>
    <cellStyle name="_KT_TG_1_Book1_1_khoiluongbdacdoa" xfId="381" xr:uid="{00000000-0005-0000-0000-000070010000}"/>
    <cellStyle name="_KT_TG_1_Book1_2" xfId="382" xr:uid="{00000000-0005-0000-0000-000071010000}"/>
    <cellStyle name="_KT_TG_1_Book1_2_Book1" xfId="383" xr:uid="{00000000-0005-0000-0000-000072010000}"/>
    <cellStyle name="_KT_TG_1_Book1_3" xfId="384" xr:uid="{00000000-0005-0000-0000-000073010000}"/>
    <cellStyle name="_KT_TG_1_Book1_3_Book1" xfId="385" xr:uid="{00000000-0005-0000-0000-000074010000}"/>
    <cellStyle name="_KT_TG_1_Book1_3_DT truong thinh phu" xfId="386" xr:uid="{00000000-0005-0000-0000-000075010000}"/>
    <cellStyle name="_KT_TG_1_Book1_3_XL4Test5" xfId="387" xr:uid="{00000000-0005-0000-0000-000076010000}"/>
    <cellStyle name="_KT_TG_1_Book1_4" xfId="388" xr:uid="{00000000-0005-0000-0000-000077010000}"/>
    <cellStyle name="_KT_TG_1_Book1_BC-QT-WB-dthao" xfId="389" xr:uid="{00000000-0005-0000-0000-000078010000}"/>
    <cellStyle name="_KT_TG_1_Book1_Book1" xfId="390" xr:uid="{00000000-0005-0000-0000-000079010000}"/>
    <cellStyle name="_KT_TG_1_Book1_DanhMucDonGiaVTTB_Dien_TAM" xfId="391" xr:uid="{00000000-0005-0000-0000-00007A010000}"/>
    <cellStyle name="_KT_TG_1_Book1_Kiem Tra Don Gia" xfId="393" xr:uid="{00000000-0005-0000-0000-00007B010000}"/>
    <cellStyle name="_KT_TG_1_Book1_khoiluongbdacdoa" xfId="392" xr:uid="{00000000-0005-0000-0000-00007C010000}"/>
    <cellStyle name="_KT_TG_1_Book1_Tong hop 3 tinh (11_5)-TTH-QN-QT" xfId="394" xr:uid="{00000000-0005-0000-0000-00007D010000}"/>
    <cellStyle name="_KT_TG_1_Book1_" xfId="395" xr:uid="{00000000-0005-0000-0000-00007E010000}"/>
    <cellStyle name="_KT_TG_1_CAU Khanh Nam(Thi Cong)" xfId="396" xr:uid="{00000000-0005-0000-0000-00007F010000}"/>
    <cellStyle name="_KT_TG_1_DAU NOI PL-CL TAI PHU LAMHC" xfId="397" xr:uid="{00000000-0005-0000-0000-000080010000}"/>
    <cellStyle name="_KT_TG_1_Dcdtoan-bcnckt " xfId="398" xr:uid="{00000000-0005-0000-0000-000081010000}"/>
    <cellStyle name="_KT_TG_1_DN_MTP" xfId="399" xr:uid="{00000000-0005-0000-0000-000082010000}"/>
    <cellStyle name="_KT_TG_1_Dongia2-2003" xfId="400" xr:uid="{00000000-0005-0000-0000-000083010000}"/>
    <cellStyle name="_KT_TG_1_Dongia2-2003_DT truong thinh phu" xfId="401" xr:uid="{00000000-0005-0000-0000-000084010000}"/>
    <cellStyle name="_KT_TG_1_DT truong thinh phu" xfId="402" xr:uid="{00000000-0005-0000-0000-000085010000}"/>
    <cellStyle name="_KT_TG_1_DTCDT MR.2N110.HOCMON.TDTOAN.CCUNG" xfId="403" xr:uid="{00000000-0005-0000-0000-000086010000}"/>
    <cellStyle name="_KT_TG_1_DTDuong dong tien -sua tham tra 2009 - luong 650" xfId="404" xr:uid="{00000000-0005-0000-0000-000087010000}"/>
    <cellStyle name="_KT_TG_1_DU TRU VAT TU" xfId="405" xr:uid="{00000000-0005-0000-0000-000088010000}"/>
    <cellStyle name="_KT_TG_1_Kiem Tra Don Gia" xfId="407" xr:uid="{00000000-0005-0000-0000-000089010000}"/>
    <cellStyle name="_KT_TG_1_khoiluongbdacdoa" xfId="406" xr:uid="{00000000-0005-0000-0000-00008A010000}"/>
    <cellStyle name="_KT_TG_1_Lora-tungchau" xfId="408" xr:uid="{00000000-0005-0000-0000-00008B010000}"/>
    <cellStyle name="_KT_TG_1_moi" xfId="409" xr:uid="{00000000-0005-0000-0000-00008C010000}"/>
    <cellStyle name="_KT_TG_1_PGIA-phieu tham tra Kho bac" xfId="410" xr:uid="{00000000-0005-0000-0000-00008D010000}"/>
    <cellStyle name="_KT_TG_1_PT02-02" xfId="411" xr:uid="{00000000-0005-0000-0000-00008E010000}"/>
    <cellStyle name="_KT_TG_1_PT02-02_Book1" xfId="412" xr:uid="{00000000-0005-0000-0000-00008F010000}"/>
    <cellStyle name="_KT_TG_1_PT02-03" xfId="413" xr:uid="{00000000-0005-0000-0000-000090010000}"/>
    <cellStyle name="_KT_TG_1_PT02-03_Book1" xfId="414" xr:uid="{00000000-0005-0000-0000-000091010000}"/>
    <cellStyle name="_KT_TG_1_Qt-HT3PQ1(CauKho)" xfId="415" xr:uid="{00000000-0005-0000-0000-000092010000}"/>
    <cellStyle name="_KT_TG_1_Qt-HT3PQ1(CauKho)_Book1" xfId="416" xr:uid="{00000000-0005-0000-0000-000093010000}"/>
    <cellStyle name="_KT_TG_1_Qt-HT3PQ1(CauKho)_Don gia quy 3 nam 2003 - Ban Dien Luc" xfId="417" xr:uid="{00000000-0005-0000-0000-000094010000}"/>
    <cellStyle name="_KT_TG_1_Qt-HT3PQ1(CauKho)_Kiem Tra Don Gia" xfId="418" xr:uid="{00000000-0005-0000-0000-000095010000}"/>
    <cellStyle name="_KT_TG_1_Qt-HT3PQ1(CauKho)_NC-VL2-2003" xfId="419" xr:uid="{00000000-0005-0000-0000-000096010000}"/>
    <cellStyle name="_KT_TG_1_Qt-HT3PQ1(CauKho)_NC-VL2-2003_1" xfId="420" xr:uid="{00000000-0005-0000-0000-000097010000}"/>
    <cellStyle name="_KT_TG_1_Qt-HT3PQ1(CauKho)_XL4Test5" xfId="421" xr:uid="{00000000-0005-0000-0000-000098010000}"/>
    <cellStyle name="_KT_TG_1_QT-LCTP-AE" xfId="422" xr:uid="{00000000-0005-0000-0000-000099010000}"/>
    <cellStyle name="_KT_TG_1_Sheet2" xfId="423" xr:uid="{00000000-0005-0000-0000-00009A010000}"/>
    <cellStyle name="_KT_TG_1_TEL OUT 2004" xfId="424" xr:uid="{00000000-0005-0000-0000-00009B010000}"/>
    <cellStyle name="_KT_TG_1_Tong hop 3 tinh (11_5)-TTH-QN-QT" xfId="425" xr:uid="{00000000-0005-0000-0000-00009C010000}"/>
    <cellStyle name="_KT_TG_1_XL4Poppy" xfId="426" xr:uid="{00000000-0005-0000-0000-00009D010000}"/>
    <cellStyle name="_KT_TG_1_XL4Test5" xfId="427" xr:uid="{00000000-0005-0000-0000-00009E010000}"/>
    <cellStyle name="_KT_TG_1_ÿÿÿÿÿ" xfId="428" xr:uid="{00000000-0005-0000-0000-00009F010000}"/>
    <cellStyle name="_KT_TG_1_" xfId="429" xr:uid="{00000000-0005-0000-0000-0000A0010000}"/>
    <cellStyle name="_KT_TG_2" xfId="430" xr:uid="{00000000-0005-0000-0000-0000A1010000}"/>
    <cellStyle name="_KT_TG_2_BANG TONG HOP TINH HINH THANH QUYET TOAN (MOI I)" xfId="431" xr:uid="{00000000-0005-0000-0000-0000A2010000}"/>
    <cellStyle name="_KT_TG_2_BAO CAO KLCT PT2000" xfId="432" xr:uid="{00000000-0005-0000-0000-0000A3010000}"/>
    <cellStyle name="_KT_TG_2_BAO CAO PT2000" xfId="433" xr:uid="{00000000-0005-0000-0000-0000A4010000}"/>
    <cellStyle name="_KT_TG_2_BAO CAO PT2000_Book1" xfId="434" xr:uid="{00000000-0005-0000-0000-0000A5010000}"/>
    <cellStyle name="_KT_TG_2_Bao cao XDCB 2001 - T11 KH dieu chinh 20-11-THAI" xfId="435" xr:uid="{00000000-0005-0000-0000-0000A6010000}"/>
    <cellStyle name="_KT_TG_2_BAO GIA NGAY 24-10-08 (co dam)" xfId="436" xr:uid="{00000000-0005-0000-0000-0000A7010000}"/>
    <cellStyle name="_KT_TG_2_Biểu KH 5 năm gửi UB sửa biểu VHXH" xfId="437" xr:uid="{00000000-0005-0000-0000-0000A8010000}"/>
    <cellStyle name="_KT_TG_2_Book1" xfId="438" xr:uid="{00000000-0005-0000-0000-0000A9010000}"/>
    <cellStyle name="_KT_TG_2_Book1_1" xfId="439" xr:uid="{00000000-0005-0000-0000-0000AA010000}"/>
    <cellStyle name="_KT_TG_2_Book1_1_Book1" xfId="440" xr:uid="{00000000-0005-0000-0000-0000AB010000}"/>
    <cellStyle name="_KT_TG_2_Book1_1_DanhMucDonGiaVTTB_Dien_TAM" xfId="441" xr:uid="{00000000-0005-0000-0000-0000AC010000}"/>
    <cellStyle name="_KT_TG_2_Book1_1_khoiluongbdacdoa" xfId="442" xr:uid="{00000000-0005-0000-0000-0000AD010000}"/>
    <cellStyle name="_KT_TG_2_Book1_2" xfId="443" xr:uid="{00000000-0005-0000-0000-0000AE010000}"/>
    <cellStyle name="_KT_TG_2_Book1_2_Book1" xfId="444" xr:uid="{00000000-0005-0000-0000-0000AF010000}"/>
    <cellStyle name="_KT_TG_2_Book1_3" xfId="445" xr:uid="{00000000-0005-0000-0000-0000B0010000}"/>
    <cellStyle name="_KT_TG_2_Book1_3_Book1" xfId="446" xr:uid="{00000000-0005-0000-0000-0000B1010000}"/>
    <cellStyle name="_KT_TG_2_Book1_3_DT truong thinh phu" xfId="447" xr:uid="{00000000-0005-0000-0000-0000B2010000}"/>
    <cellStyle name="_KT_TG_2_Book1_3_XL4Test5" xfId="448" xr:uid="{00000000-0005-0000-0000-0000B3010000}"/>
    <cellStyle name="_KT_TG_2_Book1_4" xfId="449" xr:uid="{00000000-0005-0000-0000-0000B4010000}"/>
    <cellStyle name="_KT_TG_2_Book1_Book1" xfId="450" xr:uid="{00000000-0005-0000-0000-0000B5010000}"/>
    <cellStyle name="_KT_TG_2_Book1_DanhMucDonGiaVTTB_Dien_TAM" xfId="451" xr:uid="{00000000-0005-0000-0000-0000B6010000}"/>
    <cellStyle name="_KT_TG_2_Book1_Kiem Tra Don Gia" xfId="453" xr:uid="{00000000-0005-0000-0000-0000B7010000}"/>
    <cellStyle name="_KT_TG_2_Book1_khoiluongbdacdoa" xfId="452" xr:uid="{00000000-0005-0000-0000-0000B8010000}"/>
    <cellStyle name="_KT_TG_2_Book1_Tong hop 3 tinh (11_5)-TTH-QN-QT" xfId="454" xr:uid="{00000000-0005-0000-0000-0000B9010000}"/>
    <cellStyle name="_KT_TG_2_Book1_" xfId="455" xr:uid="{00000000-0005-0000-0000-0000BA010000}"/>
    <cellStyle name="_KT_TG_2_CAU Khanh Nam(Thi Cong)" xfId="456" xr:uid="{00000000-0005-0000-0000-0000BB010000}"/>
    <cellStyle name="_KT_TG_2_DAU NOI PL-CL TAI PHU LAMHC" xfId="457" xr:uid="{00000000-0005-0000-0000-0000BC010000}"/>
    <cellStyle name="_KT_TG_2_Dcdtoan-bcnckt " xfId="458" xr:uid="{00000000-0005-0000-0000-0000BD010000}"/>
    <cellStyle name="_KT_TG_2_DN_MTP" xfId="459" xr:uid="{00000000-0005-0000-0000-0000BE010000}"/>
    <cellStyle name="_KT_TG_2_Dongia2-2003" xfId="460" xr:uid="{00000000-0005-0000-0000-0000BF010000}"/>
    <cellStyle name="_KT_TG_2_Dongia2-2003_DT truong thinh phu" xfId="461" xr:uid="{00000000-0005-0000-0000-0000C0010000}"/>
    <cellStyle name="_KT_TG_2_DT truong thinh phu" xfId="462" xr:uid="{00000000-0005-0000-0000-0000C1010000}"/>
    <cellStyle name="_KT_TG_2_DTCDT MR.2N110.HOCMON.TDTOAN.CCUNG" xfId="463" xr:uid="{00000000-0005-0000-0000-0000C2010000}"/>
    <cellStyle name="_KT_TG_2_DTDuong dong tien -sua tham tra 2009 - luong 650" xfId="464" xr:uid="{00000000-0005-0000-0000-0000C3010000}"/>
    <cellStyle name="_KT_TG_2_DU TRU VAT TU" xfId="465" xr:uid="{00000000-0005-0000-0000-0000C4010000}"/>
    <cellStyle name="_KT_TG_2_Kiem Tra Don Gia" xfId="467" xr:uid="{00000000-0005-0000-0000-0000C5010000}"/>
    <cellStyle name="_KT_TG_2_khoiluongbdacdoa" xfId="466" xr:uid="{00000000-0005-0000-0000-0000C6010000}"/>
    <cellStyle name="_KT_TG_2_Lora-tungchau" xfId="468" xr:uid="{00000000-0005-0000-0000-0000C7010000}"/>
    <cellStyle name="_KT_TG_2_moi" xfId="469" xr:uid="{00000000-0005-0000-0000-0000C8010000}"/>
    <cellStyle name="_KT_TG_2_PGIA-phieu tham tra Kho bac" xfId="470" xr:uid="{00000000-0005-0000-0000-0000C9010000}"/>
    <cellStyle name="_KT_TG_2_PT02-02" xfId="471" xr:uid="{00000000-0005-0000-0000-0000CA010000}"/>
    <cellStyle name="_KT_TG_2_PT02-02_Book1" xfId="472" xr:uid="{00000000-0005-0000-0000-0000CB010000}"/>
    <cellStyle name="_KT_TG_2_PT02-03" xfId="473" xr:uid="{00000000-0005-0000-0000-0000CC010000}"/>
    <cellStyle name="_KT_TG_2_PT02-03_Book1" xfId="474" xr:uid="{00000000-0005-0000-0000-0000CD010000}"/>
    <cellStyle name="_KT_TG_2_Qt-HT3PQ1(CauKho)" xfId="475" xr:uid="{00000000-0005-0000-0000-0000CE010000}"/>
    <cellStyle name="_KT_TG_2_Qt-HT3PQ1(CauKho)_Book1" xfId="476" xr:uid="{00000000-0005-0000-0000-0000CF010000}"/>
    <cellStyle name="_KT_TG_2_Qt-HT3PQ1(CauKho)_Don gia quy 3 nam 2003 - Ban Dien Luc" xfId="477" xr:uid="{00000000-0005-0000-0000-0000D0010000}"/>
    <cellStyle name="_KT_TG_2_Qt-HT3PQ1(CauKho)_Kiem Tra Don Gia" xfId="478" xr:uid="{00000000-0005-0000-0000-0000D1010000}"/>
    <cellStyle name="_KT_TG_2_Qt-HT3PQ1(CauKho)_NC-VL2-2003" xfId="479" xr:uid="{00000000-0005-0000-0000-0000D2010000}"/>
    <cellStyle name="_KT_TG_2_Qt-HT3PQ1(CauKho)_NC-VL2-2003_1" xfId="480" xr:uid="{00000000-0005-0000-0000-0000D3010000}"/>
    <cellStyle name="_KT_TG_2_Qt-HT3PQ1(CauKho)_XL4Test5" xfId="481" xr:uid="{00000000-0005-0000-0000-0000D4010000}"/>
    <cellStyle name="_KT_TG_2_QT-LCTP-AE" xfId="482" xr:uid="{00000000-0005-0000-0000-0000D5010000}"/>
    <cellStyle name="_KT_TG_2_quy luong con lai nam 2004" xfId="483" xr:uid="{00000000-0005-0000-0000-0000D6010000}"/>
    <cellStyle name="_KT_TG_2_Sheet2" xfId="484" xr:uid="{00000000-0005-0000-0000-0000D7010000}"/>
    <cellStyle name="_KT_TG_2_TEL OUT 2004" xfId="485" xr:uid="{00000000-0005-0000-0000-0000D8010000}"/>
    <cellStyle name="_KT_TG_2_Tong hop 3 tinh (11_5)-TTH-QN-QT" xfId="486" xr:uid="{00000000-0005-0000-0000-0000D9010000}"/>
    <cellStyle name="_KT_TG_2_XL4Poppy" xfId="487" xr:uid="{00000000-0005-0000-0000-0000DA010000}"/>
    <cellStyle name="_KT_TG_2_XL4Test5" xfId="488" xr:uid="{00000000-0005-0000-0000-0000DB010000}"/>
    <cellStyle name="_KT_TG_2_ÿÿÿÿÿ" xfId="489" xr:uid="{00000000-0005-0000-0000-0000DC010000}"/>
    <cellStyle name="_KT_TG_2_" xfId="490" xr:uid="{00000000-0005-0000-0000-0000DD010000}"/>
    <cellStyle name="_KT_TG_3" xfId="491" xr:uid="{00000000-0005-0000-0000-0000DE010000}"/>
    <cellStyle name="_KT_TG_4" xfId="492" xr:uid="{00000000-0005-0000-0000-0000DF010000}"/>
    <cellStyle name="_KT_TG_4_Book1" xfId="493" xr:uid="{00000000-0005-0000-0000-0000E0010000}"/>
    <cellStyle name="_KT_TG_4_Lora-tungchau" xfId="494" xr:uid="{00000000-0005-0000-0000-0000E1010000}"/>
    <cellStyle name="_KT_TG_4_Qt-HT3PQ1(CauKho)" xfId="495" xr:uid="{00000000-0005-0000-0000-0000E2010000}"/>
    <cellStyle name="_KT_TG_4_Qt-HT3PQ1(CauKho)_Book1" xfId="496" xr:uid="{00000000-0005-0000-0000-0000E3010000}"/>
    <cellStyle name="_KT_TG_4_Qt-HT3PQ1(CauKho)_Don gia quy 3 nam 2003 - Ban Dien Luc" xfId="497" xr:uid="{00000000-0005-0000-0000-0000E4010000}"/>
    <cellStyle name="_KT_TG_4_Qt-HT3PQ1(CauKho)_Kiem Tra Don Gia" xfId="498" xr:uid="{00000000-0005-0000-0000-0000E5010000}"/>
    <cellStyle name="_KT_TG_4_Qt-HT3PQ1(CauKho)_NC-VL2-2003" xfId="499" xr:uid="{00000000-0005-0000-0000-0000E6010000}"/>
    <cellStyle name="_KT_TG_4_Qt-HT3PQ1(CauKho)_NC-VL2-2003_1" xfId="500" xr:uid="{00000000-0005-0000-0000-0000E7010000}"/>
    <cellStyle name="_KT_TG_4_Qt-HT3PQ1(CauKho)_XL4Test5" xfId="501" xr:uid="{00000000-0005-0000-0000-0000E8010000}"/>
    <cellStyle name="_KT_TG_4_quy luong con lai nam 2004" xfId="502" xr:uid="{00000000-0005-0000-0000-0000E9010000}"/>
    <cellStyle name="_KT_TG_4_" xfId="503" xr:uid="{00000000-0005-0000-0000-0000EA010000}"/>
    <cellStyle name="_KT_TG_Book1" xfId="504" xr:uid="{00000000-0005-0000-0000-0000EB010000}"/>
    <cellStyle name="_KT_TG_DTDuong dong tien -sua tham tra 2009 - luong 650" xfId="505" xr:uid="{00000000-0005-0000-0000-0000EC010000}"/>
    <cellStyle name="_KT_TG_quy luong con lai nam 2004" xfId="506" xr:uid="{00000000-0005-0000-0000-0000ED010000}"/>
    <cellStyle name="_Kh ql62 (2010) 11-09" xfId="91" xr:uid="{00000000-0005-0000-0000-0000EE010000}"/>
    <cellStyle name="_KH.DTC.gd2016-2020 tinh (T2-2015)" xfId="92" xr:uid="{00000000-0005-0000-0000-0000EF010000}"/>
    <cellStyle name="_khoiluongbdacdoa" xfId="93" xr:uid="{00000000-0005-0000-0000-0000F0010000}"/>
    <cellStyle name="_Lora-tungchau" xfId="507" xr:uid="{00000000-0005-0000-0000-0000F1010000}"/>
    <cellStyle name="_Lora-tungchau_Book1" xfId="508" xr:uid="{00000000-0005-0000-0000-0000F2010000}"/>
    <cellStyle name="_Lora-tungchau_Kiem Tra Don Gia" xfId="509" xr:uid="{00000000-0005-0000-0000-0000F3010000}"/>
    <cellStyle name="_Lora-tungchau_Kiem Tra Don Gia 2" xfId="510" xr:uid="{00000000-0005-0000-0000-0000F4010000}"/>
    <cellStyle name="_MauThanTKKT-goi7-DonGia2143(vl t7)" xfId="511" xr:uid="{00000000-0005-0000-0000-0000F5010000}"/>
    <cellStyle name="_Nhu cau von ung truoc 2011 Tha h Hoa + Nge An gui TW" xfId="512" xr:uid="{00000000-0005-0000-0000-0000F6010000}"/>
    <cellStyle name="_PERSONAL" xfId="513" xr:uid="{00000000-0005-0000-0000-0000F7010000}"/>
    <cellStyle name="_PERSONAL_Book1" xfId="514" xr:uid="{00000000-0005-0000-0000-0000F8010000}"/>
    <cellStyle name="_PERSONAL_HTQ.8 GD1" xfId="515" xr:uid="{00000000-0005-0000-0000-0000F9010000}"/>
    <cellStyle name="_PERSONAL_HTQ.8 GD1_Book1" xfId="516" xr:uid="{00000000-0005-0000-0000-0000FA010000}"/>
    <cellStyle name="_PERSONAL_HTQ.8 GD1_Don gia quy 3 nam 2003 - Ban Dien Luc" xfId="517" xr:uid="{00000000-0005-0000-0000-0000FB010000}"/>
    <cellStyle name="_PERSONAL_HTQ.8 GD1_NC-VL2-2003" xfId="518" xr:uid="{00000000-0005-0000-0000-0000FC010000}"/>
    <cellStyle name="_PERSONAL_HTQ.8 GD1_NC-VL2-2003_1" xfId="519" xr:uid="{00000000-0005-0000-0000-0000FD010000}"/>
    <cellStyle name="_PERSONAL_HTQ.8 GD1_XL4Test5" xfId="520" xr:uid="{00000000-0005-0000-0000-0000FE010000}"/>
    <cellStyle name="_PERSONAL_khoiluongbdacdoa" xfId="521" xr:uid="{00000000-0005-0000-0000-0000FF010000}"/>
    <cellStyle name="_PERSONAL_Tong hop KHCB 2001" xfId="522" xr:uid="{00000000-0005-0000-0000-000000020000}"/>
    <cellStyle name="_PERSONAL_" xfId="523" xr:uid="{00000000-0005-0000-0000-000001020000}"/>
    <cellStyle name="_Phu luc kem BC gui VP Bo (18.2)" xfId="524" xr:uid="{00000000-0005-0000-0000-000002020000}"/>
    <cellStyle name="_Q TOAN  SCTX QL.62 QUI I ( oanh)" xfId="525" xr:uid="{00000000-0005-0000-0000-000003020000}"/>
    <cellStyle name="_Q TOAN  SCTX QL.62 QUI II ( oanh)" xfId="526" xr:uid="{00000000-0005-0000-0000-000004020000}"/>
    <cellStyle name="_QT SCTXQL62_QT1 (Cty QL)" xfId="527" xr:uid="{00000000-0005-0000-0000-000005020000}"/>
    <cellStyle name="_Qt-HT3PQ1(CauKho)" xfId="528" xr:uid="{00000000-0005-0000-0000-000006020000}"/>
    <cellStyle name="_Qt-HT3PQ1(CauKho)_Book1" xfId="529" xr:uid="{00000000-0005-0000-0000-000007020000}"/>
    <cellStyle name="_Qt-HT3PQ1(CauKho)_Don gia quy 3 nam 2003 - Ban Dien Luc" xfId="530" xr:uid="{00000000-0005-0000-0000-000008020000}"/>
    <cellStyle name="_Qt-HT3PQ1(CauKho)_Kiem Tra Don Gia" xfId="531" xr:uid="{00000000-0005-0000-0000-000009020000}"/>
    <cellStyle name="_Qt-HT3PQ1(CauKho)_NC-VL2-2003" xfId="532" xr:uid="{00000000-0005-0000-0000-00000A020000}"/>
    <cellStyle name="_Qt-HT3PQ1(CauKho)_NC-VL2-2003_1" xfId="533" xr:uid="{00000000-0005-0000-0000-00000B020000}"/>
    <cellStyle name="_Qt-HT3PQ1(CauKho)_XL4Test5" xfId="534" xr:uid="{00000000-0005-0000-0000-00000C020000}"/>
    <cellStyle name="_QT-LCTP-AE" xfId="535" xr:uid="{00000000-0005-0000-0000-00000D020000}"/>
    <cellStyle name="_quy luong con lai nam 2004" xfId="536" xr:uid="{00000000-0005-0000-0000-00000E020000}"/>
    <cellStyle name="_Sheet1" xfId="537" xr:uid="{00000000-0005-0000-0000-00000F020000}"/>
    <cellStyle name="_Sheet2" xfId="538" xr:uid="{00000000-0005-0000-0000-000010020000}"/>
    <cellStyle name="_TG-TH" xfId="539" xr:uid="{00000000-0005-0000-0000-000011020000}"/>
    <cellStyle name="_TG-TH_1" xfId="540" xr:uid="{00000000-0005-0000-0000-000012020000}"/>
    <cellStyle name="_TG-TH_1_BANG TONG HOP TINH HINH THANH QUYET TOAN (MOI I)" xfId="541" xr:uid="{00000000-0005-0000-0000-000013020000}"/>
    <cellStyle name="_TG-TH_1_BAO CAO KLCT PT2000" xfId="542" xr:uid="{00000000-0005-0000-0000-000014020000}"/>
    <cellStyle name="_TG-TH_1_BAO CAO PT2000" xfId="543" xr:uid="{00000000-0005-0000-0000-000015020000}"/>
    <cellStyle name="_TG-TH_1_BAO CAO PT2000_Book1" xfId="544" xr:uid="{00000000-0005-0000-0000-000016020000}"/>
    <cellStyle name="_TG-TH_1_Bao cao XDCB 2001 - T11 KH dieu chinh 20-11-THAI" xfId="545" xr:uid="{00000000-0005-0000-0000-000017020000}"/>
    <cellStyle name="_TG-TH_1_BAO GIA NGAY 24-10-08 (co dam)" xfId="546" xr:uid="{00000000-0005-0000-0000-000018020000}"/>
    <cellStyle name="_TG-TH_1_Biểu KH 5 năm gửi UB sửa biểu VHXH" xfId="547" xr:uid="{00000000-0005-0000-0000-000019020000}"/>
    <cellStyle name="_TG-TH_1_Book1" xfId="548" xr:uid="{00000000-0005-0000-0000-00001A020000}"/>
    <cellStyle name="_TG-TH_1_Book1_1" xfId="549" xr:uid="{00000000-0005-0000-0000-00001B020000}"/>
    <cellStyle name="_TG-TH_1_Book1_1_Book1" xfId="550" xr:uid="{00000000-0005-0000-0000-00001C020000}"/>
    <cellStyle name="_TG-TH_1_Book1_1_DanhMucDonGiaVTTB_Dien_TAM" xfId="551" xr:uid="{00000000-0005-0000-0000-00001D020000}"/>
    <cellStyle name="_TG-TH_1_Book1_1_khoiluongbdacdoa" xfId="552" xr:uid="{00000000-0005-0000-0000-00001E020000}"/>
    <cellStyle name="_TG-TH_1_Book1_2" xfId="553" xr:uid="{00000000-0005-0000-0000-00001F020000}"/>
    <cellStyle name="_TG-TH_1_Book1_2_Book1" xfId="554" xr:uid="{00000000-0005-0000-0000-000020020000}"/>
    <cellStyle name="_TG-TH_1_Book1_3" xfId="555" xr:uid="{00000000-0005-0000-0000-000021020000}"/>
    <cellStyle name="_TG-TH_1_Book1_3_Book1" xfId="556" xr:uid="{00000000-0005-0000-0000-000022020000}"/>
    <cellStyle name="_TG-TH_1_Book1_3_DT truong thinh phu" xfId="557" xr:uid="{00000000-0005-0000-0000-000023020000}"/>
    <cellStyle name="_TG-TH_1_Book1_3_XL4Test5" xfId="558" xr:uid="{00000000-0005-0000-0000-000024020000}"/>
    <cellStyle name="_TG-TH_1_Book1_4" xfId="559" xr:uid="{00000000-0005-0000-0000-000025020000}"/>
    <cellStyle name="_TG-TH_1_Book1_BC-QT-WB-dthao" xfId="560" xr:uid="{00000000-0005-0000-0000-000026020000}"/>
    <cellStyle name="_TG-TH_1_Book1_Book1" xfId="561" xr:uid="{00000000-0005-0000-0000-000027020000}"/>
    <cellStyle name="_TG-TH_1_Book1_DanhMucDonGiaVTTB_Dien_TAM" xfId="562" xr:uid="{00000000-0005-0000-0000-000028020000}"/>
    <cellStyle name="_TG-TH_1_Book1_Kiem Tra Don Gia" xfId="564" xr:uid="{00000000-0005-0000-0000-000029020000}"/>
    <cellStyle name="_TG-TH_1_Book1_khoiluongbdacdoa" xfId="563" xr:uid="{00000000-0005-0000-0000-00002A020000}"/>
    <cellStyle name="_TG-TH_1_Book1_Tong hop 3 tinh (11_5)-TTH-QN-QT" xfId="565" xr:uid="{00000000-0005-0000-0000-00002B020000}"/>
    <cellStyle name="_TG-TH_1_Book1_" xfId="566" xr:uid="{00000000-0005-0000-0000-00002C020000}"/>
    <cellStyle name="_TG-TH_1_CAU Khanh Nam(Thi Cong)" xfId="567" xr:uid="{00000000-0005-0000-0000-00002D020000}"/>
    <cellStyle name="_TG-TH_1_DAU NOI PL-CL TAI PHU LAMHC" xfId="568" xr:uid="{00000000-0005-0000-0000-00002E020000}"/>
    <cellStyle name="_TG-TH_1_Dcdtoan-bcnckt " xfId="569" xr:uid="{00000000-0005-0000-0000-00002F020000}"/>
    <cellStyle name="_TG-TH_1_DN_MTP" xfId="570" xr:uid="{00000000-0005-0000-0000-000030020000}"/>
    <cellStyle name="_TG-TH_1_Dongia2-2003" xfId="571" xr:uid="{00000000-0005-0000-0000-000031020000}"/>
    <cellStyle name="_TG-TH_1_Dongia2-2003_DT truong thinh phu" xfId="572" xr:uid="{00000000-0005-0000-0000-000032020000}"/>
    <cellStyle name="_TG-TH_1_DT truong thinh phu" xfId="573" xr:uid="{00000000-0005-0000-0000-000033020000}"/>
    <cellStyle name="_TG-TH_1_DTCDT MR.2N110.HOCMON.TDTOAN.CCUNG" xfId="574" xr:uid="{00000000-0005-0000-0000-000034020000}"/>
    <cellStyle name="_TG-TH_1_DTDuong dong tien -sua tham tra 2009 - luong 650" xfId="575" xr:uid="{00000000-0005-0000-0000-000035020000}"/>
    <cellStyle name="_TG-TH_1_DU TRU VAT TU" xfId="576" xr:uid="{00000000-0005-0000-0000-000036020000}"/>
    <cellStyle name="_TG-TH_1_Kiem Tra Don Gia" xfId="578" xr:uid="{00000000-0005-0000-0000-000037020000}"/>
    <cellStyle name="_TG-TH_1_khoiluongbdacdoa" xfId="577" xr:uid="{00000000-0005-0000-0000-000038020000}"/>
    <cellStyle name="_TG-TH_1_Lora-tungchau" xfId="579" xr:uid="{00000000-0005-0000-0000-000039020000}"/>
    <cellStyle name="_TG-TH_1_moi" xfId="580" xr:uid="{00000000-0005-0000-0000-00003A020000}"/>
    <cellStyle name="_TG-TH_1_PGIA-phieu tham tra Kho bac" xfId="581" xr:uid="{00000000-0005-0000-0000-00003B020000}"/>
    <cellStyle name="_TG-TH_1_PT02-02" xfId="582" xr:uid="{00000000-0005-0000-0000-00003C020000}"/>
    <cellStyle name="_TG-TH_1_PT02-02_Book1" xfId="583" xr:uid="{00000000-0005-0000-0000-00003D020000}"/>
    <cellStyle name="_TG-TH_1_PT02-03" xfId="584" xr:uid="{00000000-0005-0000-0000-00003E020000}"/>
    <cellStyle name="_TG-TH_1_PT02-03_Book1" xfId="585" xr:uid="{00000000-0005-0000-0000-00003F020000}"/>
    <cellStyle name="_TG-TH_1_Qt-HT3PQ1(CauKho)" xfId="586" xr:uid="{00000000-0005-0000-0000-000040020000}"/>
    <cellStyle name="_TG-TH_1_Qt-HT3PQ1(CauKho)_Book1" xfId="587" xr:uid="{00000000-0005-0000-0000-000041020000}"/>
    <cellStyle name="_TG-TH_1_Qt-HT3PQ1(CauKho)_Don gia quy 3 nam 2003 - Ban Dien Luc" xfId="588" xr:uid="{00000000-0005-0000-0000-000042020000}"/>
    <cellStyle name="_TG-TH_1_Qt-HT3PQ1(CauKho)_Kiem Tra Don Gia" xfId="589" xr:uid="{00000000-0005-0000-0000-000043020000}"/>
    <cellStyle name="_TG-TH_1_Qt-HT3PQ1(CauKho)_NC-VL2-2003" xfId="590" xr:uid="{00000000-0005-0000-0000-000044020000}"/>
    <cellStyle name="_TG-TH_1_Qt-HT3PQ1(CauKho)_NC-VL2-2003_1" xfId="591" xr:uid="{00000000-0005-0000-0000-000045020000}"/>
    <cellStyle name="_TG-TH_1_Qt-HT3PQ1(CauKho)_XL4Test5" xfId="592" xr:uid="{00000000-0005-0000-0000-000046020000}"/>
    <cellStyle name="_TG-TH_1_QT-LCTP-AE" xfId="593" xr:uid="{00000000-0005-0000-0000-000047020000}"/>
    <cellStyle name="_TG-TH_1_Sheet2" xfId="594" xr:uid="{00000000-0005-0000-0000-000048020000}"/>
    <cellStyle name="_TG-TH_1_TEL OUT 2004" xfId="595" xr:uid="{00000000-0005-0000-0000-000049020000}"/>
    <cellStyle name="_TG-TH_1_Tong hop 3 tinh (11_5)-TTH-QN-QT" xfId="596" xr:uid="{00000000-0005-0000-0000-00004A020000}"/>
    <cellStyle name="_TG-TH_1_XL4Poppy" xfId="597" xr:uid="{00000000-0005-0000-0000-00004B020000}"/>
    <cellStyle name="_TG-TH_1_XL4Test5" xfId="598" xr:uid="{00000000-0005-0000-0000-00004C020000}"/>
    <cellStyle name="_TG-TH_1_ÿÿÿÿÿ" xfId="599" xr:uid="{00000000-0005-0000-0000-00004D020000}"/>
    <cellStyle name="_TG-TH_1_" xfId="600" xr:uid="{00000000-0005-0000-0000-00004E020000}"/>
    <cellStyle name="_TG-TH_2" xfId="601" xr:uid="{00000000-0005-0000-0000-00004F020000}"/>
    <cellStyle name="_TG-TH_2_BANG TONG HOP TINH HINH THANH QUYET TOAN (MOI I)" xfId="602" xr:uid="{00000000-0005-0000-0000-000050020000}"/>
    <cellStyle name="_TG-TH_2_BAO CAO KLCT PT2000" xfId="603" xr:uid="{00000000-0005-0000-0000-000051020000}"/>
    <cellStyle name="_TG-TH_2_BAO CAO PT2000" xfId="604" xr:uid="{00000000-0005-0000-0000-000052020000}"/>
    <cellStyle name="_TG-TH_2_BAO CAO PT2000_Book1" xfId="605" xr:uid="{00000000-0005-0000-0000-000053020000}"/>
    <cellStyle name="_TG-TH_2_Bao cao XDCB 2001 - T11 KH dieu chinh 20-11-THAI" xfId="606" xr:uid="{00000000-0005-0000-0000-000054020000}"/>
    <cellStyle name="_TG-TH_2_BAO GIA NGAY 24-10-08 (co dam)" xfId="607" xr:uid="{00000000-0005-0000-0000-000055020000}"/>
    <cellStyle name="_TG-TH_2_Biểu KH 5 năm gửi UB sửa biểu VHXH" xfId="608" xr:uid="{00000000-0005-0000-0000-000056020000}"/>
    <cellStyle name="_TG-TH_2_Book1" xfId="609" xr:uid="{00000000-0005-0000-0000-000057020000}"/>
    <cellStyle name="_TG-TH_2_Book1_1" xfId="610" xr:uid="{00000000-0005-0000-0000-000058020000}"/>
    <cellStyle name="_TG-TH_2_Book1_1_Book1" xfId="611" xr:uid="{00000000-0005-0000-0000-000059020000}"/>
    <cellStyle name="_TG-TH_2_Book1_1_DanhMucDonGiaVTTB_Dien_TAM" xfId="612" xr:uid="{00000000-0005-0000-0000-00005A020000}"/>
    <cellStyle name="_TG-TH_2_Book1_1_khoiluongbdacdoa" xfId="613" xr:uid="{00000000-0005-0000-0000-00005B020000}"/>
    <cellStyle name="_TG-TH_2_Book1_2" xfId="614" xr:uid="{00000000-0005-0000-0000-00005C020000}"/>
    <cellStyle name="_TG-TH_2_Book1_2_Book1" xfId="615" xr:uid="{00000000-0005-0000-0000-00005D020000}"/>
    <cellStyle name="_TG-TH_2_Book1_3" xfId="616" xr:uid="{00000000-0005-0000-0000-00005E020000}"/>
    <cellStyle name="_TG-TH_2_Book1_3_Book1" xfId="617" xr:uid="{00000000-0005-0000-0000-00005F020000}"/>
    <cellStyle name="_TG-TH_2_Book1_3_DT truong thinh phu" xfId="618" xr:uid="{00000000-0005-0000-0000-000060020000}"/>
    <cellStyle name="_TG-TH_2_Book1_3_XL4Test5" xfId="619" xr:uid="{00000000-0005-0000-0000-000061020000}"/>
    <cellStyle name="_TG-TH_2_Book1_4" xfId="620" xr:uid="{00000000-0005-0000-0000-000062020000}"/>
    <cellStyle name="_TG-TH_2_Book1_Book1" xfId="621" xr:uid="{00000000-0005-0000-0000-000063020000}"/>
    <cellStyle name="_TG-TH_2_Book1_DanhMucDonGiaVTTB_Dien_TAM" xfId="622" xr:uid="{00000000-0005-0000-0000-000064020000}"/>
    <cellStyle name="_TG-TH_2_Book1_Kiem Tra Don Gia" xfId="624" xr:uid="{00000000-0005-0000-0000-000065020000}"/>
    <cellStyle name="_TG-TH_2_Book1_khoiluongbdacdoa" xfId="623" xr:uid="{00000000-0005-0000-0000-000066020000}"/>
    <cellStyle name="_TG-TH_2_Book1_Tong hop 3 tinh (11_5)-TTH-QN-QT" xfId="625" xr:uid="{00000000-0005-0000-0000-000067020000}"/>
    <cellStyle name="_TG-TH_2_Book1_" xfId="626" xr:uid="{00000000-0005-0000-0000-000068020000}"/>
    <cellStyle name="_TG-TH_2_CAU Khanh Nam(Thi Cong)" xfId="627" xr:uid="{00000000-0005-0000-0000-000069020000}"/>
    <cellStyle name="_TG-TH_2_DAU NOI PL-CL TAI PHU LAMHC" xfId="628" xr:uid="{00000000-0005-0000-0000-00006A020000}"/>
    <cellStyle name="_TG-TH_2_Dcdtoan-bcnckt " xfId="629" xr:uid="{00000000-0005-0000-0000-00006B020000}"/>
    <cellStyle name="_TG-TH_2_DN_MTP" xfId="630" xr:uid="{00000000-0005-0000-0000-00006C020000}"/>
    <cellStyle name="_TG-TH_2_Dongia2-2003" xfId="631" xr:uid="{00000000-0005-0000-0000-00006D020000}"/>
    <cellStyle name="_TG-TH_2_Dongia2-2003_DT truong thinh phu" xfId="632" xr:uid="{00000000-0005-0000-0000-00006E020000}"/>
    <cellStyle name="_TG-TH_2_DT truong thinh phu" xfId="633" xr:uid="{00000000-0005-0000-0000-00006F020000}"/>
    <cellStyle name="_TG-TH_2_DTCDT MR.2N110.HOCMON.TDTOAN.CCUNG" xfId="634" xr:uid="{00000000-0005-0000-0000-000070020000}"/>
    <cellStyle name="_TG-TH_2_DTDuong dong tien -sua tham tra 2009 - luong 650" xfId="635" xr:uid="{00000000-0005-0000-0000-000071020000}"/>
    <cellStyle name="_TG-TH_2_DU TRU VAT TU" xfId="636" xr:uid="{00000000-0005-0000-0000-000072020000}"/>
    <cellStyle name="_TG-TH_2_Kiem Tra Don Gia" xfId="638" xr:uid="{00000000-0005-0000-0000-000073020000}"/>
    <cellStyle name="_TG-TH_2_khoiluongbdacdoa" xfId="637" xr:uid="{00000000-0005-0000-0000-000074020000}"/>
    <cellStyle name="_TG-TH_2_Lora-tungchau" xfId="639" xr:uid="{00000000-0005-0000-0000-000075020000}"/>
    <cellStyle name="_TG-TH_2_moi" xfId="640" xr:uid="{00000000-0005-0000-0000-000076020000}"/>
    <cellStyle name="_TG-TH_2_PGIA-phieu tham tra Kho bac" xfId="641" xr:uid="{00000000-0005-0000-0000-000077020000}"/>
    <cellStyle name="_TG-TH_2_PT02-02" xfId="642" xr:uid="{00000000-0005-0000-0000-000078020000}"/>
    <cellStyle name="_TG-TH_2_PT02-02_Book1" xfId="643" xr:uid="{00000000-0005-0000-0000-000079020000}"/>
    <cellStyle name="_TG-TH_2_PT02-03" xfId="644" xr:uid="{00000000-0005-0000-0000-00007A020000}"/>
    <cellStyle name="_TG-TH_2_PT02-03_Book1" xfId="645" xr:uid="{00000000-0005-0000-0000-00007B020000}"/>
    <cellStyle name="_TG-TH_2_Qt-HT3PQ1(CauKho)" xfId="646" xr:uid="{00000000-0005-0000-0000-00007C020000}"/>
    <cellStyle name="_TG-TH_2_Qt-HT3PQ1(CauKho)_Book1" xfId="647" xr:uid="{00000000-0005-0000-0000-00007D020000}"/>
    <cellStyle name="_TG-TH_2_Qt-HT3PQ1(CauKho)_Don gia quy 3 nam 2003 - Ban Dien Luc" xfId="648" xr:uid="{00000000-0005-0000-0000-00007E020000}"/>
    <cellStyle name="_TG-TH_2_Qt-HT3PQ1(CauKho)_Kiem Tra Don Gia" xfId="649" xr:uid="{00000000-0005-0000-0000-00007F020000}"/>
    <cellStyle name="_TG-TH_2_Qt-HT3PQ1(CauKho)_NC-VL2-2003" xfId="650" xr:uid="{00000000-0005-0000-0000-000080020000}"/>
    <cellStyle name="_TG-TH_2_Qt-HT3PQ1(CauKho)_NC-VL2-2003_1" xfId="651" xr:uid="{00000000-0005-0000-0000-000081020000}"/>
    <cellStyle name="_TG-TH_2_Qt-HT3PQ1(CauKho)_XL4Test5" xfId="652" xr:uid="{00000000-0005-0000-0000-000082020000}"/>
    <cellStyle name="_TG-TH_2_QT-LCTP-AE" xfId="653" xr:uid="{00000000-0005-0000-0000-000083020000}"/>
    <cellStyle name="_TG-TH_2_quy luong con lai nam 2004" xfId="654" xr:uid="{00000000-0005-0000-0000-000084020000}"/>
    <cellStyle name="_TG-TH_2_Sheet2" xfId="655" xr:uid="{00000000-0005-0000-0000-000085020000}"/>
    <cellStyle name="_TG-TH_2_TEL OUT 2004" xfId="656" xr:uid="{00000000-0005-0000-0000-000086020000}"/>
    <cellStyle name="_TG-TH_2_Tong hop 3 tinh (11_5)-TTH-QN-QT" xfId="657" xr:uid="{00000000-0005-0000-0000-000087020000}"/>
    <cellStyle name="_TG-TH_2_XL4Poppy" xfId="658" xr:uid="{00000000-0005-0000-0000-000088020000}"/>
    <cellStyle name="_TG-TH_2_XL4Test5" xfId="659" xr:uid="{00000000-0005-0000-0000-000089020000}"/>
    <cellStyle name="_TG-TH_2_ÿÿÿÿÿ" xfId="660" xr:uid="{00000000-0005-0000-0000-00008A020000}"/>
    <cellStyle name="_TG-TH_2_" xfId="661" xr:uid="{00000000-0005-0000-0000-00008B020000}"/>
    <cellStyle name="_TG-TH_3" xfId="662" xr:uid="{00000000-0005-0000-0000-00008C020000}"/>
    <cellStyle name="_TG-TH_3_Book1" xfId="663" xr:uid="{00000000-0005-0000-0000-00008D020000}"/>
    <cellStyle name="_TG-TH_3_Lora-tungchau" xfId="664" xr:uid="{00000000-0005-0000-0000-00008E020000}"/>
    <cellStyle name="_TG-TH_3_Qt-HT3PQ1(CauKho)" xfId="665" xr:uid="{00000000-0005-0000-0000-00008F020000}"/>
    <cellStyle name="_TG-TH_3_Qt-HT3PQ1(CauKho)_Book1" xfId="666" xr:uid="{00000000-0005-0000-0000-000090020000}"/>
    <cellStyle name="_TG-TH_3_Qt-HT3PQ1(CauKho)_Don gia quy 3 nam 2003 - Ban Dien Luc" xfId="667" xr:uid="{00000000-0005-0000-0000-000091020000}"/>
    <cellStyle name="_TG-TH_3_Qt-HT3PQ1(CauKho)_Kiem Tra Don Gia" xfId="668" xr:uid="{00000000-0005-0000-0000-000092020000}"/>
    <cellStyle name="_TG-TH_3_Qt-HT3PQ1(CauKho)_NC-VL2-2003" xfId="669" xr:uid="{00000000-0005-0000-0000-000093020000}"/>
    <cellStyle name="_TG-TH_3_Qt-HT3PQ1(CauKho)_NC-VL2-2003_1" xfId="670" xr:uid="{00000000-0005-0000-0000-000094020000}"/>
    <cellStyle name="_TG-TH_3_Qt-HT3PQ1(CauKho)_XL4Test5" xfId="671" xr:uid="{00000000-0005-0000-0000-000095020000}"/>
    <cellStyle name="_TG-TH_3_quy luong con lai nam 2004" xfId="672" xr:uid="{00000000-0005-0000-0000-000096020000}"/>
    <cellStyle name="_TG-TH_3_" xfId="673" xr:uid="{00000000-0005-0000-0000-000097020000}"/>
    <cellStyle name="_TG-TH_4" xfId="674" xr:uid="{00000000-0005-0000-0000-000098020000}"/>
    <cellStyle name="_TG-TH_4_Book1" xfId="675" xr:uid="{00000000-0005-0000-0000-000099020000}"/>
    <cellStyle name="_TG-TH_4_DTDuong dong tien -sua tham tra 2009 - luong 650" xfId="676" xr:uid="{00000000-0005-0000-0000-00009A020000}"/>
    <cellStyle name="_TG-TH_4_quy luong con lai nam 2004" xfId="677" xr:uid="{00000000-0005-0000-0000-00009B020000}"/>
    <cellStyle name="_TKP" xfId="679" xr:uid="{00000000-0005-0000-0000-00009C020000}"/>
    <cellStyle name="_Tong dutoan PP LAHAI" xfId="680" xr:uid="{00000000-0005-0000-0000-00009D020000}"/>
    <cellStyle name="_Tong hop 3 tinh (11_5)-TTH-QN-QT" xfId="681" xr:uid="{00000000-0005-0000-0000-00009E020000}"/>
    <cellStyle name="_Tong hop may cheu nganh 1" xfId="682" xr:uid="{00000000-0005-0000-0000-00009F020000}"/>
    <cellStyle name="_TH KHAI TOAN THU THIEM cac tuyen TT noi" xfId="678" xr:uid="{00000000-0005-0000-0000-0000A0020000}"/>
    <cellStyle name="_ung 2011 - 11-6-Thanh hoa-Nghe an" xfId="683" xr:uid="{00000000-0005-0000-0000-0000A1020000}"/>
    <cellStyle name="_ung truoc 2011 NSTW Thanh Hoa + Nge An gui Thu 12-5" xfId="684" xr:uid="{00000000-0005-0000-0000-0000A2020000}"/>
    <cellStyle name="_ung truoc cua long an (6-5-2010)" xfId="685" xr:uid="{00000000-0005-0000-0000-0000A3020000}"/>
    <cellStyle name="_ung von chinh thuc doan kiem tra TAY NAM BO" xfId="686" xr:uid="{00000000-0005-0000-0000-0000A4020000}"/>
    <cellStyle name="_Ung von nam 2011 vung TNB - Doan Cong tac (12-5-2010)" xfId="687" xr:uid="{00000000-0005-0000-0000-0000A5020000}"/>
    <cellStyle name="_Ung von nam 2011 vung TNB - Doan Cong tac (12-5-2010)_Copy of ghep 3 bieu trinh LD BO 28-6 (TPCP)" xfId="688" xr:uid="{00000000-0005-0000-0000-0000A6020000}"/>
    <cellStyle name="_ÿÿÿÿÿ" xfId="689" xr:uid="{00000000-0005-0000-0000-0000A7020000}"/>
    <cellStyle name="_ÿÿÿÿÿ_Kh ql62 (2010) 11-09" xfId="690" xr:uid="{00000000-0005-0000-0000-0000A8020000}"/>
    <cellStyle name="_" xfId="691" xr:uid="{00000000-0005-0000-0000-0000A9020000}"/>
    <cellStyle name="__1" xfId="692" xr:uid="{00000000-0005-0000-0000-0000AA020000}"/>
    <cellStyle name="__Bao gia TB Kon Dao 2010" xfId="693" xr:uid="{00000000-0005-0000-0000-0000AB020000}"/>
    <cellStyle name="~1" xfId="694" xr:uid="{00000000-0005-0000-0000-0000AC020000}"/>
    <cellStyle name="’Ê‰Ý [0.00]_laroux" xfId="695" xr:uid="{00000000-0005-0000-0000-0000AD020000}"/>
    <cellStyle name="’Ê‰Ý_laroux" xfId="696" xr:uid="{00000000-0005-0000-0000-0000AE020000}"/>
    <cellStyle name="•W?_Format" xfId="697" xr:uid="{00000000-0005-0000-0000-0000AF020000}"/>
    <cellStyle name="•W€_¯–ì" xfId="698" xr:uid="{00000000-0005-0000-0000-0000B0020000}"/>
    <cellStyle name="•W_¯–ì" xfId="699" xr:uid="{00000000-0005-0000-0000-0000B1020000}"/>
    <cellStyle name="W_MARINE" xfId="700" xr:uid="{00000000-0005-0000-0000-0000B2020000}"/>
    <cellStyle name="0" xfId="701" xr:uid="{00000000-0005-0000-0000-0000B3020000}"/>
    <cellStyle name="0 2" xfId="702" xr:uid="{00000000-0005-0000-0000-0000B4020000}"/>
    <cellStyle name="0 2 2" xfId="703" xr:uid="{00000000-0005-0000-0000-0000B5020000}"/>
    <cellStyle name="0 3" xfId="704" xr:uid="{00000000-0005-0000-0000-0000B6020000}"/>
    <cellStyle name="0 3 2" xfId="705" xr:uid="{00000000-0005-0000-0000-0000B7020000}"/>
    <cellStyle name="0 4" xfId="706" xr:uid="{00000000-0005-0000-0000-0000B8020000}"/>
    <cellStyle name="0.0" xfId="707" xr:uid="{00000000-0005-0000-0000-0000B9020000}"/>
    <cellStyle name="0.0 2" xfId="708" xr:uid="{00000000-0005-0000-0000-0000BA020000}"/>
    <cellStyle name="0.0 2 2" xfId="709" xr:uid="{00000000-0005-0000-0000-0000BB020000}"/>
    <cellStyle name="0.0 3" xfId="710" xr:uid="{00000000-0005-0000-0000-0000BC020000}"/>
    <cellStyle name="0.0 3 2" xfId="711" xr:uid="{00000000-0005-0000-0000-0000BD020000}"/>
    <cellStyle name="0.0 4" xfId="712" xr:uid="{00000000-0005-0000-0000-0000BE020000}"/>
    <cellStyle name="0.00" xfId="713" xr:uid="{00000000-0005-0000-0000-0000BF020000}"/>
    <cellStyle name="0.00 2" xfId="714" xr:uid="{00000000-0005-0000-0000-0000C0020000}"/>
    <cellStyle name="0.00 2 2" xfId="715" xr:uid="{00000000-0005-0000-0000-0000C1020000}"/>
    <cellStyle name="0.00 3" xfId="716" xr:uid="{00000000-0005-0000-0000-0000C2020000}"/>
    <cellStyle name="0.00 3 2" xfId="717" xr:uid="{00000000-0005-0000-0000-0000C3020000}"/>
    <cellStyle name="0.00 4" xfId="718" xr:uid="{00000000-0005-0000-0000-0000C4020000}"/>
    <cellStyle name="1" xfId="719" xr:uid="{00000000-0005-0000-0000-0000C5020000}"/>
    <cellStyle name="1_17 bieu (hung cap nhap)" xfId="720" xr:uid="{00000000-0005-0000-0000-0000C6020000}"/>
    <cellStyle name="1_17 bieu (hung cap nhap) 2" xfId="721" xr:uid="{00000000-0005-0000-0000-0000C7020000}"/>
    <cellStyle name="1_17 bieu (hung cap nhap) 3" xfId="722" xr:uid="{00000000-0005-0000-0000-0000C8020000}"/>
    <cellStyle name="1_2-Ha GiangBB2011-V1" xfId="723" xr:uid="{00000000-0005-0000-0000-0000C9020000}"/>
    <cellStyle name="1_50-BB Vung tau 2011" xfId="724" xr:uid="{00000000-0005-0000-0000-0000CA020000}"/>
    <cellStyle name="1_52-Long An2011.BB-V1" xfId="725" xr:uid="{00000000-0005-0000-0000-0000CB020000}"/>
    <cellStyle name="1_7 noi 48 goi C5 9 vi na" xfId="726" xr:uid="{00000000-0005-0000-0000-0000CC020000}"/>
    <cellStyle name="1_BANG KE VAT TU" xfId="727" xr:uid="{00000000-0005-0000-0000-0000CD020000}"/>
    <cellStyle name="1_Bao cao doan cong tac cua Bo thang 4-2010" xfId="728" xr:uid="{00000000-0005-0000-0000-0000CE020000}"/>
    <cellStyle name="1_Bao cao doan cong tac cua Bo thang 4-2010 2" xfId="729" xr:uid="{00000000-0005-0000-0000-0000CF020000}"/>
    <cellStyle name="1_Bao cao giai ngan von dau tu nam 2009 (theo doi)" xfId="730" xr:uid="{00000000-0005-0000-0000-0000D0020000}"/>
    <cellStyle name="1_Bao cao giai ngan von dau tu nam 2009 (theo doi) 2" xfId="731" xr:uid="{00000000-0005-0000-0000-0000D1020000}"/>
    <cellStyle name="1_Bao cao giai ngan von dau tu nam 2009 (theo doi)_Bao cao doan cong tac cua Bo thang 4-2010" xfId="732" xr:uid="{00000000-0005-0000-0000-0000D2020000}"/>
    <cellStyle name="1_Bao cao giai ngan von dau tu nam 2009 (theo doi)_Bao cao doan cong tac cua Bo thang 4-2010 2" xfId="733" xr:uid="{00000000-0005-0000-0000-0000D3020000}"/>
    <cellStyle name="1_Bao cao giai ngan von dau tu nam 2009 (theo doi)_Ke hoach 2009 (theo doi) -1" xfId="734" xr:uid="{00000000-0005-0000-0000-0000D4020000}"/>
    <cellStyle name="1_Bao cao giai ngan von dau tu nam 2009 (theo doi)_Ke hoach 2009 (theo doi) -1 2" xfId="735" xr:uid="{00000000-0005-0000-0000-0000D5020000}"/>
    <cellStyle name="1_Bao cao KP tu chu" xfId="736" xr:uid="{00000000-0005-0000-0000-0000D6020000}"/>
    <cellStyle name="1_BAO GIA NGAY 24-10-08 (co dam)" xfId="737" xr:uid="{00000000-0005-0000-0000-0000D7020000}"/>
    <cellStyle name="1_Bao gia TB Kon Dao 2010" xfId="738" xr:uid="{00000000-0005-0000-0000-0000D8020000}"/>
    <cellStyle name="1_BC 8 thang 2009 ve CT trong diem 5nam" xfId="739" xr:uid="{00000000-0005-0000-0000-0000D9020000}"/>
    <cellStyle name="1_BC 8 thang 2009 ve CT trong diem 5nam 2" xfId="740" xr:uid="{00000000-0005-0000-0000-0000DA020000}"/>
    <cellStyle name="1_BC 8 thang 2009 ve CT trong diem 5nam_Bao cao doan cong tac cua Bo thang 4-2010" xfId="741" xr:uid="{00000000-0005-0000-0000-0000DB020000}"/>
    <cellStyle name="1_BC 8 thang 2009 ve CT trong diem 5nam_Bao cao doan cong tac cua Bo thang 4-2010 2" xfId="742" xr:uid="{00000000-0005-0000-0000-0000DC020000}"/>
    <cellStyle name="1_BC 8 thang 2009 ve CT trong diem 5nam_bieu 01" xfId="743" xr:uid="{00000000-0005-0000-0000-0000DD020000}"/>
    <cellStyle name="1_BC 8 thang 2009 ve CT trong diem 5nam_bieu 01 2" xfId="744" xr:uid="{00000000-0005-0000-0000-0000DE020000}"/>
    <cellStyle name="1_BC 8 thang 2009 ve CT trong diem 5nam_bieu 01_Bao cao doan cong tac cua Bo thang 4-2010" xfId="745" xr:uid="{00000000-0005-0000-0000-0000DF020000}"/>
    <cellStyle name="1_BC 8 thang 2009 ve CT trong diem 5nam_bieu 01_Bao cao doan cong tac cua Bo thang 4-2010 2" xfId="746" xr:uid="{00000000-0005-0000-0000-0000E0020000}"/>
    <cellStyle name="1_BC nam 2007 (UB)" xfId="747" xr:uid="{00000000-0005-0000-0000-0000E1020000}"/>
    <cellStyle name="1_BC nam 2007 (UB) 2" xfId="748" xr:uid="{00000000-0005-0000-0000-0000E2020000}"/>
    <cellStyle name="1_BC nam 2007 (UB)_Bao cao doan cong tac cua Bo thang 4-2010" xfId="749" xr:uid="{00000000-0005-0000-0000-0000E3020000}"/>
    <cellStyle name="1_BC nam 2007 (UB)_Bao cao doan cong tac cua Bo thang 4-2010 2" xfId="750" xr:uid="{00000000-0005-0000-0000-0000E4020000}"/>
    <cellStyle name="1_bieu 1" xfId="751" xr:uid="{00000000-0005-0000-0000-0000E5020000}"/>
    <cellStyle name="1_bieu 2" xfId="752" xr:uid="{00000000-0005-0000-0000-0000E6020000}"/>
    <cellStyle name="1_bieu 4" xfId="753" xr:uid="{00000000-0005-0000-0000-0000E7020000}"/>
    <cellStyle name="1_bieu tong hop" xfId="754" xr:uid="{00000000-0005-0000-0000-0000E8020000}"/>
    <cellStyle name="1_Book1" xfId="755" xr:uid="{00000000-0005-0000-0000-0000E9020000}"/>
    <cellStyle name="1_Book1_1" xfId="756" xr:uid="{00000000-0005-0000-0000-0000EA020000}"/>
    <cellStyle name="1_Book1_1 2" xfId="757" xr:uid="{00000000-0005-0000-0000-0000EB020000}"/>
    <cellStyle name="1_Book1_1_VBPL kiểm toán Đầu tư XDCB 2010" xfId="758" xr:uid="{00000000-0005-0000-0000-0000EC020000}"/>
    <cellStyle name="1_Book1_Bao cao doan cong tac cua Bo thang 4-2010" xfId="759" xr:uid="{00000000-0005-0000-0000-0000ED020000}"/>
    <cellStyle name="1_Book1_Bao cao doan cong tac cua Bo thang 4-2010 2" xfId="760" xr:uid="{00000000-0005-0000-0000-0000EE020000}"/>
    <cellStyle name="1_Book1_BL vu" xfId="761" xr:uid="{00000000-0005-0000-0000-0000EF020000}"/>
    <cellStyle name="1_Book1_Book1" xfId="762" xr:uid="{00000000-0005-0000-0000-0000F0020000}"/>
    <cellStyle name="1_Book1_Book1 2" xfId="763" xr:uid="{00000000-0005-0000-0000-0000F1020000}"/>
    <cellStyle name="1_Book1_Gia - Thanh An" xfId="764" xr:uid="{00000000-0005-0000-0000-0000F2020000}"/>
    <cellStyle name="1_Book1_VBPL kiểm toán Đầu tư XDCB 2010" xfId="765" xr:uid="{00000000-0005-0000-0000-0000F3020000}"/>
    <cellStyle name="1_Book2" xfId="766" xr:uid="{00000000-0005-0000-0000-0000F4020000}"/>
    <cellStyle name="1_Book2 2" xfId="767" xr:uid="{00000000-0005-0000-0000-0000F5020000}"/>
    <cellStyle name="1_Book2_Bao cao doan cong tac cua Bo thang 4-2010" xfId="768" xr:uid="{00000000-0005-0000-0000-0000F6020000}"/>
    <cellStyle name="1_Book2_Bao cao doan cong tac cua Bo thang 4-2010 2" xfId="769" xr:uid="{00000000-0005-0000-0000-0000F7020000}"/>
    <cellStyle name="1_Cau thuy dien Ban La (Cu Anh)" xfId="770" xr:uid="{00000000-0005-0000-0000-0000F8020000}"/>
    <cellStyle name="1_Copy of ghep 3 bieu trinh LD BO 28-6 (TPCP)" xfId="771" xr:uid="{00000000-0005-0000-0000-0000F9020000}"/>
    <cellStyle name="1_Danh sach gui BC thuc hien KH2009" xfId="772" xr:uid="{00000000-0005-0000-0000-0000FA020000}"/>
    <cellStyle name="1_Danh sach gui BC thuc hien KH2009 2" xfId="773" xr:uid="{00000000-0005-0000-0000-0000FB020000}"/>
    <cellStyle name="1_Danh sach gui BC thuc hien KH2009_Bao cao doan cong tac cua Bo thang 4-2010" xfId="774" xr:uid="{00000000-0005-0000-0000-0000FC020000}"/>
    <cellStyle name="1_Danh sach gui BC thuc hien KH2009_Bao cao doan cong tac cua Bo thang 4-2010 2" xfId="775" xr:uid="{00000000-0005-0000-0000-0000FD020000}"/>
    <cellStyle name="1_Danh sach gui BC thuc hien KH2009_Ke hoach 2009 (theo doi) -1" xfId="776" xr:uid="{00000000-0005-0000-0000-0000FE020000}"/>
    <cellStyle name="1_Danh sach gui BC thuc hien KH2009_Ke hoach 2009 (theo doi) -1 2" xfId="777" xr:uid="{00000000-0005-0000-0000-0000FF020000}"/>
    <cellStyle name="1_Don gia Du thau ( XL19)" xfId="778" xr:uid="{00000000-0005-0000-0000-000000030000}"/>
    <cellStyle name="1_Don gia Du thau ( XL19) 2" xfId="779" xr:uid="{00000000-0005-0000-0000-000001030000}"/>
    <cellStyle name="1_DT972000" xfId="780" xr:uid="{00000000-0005-0000-0000-000002030000}"/>
    <cellStyle name="1_dtCau Km3+429,21TL685" xfId="781" xr:uid="{00000000-0005-0000-0000-000003030000}"/>
    <cellStyle name="1_Dtdchinh2397" xfId="782" xr:uid="{00000000-0005-0000-0000-000004030000}"/>
    <cellStyle name="1_Du toan 558 (Km17+508.12 - Km 22)" xfId="784" xr:uid="{00000000-0005-0000-0000-000005030000}"/>
    <cellStyle name="1_du toan lan 3" xfId="785" xr:uid="{00000000-0005-0000-0000-000006030000}"/>
    <cellStyle name="1_Du thau" xfId="783" xr:uid="{00000000-0005-0000-0000-000007030000}"/>
    <cellStyle name="1_Gia - Thanh An" xfId="786" xr:uid="{00000000-0005-0000-0000-000008030000}"/>
    <cellStyle name="1_Gia_VLQL48_duyet " xfId="787" xr:uid="{00000000-0005-0000-0000-000009030000}"/>
    <cellStyle name="1_GIA-DUTHAUsuaNS" xfId="788" xr:uid="{00000000-0005-0000-0000-00000A030000}"/>
    <cellStyle name="1_KL km 0-km3+300 dieu chinh 4-2008" xfId="795" xr:uid="{00000000-0005-0000-0000-00000B030000}"/>
    <cellStyle name="1_KLNM 1303" xfId="796" xr:uid="{00000000-0005-0000-0000-00000C030000}"/>
    <cellStyle name="1_KlQdinhduyet" xfId="797" xr:uid="{00000000-0005-0000-0000-00000D030000}"/>
    <cellStyle name="1_KH 2007 (theo doi)" xfId="789" xr:uid="{00000000-0005-0000-0000-00000E030000}"/>
    <cellStyle name="1_KH 2007 (theo doi) 2" xfId="790" xr:uid="{00000000-0005-0000-0000-00000F030000}"/>
    <cellStyle name="1_KH 2007 (theo doi)_Bao cao doan cong tac cua Bo thang 4-2010" xfId="791" xr:uid="{00000000-0005-0000-0000-000010030000}"/>
    <cellStyle name="1_KH 2007 (theo doi)_Bao cao doan cong tac cua Bo thang 4-2010 2" xfId="792" xr:uid="{00000000-0005-0000-0000-000011030000}"/>
    <cellStyle name="1_Kh ql62 (2010) 11-09" xfId="793" xr:uid="{00000000-0005-0000-0000-000012030000}"/>
    <cellStyle name="1_khoiluongbdacdoa" xfId="794" xr:uid="{00000000-0005-0000-0000-000013030000}"/>
    <cellStyle name="1_LuuNgay17-03-2009Đơn KN Cục thuế" xfId="798" xr:uid="{00000000-0005-0000-0000-000014030000}"/>
    <cellStyle name="1_NTHOC" xfId="799" xr:uid="{00000000-0005-0000-0000-000015030000}"/>
    <cellStyle name="1_NTHOC 2" xfId="800" xr:uid="{00000000-0005-0000-0000-000016030000}"/>
    <cellStyle name="1_NTHOC_Tong hop theo doi von TPCP" xfId="801" xr:uid="{00000000-0005-0000-0000-000017030000}"/>
    <cellStyle name="1_NTHOC_Tong hop theo doi von TPCP 2" xfId="802" xr:uid="{00000000-0005-0000-0000-000018030000}"/>
    <cellStyle name="1_NTHOC_Tong hop theo doi von TPCP_Bao cao kiem toan kh 2010" xfId="803" xr:uid="{00000000-0005-0000-0000-000019030000}"/>
    <cellStyle name="1_NTHOC_Tong hop theo doi von TPCP_Bao cao kiem toan kh 2010 2" xfId="804" xr:uid="{00000000-0005-0000-0000-00001A030000}"/>
    <cellStyle name="1_NTHOC_Tong hop theo doi von TPCP_Ke hoach 2010 (theo doi)2" xfId="805" xr:uid="{00000000-0005-0000-0000-00001B030000}"/>
    <cellStyle name="1_NTHOC_Tong hop theo doi von TPCP_Ke hoach 2010 (theo doi)2 2" xfId="806" xr:uid="{00000000-0005-0000-0000-00001C030000}"/>
    <cellStyle name="1_NTHOC_Tong hop theo doi von TPCP_QD UBND tinh" xfId="807" xr:uid="{00000000-0005-0000-0000-00001D030000}"/>
    <cellStyle name="1_NTHOC_Tong hop theo doi von TPCP_QD UBND tinh 2" xfId="808" xr:uid="{00000000-0005-0000-0000-00001E030000}"/>
    <cellStyle name="1_NTHOC_Tong hop theo doi von TPCP_Worksheet in D: My Documents Luc Van ban xu ly Nam 2011 Bao cao ra soat tam ung TPCP" xfId="809" xr:uid="{00000000-0005-0000-0000-00001F030000}"/>
    <cellStyle name="1_NTHOC_Tong hop theo doi von TPCP_Worksheet in D: My Documents Luc Van ban xu ly Nam 2011 Bao cao ra soat tam ung TPCP 2" xfId="810" xr:uid="{00000000-0005-0000-0000-000020030000}"/>
    <cellStyle name="1_QT Thue GTGT 2008" xfId="811" xr:uid="{00000000-0005-0000-0000-000021030000}"/>
    <cellStyle name="1_Ra soat Giai ngan 2007 (dang lam)" xfId="812" xr:uid="{00000000-0005-0000-0000-000022030000}"/>
    <cellStyle name="1_Ra soat Giai ngan 2007 (dang lam) 2" xfId="813" xr:uid="{00000000-0005-0000-0000-000023030000}"/>
    <cellStyle name="1_TonghopKL_BOY-sual2" xfId="818" xr:uid="{00000000-0005-0000-0000-000024030000}"/>
    <cellStyle name="1_Theo doi von TPCP (dang lam)" xfId="814" xr:uid="{00000000-0005-0000-0000-000025030000}"/>
    <cellStyle name="1_Theo doi von TPCP (dang lam) 2" xfId="815" xr:uid="{00000000-0005-0000-0000-000026030000}"/>
    <cellStyle name="1_Thong ke cong" xfId="816" xr:uid="{00000000-0005-0000-0000-000027030000}"/>
    <cellStyle name="1_thong ke giao dan sinh" xfId="817" xr:uid="{00000000-0005-0000-0000-000028030000}"/>
    <cellStyle name="1_TRUNG PMU 5" xfId="819" xr:uid="{00000000-0005-0000-0000-000029030000}"/>
    <cellStyle name="1_VBPL kiểm toán Đầu tư XDCB 2010" xfId="820" xr:uid="{00000000-0005-0000-0000-00002A030000}"/>
    <cellStyle name="1_ÿÿÿÿÿ" xfId="821" xr:uid="{00000000-0005-0000-0000-00002B030000}"/>
    <cellStyle name="1_ÿÿÿÿÿ 2" xfId="822" xr:uid="{00000000-0005-0000-0000-00002C030000}"/>
    <cellStyle name="1_ÿÿÿÿÿ_Bieu tong hop nhu cau ung 2011 da chon loc -Mien nui" xfId="823" xr:uid="{00000000-0005-0000-0000-00002D030000}"/>
    <cellStyle name="1_ÿÿÿÿÿ_Bieu tong hop nhu cau ung 2011 da chon loc -Mien nui 2" xfId="824" xr:uid="{00000000-0005-0000-0000-00002E030000}"/>
    <cellStyle name="1_ÿÿÿÿÿ_Kh ql62 (2010) 11-09" xfId="825" xr:uid="{00000000-0005-0000-0000-00002F030000}"/>
    <cellStyle name="1_ÿÿÿÿÿ_mau bieu doan giam sat 2010 (version 2)" xfId="826" xr:uid="{00000000-0005-0000-0000-000030030000}"/>
    <cellStyle name="1_ÿÿÿÿÿ_mau bieu doan giam sat 2010 (version 2) 2" xfId="827" xr:uid="{00000000-0005-0000-0000-000031030000}"/>
    <cellStyle name="1_ÿÿÿÿÿ_VBPL kiểm toán Đầu tư XDCB 2010" xfId="828" xr:uid="{00000000-0005-0000-0000-000032030000}"/>
    <cellStyle name="1_" xfId="829" xr:uid="{00000000-0005-0000-0000-000033030000}"/>
    <cellStyle name="15" xfId="830" xr:uid="{00000000-0005-0000-0000-000034030000}"/>
    <cellStyle name="18" xfId="831" xr:uid="{00000000-0005-0000-0000-000035030000}"/>
    <cellStyle name="¹éºÐÀ²_      " xfId="832" xr:uid="{00000000-0005-0000-0000-000036030000}"/>
    <cellStyle name="2" xfId="833" xr:uid="{00000000-0005-0000-0000-000037030000}"/>
    <cellStyle name="2_7 noi 48 goi C5 9 vi na" xfId="834" xr:uid="{00000000-0005-0000-0000-000038030000}"/>
    <cellStyle name="2_BL vu" xfId="835" xr:uid="{00000000-0005-0000-0000-000039030000}"/>
    <cellStyle name="2_Book1" xfId="836" xr:uid="{00000000-0005-0000-0000-00003A030000}"/>
    <cellStyle name="2_Book1 2" xfId="837" xr:uid="{00000000-0005-0000-0000-00003B030000}"/>
    <cellStyle name="2_Book1_1" xfId="838" xr:uid="{00000000-0005-0000-0000-00003C030000}"/>
    <cellStyle name="2_Book1_Bao cao kiem toan kh 2010" xfId="839" xr:uid="{00000000-0005-0000-0000-00003D030000}"/>
    <cellStyle name="2_Book1_Bao cao kiem toan kh 2010 2" xfId="840" xr:uid="{00000000-0005-0000-0000-00003E030000}"/>
    <cellStyle name="2_Book1_Ke hoach 2010 (theo doi)2" xfId="841" xr:uid="{00000000-0005-0000-0000-00003F030000}"/>
    <cellStyle name="2_Book1_Ke hoach 2010 (theo doi)2 2" xfId="842" xr:uid="{00000000-0005-0000-0000-000040030000}"/>
    <cellStyle name="2_Book1_QD UBND tinh" xfId="843" xr:uid="{00000000-0005-0000-0000-000041030000}"/>
    <cellStyle name="2_Book1_QD UBND tinh 2" xfId="844" xr:uid="{00000000-0005-0000-0000-000042030000}"/>
    <cellStyle name="2_Book1_VBPL kiểm toán Đầu tư XDCB 2010" xfId="845" xr:uid="{00000000-0005-0000-0000-000043030000}"/>
    <cellStyle name="2_Book1_Worksheet in D: My Documents Luc Van ban xu ly Nam 2011 Bao cao ra soat tam ung TPCP" xfId="846" xr:uid="{00000000-0005-0000-0000-000044030000}"/>
    <cellStyle name="2_Book1_Worksheet in D: My Documents Luc Van ban xu ly Nam 2011 Bao cao ra soat tam ung TPCP 2" xfId="847" xr:uid="{00000000-0005-0000-0000-000045030000}"/>
    <cellStyle name="2_Cau thuy dien Ban La (Cu Anh)" xfId="848" xr:uid="{00000000-0005-0000-0000-000046030000}"/>
    <cellStyle name="2_Dtdchinh2397" xfId="849" xr:uid="{00000000-0005-0000-0000-000047030000}"/>
    <cellStyle name="2_Du toan 558 (Km17+508.12 - Km 22)" xfId="850" xr:uid="{00000000-0005-0000-0000-000048030000}"/>
    <cellStyle name="2_Gia_VLQL48_duyet " xfId="851" xr:uid="{00000000-0005-0000-0000-000049030000}"/>
    <cellStyle name="2_KLNM 1303" xfId="852" xr:uid="{00000000-0005-0000-0000-00004A030000}"/>
    <cellStyle name="2_KlQdinhduyet" xfId="853" xr:uid="{00000000-0005-0000-0000-00004B030000}"/>
    <cellStyle name="2_NTHOC" xfId="854" xr:uid="{00000000-0005-0000-0000-00004C030000}"/>
    <cellStyle name="2_NTHOC 2" xfId="855" xr:uid="{00000000-0005-0000-0000-00004D030000}"/>
    <cellStyle name="2_NTHOC_Tong hop theo doi von TPCP" xfId="856" xr:uid="{00000000-0005-0000-0000-00004E030000}"/>
    <cellStyle name="2_NTHOC_Tong hop theo doi von TPCP 2" xfId="857" xr:uid="{00000000-0005-0000-0000-00004F030000}"/>
    <cellStyle name="2_NTHOC_Tong hop theo doi von TPCP_Bao cao kiem toan kh 2010" xfId="858" xr:uid="{00000000-0005-0000-0000-000050030000}"/>
    <cellStyle name="2_NTHOC_Tong hop theo doi von TPCP_Bao cao kiem toan kh 2010 2" xfId="859" xr:uid="{00000000-0005-0000-0000-000051030000}"/>
    <cellStyle name="2_NTHOC_Tong hop theo doi von TPCP_Ke hoach 2010 (theo doi)2" xfId="860" xr:uid="{00000000-0005-0000-0000-000052030000}"/>
    <cellStyle name="2_NTHOC_Tong hop theo doi von TPCP_Ke hoach 2010 (theo doi)2 2" xfId="861" xr:uid="{00000000-0005-0000-0000-000053030000}"/>
    <cellStyle name="2_NTHOC_Tong hop theo doi von TPCP_QD UBND tinh" xfId="862" xr:uid="{00000000-0005-0000-0000-000054030000}"/>
    <cellStyle name="2_NTHOC_Tong hop theo doi von TPCP_QD UBND tinh 2" xfId="863" xr:uid="{00000000-0005-0000-0000-000055030000}"/>
    <cellStyle name="2_NTHOC_Tong hop theo doi von TPCP_Worksheet in D: My Documents Luc Van ban xu ly Nam 2011 Bao cao ra soat tam ung TPCP" xfId="864" xr:uid="{00000000-0005-0000-0000-000056030000}"/>
    <cellStyle name="2_NTHOC_Tong hop theo doi von TPCP_Worksheet in D: My Documents Luc Van ban xu ly Nam 2011 Bao cao ra soat tam ung TPCP 2" xfId="865" xr:uid="{00000000-0005-0000-0000-000057030000}"/>
    <cellStyle name="2_Tong hop theo doi von TPCP" xfId="868" xr:uid="{00000000-0005-0000-0000-000058030000}"/>
    <cellStyle name="2_Tong hop theo doi von TPCP 2" xfId="869" xr:uid="{00000000-0005-0000-0000-000059030000}"/>
    <cellStyle name="2_Tong hop theo doi von TPCP_Bao cao kiem toan kh 2010" xfId="870" xr:uid="{00000000-0005-0000-0000-00005A030000}"/>
    <cellStyle name="2_Tong hop theo doi von TPCP_Bao cao kiem toan kh 2010 2" xfId="871" xr:uid="{00000000-0005-0000-0000-00005B030000}"/>
    <cellStyle name="2_Tong hop theo doi von TPCP_Ke hoach 2010 (theo doi)2" xfId="872" xr:uid="{00000000-0005-0000-0000-00005C030000}"/>
    <cellStyle name="2_Tong hop theo doi von TPCP_Ke hoach 2010 (theo doi)2 2" xfId="873" xr:uid="{00000000-0005-0000-0000-00005D030000}"/>
    <cellStyle name="2_Tong hop theo doi von TPCP_QD UBND tinh" xfId="874" xr:uid="{00000000-0005-0000-0000-00005E030000}"/>
    <cellStyle name="2_Tong hop theo doi von TPCP_QD UBND tinh 2" xfId="875" xr:uid="{00000000-0005-0000-0000-00005F030000}"/>
    <cellStyle name="2_Tong hop theo doi von TPCP_Worksheet in D: My Documents Luc Van ban xu ly Nam 2011 Bao cao ra soat tam ung TPCP" xfId="876" xr:uid="{00000000-0005-0000-0000-000060030000}"/>
    <cellStyle name="2_Tong hop theo doi von TPCP_Worksheet in D: My Documents Luc Van ban xu ly Nam 2011 Bao cao ra soat tam ung TPCP 2" xfId="877" xr:uid="{00000000-0005-0000-0000-000061030000}"/>
    <cellStyle name="2_Thong ke cong" xfId="866" xr:uid="{00000000-0005-0000-0000-000062030000}"/>
    <cellStyle name="2_thong ke giao dan sinh" xfId="867" xr:uid="{00000000-0005-0000-0000-000063030000}"/>
    <cellStyle name="2_TRUNG PMU 5" xfId="878" xr:uid="{00000000-0005-0000-0000-000064030000}"/>
    <cellStyle name="2_VBPL kiểm toán Đầu tư XDCB 2010" xfId="879" xr:uid="{00000000-0005-0000-0000-000065030000}"/>
    <cellStyle name="2_ÿÿÿÿÿ" xfId="880" xr:uid="{00000000-0005-0000-0000-000066030000}"/>
    <cellStyle name="2_ÿÿÿÿÿ_Bieu tong hop nhu cau ung 2011 da chon loc -Mien nui" xfId="881" xr:uid="{00000000-0005-0000-0000-000067030000}"/>
    <cellStyle name="2_ÿÿÿÿÿ_Bieu tong hop nhu cau ung 2011 da chon loc -Mien nui 2" xfId="882" xr:uid="{00000000-0005-0000-0000-000068030000}"/>
    <cellStyle name="2_ÿÿÿÿÿ_mau bieu doan giam sat 2010 (version 2)" xfId="883" xr:uid="{00000000-0005-0000-0000-000069030000}"/>
    <cellStyle name="2_ÿÿÿÿÿ_mau bieu doan giam sat 2010 (version 2) 2" xfId="884" xr:uid="{00000000-0005-0000-0000-00006A030000}"/>
    <cellStyle name="20" xfId="885" xr:uid="{00000000-0005-0000-0000-00006B030000}"/>
    <cellStyle name="20% - Accent1 2" xfId="886" xr:uid="{00000000-0005-0000-0000-00006C030000}"/>
    <cellStyle name="20% - Accent1 3" xfId="887" xr:uid="{00000000-0005-0000-0000-00006D030000}"/>
    <cellStyle name="20% - Accent2 2" xfId="888" xr:uid="{00000000-0005-0000-0000-00006E030000}"/>
    <cellStyle name="20% - Accent2 3" xfId="889" xr:uid="{00000000-0005-0000-0000-00006F030000}"/>
    <cellStyle name="20% - Accent3 2" xfId="890" xr:uid="{00000000-0005-0000-0000-000070030000}"/>
    <cellStyle name="20% - Accent3 3" xfId="891" xr:uid="{00000000-0005-0000-0000-000071030000}"/>
    <cellStyle name="20% - Accent4 2" xfId="892" xr:uid="{00000000-0005-0000-0000-000072030000}"/>
    <cellStyle name="20% - Accent4 3" xfId="893" xr:uid="{00000000-0005-0000-0000-000073030000}"/>
    <cellStyle name="20% - Accent5 2" xfId="894" xr:uid="{00000000-0005-0000-0000-000074030000}"/>
    <cellStyle name="20% - Accent5 3" xfId="895" xr:uid="{00000000-0005-0000-0000-000075030000}"/>
    <cellStyle name="20% - Accent6 2" xfId="896" xr:uid="{00000000-0005-0000-0000-000076030000}"/>
    <cellStyle name="20% - Accent6 3" xfId="897" xr:uid="{00000000-0005-0000-0000-000077030000}"/>
    <cellStyle name="20% - Nhấn1" xfId="898" xr:uid="{00000000-0005-0000-0000-000078030000}"/>
    <cellStyle name="20% - Nhấn2" xfId="899" xr:uid="{00000000-0005-0000-0000-000079030000}"/>
    <cellStyle name="20% - Nhấn3" xfId="900" xr:uid="{00000000-0005-0000-0000-00007A030000}"/>
    <cellStyle name="20% - Nhấn4" xfId="901" xr:uid="{00000000-0005-0000-0000-00007B030000}"/>
    <cellStyle name="20% - Nhấn5" xfId="902" xr:uid="{00000000-0005-0000-0000-00007C030000}"/>
    <cellStyle name="20% - Nhấn6" xfId="903" xr:uid="{00000000-0005-0000-0000-00007D030000}"/>
    <cellStyle name="-2001" xfId="904" xr:uid="{00000000-0005-0000-0000-00007E030000}"/>
    <cellStyle name="3" xfId="905" xr:uid="{00000000-0005-0000-0000-00007F030000}"/>
    <cellStyle name="3_7 noi 48 goi C5 9 vi na" xfId="906" xr:uid="{00000000-0005-0000-0000-000080030000}"/>
    <cellStyle name="3_Book1" xfId="907" xr:uid="{00000000-0005-0000-0000-000081030000}"/>
    <cellStyle name="3_Book1_1" xfId="908" xr:uid="{00000000-0005-0000-0000-000082030000}"/>
    <cellStyle name="3_Cau thuy dien Ban La (Cu Anh)" xfId="909" xr:uid="{00000000-0005-0000-0000-000083030000}"/>
    <cellStyle name="3_Dtdchinh2397" xfId="910" xr:uid="{00000000-0005-0000-0000-000084030000}"/>
    <cellStyle name="3_Du toan 558 (Km17+508.12 - Km 22)" xfId="911" xr:uid="{00000000-0005-0000-0000-000085030000}"/>
    <cellStyle name="3_Gia_VLQL48_duyet " xfId="912" xr:uid="{00000000-0005-0000-0000-000086030000}"/>
    <cellStyle name="3_KLNM 1303" xfId="913" xr:uid="{00000000-0005-0000-0000-000087030000}"/>
    <cellStyle name="3_KlQdinhduyet" xfId="914" xr:uid="{00000000-0005-0000-0000-000088030000}"/>
    <cellStyle name="3_Thong ke cong" xfId="915" xr:uid="{00000000-0005-0000-0000-000089030000}"/>
    <cellStyle name="3_thong ke giao dan sinh" xfId="916" xr:uid="{00000000-0005-0000-0000-00008A030000}"/>
    <cellStyle name="3_VBPL kiểm toán Đầu tư XDCB 2010" xfId="917" xr:uid="{00000000-0005-0000-0000-00008B030000}"/>
    <cellStyle name="3_ÿÿÿÿÿ" xfId="918" xr:uid="{00000000-0005-0000-0000-00008C030000}"/>
    <cellStyle name="4" xfId="919" xr:uid="{00000000-0005-0000-0000-00008D030000}"/>
    <cellStyle name="4_7 noi 48 goi C5 9 vi na" xfId="920" xr:uid="{00000000-0005-0000-0000-00008E030000}"/>
    <cellStyle name="4_Book1" xfId="921" xr:uid="{00000000-0005-0000-0000-00008F030000}"/>
    <cellStyle name="4_Book1_1" xfId="922" xr:uid="{00000000-0005-0000-0000-000090030000}"/>
    <cellStyle name="4_Cau thuy dien Ban La (Cu Anh)" xfId="923" xr:uid="{00000000-0005-0000-0000-000091030000}"/>
    <cellStyle name="4_Dtdchinh2397" xfId="924" xr:uid="{00000000-0005-0000-0000-000092030000}"/>
    <cellStyle name="4_Du toan 558 (Km17+508.12 - Km 22)" xfId="925" xr:uid="{00000000-0005-0000-0000-000093030000}"/>
    <cellStyle name="4_Gia_VLQL48_duyet " xfId="926" xr:uid="{00000000-0005-0000-0000-000094030000}"/>
    <cellStyle name="4_KLNM 1303" xfId="927" xr:uid="{00000000-0005-0000-0000-000095030000}"/>
    <cellStyle name="4_KlQdinhduyet" xfId="928" xr:uid="{00000000-0005-0000-0000-000096030000}"/>
    <cellStyle name="4_Thong ke cong" xfId="929" xr:uid="{00000000-0005-0000-0000-000097030000}"/>
    <cellStyle name="4_thong ke giao dan sinh" xfId="930" xr:uid="{00000000-0005-0000-0000-000098030000}"/>
    <cellStyle name="4_ÿÿÿÿÿ" xfId="931" xr:uid="{00000000-0005-0000-0000-000099030000}"/>
    <cellStyle name="40% - Accent1 2" xfId="932" xr:uid="{00000000-0005-0000-0000-00009A030000}"/>
    <cellStyle name="40% - Accent1 3" xfId="933" xr:uid="{00000000-0005-0000-0000-00009B030000}"/>
    <cellStyle name="40% - Accent2 2" xfId="934" xr:uid="{00000000-0005-0000-0000-00009C030000}"/>
    <cellStyle name="40% - Accent2 3" xfId="935" xr:uid="{00000000-0005-0000-0000-00009D030000}"/>
    <cellStyle name="40% - Accent3 2" xfId="936" xr:uid="{00000000-0005-0000-0000-00009E030000}"/>
    <cellStyle name="40% - Accent3 3" xfId="937" xr:uid="{00000000-0005-0000-0000-00009F030000}"/>
    <cellStyle name="40% - Accent4 2" xfId="938" xr:uid="{00000000-0005-0000-0000-0000A0030000}"/>
    <cellStyle name="40% - Accent4 3" xfId="939" xr:uid="{00000000-0005-0000-0000-0000A1030000}"/>
    <cellStyle name="40% - Accent5 2" xfId="940" xr:uid="{00000000-0005-0000-0000-0000A2030000}"/>
    <cellStyle name="40% - Accent5 3" xfId="941" xr:uid="{00000000-0005-0000-0000-0000A3030000}"/>
    <cellStyle name="40% - Accent6 2" xfId="942" xr:uid="{00000000-0005-0000-0000-0000A4030000}"/>
    <cellStyle name="40% - Accent6 3" xfId="943" xr:uid="{00000000-0005-0000-0000-0000A5030000}"/>
    <cellStyle name="40% - Nhấn1" xfId="944" xr:uid="{00000000-0005-0000-0000-0000A6030000}"/>
    <cellStyle name="40% - Nhấn2" xfId="945" xr:uid="{00000000-0005-0000-0000-0000A7030000}"/>
    <cellStyle name="40% - Nhấn3" xfId="946" xr:uid="{00000000-0005-0000-0000-0000A8030000}"/>
    <cellStyle name="40% - Nhấn4" xfId="947" xr:uid="{00000000-0005-0000-0000-0000A9030000}"/>
    <cellStyle name="40% - Nhấn5" xfId="948" xr:uid="{00000000-0005-0000-0000-0000AA030000}"/>
    <cellStyle name="40% - Nhấn6" xfId="949" xr:uid="{00000000-0005-0000-0000-0000AB030000}"/>
    <cellStyle name="6" xfId="950" xr:uid="{00000000-0005-0000-0000-0000AC030000}"/>
    <cellStyle name="6_Bieu mau ung 2011-Mien Trung-TPCP-11-6" xfId="951" xr:uid="{00000000-0005-0000-0000-0000AD030000}"/>
    <cellStyle name="6_Copy of ghep 3 bieu trinh LD BO 28-6 (TPCP)" xfId="952" xr:uid="{00000000-0005-0000-0000-0000AE030000}"/>
    <cellStyle name="6_DTDuong dong tien -sua tham tra 2009 - luong 650" xfId="953" xr:uid="{00000000-0005-0000-0000-0000AF030000}"/>
    <cellStyle name="6_Nhu cau tam ung NSNN&amp;TPCP&amp;ODA theo tieu chi cua Bo (CV410_BKH-TH)_vung Tay Nguyen (11.6.2010)" xfId="954" xr:uid="{00000000-0005-0000-0000-0000B0030000}"/>
    <cellStyle name="60% - Accent1 2" xfId="955" xr:uid="{00000000-0005-0000-0000-0000B1030000}"/>
    <cellStyle name="60% - Accent1 3" xfId="956" xr:uid="{00000000-0005-0000-0000-0000B2030000}"/>
    <cellStyle name="60% - Accent2 2" xfId="957" xr:uid="{00000000-0005-0000-0000-0000B3030000}"/>
    <cellStyle name="60% - Accent2 3" xfId="958" xr:uid="{00000000-0005-0000-0000-0000B4030000}"/>
    <cellStyle name="60% - Accent3 2" xfId="959" xr:uid="{00000000-0005-0000-0000-0000B5030000}"/>
    <cellStyle name="60% - Accent3 3" xfId="960" xr:uid="{00000000-0005-0000-0000-0000B6030000}"/>
    <cellStyle name="60% - Accent4 2" xfId="961" xr:uid="{00000000-0005-0000-0000-0000B7030000}"/>
    <cellStyle name="60% - Accent4 3" xfId="962" xr:uid="{00000000-0005-0000-0000-0000B8030000}"/>
    <cellStyle name="60% - Accent5 2" xfId="963" xr:uid="{00000000-0005-0000-0000-0000B9030000}"/>
    <cellStyle name="60% - Accent5 3" xfId="964" xr:uid="{00000000-0005-0000-0000-0000BA030000}"/>
    <cellStyle name="60% - Accent6 2" xfId="965" xr:uid="{00000000-0005-0000-0000-0000BB030000}"/>
    <cellStyle name="60% - Accent6 3" xfId="966" xr:uid="{00000000-0005-0000-0000-0000BC030000}"/>
    <cellStyle name="60% - Nhấn1" xfId="967" xr:uid="{00000000-0005-0000-0000-0000BD030000}"/>
    <cellStyle name="60% - Nhấn2" xfId="968" xr:uid="{00000000-0005-0000-0000-0000BE030000}"/>
    <cellStyle name="60% - Nhấn3" xfId="969" xr:uid="{00000000-0005-0000-0000-0000BF030000}"/>
    <cellStyle name="60% - Nhấn4" xfId="970" xr:uid="{00000000-0005-0000-0000-0000C0030000}"/>
    <cellStyle name="60% - Nhấn5" xfId="971" xr:uid="{00000000-0005-0000-0000-0000C1030000}"/>
    <cellStyle name="60% - Nhấn6" xfId="972" xr:uid="{00000000-0005-0000-0000-0000C2030000}"/>
    <cellStyle name="9" xfId="973" xr:uid="{00000000-0005-0000-0000-0000C3030000}"/>
    <cellStyle name="Accent1 2" xfId="974" xr:uid="{00000000-0005-0000-0000-0000C4030000}"/>
    <cellStyle name="Accent1 3" xfId="975" xr:uid="{00000000-0005-0000-0000-0000C5030000}"/>
    <cellStyle name="Accent2 2" xfId="976" xr:uid="{00000000-0005-0000-0000-0000C6030000}"/>
    <cellStyle name="Accent2 3" xfId="977" xr:uid="{00000000-0005-0000-0000-0000C7030000}"/>
    <cellStyle name="Accent3 2" xfId="978" xr:uid="{00000000-0005-0000-0000-0000C8030000}"/>
    <cellStyle name="Accent3 3" xfId="979" xr:uid="{00000000-0005-0000-0000-0000C9030000}"/>
    <cellStyle name="Accent4 2" xfId="980" xr:uid="{00000000-0005-0000-0000-0000CA030000}"/>
    <cellStyle name="Accent4 3" xfId="981" xr:uid="{00000000-0005-0000-0000-0000CB030000}"/>
    <cellStyle name="Accent5 2" xfId="982" xr:uid="{00000000-0005-0000-0000-0000CC030000}"/>
    <cellStyle name="Accent5 3" xfId="983" xr:uid="{00000000-0005-0000-0000-0000CD030000}"/>
    <cellStyle name="Accent6 2" xfId="984" xr:uid="{00000000-0005-0000-0000-0000CE030000}"/>
    <cellStyle name="Accent6 3" xfId="985" xr:uid="{00000000-0005-0000-0000-0000CF030000}"/>
    <cellStyle name="ÅëÈ­ [0]_      " xfId="986" xr:uid="{00000000-0005-0000-0000-0000D0030000}"/>
    <cellStyle name="AeE­ [0]_INQUIRY ¿?¾÷AßAø " xfId="987" xr:uid="{00000000-0005-0000-0000-0000D1030000}"/>
    <cellStyle name="ÅëÈ­ [0]_L601CPT" xfId="988" xr:uid="{00000000-0005-0000-0000-0000D2030000}"/>
    <cellStyle name="ÅëÈ­_      " xfId="989" xr:uid="{00000000-0005-0000-0000-0000D3030000}"/>
    <cellStyle name="AeE­_INQUIRY ¿?¾÷AßAø " xfId="990" xr:uid="{00000000-0005-0000-0000-0000D4030000}"/>
    <cellStyle name="ÅëÈ­_L601CPT" xfId="991" xr:uid="{00000000-0005-0000-0000-0000D5030000}"/>
    <cellStyle name="args.style" xfId="992" xr:uid="{00000000-0005-0000-0000-0000D6030000}"/>
    <cellStyle name="at" xfId="993" xr:uid="{00000000-0005-0000-0000-0000D7030000}"/>
    <cellStyle name="ÄÞ¸¶ [0]_      " xfId="994" xr:uid="{00000000-0005-0000-0000-0000D8030000}"/>
    <cellStyle name="AÞ¸¶ [0]_INQUIRY ¿?¾÷AßAø " xfId="995" xr:uid="{00000000-0005-0000-0000-0000D9030000}"/>
    <cellStyle name="ÄÞ¸¶ [0]_L601CPT" xfId="996" xr:uid="{00000000-0005-0000-0000-0000DA030000}"/>
    <cellStyle name="ÄÞ¸¶_      " xfId="997" xr:uid="{00000000-0005-0000-0000-0000DB030000}"/>
    <cellStyle name="AÞ¸¶_INQUIRY ¿?¾÷AßAø " xfId="998" xr:uid="{00000000-0005-0000-0000-0000DC030000}"/>
    <cellStyle name="ÄÞ¸¶_L601CPT" xfId="999" xr:uid="{00000000-0005-0000-0000-0000DD030000}"/>
    <cellStyle name="AutoFormat Options" xfId="1000" xr:uid="{00000000-0005-0000-0000-0000DE030000}"/>
    <cellStyle name="AutoFormat-Optionen" xfId="1001" xr:uid="{00000000-0005-0000-0000-0000DF030000}"/>
    <cellStyle name="AutoFormat-Optionen 2" xfId="1002" xr:uid="{00000000-0005-0000-0000-0000E0030000}"/>
    <cellStyle name="AutoFormat-Optionen 2 2" xfId="4" xr:uid="{00000000-0005-0000-0000-0000E1030000}"/>
    <cellStyle name="AutoFormat-Optionen 3" xfId="1003" xr:uid="{00000000-0005-0000-0000-0000E2030000}"/>
    <cellStyle name="AutoFormat-Optionen 4" xfId="1004" xr:uid="{00000000-0005-0000-0000-0000E3030000}"/>
    <cellStyle name="AutoFormat-Optionen_2. Du toan chi tiet nam 2018" xfId="1005" xr:uid="{00000000-0005-0000-0000-0000E4030000}"/>
    <cellStyle name="Bad 2" xfId="1006" xr:uid="{00000000-0005-0000-0000-0000E5030000}"/>
    <cellStyle name="Bad 3" xfId="1007" xr:uid="{00000000-0005-0000-0000-0000E6030000}"/>
    <cellStyle name="Body" xfId="1008" xr:uid="{00000000-0005-0000-0000-0000E7030000}"/>
    <cellStyle name="C?AØ_¿?¾÷CoE² " xfId="1009" xr:uid="{00000000-0005-0000-0000-0000E8030000}"/>
    <cellStyle name="C~1" xfId="1010" xr:uid="{00000000-0005-0000-0000-0000E9030000}"/>
    <cellStyle name="Ç¥ÁØ_      " xfId="1011" xr:uid="{00000000-0005-0000-0000-0000EA030000}"/>
    <cellStyle name="C￥AØ_¿μ¾÷CoE² " xfId="1012" xr:uid="{00000000-0005-0000-0000-0000EB030000}"/>
    <cellStyle name="Ç¥ÁØ_±¸¹Ì´ëÃ¥" xfId="1013" xr:uid="{00000000-0005-0000-0000-0000EC030000}"/>
    <cellStyle name="C￥AØ_Sheet1_¿μ¾÷CoE² " xfId="1014" xr:uid="{00000000-0005-0000-0000-0000ED030000}"/>
    <cellStyle name="Ç¥ÁØ_ÿÿÿÿÿÿ_4_ÃÑÇÕ°è " xfId="1015" xr:uid="{00000000-0005-0000-0000-0000EE030000}"/>
    <cellStyle name="Calc Currency (0)" xfId="1016" xr:uid="{00000000-0005-0000-0000-0000EF030000}"/>
    <cellStyle name="Calc Currency (2)" xfId="1017" xr:uid="{00000000-0005-0000-0000-0000F0030000}"/>
    <cellStyle name="Calc Percent (0)" xfId="1018" xr:uid="{00000000-0005-0000-0000-0000F1030000}"/>
    <cellStyle name="Calc Percent (1)" xfId="1019" xr:uid="{00000000-0005-0000-0000-0000F2030000}"/>
    <cellStyle name="Calc Percent (2)" xfId="1020" xr:uid="{00000000-0005-0000-0000-0000F3030000}"/>
    <cellStyle name="Calc Units (0)" xfId="1021" xr:uid="{00000000-0005-0000-0000-0000F4030000}"/>
    <cellStyle name="Calc Units (1)" xfId="1022" xr:uid="{00000000-0005-0000-0000-0000F5030000}"/>
    <cellStyle name="Calc Units (2)" xfId="1023" xr:uid="{00000000-0005-0000-0000-0000F6030000}"/>
    <cellStyle name="Calculation 2" xfId="1024" xr:uid="{00000000-0005-0000-0000-0000F7030000}"/>
    <cellStyle name="Calculation 2 2" xfId="1025" xr:uid="{00000000-0005-0000-0000-0000F8030000}"/>
    <cellStyle name="Calculation 3" xfId="1026" xr:uid="{00000000-0005-0000-0000-0000F9030000}"/>
    <cellStyle name="category" xfId="1027" xr:uid="{00000000-0005-0000-0000-0000FA030000}"/>
    <cellStyle name="Cerrency_Sheet2_XANGDAU" xfId="1028" xr:uid="{00000000-0005-0000-0000-0000FB030000}"/>
    <cellStyle name="Co?ma_Sheet1" xfId="1037" xr:uid="{00000000-0005-0000-0000-0000FC030000}"/>
    <cellStyle name="Comma" xfId="1" builtinId="3"/>
    <cellStyle name="Comma  - Style1" xfId="1038" xr:uid="{00000000-0005-0000-0000-0000FE030000}"/>
    <cellStyle name="Comma  - Style2" xfId="1039" xr:uid="{00000000-0005-0000-0000-0000FF030000}"/>
    <cellStyle name="Comma  - Style3" xfId="1040" xr:uid="{00000000-0005-0000-0000-000000040000}"/>
    <cellStyle name="Comma  - Style4" xfId="1041" xr:uid="{00000000-0005-0000-0000-000001040000}"/>
    <cellStyle name="Comma  - Style5" xfId="1042" xr:uid="{00000000-0005-0000-0000-000002040000}"/>
    <cellStyle name="Comma  - Style6" xfId="1043" xr:uid="{00000000-0005-0000-0000-000003040000}"/>
    <cellStyle name="Comma  - Style7" xfId="1044" xr:uid="{00000000-0005-0000-0000-000004040000}"/>
    <cellStyle name="Comma  - Style8" xfId="1045" xr:uid="{00000000-0005-0000-0000-000005040000}"/>
    <cellStyle name="Comma [0] 2" xfId="1046" xr:uid="{00000000-0005-0000-0000-000006040000}"/>
    <cellStyle name="Comma [0] 2 10" xfId="1047" xr:uid="{00000000-0005-0000-0000-000007040000}"/>
    <cellStyle name="Comma [0] 3" xfId="1048" xr:uid="{00000000-0005-0000-0000-000008040000}"/>
    <cellStyle name="Comma [0] 4" xfId="1049" xr:uid="{00000000-0005-0000-0000-000009040000}"/>
    <cellStyle name="Comma [0] 5" xfId="1050" xr:uid="{00000000-0005-0000-0000-00000A040000}"/>
    <cellStyle name="Comma [0] 8 2" xfId="1051" xr:uid="{00000000-0005-0000-0000-00000B040000}"/>
    <cellStyle name="Comma [00]" xfId="1052" xr:uid="{00000000-0005-0000-0000-00000C040000}"/>
    <cellStyle name="Comma 10" xfId="1053" xr:uid="{00000000-0005-0000-0000-00000D040000}"/>
    <cellStyle name="Comma 10 10" xfId="1054" xr:uid="{00000000-0005-0000-0000-00000E040000}"/>
    <cellStyle name="Comma 10 2" xfId="2" xr:uid="{00000000-0005-0000-0000-00000F040000}"/>
    <cellStyle name="Comma 10 2 2" xfId="1055" xr:uid="{00000000-0005-0000-0000-000010040000}"/>
    <cellStyle name="Comma 10 3" xfId="3" xr:uid="{00000000-0005-0000-0000-000011040000}"/>
    <cellStyle name="Comma 11" xfId="1056" xr:uid="{00000000-0005-0000-0000-000012040000}"/>
    <cellStyle name="Comma 12" xfId="1057" xr:uid="{00000000-0005-0000-0000-000013040000}"/>
    <cellStyle name="Comma 13" xfId="1058" xr:uid="{00000000-0005-0000-0000-000014040000}"/>
    <cellStyle name="Comma 14" xfId="1059" xr:uid="{00000000-0005-0000-0000-000015040000}"/>
    <cellStyle name="Comma 14 3" xfId="1060" xr:uid="{00000000-0005-0000-0000-000016040000}"/>
    <cellStyle name="Comma 15" xfId="1061" xr:uid="{00000000-0005-0000-0000-000017040000}"/>
    <cellStyle name="Comma 16" xfId="1062" xr:uid="{00000000-0005-0000-0000-000018040000}"/>
    <cellStyle name="Comma 16 2" xfId="1063" xr:uid="{00000000-0005-0000-0000-000019040000}"/>
    <cellStyle name="Comma 16 3 3 2 2" xfId="1064" xr:uid="{00000000-0005-0000-0000-00001A040000}"/>
    <cellStyle name="Comma 17" xfId="1065" xr:uid="{00000000-0005-0000-0000-00001B040000}"/>
    <cellStyle name="Comma 18" xfId="1066" xr:uid="{00000000-0005-0000-0000-00001C040000}"/>
    <cellStyle name="Comma 19" xfId="1067" xr:uid="{00000000-0005-0000-0000-00001D040000}"/>
    <cellStyle name="Comma 2" xfId="5" xr:uid="{00000000-0005-0000-0000-00001E040000}"/>
    <cellStyle name="Comma 2 2" xfId="1068" xr:uid="{00000000-0005-0000-0000-00001F040000}"/>
    <cellStyle name="Comma 2 2 2" xfId="2268" xr:uid="{00000000-0005-0000-0000-000020040000}"/>
    <cellStyle name="Comma 2 2 2 10" xfId="1069" xr:uid="{00000000-0005-0000-0000-000021040000}"/>
    <cellStyle name="Comma 2 28" xfId="1070" xr:uid="{00000000-0005-0000-0000-000022040000}"/>
    <cellStyle name="Comma 2 3" xfId="1071" xr:uid="{00000000-0005-0000-0000-000023040000}"/>
    <cellStyle name="Comma 2 3 2" xfId="1072" xr:uid="{00000000-0005-0000-0000-000024040000}"/>
    <cellStyle name="Comma 2 3 3" xfId="1073" xr:uid="{00000000-0005-0000-0000-000025040000}"/>
    <cellStyle name="Comma 2 4" xfId="1074" xr:uid="{00000000-0005-0000-0000-000026040000}"/>
    <cellStyle name="Comma 2 5" xfId="1075" xr:uid="{00000000-0005-0000-0000-000027040000}"/>
    <cellStyle name="Comma 2_bieu 1" xfId="1076" xr:uid="{00000000-0005-0000-0000-000028040000}"/>
    <cellStyle name="Comma 20" xfId="1077" xr:uid="{00000000-0005-0000-0000-000029040000}"/>
    <cellStyle name="Comma 20 2" xfId="1078" xr:uid="{00000000-0005-0000-0000-00002A040000}"/>
    <cellStyle name="Comma 21" xfId="1079" xr:uid="{00000000-0005-0000-0000-00002B040000}"/>
    <cellStyle name="Comma 21 2" xfId="1080" xr:uid="{00000000-0005-0000-0000-00002C040000}"/>
    <cellStyle name="Comma 21 2 2" xfId="1081" xr:uid="{00000000-0005-0000-0000-00002D040000}"/>
    <cellStyle name="Comma 21 3" xfId="1082" xr:uid="{00000000-0005-0000-0000-00002E040000}"/>
    <cellStyle name="Comma 21 3 2" xfId="1083" xr:uid="{00000000-0005-0000-0000-00002F040000}"/>
    <cellStyle name="Comma 21 4" xfId="1084" xr:uid="{00000000-0005-0000-0000-000030040000}"/>
    <cellStyle name="Comma 21 4 2" xfId="1085" xr:uid="{00000000-0005-0000-0000-000031040000}"/>
    <cellStyle name="Comma 21 5" xfId="1086" xr:uid="{00000000-0005-0000-0000-000032040000}"/>
    <cellStyle name="Comma 21 6" xfId="1087" xr:uid="{00000000-0005-0000-0000-000033040000}"/>
    <cellStyle name="Comma 22" xfId="1088" xr:uid="{00000000-0005-0000-0000-000034040000}"/>
    <cellStyle name="Comma 22 2" xfId="1089" xr:uid="{00000000-0005-0000-0000-000035040000}"/>
    <cellStyle name="Comma 22 3" xfId="1090" xr:uid="{00000000-0005-0000-0000-000036040000}"/>
    <cellStyle name="Comma 23" xfId="1091" xr:uid="{00000000-0005-0000-0000-000037040000}"/>
    <cellStyle name="Comma 23 2" xfId="9" xr:uid="{00000000-0005-0000-0000-000038040000}"/>
    <cellStyle name="Comma 24" xfId="1092" xr:uid="{00000000-0005-0000-0000-000039040000}"/>
    <cellStyle name="Comma 25" xfId="1093" xr:uid="{00000000-0005-0000-0000-00003A040000}"/>
    <cellStyle name="Comma 25 2" xfId="1094" xr:uid="{00000000-0005-0000-0000-00003B040000}"/>
    <cellStyle name="Comma 26" xfId="1095" xr:uid="{00000000-0005-0000-0000-00003C040000}"/>
    <cellStyle name="Comma 27" xfId="1096" xr:uid="{00000000-0005-0000-0000-00003D040000}"/>
    <cellStyle name="Comma 28" xfId="1097" xr:uid="{00000000-0005-0000-0000-00003E040000}"/>
    <cellStyle name="Comma 29" xfId="1098" xr:uid="{00000000-0005-0000-0000-00003F040000}"/>
    <cellStyle name="Comma 3" xfId="1099" xr:uid="{00000000-0005-0000-0000-000040040000}"/>
    <cellStyle name="Comma 3 2" xfId="1100" xr:uid="{00000000-0005-0000-0000-000041040000}"/>
    <cellStyle name="Comma 3 3" xfId="1101" xr:uid="{00000000-0005-0000-0000-000042040000}"/>
    <cellStyle name="Comma 3_VBPL kiểm toán Đầu tư XDCB 2010" xfId="1102" xr:uid="{00000000-0005-0000-0000-000043040000}"/>
    <cellStyle name="Comma 30" xfId="1103" xr:uid="{00000000-0005-0000-0000-000044040000}"/>
    <cellStyle name="Comma 31" xfId="1104" xr:uid="{00000000-0005-0000-0000-000045040000}"/>
    <cellStyle name="Comma 32" xfId="1105" xr:uid="{00000000-0005-0000-0000-000046040000}"/>
    <cellStyle name="Comma 33" xfId="1106" xr:uid="{00000000-0005-0000-0000-000047040000}"/>
    <cellStyle name="Comma 34" xfId="2274" xr:uid="{00000000-0005-0000-0000-000048040000}"/>
    <cellStyle name="Comma 4" xfId="1107" xr:uid="{00000000-0005-0000-0000-000049040000}"/>
    <cellStyle name="Comma 4 2" xfId="1108" xr:uid="{00000000-0005-0000-0000-00004A040000}"/>
    <cellStyle name="Comma 4 20" xfId="1109" xr:uid="{00000000-0005-0000-0000-00004B040000}"/>
    <cellStyle name="Comma 4_Bieu mau KH 2011 (gui Vu DP)" xfId="1110" xr:uid="{00000000-0005-0000-0000-00004C040000}"/>
    <cellStyle name="Comma 5" xfId="1111" xr:uid="{00000000-0005-0000-0000-00004D040000}"/>
    <cellStyle name="Comma 5 2" xfId="1112" xr:uid="{00000000-0005-0000-0000-00004E040000}"/>
    <cellStyle name="Comma 53 2" xfId="1113" xr:uid="{00000000-0005-0000-0000-00004F040000}"/>
    <cellStyle name="Comma 6" xfId="1114" xr:uid="{00000000-0005-0000-0000-000050040000}"/>
    <cellStyle name="Comma 6 2" xfId="1115" xr:uid="{00000000-0005-0000-0000-000051040000}"/>
    <cellStyle name="Comma 7" xfId="1116" xr:uid="{00000000-0005-0000-0000-000052040000}"/>
    <cellStyle name="Comma 8" xfId="1117" xr:uid="{00000000-0005-0000-0000-000053040000}"/>
    <cellStyle name="Comma 8 2" xfId="1118" xr:uid="{00000000-0005-0000-0000-000054040000}"/>
    <cellStyle name="Comma 9" xfId="1119" xr:uid="{00000000-0005-0000-0000-000055040000}"/>
    <cellStyle name="comma zerodec" xfId="1120" xr:uid="{00000000-0005-0000-0000-000056040000}"/>
    <cellStyle name="Comma0" xfId="1121" xr:uid="{00000000-0005-0000-0000-000057040000}"/>
    <cellStyle name="Comma0 - Modelo1" xfId="1122" xr:uid="{00000000-0005-0000-0000-000058040000}"/>
    <cellStyle name="Comma0 - Style1" xfId="1123" xr:uid="{00000000-0005-0000-0000-000059040000}"/>
    <cellStyle name="Comma0 2" xfId="1124" xr:uid="{00000000-0005-0000-0000-00005A040000}"/>
    <cellStyle name="Comma0 3" xfId="1125" xr:uid="{00000000-0005-0000-0000-00005B040000}"/>
    <cellStyle name="Comma0 4" xfId="1126" xr:uid="{00000000-0005-0000-0000-00005C040000}"/>
    <cellStyle name="Comma0_Book1" xfId="1127" xr:uid="{00000000-0005-0000-0000-00005D040000}"/>
    <cellStyle name="Comma1 - Modelo2" xfId="1128" xr:uid="{00000000-0005-0000-0000-00005E040000}"/>
    <cellStyle name="Comma1 - Style2" xfId="1129" xr:uid="{00000000-0005-0000-0000-00005F040000}"/>
    <cellStyle name="cong" xfId="1130" xr:uid="{00000000-0005-0000-0000-000060040000}"/>
    <cellStyle name="Copied" xfId="1131" xr:uid="{00000000-0005-0000-0000-000061040000}"/>
    <cellStyle name="Cࡵrrency_Sheet1_PRODUCTĠ" xfId="1132" xr:uid="{00000000-0005-0000-0000-000062040000}"/>
    <cellStyle name="Currency [00]" xfId="1133" xr:uid="{00000000-0005-0000-0000-000063040000}"/>
    <cellStyle name="Currency 2" xfId="1134" xr:uid="{00000000-0005-0000-0000-000064040000}"/>
    <cellStyle name="Currency 3" xfId="1135" xr:uid="{00000000-0005-0000-0000-000065040000}"/>
    <cellStyle name="Currency0" xfId="1136" xr:uid="{00000000-0005-0000-0000-000066040000}"/>
    <cellStyle name="Currency0 2" xfId="1137" xr:uid="{00000000-0005-0000-0000-000067040000}"/>
    <cellStyle name="Currency0 2 2" xfId="1138" xr:uid="{00000000-0005-0000-0000-000068040000}"/>
    <cellStyle name="Currency0 2 3" xfId="1139" xr:uid="{00000000-0005-0000-0000-000069040000}"/>
    <cellStyle name="Currency0 2 4" xfId="1140" xr:uid="{00000000-0005-0000-0000-00006A040000}"/>
    <cellStyle name="Currency0 2_Khoi cong moi 1" xfId="1141" xr:uid="{00000000-0005-0000-0000-00006B040000}"/>
    <cellStyle name="Currency0 3" xfId="1142" xr:uid="{00000000-0005-0000-0000-00006C040000}"/>
    <cellStyle name="Currency0 4" xfId="1143" xr:uid="{00000000-0005-0000-0000-00006D040000}"/>
    <cellStyle name="Currency0 5" xfId="1144" xr:uid="{00000000-0005-0000-0000-00006E040000}"/>
    <cellStyle name="Currency0 6" xfId="1145" xr:uid="{00000000-0005-0000-0000-00006F040000}"/>
    <cellStyle name="Currency0_Book1" xfId="1146" xr:uid="{00000000-0005-0000-0000-000070040000}"/>
    <cellStyle name="Currency1" xfId="1147" xr:uid="{00000000-0005-0000-0000-000071040000}"/>
    <cellStyle name="Check Cell 2" xfId="1029" xr:uid="{00000000-0005-0000-0000-000072040000}"/>
    <cellStyle name="Check Cell 3" xfId="1030" xr:uid="{00000000-0005-0000-0000-000073040000}"/>
    <cellStyle name="Chi phÝ kh¸c_Book1" xfId="1031" xr:uid="{00000000-0005-0000-0000-000074040000}"/>
    <cellStyle name="chu" xfId="1032" xr:uid="{00000000-0005-0000-0000-000075040000}"/>
    <cellStyle name="CHUONG" xfId="1033" xr:uid="{00000000-0005-0000-0000-000076040000}"/>
    <cellStyle name="CHUONG 2" xfId="1034" xr:uid="{00000000-0005-0000-0000-000077040000}"/>
    <cellStyle name="CHUONG 2 2" xfId="1035" xr:uid="{00000000-0005-0000-0000-000078040000}"/>
    <cellStyle name="CHUONG 3" xfId="1036" xr:uid="{00000000-0005-0000-0000-000079040000}"/>
    <cellStyle name="D1" xfId="1148" xr:uid="{00000000-0005-0000-0000-00007A040000}"/>
    <cellStyle name="Date" xfId="1149" xr:uid="{00000000-0005-0000-0000-00007B040000}"/>
    <cellStyle name="Date 2" xfId="1150" xr:uid="{00000000-0005-0000-0000-00007C040000}"/>
    <cellStyle name="Date 3" xfId="1151" xr:uid="{00000000-0005-0000-0000-00007D040000}"/>
    <cellStyle name="Date Short" xfId="1152" xr:uid="{00000000-0005-0000-0000-00007E040000}"/>
    <cellStyle name="Date_17 bieu (hung cap nhap)" xfId="1153" xr:uid="{00000000-0005-0000-0000-00007F040000}"/>
    <cellStyle name="DAUDE" xfId="1158" xr:uid="{00000000-0005-0000-0000-000080040000}"/>
    <cellStyle name="Decimal" xfId="1163" xr:uid="{00000000-0005-0000-0000-000081040000}"/>
    <cellStyle name="Decimal 2" xfId="1164" xr:uid="{00000000-0005-0000-0000-000082040000}"/>
    <cellStyle name="Decimal 3" xfId="1165" xr:uid="{00000000-0005-0000-0000-000083040000}"/>
    <cellStyle name="Decimal 4" xfId="1166" xr:uid="{00000000-0005-0000-0000-000084040000}"/>
    <cellStyle name="DELTA" xfId="1167" xr:uid="{00000000-0005-0000-0000-000085040000}"/>
    <cellStyle name="Dezimal [0]_35ERI8T2gbIEMixb4v26icuOo" xfId="1168" xr:uid="{00000000-0005-0000-0000-000086040000}"/>
    <cellStyle name="Dezimal_35ERI8T2gbIEMixb4v26icuOo" xfId="1169" xr:uid="{00000000-0005-0000-0000-000087040000}"/>
    <cellStyle name="Dg" xfId="1170" xr:uid="{00000000-0005-0000-0000-000088040000}"/>
    <cellStyle name="Dgia" xfId="1171" xr:uid="{00000000-0005-0000-0000-000089040000}"/>
    <cellStyle name="Dgia 2" xfId="1172" xr:uid="{00000000-0005-0000-0000-00008A040000}"/>
    <cellStyle name="Dia" xfId="1173" xr:uid="{00000000-0005-0000-0000-00008B040000}"/>
    <cellStyle name="Dollar (zero dec)" xfId="1174" xr:uid="{00000000-0005-0000-0000-00008C040000}"/>
    <cellStyle name="Don gia" xfId="1175" xr:uid="{00000000-0005-0000-0000-00008D040000}"/>
    <cellStyle name="DuToanBXD" xfId="1176" xr:uid="{00000000-0005-0000-0000-00008E040000}"/>
    <cellStyle name="DuToanBXD 2" xfId="1177" xr:uid="{00000000-0005-0000-0000-00008F040000}"/>
    <cellStyle name="Dziesi?tny [0]_Invoices2001Slovakia" xfId="1178" xr:uid="{00000000-0005-0000-0000-000090040000}"/>
    <cellStyle name="Dziesi?tny_Invoices2001Slovakia" xfId="1179" xr:uid="{00000000-0005-0000-0000-000091040000}"/>
    <cellStyle name="Dziesietny [0]_Invoices2001Slovakia" xfId="1180" xr:uid="{00000000-0005-0000-0000-000092040000}"/>
    <cellStyle name="Dziesiętny [0]_Invoices2001Slovakia" xfId="1181" xr:uid="{00000000-0005-0000-0000-000093040000}"/>
    <cellStyle name="Dziesietny [0]_Invoices2001Slovakia_01_Nha so 1_Dien" xfId="1182" xr:uid="{00000000-0005-0000-0000-000094040000}"/>
    <cellStyle name="Dziesiętny [0]_Invoices2001Slovakia_01_Nha so 1_Dien" xfId="1183" xr:uid="{00000000-0005-0000-0000-000095040000}"/>
    <cellStyle name="Dziesietny [0]_Invoices2001Slovakia_10_Nha so 10_Dien1" xfId="1184" xr:uid="{00000000-0005-0000-0000-000096040000}"/>
    <cellStyle name="Dziesiętny [0]_Invoices2001Slovakia_10_Nha so 10_Dien1" xfId="1185" xr:uid="{00000000-0005-0000-0000-000097040000}"/>
    <cellStyle name="Dziesietny [0]_Invoices2001Slovakia_Book1" xfId="1186" xr:uid="{00000000-0005-0000-0000-000098040000}"/>
    <cellStyle name="Dziesiętny [0]_Invoices2001Slovakia_Book1" xfId="1187" xr:uid="{00000000-0005-0000-0000-000099040000}"/>
    <cellStyle name="Dziesietny [0]_Invoices2001Slovakia_Book1_1" xfId="1188" xr:uid="{00000000-0005-0000-0000-00009A040000}"/>
    <cellStyle name="Dziesiętny [0]_Invoices2001Slovakia_Book1_1" xfId="1189" xr:uid="{00000000-0005-0000-0000-00009B040000}"/>
    <cellStyle name="Dziesietny [0]_Invoices2001Slovakia_Book1_1_Book1" xfId="1190" xr:uid="{00000000-0005-0000-0000-00009C040000}"/>
    <cellStyle name="Dziesiętny [0]_Invoices2001Slovakia_Book1_1_Book1" xfId="1191" xr:uid="{00000000-0005-0000-0000-00009D040000}"/>
    <cellStyle name="Dziesietny [0]_Invoices2001Slovakia_Book1_2" xfId="1192" xr:uid="{00000000-0005-0000-0000-00009E040000}"/>
    <cellStyle name="Dziesiętny [0]_Invoices2001Slovakia_Book1_2" xfId="1193" xr:uid="{00000000-0005-0000-0000-00009F040000}"/>
    <cellStyle name="Dziesietny [0]_Invoices2001Slovakia_Book1_Nhu cau von ung truoc 2011 Tha h Hoa + Nge An gui TW" xfId="1194" xr:uid="{00000000-0005-0000-0000-0000A0040000}"/>
    <cellStyle name="Dziesiętny [0]_Invoices2001Slovakia_Book1_Nhu cau von ung truoc 2011 Tha h Hoa + Nge An gui TW" xfId="1195" xr:uid="{00000000-0005-0000-0000-0000A1040000}"/>
    <cellStyle name="Dziesietny [0]_Invoices2001Slovakia_Book1_Tong hop Cac tuyen(9-1-06)" xfId="1196" xr:uid="{00000000-0005-0000-0000-0000A2040000}"/>
    <cellStyle name="Dziesiętny [0]_Invoices2001Slovakia_Book1_Tong hop Cac tuyen(9-1-06)" xfId="1197" xr:uid="{00000000-0005-0000-0000-0000A3040000}"/>
    <cellStyle name="Dziesietny [0]_Invoices2001Slovakia_Book1_ung 2011 - 11-6-Thanh hoa-Nghe an" xfId="1198" xr:uid="{00000000-0005-0000-0000-0000A4040000}"/>
    <cellStyle name="Dziesiętny [0]_Invoices2001Slovakia_Book1_ung 2011 - 11-6-Thanh hoa-Nghe an" xfId="1199" xr:uid="{00000000-0005-0000-0000-0000A5040000}"/>
    <cellStyle name="Dziesietny [0]_Invoices2001Slovakia_Book1_ung truoc 2011 NSTW Thanh Hoa + Nge An gui Thu 12-5" xfId="1200" xr:uid="{00000000-0005-0000-0000-0000A6040000}"/>
    <cellStyle name="Dziesiętny [0]_Invoices2001Slovakia_Book1_ung truoc 2011 NSTW Thanh Hoa + Nge An gui Thu 12-5" xfId="1201" xr:uid="{00000000-0005-0000-0000-0000A7040000}"/>
    <cellStyle name="Dziesietny [0]_Invoices2001Slovakia_d-uong+TDT" xfId="1202" xr:uid="{00000000-0005-0000-0000-0000A8040000}"/>
    <cellStyle name="Dziesiętny [0]_Invoices2001Slovakia_Nhµ ®Ó xe" xfId="1203" xr:uid="{00000000-0005-0000-0000-0000A9040000}"/>
    <cellStyle name="Dziesietny [0]_Invoices2001Slovakia_Nha bao ve(28-7-05)" xfId="1204" xr:uid="{00000000-0005-0000-0000-0000AA040000}"/>
    <cellStyle name="Dziesiętny [0]_Invoices2001Slovakia_Nha bao ve(28-7-05)" xfId="1205" xr:uid="{00000000-0005-0000-0000-0000AB040000}"/>
    <cellStyle name="Dziesietny [0]_Invoices2001Slovakia_NHA de xe nguyen du" xfId="1206" xr:uid="{00000000-0005-0000-0000-0000AC040000}"/>
    <cellStyle name="Dziesiętny [0]_Invoices2001Slovakia_NHA de xe nguyen du" xfId="1207" xr:uid="{00000000-0005-0000-0000-0000AD040000}"/>
    <cellStyle name="Dziesietny [0]_Invoices2001Slovakia_Nhalamviec VTC(25-1-05)" xfId="1208" xr:uid="{00000000-0005-0000-0000-0000AE040000}"/>
    <cellStyle name="Dziesiętny [0]_Invoices2001Slovakia_Nhalamviec VTC(25-1-05)" xfId="1209" xr:uid="{00000000-0005-0000-0000-0000AF040000}"/>
    <cellStyle name="Dziesietny [0]_Invoices2001Slovakia_Nhu cau von ung truoc 2011 Tha h Hoa + Nge An gui TW" xfId="1210" xr:uid="{00000000-0005-0000-0000-0000B0040000}"/>
    <cellStyle name="Dziesiętny [0]_Invoices2001Slovakia_TDT KHANH HOA" xfId="1211" xr:uid="{00000000-0005-0000-0000-0000B1040000}"/>
    <cellStyle name="Dziesietny [0]_Invoices2001Slovakia_TDT KHANH HOA_Tong hop Cac tuyen(9-1-06)" xfId="1212" xr:uid="{00000000-0005-0000-0000-0000B2040000}"/>
    <cellStyle name="Dziesiętny [0]_Invoices2001Slovakia_TDT KHANH HOA_Tong hop Cac tuyen(9-1-06)" xfId="1213" xr:uid="{00000000-0005-0000-0000-0000B3040000}"/>
    <cellStyle name="Dziesietny [0]_Invoices2001Slovakia_TDT quangngai" xfId="1214" xr:uid="{00000000-0005-0000-0000-0000B4040000}"/>
    <cellStyle name="Dziesiętny [0]_Invoices2001Slovakia_TDT quangngai" xfId="1215" xr:uid="{00000000-0005-0000-0000-0000B5040000}"/>
    <cellStyle name="Dziesietny [0]_Invoices2001Slovakia_TMDT(10-5-06)" xfId="1216" xr:uid="{00000000-0005-0000-0000-0000B6040000}"/>
    <cellStyle name="Dziesietny_Invoices2001Slovakia" xfId="1217" xr:uid="{00000000-0005-0000-0000-0000B7040000}"/>
    <cellStyle name="Dziesiętny_Invoices2001Slovakia" xfId="1218" xr:uid="{00000000-0005-0000-0000-0000B8040000}"/>
    <cellStyle name="Dziesietny_Invoices2001Slovakia_01_Nha so 1_Dien" xfId="1219" xr:uid="{00000000-0005-0000-0000-0000B9040000}"/>
    <cellStyle name="Dziesiętny_Invoices2001Slovakia_01_Nha so 1_Dien" xfId="1220" xr:uid="{00000000-0005-0000-0000-0000BA040000}"/>
    <cellStyle name="Dziesietny_Invoices2001Slovakia_10_Nha so 10_Dien1" xfId="1221" xr:uid="{00000000-0005-0000-0000-0000BB040000}"/>
    <cellStyle name="Dziesiętny_Invoices2001Slovakia_10_Nha so 10_Dien1" xfId="1222" xr:uid="{00000000-0005-0000-0000-0000BC040000}"/>
    <cellStyle name="Dziesietny_Invoices2001Slovakia_Book1" xfId="1223" xr:uid="{00000000-0005-0000-0000-0000BD040000}"/>
    <cellStyle name="Dziesiętny_Invoices2001Slovakia_Book1" xfId="1224" xr:uid="{00000000-0005-0000-0000-0000BE040000}"/>
    <cellStyle name="Dziesietny_Invoices2001Slovakia_Book1_1" xfId="1225" xr:uid="{00000000-0005-0000-0000-0000BF040000}"/>
    <cellStyle name="Dziesiętny_Invoices2001Slovakia_Book1_1" xfId="1226" xr:uid="{00000000-0005-0000-0000-0000C0040000}"/>
    <cellStyle name="Dziesietny_Invoices2001Slovakia_Book1_1_Book1" xfId="1227" xr:uid="{00000000-0005-0000-0000-0000C1040000}"/>
    <cellStyle name="Dziesiętny_Invoices2001Slovakia_Book1_1_Book1" xfId="1228" xr:uid="{00000000-0005-0000-0000-0000C2040000}"/>
    <cellStyle name="Dziesietny_Invoices2001Slovakia_Book1_2" xfId="1229" xr:uid="{00000000-0005-0000-0000-0000C3040000}"/>
    <cellStyle name="Dziesiętny_Invoices2001Slovakia_Book1_2" xfId="1230" xr:uid="{00000000-0005-0000-0000-0000C4040000}"/>
    <cellStyle name="Dziesietny_Invoices2001Slovakia_Book1_Nhu cau von ung truoc 2011 Tha h Hoa + Nge An gui TW" xfId="1231" xr:uid="{00000000-0005-0000-0000-0000C5040000}"/>
    <cellStyle name="Dziesiętny_Invoices2001Slovakia_Book1_Nhu cau von ung truoc 2011 Tha h Hoa + Nge An gui TW" xfId="1232" xr:uid="{00000000-0005-0000-0000-0000C6040000}"/>
    <cellStyle name="Dziesietny_Invoices2001Slovakia_Book1_Tong hop Cac tuyen(9-1-06)" xfId="1233" xr:uid="{00000000-0005-0000-0000-0000C7040000}"/>
    <cellStyle name="Dziesiętny_Invoices2001Slovakia_Book1_Tong hop Cac tuyen(9-1-06)" xfId="1234" xr:uid="{00000000-0005-0000-0000-0000C8040000}"/>
    <cellStyle name="Dziesietny_Invoices2001Slovakia_Book1_ung 2011 - 11-6-Thanh hoa-Nghe an" xfId="1235" xr:uid="{00000000-0005-0000-0000-0000C9040000}"/>
    <cellStyle name="Dziesiętny_Invoices2001Slovakia_Book1_ung 2011 - 11-6-Thanh hoa-Nghe an" xfId="1236" xr:uid="{00000000-0005-0000-0000-0000CA040000}"/>
    <cellStyle name="Dziesietny_Invoices2001Slovakia_Book1_ung truoc 2011 NSTW Thanh Hoa + Nge An gui Thu 12-5" xfId="1237" xr:uid="{00000000-0005-0000-0000-0000CB040000}"/>
    <cellStyle name="Dziesiętny_Invoices2001Slovakia_Book1_ung truoc 2011 NSTW Thanh Hoa + Nge An gui Thu 12-5" xfId="1238" xr:uid="{00000000-0005-0000-0000-0000CC040000}"/>
    <cellStyle name="Dziesietny_Invoices2001Slovakia_d-uong+TDT" xfId="1239" xr:uid="{00000000-0005-0000-0000-0000CD040000}"/>
    <cellStyle name="Dziesiętny_Invoices2001Slovakia_Nhµ ®Ó xe" xfId="1240" xr:uid="{00000000-0005-0000-0000-0000CE040000}"/>
    <cellStyle name="Dziesietny_Invoices2001Slovakia_Nha bao ve(28-7-05)" xfId="1241" xr:uid="{00000000-0005-0000-0000-0000CF040000}"/>
    <cellStyle name="Dziesiętny_Invoices2001Slovakia_Nha bao ve(28-7-05)" xfId="1242" xr:uid="{00000000-0005-0000-0000-0000D0040000}"/>
    <cellStyle name="Dziesietny_Invoices2001Slovakia_NHA de xe nguyen du" xfId="1243" xr:uid="{00000000-0005-0000-0000-0000D1040000}"/>
    <cellStyle name="Dziesiętny_Invoices2001Slovakia_NHA de xe nguyen du" xfId="1244" xr:uid="{00000000-0005-0000-0000-0000D2040000}"/>
    <cellStyle name="Dziesietny_Invoices2001Slovakia_Nhalamviec VTC(25-1-05)" xfId="1245" xr:uid="{00000000-0005-0000-0000-0000D3040000}"/>
    <cellStyle name="Dziesiętny_Invoices2001Slovakia_Nhalamviec VTC(25-1-05)" xfId="1246" xr:uid="{00000000-0005-0000-0000-0000D4040000}"/>
    <cellStyle name="Dziesietny_Invoices2001Slovakia_Nhu cau von ung truoc 2011 Tha h Hoa + Nge An gui TW" xfId="1247" xr:uid="{00000000-0005-0000-0000-0000D5040000}"/>
    <cellStyle name="Dziesiętny_Invoices2001Slovakia_TDT KHANH HOA" xfId="1248" xr:uid="{00000000-0005-0000-0000-0000D6040000}"/>
    <cellStyle name="Dziesietny_Invoices2001Slovakia_TDT KHANH HOA_Tong hop Cac tuyen(9-1-06)" xfId="1249" xr:uid="{00000000-0005-0000-0000-0000D7040000}"/>
    <cellStyle name="Dziesiętny_Invoices2001Slovakia_TDT KHANH HOA_Tong hop Cac tuyen(9-1-06)" xfId="1250" xr:uid="{00000000-0005-0000-0000-0000D8040000}"/>
    <cellStyle name="Dziesietny_Invoices2001Slovakia_TDT quangngai" xfId="1251" xr:uid="{00000000-0005-0000-0000-0000D9040000}"/>
    <cellStyle name="Dziesiętny_Invoices2001Slovakia_TDT quangngai" xfId="1252" xr:uid="{00000000-0005-0000-0000-0000DA040000}"/>
    <cellStyle name="Dziesietny_Invoices2001Slovakia_TMDT(10-5-06)" xfId="1253" xr:uid="{00000000-0005-0000-0000-0000DB040000}"/>
    <cellStyle name="Đầu ra" xfId="1154" xr:uid="{00000000-0005-0000-0000-0000DC040000}"/>
    <cellStyle name="Đầu ra 2" xfId="1155" xr:uid="{00000000-0005-0000-0000-0000DD040000}"/>
    <cellStyle name="Đầu vào" xfId="1156" xr:uid="{00000000-0005-0000-0000-0000DE040000}"/>
    <cellStyle name="Đầu vào 2" xfId="1157" xr:uid="{00000000-0005-0000-0000-0000DF040000}"/>
    <cellStyle name="Đề mục 1" xfId="1159" xr:uid="{00000000-0005-0000-0000-0000E0040000}"/>
    <cellStyle name="Đề mục 2" xfId="1160" xr:uid="{00000000-0005-0000-0000-0000E1040000}"/>
    <cellStyle name="Đề mục 3" xfId="1161" xr:uid="{00000000-0005-0000-0000-0000E2040000}"/>
    <cellStyle name="Đề mục 4" xfId="1162" xr:uid="{00000000-0005-0000-0000-0000E3040000}"/>
    <cellStyle name="e" xfId="1254" xr:uid="{00000000-0005-0000-0000-0000E4040000}"/>
    <cellStyle name="Encabez1" xfId="1255" xr:uid="{00000000-0005-0000-0000-0000E5040000}"/>
    <cellStyle name="Encabez2" xfId="1256" xr:uid="{00000000-0005-0000-0000-0000E6040000}"/>
    <cellStyle name="Enter Currency (0)" xfId="1257" xr:uid="{00000000-0005-0000-0000-0000E7040000}"/>
    <cellStyle name="Enter Currency (2)" xfId="1258" xr:uid="{00000000-0005-0000-0000-0000E8040000}"/>
    <cellStyle name="Enter Units (0)" xfId="1259" xr:uid="{00000000-0005-0000-0000-0000E9040000}"/>
    <cellStyle name="Enter Units (1)" xfId="1260" xr:uid="{00000000-0005-0000-0000-0000EA040000}"/>
    <cellStyle name="Enter Units (2)" xfId="1261" xr:uid="{00000000-0005-0000-0000-0000EB040000}"/>
    <cellStyle name="Entered" xfId="1262" xr:uid="{00000000-0005-0000-0000-0000EC040000}"/>
    <cellStyle name="En-tete1" xfId="1263" xr:uid="{00000000-0005-0000-0000-0000ED040000}"/>
    <cellStyle name="En-tete1 2" xfId="1264" xr:uid="{00000000-0005-0000-0000-0000EE040000}"/>
    <cellStyle name="En-tete2" xfId="1265" xr:uid="{00000000-0005-0000-0000-0000EF040000}"/>
    <cellStyle name="En-tete2 2" xfId="1266" xr:uid="{00000000-0005-0000-0000-0000F0040000}"/>
    <cellStyle name="Euro" xfId="1267" xr:uid="{00000000-0005-0000-0000-0000F1040000}"/>
    <cellStyle name="Explanatory Text 2" xfId="1268" xr:uid="{00000000-0005-0000-0000-0000F2040000}"/>
    <cellStyle name="Explanatory Text 3" xfId="1269" xr:uid="{00000000-0005-0000-0000-0000F3040000}"/>
    <cellStyle name="f" xfId="1270" xr:uid="{00000000-0005-0000-0000-0000F4040000}"/>
    <cellStyle name="F2" xfId="1271" xr:uid="{00000000-0005-0000-0000-0000F5040000}"/>
    <cellStyle name="F3" xfId="1272" xr:uid="{00000000-0005-0000-0000-0000F6040000}"/>
    <cellStyle name="F4" xfId="1273" xr:uid="{00000000-0005-0000-0000-0000F7040000}"/>
    <cellStyle name="F5" xfId="1274" xr:uid="{00000000-0005-0000-0000-0000F8040000}"/>
    <cellStyle name="F6" xfId="1275" xr:uid="{00000000-0005-0000-0000-0000F9040000}"/>
    <cellStyle name="F7" xfId="1276" xr:uid="{00000000-0005-0000-0000-0000FA040000}"/>
    <cellStyle name="F8" xfId="1277" xr:uid="{00000000-0005-0000-0000-0000FB040000}"/>
    <cellStyle name="Fijo" xfId="1278" xr:uid="{00000000-0005-0000-0000-0000FC040000}"/>
    <cellStyle name="Financier" xfId="1279" xr:uid="{00000000-0005-0000-0000-0000FD040000}"/>
    <cellStyle name="Financiero" xfId="1280" xr:uid="{00000000-0005-0000-0000-0000FE040000}"/>
    <cellStyle name="Fixe" xfId="1281" xr:uid="{00000000-0005-0000-0000-0000FF040000}"/>
    <cellStyle name="Fixed" xfId="1282" xr:uid="{00000000-0005-0000-0000-000000050000}"/>
    <cellStyle name="Fixed 2" xfId="1283" xr:uid="{00000000-0005-0000-0000-000001050000}"/>
    <cellStyle name="Fixed 3" xfId="1284" xr:uid="{00000000-0005-0000-0000-000002050000}"/>
    <cellStyle name="Font Britannic16" xfId="1285" xr:uid="{00000000-0005-0000-0000-000003050000}"/>
    <cellStyle name="Font Britannic18" xfId="1286" xr:uid="{00000000-0005-0000-0000-000004050000}"/>
    <cellStyle name="Font CenturyCond 18" xfId="1287" xr:uid="{00000000-0005-0000-0000-000005050000}"/>
    <cellStyle name="Font Cond20" xfId="1288" xr:uid="{00000000-0005-0000-0000-000006050000}"/>
    <cellStyle name="Font LucidaSans16" xfId="1289" xr:uid="{00000000-0005-0000-0000-000007050000}"/>
    <cellStyle name="Font NewCenturyCond18" xfId="1290" xr:uid="{00000000-0005-0000-0000-000008050000}"/>
    <cellStyle name="Font Ottawa14" xfId="1291" xr:uid="{00000000-0005-0000-0000-000009050000}"/>
    <cellStyle name="Font Ottawa14 2" xfId="1292" xr:uid="{00000000-0005-0000-0000-00000A050000}"/>
    <cellStyle name="Font Ottawa16" xfId="1293" xr:uid="{00000000-0005-0000-0000-00000B050000}"/>
    <cellStyle name="Formulas" xfId="1294" xr:uid="{00000000-0005-0000-0000-00000C050000}"/>
    <cellStyle name="Formulas 2" xfId="1295" xr:uid="{00000000-0005-0000-0000-00000D050000}"/>
    <cellStyle name="Formulas 2 2" xfId="1296" xr:uid="{00000000-0005-0000-0000-00000E050000}"/>
    <cellStyle name="Ghi chú" xfId="1297" xr:uid="{00000000-0005-0000-0000-00000F050000}"/>
    <cellStyle name="Ghi chú 2" xfId="1298" xr:uid="{00000000-0005-0000-0000-000010050000}"/>
    <cellStyle name="Good 2" xfId="1300" xr:uid="{00000000-0005-0000-0000-000011050000}"/>
    <cellStyle name="Good 3" xfId="1301" xr:uid="{00000000-0005-0000-0000-000012050000}"/>
    <cellStyle name="Grey" xfId="1302" xr:uid="{00000000-0005-0000-0000-000013050000}"/>
    <cellStyle name="Group" xfId="1303" xr:uid="{00000000-0005-0000-0000-000014050000}"/>
    <cellStyle name="gia" xfId="1299" xr:uid="{00000000-0005-0000-0000-000015050000}"/>
    <cellStyle name="H" xfId="1304" xr:uid="{00000000-0005-0000-0000-000016050000}"/>
    <cellStyle name="ha" xfId="1305" xr:uid="{00000000-0005-0000-0000-000017050000}"/>
    <cellStyle name="hai" xfId="1306" xr:uid="{00000000-0005-0000-0000-000018050000}"/>
    <cellStyle name="Head 1" xfId="1307" xr:uid="{00000000-0005-0000-0000-000019050000}"/>
    <cellStyle name="HEADER" xfId="1308" xr:uid="{00000000-0005-0000-0000-00001A050000}"/>
    <cellStyle name="Header1" xfId="1309" xr:uid="{00000000-0005-0000-0000-00001B050000}"/>
    <cellStyle name="Header2" xfId="1310" xr:uid="{00000000-0005-0000-0000-00001C050000}"/>
    <cellStyle name="Header2 2" xfId="1311" xr:uid="{00000000-0005-0000-0000-00001D050000}"/>
    <cellStyle name="Heading 1 2" xfId="1312" xr:uid="{00000000-0005-0000-0000-00001E050000}"/>
    <cellStyle name="Heading 1 3" xfId="1313" xr:uid="{00000000-0005-0000-0000-00001F050000}"/>
    <cellStyle name="Heading 1 4" xfId="1314" xr:uid="{00000000-0005-0000-0000-000020050000}"/>
    <cellStyle name="Heading 2 2" xfId="1315" xr:uid="{00000000-0005-0000-0000-000021050000}"/>
    <cellStyle name="Heading 2 3" xfId="1316" xr:uid="{00000000-0005-0000-0000-000022050000}"/>
    <cellStyle name="Heading 2 4" xfId="1317" xr:uid="{00000000-0005-0000-0000-000023050000}"/>
    <cellStyle name="Heading 3 2" xfId="1318" xr:uid="{00000000-0005-0000-0000-000024050000}"/>
    <cellStyle name="Heading 3 3" xfId="1319" xr:uid="{00000000-0005-0000-0000-000025050000}"/>
    <cellStyle name="Heading 4 2" xfId="1320" xr:uid="{00000000-0005-0000-0000-000026050000}"/>
    <cellStyle name="Heading 4 3" xfId="1321" xr:uid="{00000000-0005-0000-0000-000027050000}"/>
    <cellStyle name="Heading1" xfId="1322" xr:uid="{00000000-0005-0000-0000-000028050000}"/>
    <cellStyle name="Heading2" xfId="1323" xr:uid="{00000000-0005-0000-0000-000029050000}"/>
    <cellStyle name="HEADINGS" xfId="1324" xr:uid="{00000000-0005-0000-0000-00002A050000}"/>
    <cellStyle name="HEADINGSTOP" xfId="1325" xr:uid="{00000000-0005-0000-0000-00002B050000}"/>
    <cellStyle name="headoption" xfId="1326" xr:uid="{00000000-0005-0000-0000-00002C050000}"/>
    <cellStyle name="headoption 2" xfId="1327" xr:uid="{00000000-0005-0000-0000-00002D050000}"/>
    <cellStyle name="hoa" xfId="1328" xr:uid="{00000000-0005-0000-0000-00002E050000}"/>
    <cellStyle name="Hoa-Scholl" xfId="1329" xr:uid="{00000000-0005-0000-0000-00002F050000}"/>
    <cellStyle name="Hoa-Scholl 2" xfId="1330" xr:uid="{00000000-0005-0000-0000-000030050000}"/>
    <cellStyle name="HUY" xfId="1331" xr:uid="{00000000-0005-0000-0000-000031050000}"/>
    <cellStyle name="i phÝ kh¸c_B¶ng 2" xfId="1332" xr:uid="{00000000-0005-0000-0000-000032050000}"/>
    <cellStyle name="I.3" xfId="1333" xr:uid="{00000000-0005-0000-0000-000033050000}"/>
    <cellStyle name="i·0" xfId="1334" xr:uid="{00000000-0005-0000-0000-000034050000}"/>
    <cellStyle name="ï-¾È»ê_BiÓu TB" xfId="1335" xr:uid="{00000000-0005-0000-0000-000035050000}"/>
    <cellStyle name="Input [yellow]" xfId="1336" xr:uid="{00000000-0005-0000-0000-000036050000}"/>
    <cellStyle name="Input [yellow] 2" xfId="1337" xr:uid="{00000000-0005-0000-0000-000037050000}"/>
    <cellStyle name="Input 2" xfId="1338" xr:uid="{00000000-0005-0000-0000-000038050000}"/>
    <cellStyle name="Input 2 2" xfId="1339" xr:uid="{00000000-0005-0000-0000-000039050000}"/>
    <cellStyle name="Input 3" xfId="1340" xr:uid="{00000000-0005-0000-0000-00003A050000}"/>
    <cellStyle name="Input 4" xfId="1341" xr:uid="{00000000-0005-0000-0000-00003B050000}"/>
    <cellStyle name="Input 5" xfId="1342" xr:uid="{00000000-0005-0000-0000-00003C050000}"/>
    <cellStyle name="Input 6" xfId="1343" xr:uid="{00000000-0005-0000-0000-00003D050000}"/>
    <cellStyle name="Input 7" xfId="1344" xr:uid="{00000000-0005-0000-0000-00003E050000}"/>
    <cellStyle name="k" xfId="1345" xr:uid="{00000000-0005-0000-0000-00003F050000}"/>
    <cellStyle name="k 2" xfId="1346" xr:uid="{00000000-0005-0000-0000-000040050000}"/>
    <cellStyle name="k_TONG HOP KINH PHI" xfId="1347" xr:uid="{00000000-0005-0000-0000-000041050000}"/>
    <cellStyle name="k_ÿÿÿÿÿ" xfId="1348" xr:uid="{00000000-0005-0000-0000-000042050000}"/>
    <cellStyle name="k_ÿÿÿÿÿ_1" xfId="1349" xr:uid="{00000000-0005-0000-0000-000043050000}"/>
    <cellStyle name="k_ÿÿÿÿÿ_2" xfId="1350" xr:uid="{00000000-0005-0000-0000-000044050000}"/>
    <cellStyle name="Kiểm tra Ô" xfId="1357" xr:uid="{00000000-0005-0000-0000-000045050000}"/>
    <cellStyle name="KL" xfId="1358" xr:uid="{00000000-0005-0000-0000-000046050000}"/>
    <cellStyle name="kh¸c_Bang Chi tieu" xfId="1351" xr:uid="{00000000-0005-0000-0000-000047050000}"/>
    <cellStyle name="khanh" xfId="1352" xr:uid="{00000000-0005-0000-0000-000048050000}"/>
    <cellStyle name="khoa2" xfId="1353" xr:uid="{00000000-0005-0000-0000-000049050000}"/>
    <cellStyle name="khoa2 2" xfId="1354" xr:uid="{00000000-0005-0000-0000-00004A050000}"/>
    <cellStyle name="khung" xfId="1355" xr:uid="{00000000-0005-0000-0000-00004B050000}"/>
    <cellStyle name="khung 2" xfId="1356" xr:uid="{00000000-0005-0000-0000-00004C050000}"/>
    <cellStyle name="LAS - XD 354" xfId="1359" xr:uid="{00000000-0005-0000-0000-00004D050000}"/>
    <cellStyle name="LAS - XD 354 2" xfId="1360" xr:uid="{00000000-0005-0000-0000-00004E050000}"/>
    <cellStyle name="Ledger 17 x 11 in" xfId="1361" xr:uid="{00000000-0005-0000-0000-00004F050000}"/>
    <cellStyle name="Ledger 17 x 11 in 2" xfId="1362" xr:uid="{00000000-0005-0000-0000-000050050000}"/>
    <cellStyle name="Ledger 17 x 11 in 3" xfId="1363" xr:uid="{00000000-0005-0000-0000-000051050000}"/>
    <cellStyle name="Ledger 17 x 11 in_bieu 1" xfId="1364" xr:uid="{00000000-0005-0000-0000-000052050000}"/>
    <cellStyle name="left" xfId="1365" xr:uid="{00000000-0005-0000-0000-000053050000}"/>
    <cellStyle name="Line" xfId="1366" xr:uid="{00000000-0005-0000-0000-000054050000}"/>
    <cellStyle name="Link Currency (0)" xfId="1367" xr:uid="{00000000-0005-0000-0000-000055050000}"/>
    <cellStyle name="Link Currency (2)" xfId="1368" xr:uid="{00000000-0005-0000-0000-000056050000}"/>
    <cellStyle name="Link Units (0)" xfId="1369" xr:uid="{00000000-0005-0000-0000-000057050000}"/>
    <cellStyle name="Link Units (1)" xfId="1370" xr:uid="{00000000-0005-0000-0000-000058050000}"/>
    <cellStyle name="Link Units (2)" xfId="1371" xr:uid="{00000000-0005-0000-0000-000059050000}"/>
    <cellStyle name="Linked Cell 2" xfId="1372" xr:uid="{00000000-0005-0000-0000-00005A050000}"/>
    <cellStyle name="Linked Cell 3" xfId="1373" xr:uid="{00000000-0005-0000-0000-00005B050000}"/>
    <cellStyle name="MAU" xfId="1374" xr:uid="{00000000-0005-0000-0000-00005C050000}"/>
    <cellStyle name="Migliaia (0)_CALPREZZ" xfId="1375" xr:uid="{00000000-0005-0000-0000-00005D050000}"/>
    <cellStyle name="Migliaia_ PESO ELETTR." xfId="1376" xr:uid="{00000000-0005-0000-0000-00005E050000}"/>
    <cellStyle name="Millares [0]_10 AVERIAS MASIVAS + ANT" xfId="1377" xr:uid="{00000000-0005-0000-0000-00005F050000}"/>
    <cellStyle name="Millares_Well Timing" xfId="1378" xr:uid="{00000000-0005-0000-0000-000060050000}"/>
    <cellStyle name="Milliers [0]_      " xfId="1379" xr:uid="{00000000-0005-0000-0000-000061050000}"/>
    <cellStyle name="Milliers_      " xfId="1380" xr:uid="{00000000-0005-0000-0000-000062050000}"/>
    <cellStyle name="Model" xfId="1381" xr:uid="{00000000-0005-0000-0000-000063050000}"/>
    <cellStyle name="moi" xfId="1382" xr:uid="{00000000-0005-0000-0000-000064050000}"/>
    <cellStyle name="Moneda [0]_Well Timing" xfId="1383" xr:uid="{00000000-0005-0000-0000-000065050000}"/>
    <cellStyle name="Moneda_Well Timing" xfId="1384" xr:uid="{00000000-0005-0000-0000-000066050000}"/>
    <cellStyle name="Monetaire" xfId="1385" xr:uid="{00000000-0005-0000-0000-000067050000}"/>
    <cellStyle name="Monétaire [0]_      " xfId="1386" xr:uid="{00000000-0005-0000-0000-000068050000}"/>
    <cellStyle name="Monetaire 2" xfId="1387" xr:uid="{00000000-0005-0000-0000-000069050000}"/>
    <cellStyle name="Monetaire 3" xfId="1388" xr:uid="{00000000-0005-0000-0000-00006A050000}"/>
    <cellStyle name="Monétaire_      " xfId="1389" xr:uid="{00000000-0005-0000-0000-00006B050000}"/>
    <cellStyle name="n" xfId="1390" xr:uid="{00000000-0005-0000-0000-00006C050000}"/>
    <cellStyle name="n_17 bieu (hung cap nhap)" xfId="1391" xr:uid="{00000000-0005-0000-0000-00006D050000}"/>
    <cellStyle name="n_Bao cao doan cong tac cua Bo thang 4-2010" xfId="1392" xr:uid="{00000000-0005-0000-0000-00006E050000}"/>
    <cellStyle name="n_goi 4 - qt" xfId="1393" xr:uid="{00000000-0005-0000-0000-00006F050000}"/>
    <cellStyle name="n_VBPL kiểm toán Đầu tư XDCB 2010" xfId="1394" xr:uid="{00000000-0005-0000-0000-000070050000}"/>
    <cellStyle name="Neutral 2" xfId="1395" xr:uid="{00000000-0005-0000-0000-000071050000}"/>
    <cellStyle name="Neutral 3" xfId="1396" xr:uid="{00000000-0005-0000-0000-000072050000}"/>
    <cellStyle name="New" xfId="1397" xr:uid="{00000000-0005-0000-0000-000073050000}"/>
    <cellStyle name="New 2" xfId="1398" xr:uid="{00000000-0005-0000-0000-000074050000}"/>
    <cellStyle name="New Times Roman" xfId="1399" xr:uid="{00000000-0005-0000-0000-000075050000}"/>
    <cellStyle name="no dec" xfId="1407" xr:uid="{00000000-0005-0000-0000-000076050000}"/>
    <cellStyle name="ÑONVÒ" xfId="1408" xr:uid="{00000000-0005-0000-0000-000077050000}"/>
    <cellStyle name="ÑONVÒ 2" xfId="1409" xr:uid="{00000000-0005-0000-0000-000078050000}"/>
    <cellStyle name="Normal" xfId="0" builtinId="0"/>
    <cellStyle name="Normal - ??1" xfId="1410" xr:uid="{00000000-0005-0000-0000-00007A050000}"/>
    <cellStyle name="Normal - Style1" xfId="1411" xr:uid="{00000000-0005-0000-0000-00007B050000}"/>
    <cellStyle name="Normal - Style1 2" xfId="1412" xr:uid="{00000000-0005-0000-0000-00007C050000}"/>
    <cellStyle name="Normal - Style1 2 2" xfId="1413" xr:uid="{00000000-0005-0000-0000-00007D050000}"/>
    <cellStyle name="Normal - Style1 2 2 2" xfId="1414" xr:uid="{00000000-0005-0000-0000-00007E050000}"/>
    <cellStyle name="Normal - Style1 2 3" xfId="1415" xr:uid="{00000000-0005-0000-0000-00007F050000}"/>
    <cellStyle name="Normal - Style1 2 4" xfId="1416" xr:uid="{00000000-0005-0000-0000-000080050000}"/>
    <cellStyle name="Normal - Style1 2_Khoi cong moi 1" xfId="1417" xr:uid="{00000000-0005-0000-0000-000081050000}"/>
    <cellStyle name="Normal - Style1 3" xfId="1418" xr:uid="{00000000-0005-0000-0000-000082050000}"/>
    <cellStyle name="Normal - Style1 3 2" xfId="1419" xr:uid="{00000000-0005-0000-0000-000083050000}"/>
    <cellStyle name="Normal - Style1 4" xfId="1420" xr:uid="{00000000-0005-0000-0000-000084050000}"/>
    <cellStyle name="Normal - Style1 4 2" xfId="1421" xr:uid="{00000000-0005-0000-0000-000085050000}"/>
    <cellStyle name="Normal - Style1 5" xfId="1422" xr:uid="{00000000-0005-0000-0000-000086050000}"/>
    <cellStyle name="Normal - Style1 6" xfId="1423" xr:uid="{00000000-0005-0000-0000-000087050000}"/>
    <cellStyle name="Normal - Style1_Bao cao kiem toan kh 2010" xfId="1424" xr:uid="{00000000-0005-0000-0000-000088050000}"/>
    <cellStyle name="Normal - 유형1" xfId="1425" xr:uid="{00000000-0005-0000-0000-000089050000}"/>
    <cellStyle name="Normal 10" xfId="1426" xr:uid="{00000000-0005-0000-0000-00008A050000}"/>
    <cellStyle name="Normal 10 2" xfId="1427" xr:uid="{00000000-0005-0000-0000-00008B050000}"/>
    <cellStyle name="Normal 10 2 4" xfId="1428" xr:uid="{00000000-0005-0000-0000-00008C050000}"/>
    <cellStyle name="Normal 10 5 2" xfId="1429" xr:uid="{00000000-0005-0000-0000-00008D050000}"/>
    <cellStyle name="Normal 11" xfId="1430" xr:uid="{00000000-0005-0000-0000-00008E050000}"/>
    <cellStyle name="Normal 11 2 2" xfId="1431" xr:uid="{00000000-0005-0000-0000-00008F050000}"/>
    <cellStyle name="Normal 12" xfId="1432" xr:uid="{00000000-0005-0000-0000-000090050000}"/>
    <cellStyle name="Normal 12 2" xfId="1433" xr:uid="{00000000-0005-0000-0000-000091050000}"/>
    <cellStyle name="Normal 13" xfId="1434" xr:uid="{00000000-0005-0000-0000-000092050000}"/>
    <cellStyle name="Normal 13 2" xfId="6" xr:uid="{00000000-0005-0000-0000-000093050000}"/>
    <cellStyle name="Normal 14" xfId="1435" xr:uid="{00000000-0005-0000-0000-000094050000}"/>
    <cellStyle name="Normal 14 2" xfId="1436" xr:uid="{00000000-0005-0000-0000-000095050000}"/>
    <cellStyle name="Normal 15" xfId="1437" xr:uid="{00000000-0005-0000-0000-000096050000}"/>
    <cellStyle name="Normal 15 2" xfId="1438" xr:uid="{00000000-0005-0000-0000-000097050000}"/>
    <cellStyle name="Normal 16" xfId="1439" xr:uid="{00000000-0005-0000-0000-000098050000}"/>
    <cellStyle name="Normal 16 2" xfId="1440" xr:uid="{00000000-0005-0000-0000-000099050000}"/>
    <cellStyle name="Normal 17" xfId="1441" xr:uid="{00000000-0005-0000-0000-00009A050000}"/>
    <cellStyle name="Normal 17 2" xfId="1442" xr:uid="{00000000-0005-0000-0000-00009B050000}"/>
    <cellStyle name="Normal 18" xfId="1443" xr:uid="{00000000-0005-0000-0000-00009C050000}"/>
    <cellStyle name="Normal 18 2" xfId="1444" xr:uid="{00000000-0005-0000-0000-00009D050000}"/>
    <cellStyle name="Normal 19" xfId="1445" xr:uid="{00000000-0005-0000-0000-00009E050000}"/>
    <cellStyle name="Normal 19 2" xfId="1446" xr:uid="{00000000-0005-0000-0000-00009F050000}"/>
    <cellStyle name="Normal 2" xfId="1447" xr:uid="{00000000-0005-0000-0000-0000A0050000}"/>
    <cellStyle name="Normal 2 2" xfId="1448" xr:uid="{00000000-0005-0000-0000-0000A1050000}"/>
    <cellStyle name="Normal 2 3" xfId="1449" xr:uid="{00000000-0005-0000-0000-0000A2050000}"/>
    <cellStyle name="Normal 2 3 2" xfId="1450" xr:uid="{00000000-0005-0000-0000-0000A3050000}"/>
    <cellStyle name="Normal 2 3 3" xfId="1451" xr:uid="{00000000-0005-0000-0000-0000A4050000}"/>
    <cellStyle name="Normal 2 4" xfId="1452" xr:uid="{00000000-0005-0000-0000-0000A5050000}"/>
    <cellStyle name="Normal 2 5" xfId="1453" xr:uid="{00000000-0005-0000-0000-0000A6050000}"/>
    <cellStyle name="Normal 2_160507 Bieu mau NSDP ND sua ND73" xfId="1454" xr:uid="{00000000-0005-0000-0000-0000A7050000}"/>
    <cellStyle name="Normal 20" xfId="1455" xr:uid="{00000000-0005-0000-0000-0000A8050000}"/>
    <cellStyle name="Normal 21" xfId="1456" xr:uid="{00000000-0005-0000-0000-0000A9050000}"/>
    <cellStyle name="Normal 22" xfId="1457" xr:uid="{00000000-0005-0000-0000-0000AA050000}"/>
    <cellStyle name="Normal 22 2" xfId="1458" xr:uid="{00000000-0005-0000-0000-0000AB050000}"/>
    <cellStyle name="Normal 23" xfId="1459" xr:uid="{00000000-0005-0000-0000-0000AC050000}"/>
    <cellStyle name="Normal 24" xfId="1460" xr:uid="{00000000-0005-0000-0000-0000AD050000}"/>
    <cellStyle name="Normal 25" xfId="1461" xr:uid="{00000000-0005-0000-0000-0000AE050000}"/>
    <cellStyle name="Normal 26" xfId="1462" xr:uid="{00000000-0005-0000-0000-0000AF050000}"/>
    <cellStyle name="Normal 27" xfId="1463" xr:uid="{00000000-0005-0000-0000-0000B0050000}"/>
    <cellStyle name="Normal 28" xfId="1464" xr:uid="{00000000-0005-0000-0000-0000B1050000}"/>
    <cellStyle name="Normal 29" xfId="1465" xr:uid="{00000000-0005-0000-0000-0000B2050000}"/>
    <cellStyle name="Normal 3" xfId="1466" xr:uid="{00000000-0005-0000-0000-0000B3050000}"/>
    <cellStyle name="Normal 3 2" xfId="1467" xr:uid="{00000000-0005-0000-0000-0000B4050000}"/>
    <cellStyle name="Normal 3 4" xfId="1468" xr:uid="{00000000-0005-0000-0000-0000B5050000}"/>
    <cellStyle name="Normal 3_17 bieu (hung cap nhap)" xfId="1469" xr:uid="{00000000-0005-0000-0000-0000B6050000}"/>
    <cellStyle name="Normal 30" xfId="1470" xr:uid="{00000000-0005-0000-0000-0000B7050000}"/>
    <cellStyle name="Normal 31" xfId="1471" xr:uid="{00000000-0005-0000-0000-0000B8050000}"/>
    <cellStyle name="Normal 32" xfId="1472" xr:uid="{00000000-0005-0000-0000-0000B9050000}"/>
    <cellStyle name="Normal 33" xfId="1473" xr:uid="{00000000-0005-0000-0000-0000BA050000}"/>
    <cellStyle name="Normal 33 2" xfId="1474" xr:uid="{00000000-0005-0000-0000-0000BB050000}"/>
    <cellStyle name="Normal 33 4" xfId="1475" xr:uid="{00000000-0005-0000-0000-0000BC050000}"/>
    <cellStyle name="Normal 33 4 2" xfId="1476" xr:uid="{00000000-0005-0000-0000-0000BD050000}"/>
    <cellStyle name="Normal 34" xfId="1477" xr:uid="{00000000-0005-0000-0000-0000BE050000}"/>
    <cellStyle name="Normal 35" xfId="1478" xr:uid="{00000000-0005-0000-0000-0000BF050000}"/>
    <cellStyle name="Normal 36" xfId="1479" xr:uid="{00000000-0005-0000-0000-0000C0050000}"/>
    <cellStyle name="Normal 37" xfId="1480" xr:uid="{00000000-0005-0000-0000-0000C1050000}"/>
    <cellStyle name="Normal 38" xfId="1481" xr:uid="{00000000-0005-0000-0000-0000C2050000}"/>
    <cellStyle name="Normal 39" xfId="2273" xr:uid="{00000000-0005-0000-0000-0000C3050000}"/>
    <cellStyle name="Normal 4" xfId="1482" xr:uid="{00000000-0005-0000-0000-0000C4050000}"/>
    <cellStyle name="Normal 4 2" xfId="1483" xr:uid="{00000000-0005-0000-0000-0000C5050000}"/>
    <cellStyle name="Normal 4_160513 Bieu mau NSDP ND sua ND73" xfId="1484" xr:uid="{00000000-0005-0000-0000-0000C6050000}"/>
    <cellStyle name="Normal 41 2" xfId="1485" xr:uid="{00000000-0005-0000-0000-0000C7050000}"/>
    <cellStyle name="Normal 43" xfId="1486" xr:uid="{00000000-0005-0000-0000-0000C8050000}"/>
    <cellStyle name="Normal 5" xfId="1487" xr:uid="{00000000-0005-0000-0000-0000C9050000}"/>
    <cellStyle name="Normal 5 2" xfId="1488" xr:uid="{00000000-0005-0000-0000-0000CA050000}"/>
    <cellStyle name="Normal 5 2 3" xfId="1489" xr:uid="{00000000-0005-0000-0000-0000CB050000}"/>
    <cellStyle name="Normal 5 3" xfId="1490" xr:uid="{00000000-0005-0000-0000-0000CC050000}"/>
    <cellStyle name="Normal 5_Book1" xfId="1491" xr:uid="{00000000-0005-0000-0000-0000CD050000}"/>
    <cellStyle name="Normal 6" xfId="1492" xr:uid="{00000000-0005-0000-0000-0000CE050000}"/>
    <cellStyle name="Normal 6 2" xfId="1493" xr:uid="{00000000-0005-0000-0000-0000CF050000}"/>
    <cellStyle name="Normal 6 3" xfId="1494" xr:uid="{00000000-0005-0000-0000-0000D0050000}"/>
    <cellStyle name="Normal 6 3 2" xfId="1495" xr:uid="{00000000-0005-0000-0000-0000D1050000}"/>
    <cellStyle name="Normal 6 3 2 2" xfId="8" xr:uid="{00000000-0005-0000-0000-0000D2050000}"/>
    <cellStyle name="Normal 6 4" xfId="1496" xr:uid="{00000000-0005-0000-0000-0000D3050000}"/>
    <cellStyle name="Normal 6 4 2" xfId="1497" xr:uid="{00000000-0005-0000-0000-0000D4050000}"/>
    <cellStyle name="Normal 6 5" xfId="1498" xr:uid="{00000000-0005-0000-0000-0000D5050000}"/>
    <cellStyle name="Normal 6 5 2" xfId="1499" xr:uid="{00000000-0005-0000-0000-0000D6050000}"/>
    <cellStyle name="Normal 6 6" xfId="1500" xr:uid="{00000000-0005-0000-0000-0000D7050000}"/>
    <cellStyle name="Normal 6 6 2" xfId="7" xr:uid="{00000000-0005-0000-0000-0000D8050000}"/>
    <cellStyle name="Normal 6 7" xfId="1501" xr:uid="{00000000-0005-0000-0000-0000D9050000}"/>
    <cellStyle name="Normal 6_Bieu mau KH 2011 (gui Vu DP)" xfId="1502" xr:uid="{00000000-0005-0000-0000-0000DA050000}"/>
    <cellStyle name="Normal 7" xfId="1503" xr:uid="{00000000-0005-0000-0000-0000DB050000}"/>
    <cellStyle name="Normal 7 2" xfId="1504" xr:uid="{00000000-0005-0000-0000-0000DC050000}"/>
    <cellStyle name="Normal 7 5" xfId="1505" xr:uid="{00000000-0005-0000-0000-0000DD050000}"/>
    <cellStyle name="Normal 8" xfId="1506" xr:uid="{00000000-0005-0000-0000-0000DE050000}"/>
    <cellStyle name="Normal 8 2" xfId="1507" xr:uid="{00000000-0005-0000-0000-0000DF050000}"/>
    <cellStyle name="Normal 9" xfId="1508" xr:uid="{00000000-0005-0000-0000-0000E0050000}"/>
    <cellStyle name="Normal 9 2" xfId="1509" xr:uid="{00000000-0005-0000-0000-0000E1050000}"/>
    <cellStyle name="Normal 9 3" xfId="1510" xr:uid="{00000000-0005-0000-0000-0000E2050000}"/>
    <cellStyle name="Normal 9_BieuHD2016-2020Tquang2(OK)" xfId="1511" xr:uid="{00000000-0005-0000-0000-0000E3050000}"/>
    <cellStyle name="Normal_Ket qua thao luan DT NSH 2002" xfId="2271" xr:uid="{00000000-0005-0000-0000-0000E4050000}"/>
    <cellStyle name="Normal_MAU BIEU KTTHOP" xfId="2272" xr:uid="{00000000-0005-0000-0000-0000E6050000}"/>
    <cellStyle name="Normal_Sheet1" xfId="2270" xr:uid="{00000000-0005-0000-0000-0000E7050000}"/>
    <cellStyle name="Normal1" xfId="1512" xr:uid="{00000000-0005-0000-0000-0000E8050000}"/>
    <cellStyle name="Normal8" xfId="1513" xr:uid="{00000000-0005-0000-0000-0000E9050000}"/>
    <cellStyle name="NORMAL-ADB" xfId="1514" xr:uid="{00000000-0005-0000-0000-0000EA050000}"/>
    <cellStyle name="Normale_ PESO ELETTR." xfId="1515" xr:uid="{00000000-0005-0000-0000-0000EB050000}"/>
    <cellStyle name="Normalny_Cennik obowiazuje od 06-08-2001 r (1)" xfId="1516" xr:uid="{00000000-0005-0000-0000-0000EC050000}"/>
    <cellStyle name="Note 2" xfId="1517" xr:uid="{00000000-0005-0000-0000-0000ED050000}"/>
    <cellStyle name="Note 2 2" xfId="1518" xr:uid="{00000000-0005-0000-0000-0000EE050000}"/>
    <cellStyle name="Note 3" xfId="1519" xr:uid="{00000000-0005-0000-0000-0000EF050000}"/>
    <cellStyle name="NWM" xfId="1520" xr:uid="{00000000-0005-0000-0000-0000F0050000}"/>
    <cellStyle name="nga" xfId="1400" xr:uid="{00000000-0005-0000-0000-0000F1050000}"/>
    <cellStyle name="Nhấn1" xfId="1401" xr:uid="{00000000-0005-0000-0000-0000F2050000}"/>
    <cellStyle name="Nhấn2" xfId="1402" xr:uid="{00000000-0005-0000-0000-0000F3050000}"/>
    <cellStyle name="Nhấn3" xfId="1403" xr:uid="{00000000-0005-0000-0000-0000F4050000}"/>
    <cellStyle name="Nhấn4" xfId="1404" xr:uid="{00000000-0005-0000-0000-0000F5050000}"/>
    <cellStyle name="Nhấn5" xfId="1405" xr:uid="{00000000-0005-0000-0000-0000F6050000}"/>
    <cellStyle name="Nhấn6" xfId="1406" xr:uid="{00000000-0005-0000-0000-0000F7050000}"/>
    <cellStyle name="Ò_x000d_Normal_123569" xfId="1522" xr:uid="{00000000-0005-0000-0000-0000F8050000}"/>
    <cellStyle name="Œ…‹æØ‚è [0.00]_††††† " xfId="1523" xr:uid="{00000000-0005-0000-0000-0000F9050000}"/>
    <cellStyle name="Œ…‹æØ‚è_††††† " xfId="1524" xr:uid="{00000000-0005-0000-0000-0000FA050000}"/>
    <cellStyle name="oft Excel]_x000d__x000a_Comment=open=/f ‚ðw’è‚·‚é‚ÆAƒ†[ƒU[’è‹`ŠÖ”‚ðŠÖ”“\‚è•t‚¯‚Ìˆê——‚É“o˜^‚·‚é‚±‚Æ‚ª‚Å‚«‚Ü‚·B_x000d__x000a_Maximized" xfId="1525" xr:uid="{00000000-0005-0000-0000-0000FB050000}"/>
    <cellStyle name="oft Excel]_x000d__x000a_Comment=open=/f ‚ðŽw’è‚·‚é‚ÆAƒ†[ƒU[’è‹`ŠÖ”‚ðŠÖ”“\‚è•t‚¯‚Ìˆê——‚É“o˜^‚·‚é‚±‚Æ‚ª‚Å‚«‚Ü‚·B_x000d__x000a_Maximized" xfId="1526" xr:uid="{00000000-0005-0000-0000-0000FC050000}"/>
    <cellStyle name="oft Excel]_x000d__x000a_Comment=The open=/f lines load custom functions into the Paste Function list._x000d__x000a_Maximized=2_x000d__x000a_Basics=1_x000d__x000a_A" xfId="1527" xr:uid="{00000000-0005-0000-0000-0000FD050000}"/>
    <cellStyle name="oft Excel]_x000d__x000a_Comment=The open=/f lines load custom functions into the Paste Function list._x000d__x000a_Maximized=3_x000d__x000a_Basics=1_x000d__x000a_A" xfId="1528" xr:uid="{00000000-0005-0000-0000-0000FE050000}"/>
    <cellStyle name="omma [0]_Mktg Prog" xfId="1529" xr:uid="{00000000-0005-0000-0000-0000FF050000}"/>
    <cellStyle name="ormal_Sheet1_1" xfId="1530" xr:uid="{00000000-0005-0000-0000-000000060000}"/>
    <cellStyle name="Output 2" xfId="1531" xr:uid="{00000000-0005-0000-0000-000001060000}"/>
    <cellStyle name="Output 2 2" xfId="1532" xr:uid="{00000000-0005-0000-0000-000002060000}"/>
    <cellStyle name="Output 3" xfId="1533" xr:uid="{00000000-0005-0000-0000-000003060000}"/>
    <cellStyle name="Ô Được nối kết" xfId="1521" xr:uid="{00000000-0005-0000-0000-000004060000}"/>
    <cellStyle name="p" xfId="1534" xr:uid="{00000000-0005-0000-0000-000005060000}"/>
    <cellStyle name="paint" xfId="1535" xr:uid="{00000000-0005-0000-0000-000006060000}"/>
    <cellStyle name="Pattern" xfId="1536" xr:uid="{00000000-0005-0000-0000-000007060000}"/>
    <cellStyle name="per.style" xfId="1537" xr:uid="{00000000-0005-0000-0000-000008060000}"/>
    <cellStyle name="Percent" xfId="2269" builtinId="5"/>
    <cellStyle name="Percent [0]" xfId="1538" xr:uid="{00000000-0005-0000-0000-00000A060000}"/>
    <cellStyle name="Percent [00]" xfId="1539" xr:uid="{00000000-0005-0000-0000-00000B060000}"/>
    <cellStyle name="Percent [2]" xfId="1540" xr:uid="{00000000-0005-0000-0000-00000C060000}"/>
    <cellStyle name="Percent 10" xfId="1541" xr:uid="{00000000-0005-0000-0000-00000D060000}"/>
    <cellStyle name="Percent 2" xfId="1542" xr:uid="{00000000-0005-0000-0000-00000E060000}"/>
    <cellStyle name="Percent 2 2" xfId="1543" xr:uid="{00000000-0005-0000-0000-00000F060000}"/>
    <cellStyle name="Percent 3" xfId="1544" xr:uid="{00000000-0005-0000-0000-000010060000}"/>
    <cellStyle name="Percent 4" xfId="1545" xr:uid="{00000000-0005-0000-0000-000011060000}"/>
    <cellStyle name="Percent 5" xfId="1546" xr:uid="{00000000-0005-0000-0000-000012060000}"/>
    <cellStyle name="Percent 6" xfId="1547" xr:uid="{00000000-0005-0000-0000-000013060000}"/>
    <cellStyle name="Percent 7" xfId="2265" xr:uid="{00000000-0005-0000-0000-000014060000}"/>
    <cellStyle name="Percent 8" xfId="2266" xr:uid="{00000000-0005-0000-0000-000015060000}"/>
    <cellStyle name="Percent 9" xfId="2267" xr:uid="{00000000-0005-0000-0000-000016060000}"/>
    <cellStyle name="Percent 9 2" xfId="2275" xr:uid="{CD6716BE-F162-403E-B6BA-31B198128ADA}"/>
    <cellStyle name="Percent 9 3" xfId="2276" xr:uid="{53BD7091-71B4-43B3-B047-EE1DA19C56D6}"/>
    <cellStyle name="PERCENTAGE" xfId="1548" xr:uid="{00000000-0005-0000-0000-000017060000}"/>
    <cellStyle name="Pourcentage" xfId="1550" xr:uid="{00000000-0005-0000-0000-000018060000}"/>
    <cellStyle name="Pourcentage 2" xfId="1551" xr:uid="{00000000-0005-0000-0000-000019060000}"/>
    <cellStyle name="PrePop Currency (0)" xfId="1552" xr:uid="{00000000-0005-0000-0000-00001A060000}"/>
    <cellStyle name="PrePop Currency (2)" xfId="1553" xr:uid="{00000000-0005-0000-0000-00001B060000}"/>
    <cellStyle name="PrePop Units (0)" xfId="1554" xr:uid="{00000000-0005-0000-0000-00001C060000}"/>
    <cellStyle name="PrePop Units (1)" xfId="1555" xr:uid="{00000000-0005-0000-0000-00001D060000}"/>
    <cellStyle name="PrePop Units (2)" xfId="1556" xr:uid="{00000000-0005-0000-0000-00001E060000}"/>
    <cellStyle name="pricing" xfId="1557" xr:uid="{00000000-0005-0000-0000-00001F060000}"/>
    <cellStyle name="PSChar" xfId="1558" xr:uid="{00000000-0005-0000-0000-000020060000}"/>
    <cellStyle name="PSHeading" xfId="1559" xr:uid="{00000000-0005-0000-0000-000021060000}"/>
    <cellStyle name="PHONG" xfId="1549" xr:uid="{00000000-0005-0000-0000-000022060000}"/>
    <cellStyle name="regstoresfromspecstores" xfId="1560" xr:uid="{00000000-0005-0000-0000-000023060000}"/>
    <cellStyle name="RevList" xfId="1561" xr:uid="{00000000-0005-0000-0000-000024060000}"/>
    <cellStyle name="rlink_tiªn l­în_x001b_Hyperlink_TONG HOP KINH PHI" xfId="1562" xr:uid="{00000000-0005-0000-0000-000025060000}"/>
    <cellStyle name="rmal_ADAdot" xfId="1563" xr:uid="{00000000-0005-0000-0000-000026060000}"/>
    <cellStyle name="S—_x0008_" xfId="1564" xr:uid="{00000000-0005-0000-0000-000027060000}"/>
    <cellStyle name="s]_x000d__x000a_spooler=yes_x000d__x000a_load=_x000d__x000a_Beep=yes_x000d__x000a_NullPort=None_x000d__x000a_BorderWidth=3_x000d__x000a_CursorBlinkRate=1200_x000d__x000a_DoubleClickSpeed=452_x000d__x000a_Programs=co" xfId="1565" xr:uid="{00000000-0005-0000-0000-000028060000}"/>
    <cellStyle name="SAPBEXaggData" xfId="1566" xr:uid="{00000000-0005-0000-0000-000029060000}"/>
    <cellStyle name="SAPBEXaggData 2" xfId="1567" xr:uid="{00000000-0005-0000-0000-00002A060000}"/>
    <cellStyle name="SAPBEXaggDataEmph" xfId="1568" xr:uid="{00000000-0005-0000-0000-00002B060000}"/>
    <cellStyle name="SAPBEXaggDataEmph 2" xfId="1569" xr:uid="{00000000-0005-0000-0000-00002C060000}"/>
    <cellStyle name="SAPBEXaggItem" xfId="1570" xr:uid="{00000000-0005-0000-0000-00002D060000}"/>
    <cellStyle name="SAPBEXaggItem 2" xfId="1571" xr:uid="{00000000-0005-0000-0000-00002E060000}"/>
    <cellStyle name="SAPBEXchaText" xfId="1572" xr:uid="{00000000-0005-0000-0000-00002F060000}"/>
    <cellStyle name="SAPBEXexcBad7" xfId="1573" xr:uid="{00000000-0005-0000-0000-000030060000}"/>
    <cellStyle name="SAPBEXexcBad7 2" xfId="1574" xr:uid="{00000000-0005-0000-0000-000031060000}"/>
    <cellStyle name="SAPBEXexcBad8" xfId="1575" xr:uid="{00000000-0005-0000-0000-000032060000}"/>
    <cellStyle name="SAPBEXexcBad8 2" xfId="1576" xr:uid="{00000000-0005-0000-0000-000033060000}"/>
    <cellStyle name="SAPBEXexcBad9" xfId="1577" xr:uid="{00000000-0005-0000-0000-000034060000}"/>
    <cellStyle name="SAPBEXexcBad9 2" xfId="1578" xr:uid="{00000000-0005-0000-0000-000035060000}"/>
    <cellStyle name="SAPBEXexcCritical4" xfId="1579" xr:uid="{00000000-0005-0000-0000-000036060000}"/>
    <cellStyle name="SAPBEXexcCritical4 2" xfId="1580" xr:uid="{00000000-0005-0000-0000-000037060000}"/>
    <cellStyle name="SAPBEXexcCritical5" xfId="1581" xr:uid="{00000000-0005-0000-0000-000038060000}"/>
    <cellStyle name="SAPBEXexcCritical5 2" xfId="1582" xr:uid="{00000000-0005-0000-0000-000039060000}"/>
    <cellStyle name="SAPBEXexcCritical6" xfId="1583" xr:uid="{00000000-0005-0000-0000-00003A060000}"/>
    <cellStyle name="SAPBEXexcCritical6 2" xfId="1584" xr:uid="{00000000-0005-0000-0000-00003B060000}"/>
    <cellStyle name="SAPBEXexcGood1" xfId="1585" xr:uid="{00000000-0005-0000-0000-00003C060000}"/>
    <cellStyle name="SAPBEXexcGood1 2" xfId="1586" xr:uid="{00000000-0005-0000-0000-00003D060000}"/>
    <cellStyle name="SAPBEXexcGood2" xfId="1587" xr:uid="{00000000-0005-0000-0000-00003E060000}"/>
    <cellStyle name="SAPBEXexcGood2 2" xfId="1588" xr:uid="{00000000-0005-0000-0000-00003F060000}"/>
    <cellStyle name="SAPBEXexcGood3" xfId="1589" xr:uid="{00000000-0005-0000-0000-000040060000}"/>
    <cellStyle name="SAPBEXexcGood3 2" xfId="1590" xr:uid="{00000000-0005-0000-0000-000041060000}"/>
    <cellStyle name="SAPBEXfilterDrill" xfId="1591" xr:uid="{00000000-0005-0000-0000-000042060000}"/>
    <cellStyle name="SAPBEXfilterItem" xfId="1592" xr:uid="{00000000-0005-0000-0000-000043060000}"/>
    <cellStyle name="SAPBEXfilterText" xfId="1593" xr:uid="{00000000-0005-0000-0000-000044060000}"/>
    <cellStyle name="SAPBEXformats" xfId="1594" xr:uid="{00000000-0005-0000-0000-000045060000}"/>
    <cellStyle name="SAPBEXformats 2" xfId="1595" xr:uid="{00000000-0005-0000-0000-000046060000}"/>
    <cellStyle name="SAPBEXheaderItem" xfId="1596" xr:uid="{00000000-0005-0000-0000-000047060000}"/>
    <cellStyle name="SAPBEXheaderText" xfId="1597" xr:uid="{00000000-0005-0000-0000-000048060000}"/>
    <cellStyle name="SAPBEXresData" xfId="1598" xr:uid="{00000000-0005-0000-0000-000049060000}"/>
    <cellStyle name="SAPBEXresData 2" xfId="1599" xr:uid="{00000000-0005-0000-0000-00004A060000}"/>
    <cellStyle name="SAPBEXresDataEmph" xfId="1600" xr:uid="{00000000-0005-0000-0000-00004B060000}"/>
    <cellStyle name="SAPBEXresDataEmph 2" xfId="1601" xr:uid="{00000000-0005-0000-0000-00004C060000}"/>
    <cellStyle name="SAPBEXresItem" xfId="1602" xr:uid="{00000000-0005-0000-0000-00004D060000}"/>
    <cellStyle name="SAPBEXresItem 2" xfId="1603" xr:uid="{00000000-0005-0000-0000-00004E060000}"/>
    <cellStyle name="SAPBEXstdData" xfId="1604" xr:uid="{00000000-0005-0000-0000-00004F060000}"/>
    <cellStyle name="SAPBEXstdData 2" xfId="1605" xr:uid="{00000000-0005-0000-0000-000050060000}"/>
    <cellStyle name="SAPBEXstdDataEmph" xfId="1606" xr:uid="{00000000-0005-0000-0000-000051060000}"/>
    <cellStyle name="SAPBEXstdDataEmph 2" xfId="1607" xr:uid="{00000000-0005-0000-0000-000052060000}"/>
    <cellStyle name="SAPBEXstdItem" xfId="1608" xr:uid="{00000000-0005-0000-0000-000053060000}"/>
    <cellStyle name="SAPBEXstdItem 2" xfId="1609" xr:uid="{00000000-0005-0000-0000-000054060000}"/>
    <cellStyle name="SAPBEXtitle" xfId="1610" xr:uid="{00000000-0005-0000-0000-000055060000}"/>
    <cellStyle name="SAPBEXtitle 2" xfId="1611" xr:uid="{00000000-0005-0000-0000-000056060000}"/>
    <cellStyle name="SAPBEXundefined" xfId="1612" xr:uid="{00000000-0005-0000-0000-000057060000}"/>
    <cellStyle name="SAPBEXundefined 2" xfId="1613" xr:uid="{00000000-0005-0000-0000-000058060000}"/>
    <cellStyle name="serJet 1200 Series PCL 6" xfId="1614" xr:uid="{00000000-0005-0000-0000-000059060000}"/>
    <cellStyle name="SHADEDSTORES" xfId="1615" xr:uid="{00000000-0005-0000-0000-00005A060000}"/>
    <cellStyle name="SHADEDSTORES 2" xfId="1616" xr:uid="{00000000-0005-0000-0000-00005B060000}"/>
    <cellStyle name="so" xfId="1617" xr:uid="{00000000-0005-0000-0000-00005C060000}"/>
    <cellStyle name="SO%" xfId="1618" xr:uid="{00000000-0005-0000-0000-00005D060000}"/>
    <cellStyle name="so_Book1" xfId="1619" xr:uid="{00000000-0005-0000-0000-00005E060000}"/>
    <cellStyle name="songuyen" xfId="1620" xr:uid="{00000000-0005-0000-0000-00005F060000}"/>
    <cellStyle name="specstores" xfId="1621" xr:uid="{00000000-0005-0000-0000-000060060000}"/>
    <cellStyle name="Standard" xfId="1622" xr:uid="{00000000-0005-0000-0000-000061060000}"/>
    <cellStyle name="Standard 2" xfId="1623" xr:uid="{00000000-0005-0000-0000-000062060000}"/>
    <cellStyle name="Standard_AAbgleich" xfId="1624" xr:uid="{00000000-0005-0000-0000-000063060000}"/>
    <cellStyle name="STT" xfId="1625" xr:uid="{00000000-0005-0000-0000-000064060000}"/>
    <cellStyle name="STTDG" xfId="1626" xr:uid="{00000000-0005-0000-0000-000065060000}"/>
    <cellStyle name="style" xfId="1627" xr:uid="{00000000-0005-0000-0000-000066060000}"/>
    <cellStyle name="Style 1" xfId="1628" xr:uid="{00000000-0005-0000-0000-000067060000}"/>
    <cellStyle name="Style 10" xfId="1629" xr:uid="{00000000-0005-0000-0000-000068060000}"/>
    <cellStyle name="Style 100" xfId="1630" xr:uid="{00000000-0005-0000-0000-000069060000}"/>
    <cellStyle name="Style 101" xfId="1631" xr:uid="{00000000-0005-0000-0000-00006A060000}"/>
    <cellStyle name="Style 102" xfId="1632" xr:uid="{00000000-0005-0000-0000-00006B060000}"/>
    <cellStyle name="Style 103" xfId="1633" xr:uid="{00000000-0005-0000-0000-00006C060000}"/>
    <cellStyle name="Style 104" xfId="1634" xr:uid="{00000000-0005-0000-0000-00006D060000}"/>
    <cellStyle name="Style 105" xfId="1635" xr:uid="{00000000-0005-0000-0000-00006E060000}"/>
    <cellStyle name="Style 106" xfId="1636" xr:uid="{00000000-0005-0000-0000-00006F060000}"/>
    <cellStyle name="Style 107" xfId="1637" xr:uid="{00000000-0005-0000-0000-000070060000}"/>
    <cellStyle name="Style 108" xfId="1638" xr:uid="{00000000-0005-0000-0000-000071060000}"/>
    <cellStyle name="Style 109" xfId="1639" xr:uid="{00000000-0005-0000-0000-000072060000}"/>
    <cellStyle name="Style 11" xfId="1640" xr:uid="{00000000-0005-0000-0000-000073060000}"/>
    <cellStyle name="Style 110" xfId="1641" xr:uid="{00000000-0005-0000-0000-000074060000}"/>
    <cellStyle name="Style 111" xfId="1642" xr:uid="{00000000-0005-0000-0000-000075060000}"/>
    <cellStyle name="Style 112" xfId="1643" xr:uid="{00000000-0005-0000-0000-000076060000}"/>
    <cellStyle name="Style 113" xfId="1644" xr:uid="{00000000-0005-0000-0000-000077060000}"/>
    <cellStyle name="Style 114" xfId="1645" xr:uid="{00000000-0005-0000-0000-000078060000}"/>
    <cellStyle name="Style 115" xfId="1646" xr:uid="{00000000-0005-0000-0000-000079060000}"/>
    <cellStyle name="Style 116" xfId="1647" xr:uid="{00000000-0005-0000-0000-00007A060000}"/>
    <cellStyle name="Style 117" xfId="1648" xr:uid="{00000000-0005-0000-0000-00007B060000}"/>
    <cellStyle name="Style 118" xfId="1649" xr:uid="{00000000-0005-0000-0000-00007C060000}"/>
    <cellStyle name="Style 119" xfId="1650" xr:uid="{00000000-0005-0000-0000-00007D060000}"/>
    <cellStyle name="Style 12" xfId="1651" xr:uid="{00000000-0005-0000-0000-00007E060000}"/>
    <cellStyle name="Style 120" xfId="1652" xr:uid="{00000000-0005-0000-0000-00007F060000}"/>
    <cellStyle name="Style 121" xfId="1653" xr:uid="{00000000-0005-0000-0000-000080060000}"/>
    <cellStyle name="Style 122" xfId="1654" xr:uid="{00000000-0005-0000-0000-000081060000}"/>
    <cellStyle name="Style 123" xfId="1655" xr:uid="{00000000-0005-0000-0000-000082060000}"/>
    <cellStyle name="Style 124" xfId="1656" xr:uid="{00000000-0005-0000-0000-000083060000}"/>
    <cellStyle name="Style 125" xfId="1657" xr:uid="{00000000-0005-0000-0000-000084060000}"/>
    <cellStyle name="Style 126" xfId="1658" xr:uid="{00000000-0005-0000-0000-000085060000}"/>
    <cellStyle name="Style 127" xfId="1659" xr:uid="{00000000-0005-0000-0000-000086060000}"/>
    <cellStyle name="Style 128" xfId="1660" xr:uid="{00000000-0005-0000-0000-000087060000}"/>
    <cellStyle name="Style 129" xfId="1661" xr:uid="{00000000-0005-0000-0000-000088060000}"/>
    <cellStyle name="Style 13" xfId="1662" xr:uid="{00000000-0005-0000-0000-000089060000}"/>
    <cellStyle name="Style 130" xfId="1663" xr:uid="{00000000-0005-0000-0000-00008A060000}"/>
    <cellStyle name="Style 131" xfId="1664" xr:uid="{00000000-0005-0000-0000-00008B060000}"/>
    <cellStyle name="Style 132" xfId="1665" xr:uid="{00000000-0005-0000-0000-00008C060000}"/>
    <cellStyle name="Style 133" xfId="1666" xr:uid="{00000000-0005-0000-0000-00008D060000}"/>
    <cellStyle name="Style 134" xfId="1667" xr:uid="{00000000-0005-0000-0000-00008E060000}"/>
    <cellStyle name="Style 135" xfId="1668" xr:uid="{00000000-0005-0000-0000-00008F060000}"/>
    <cellStyle name="Style 135 2" xfId="1669" xr:uid="{00000000-0005-0000-0000-000090060000}"/>
    <cellStyle name="Style 136" xfId="1670" xr:uid="{00000000-0005-0000-0000-000091060000}"/>
    <cellStyle name="Style 137" xfId="1671" xr:uid="{00000000-0005-0000-0000-000092060000}"/>
    <cellStyle name="Style 138" xfId="1672" xr:uid="{00000000-0005-0000-0000-000093060000}"/>
    <cellStyle name="Style 139" xfId="1673" xr:uid="{00000000-0005-0000-0000-000094060000}"/>
    <cellStyle name="Style 14" xfId="1674" xr:uid="{00000000-0005-0000-0000-000095060000}"/>
    <cellStyle name="Style 140" xfId="1675" xr:uid="{00000000-0005-0000-0000-000096060000}"/>
    <cellStyle name="Style 140 2" xfId="1676" xr:uid="{00000000-0005-0000-0000-000097060000}"/>
    <cellStyle name="Style 141" xfId="1677" xr:uid="{00000000-0005-0000-0000-000098060000}"/>
    <cellStyle name="Style 142" xfId="1678" xr:uid="{00000000-0005-0000-0000-000099060000}"/>
    <cellStyle name="Style 143" xfId="1679" xr:uid="{00000000-0005-0000-0000-00009A060000}"/>
    <cellStyle name="Style 144" xfId="1680" xr:uid="{00000000-0005-0000-0000-00009B060000}"/>
    <cellStyle name="Style 145" xfId="1681" xr:uid="{00000000-0005-0000-0000-00009C060000}"/>
    <cellStyle name="Style 146" xfId="1682" xr:uid="{00000000-0005-0000-0000-00009D060000}"/>
    <cellStyle name="Style 147" xfId="1683" xr:uid="{00000000-0005-0000-0000-00009E060000}"/>
    <cellStyle name="Style 148" xfId="1684" xr:uid="{00000000-0005-0000-0000-00009F060000}"/>
    <cellStyle name="Style 149" xfId="1685" xr:uid="{00000000-0005-0000-0000-0000A0060000}"/>
    <cellStyle name="Style 15" xfId="1686" xr:uid="{00000000-0005-0000-0000-0000A1060000}"/>
    <cellStyle name="Style 150" xfId="1687" xr:uid="{00000000-0005-0000-0000-0000A2060000}"/>
    <cellStyle name="Style 151" xfId="1688" xr:uid="{00000000-0005-0000-0000-0000A3060000}"/>
    <cellStyle name="Style 152" xfId="1689" xr:uid="{00000000-0005-0000-0000-0000A4060000}"/>
    <cellStyle name="Style 153" xfId="1690" xr:uid="{00000000-0005-0000-0000-0000A5060000}"/>
    <cellStyle name="Style 154" xfId="1691" xr:uid="{00000000-0005-0000-0000-0000A6060000}"/>
    <cellStyle name="Style 155" xfId="1692" xr:uid="{00000000-0005-0000-0000-0000A7060000}"/>
    <cellStyle name="Style 156" xfId="1693" xr:uid="{00000000-0005-0000-0000-0000A8060000}"/>
    <cellStyle name="Style 157" xfId="1694" xr:uid="{00000000-0005-0000-0000-0000A9060000}"/>
    <cellStyle name="Style 158" xfId="1695" xr:uid="{00000000-0005-0000-0000-0000AA060000}"/>
    <cellStyle name="Style 159" xfId="1696" xr:uid="{00000000-0005-0000-0000-0000AB060000}"/>
    <cellStyle name="Style 16" xfId="1697" xr:uid="{00000000-0005-0000-0000-0000AC060000}"/>
    <cellStyle name="Style 160" xfId="1698" xr:uid="{00000000-0005-0000-0000-0000AD060000}"/>
    <cellStyle name="Style 161" xfId="1699" xr:uid="{00000000-0005-0000-0000-0000AE060000}"/>
    <cellStyle name="Style 162" xfId="1700" xr:uid="{00000000-0005-0000-0000-0000AF060000}"/>
    <cellStyle name="Style 163" xfId="1701" xr:uid="{00000000-0005-0000-0000-0000B0060000}"/>
    <cellStyle name="Style 17" xfId="1702" xr:uid="{00000000-0005-0000-0000-0000B1060000}"/>
    <cellStyle name="Style 18" xfId="1703" xr:uid="{00000000-0005-0000-0000-0000B2060000}"/>
    <cellStyle name="Style 19" xfId="1704" xr:uid="{00000000-0005-0000-0000-0000B3060000}"/>
    <cellStyle name="Style 2" xfId="1705" xr:uid="{00000000-0005-0000-0000-0000B4060000}"/>
    <cellStyle name="Style 20" xfId="1706" xr:uid="{00000000-0005-0000-0000-0000B5060000}"/>
    <cellStyle name="Style 21" xfId="1707" xr:uid="{00000000-0005-0000-0000-0000B6060000}"/>
    <cellStyle name="Style 22" xfId="1708" xr:uid="{00000000-0005-0000-0000-0000B7060000}"/>
    <cellStyle name="Style 23" xfId="1709" xr:uid="{00000000-0005-0000-0000-0000B8060000}"/>
    <cellStyle name="Style 24" xfId="1710" xr:uid="{00000000-0005-0000-0000-0000B9060000}"/>
    <cellStyle name="Style 25" xfId="1711" xr:uid="{00000000-0005-0000-0000-0000BA060000}"/>
    <cellStyle name="Style 26" xfId="1712" xr:uid="{00000000-0005-0000-0000-0000BB060000}"/>
    <cellStyle name="Style 27" xfId="1713" xr:uid="{00000000-0005-0000-0000-0000BC060000}"/>
    <cellStyle name="Style 28" xfId="1714" xr:uid="{00000000-0005-0000-0000-0000BD060000}"/>
    <cellStyle name="Style 29" xfId="1715" xr:uid="{00000000-0005-0000-0000-0000BE060000}"/>
    <cellStyle name="Style 3" xfId="1716" xr:uid="{00000000-0005-0000-0000-0000BF060000}"/>
    <cellStyle name="Style 30" xfId="1717" xr:uid="{00000000-0005-0000-0000-0000C0060000}"/>
    <cellStyle name="Style 31" xfId="1718" xr:uid="{00000000-0005-0000-0000-0000C1060000}"/>
    <cellStyle name="Style 32" xfId="1719" xr:uid="{00000000-0005-0000-0000-0000C2060000}"/>
    <cellStyle name="Style 33" xfId="1720" xr:uid="{00000000-0005-0000-0000-0000C3060000}"/>
    <cellStyle name="Style 34" xfId="1721" xr:uid="{00000000-0005-0000-0000-0000C4060000}"/>
    <cellStyle name="Style 35" xfId="1722" xr:uid="{00000000-0005-0000-0000-0000C5060000}"/>
    <cellStyle name="Style 36" xfId="1723" xr:uid="{00000000-0005-0000-0000-0000C6060000}"/>
    <cellStyle name="Style 37" xfId="1724" xr:uid="{00000000-0005-0000-0000-0000C7060000}"/>
    <cellStyle name="Style 38" xfId="1725" xr:uid="{00000000-0005-0000-0000-0000C8060000}"/>
    <cellStyle name="Style 39" xfId="1726" xr:uid="{00000000-0005-0000-0000-0000C9060000}"/>
    <cellStyle name="Style 4" xfId="1727" xr:uid="{00000000-0005-0000-0000-0000CA060000}"/>
    <cellStyle name="Style 40" xfId="1728" xr:uid="{00000000-0005-0000-0000-0000CB060000}"/>
    <cellStyle name="Style 41" xfId="1729" xr:uid="{00000000-0005-0000-0000-0000CC060000}"/>
    <cellStyle name="Style 42" xfId="1730" xr:uid="{00000000-0005-0000-0000-0000CD060000}"/>
    <cellStyle name="Style 43" xfId="1731" xr:uid="{00000000-0005-0000-0000-0000CE060000}"/>
    <cellStyle name="Style 44" xfId="1732" xr:uid="{00000000-0005-0000-0000-0000CF060000}"/>
    <cellStyle name="Style 45" xfId="1733" xr:uid="{00000000-0005-0000-0000-0000D0060000}"/>
    <cellStyle name="Style 46" xfId="1734" xr:uid="{00000000-0005-0000-0000-0000D1060000}"/>
    <cellStyle name="Style 47" xfId="1735" xr:uid="{00000000-0005-0000-0000-0000D2060000}"/>
    <cellStyle name="Style 48" xfId="1736" xr:uid="{00000000-0005-0000-0000-0000D3060000}"/>
    <cellStyle name="Style 49" xfId="1737" xr:uid="{00000000-0005-0000-0000-0000D4060000}"/>
    <cellStyle name="Style 5" xfId="1738" xr:uid="{00000000-0005-0000-0000-0000D5060000}"/>
    <cellStyle name="Style 50" xfId="1739" xr:uid="{00000000-0005-0000-0000-0000D6060000}"/>
    <cellStyle name="Style 51" xfId="1740" xr:uid="{00000000-0005-0000-0000-0000D7060000}"/>
    <cellStyle name="Style 52" xfId="1741" xr:uid="{00000000-0005-0000-0000-0000D8060000}"/>
    <cellStyle name="Style 53" xfId="1742" xr:uid="{00000000-0005-0000-0000-0000D9060000}"/>
    <cellStyle name="Style 54" xfId="1743" xr:uid="{00000000-0005-0000-0000-0000DA060000}"/>
    <cellStyle name="Style 55" xfId="1744" xr:uid="{00000000-0005-0000-0000-0000DB060000}"/>
    <cellStyle name="Style 56" xfId="1745" xr:uid="{00000000-0005-0000-0000-0000DC060000}"/>
    <cellStyle name="Style 57" xfId="1746" xr:uid="{00000000-0005-0000-0000-0000DD060000}"/>
    <cellStyle name="Style 58" xfId="1747" xr:uid="{00000000-0005-0000-0000-0000DE060000}"/>
    <cellStyle name="Style 59" xfId="1748" xr:uid="{00000000-0005-0000-0000-0000DF060000}"/>
    <cellStyle name="Style 6" xfId="1749" xr:uid="{00000000-0005-0000-0000-0000E0060000}"/>
    <cellStyle name="Style 60" xfId="1750" xr:uid="{00000000-0005-0000-0000-0000E1060000}"/>
    <cellStyle name="Style 61" xfId="1751" xr:uid="{00000000-0005-0000-0000-0000E2060000}"/>
    <cellStyle name="Style 62" xfId="1752" xr:uid="{00000000-0005-0000-0000-0000E3060000}"/>
    <cellStyle name="Style 63" xfId="1753" xr:uid="{00000000-0005-0000-0000-0000E4060000}"/>
    <cellStyle name="Style 64" xfId="1754" xr:uid="{00000000-0005-0000-0000-0000E5060000}"/>
    <cellStyle name="Style 65" xfId="1755" xr:uid="{00000000-0005-0000-0000-0000E6060000}"/>
    <cellStyle name="Style 66" xfId="1756" xr:uid="{00000000-0005-0000-0000-0000E7060000}"/>
    <cellStyle name="Style 67" xfId="1757" xr:uid="{00000000-0005-0000-0000-0000E8060000}"/>
    <cellStyle name="Style 68" xfId="1758" xr:uid="{00000000-0005-0000-0000-0000E9060000}"/>
    <cellStyle name="Style 69" xfId="1759" xr:uid="{00000000-0005-0000-0000-0000EA060000}"/>
    <cellStyle name="Style 7" xfId="1760" xr:uid="{00000000-0005-0000-0000-0000EB060000}"/>
    <cellStyle name="Style 70" xfId="1761" xr:uid="{00000000-0005-0000-0000-0000EC060000}"/>
    <cellStyle name="Style 71" xfId="1762" xr:uid="{00000000-0005-0000-0000-0000ED060000}"/>
    <cellStyle name="Style 72" xfId="1763" xr:uid="{00000000-0005-0000-0000-0000EE060000}"/>
    <cellStyle name="Style 73" xfId="1764" xr:uid="{00000000-0005-0000-0000-0000EF060000}"/>
    <cellStyle name="Style 74" xfId="1765" xr:uid="{00000000-0005-0000-0000-0000F0060000}"/>
    <cellStyle name="Style 75" xfId="1766" xr:uid="{00000000-0005-0000-0000-0000F1060000}"/>
    <cellStyle name="Style 76" xfId="1767" xr:uid="{00000000-0005-0000-0000-0000F2060000}"/>
    <cellStyle name="Style 77" xfId="1768" xr:uid="{00000000-0005-0000-0000-0000F3060000}"/>
    <cellStyle name="Style 78" xfId="1769" xr:uid="{00000000-0005-0000-0000-0000F4060000}"/>
    <cellStyle name="Style 79" xfId="1770" xr:uid="{00000000-0005-0000-0000-0000F5060000}"/>
    <cellStyle name="Style 8" xfId="1771" xr:uid="{00000000-0005-0000-0000-0000F6060000}"/>
    <cellStyle name="Style 80" xfId="1772" xr:uid="{00000000-0005-0000-0000-0000F7060000}"/>
    <cellStyle name="Style 81" xfId="1773" xr:uid="{00000000-0005-0000-0000-0000F8060000}"/>
    <cellStyle name="Style 82" xfId="1774" xr:uid="{00000000-0005-0000-0000-0000F9060000}"/>
    <cellStyle name="Style 83" xfId="1775" xr:uid="{00000000-0005-0000-0000-0000FA060000}"/>
    <cellStyle name="Style 84" xfId="1776" xr:uid="{00000000-0005-0000-0000-0000FB060000}"/>
    <cellStyle name="Style 85" xfId="1777" xr:uid="{00000000-0005-0000-0000-0000FC060000}"/>
    <cellStyle name="Style 86" xfId="1778" xr:uid="{00000000-0005-0000-0000-0000FD060000}"/>
    <cellStyle name="Style 87" xfId="1779" xr:uid="{00000000-0005-0000-0000-0000FE060000}"/>
    <cellStyle name="Style 88" xfId="1780" xr:uid="{00000000-0005-0000-0000-0000FF060000}"/>
    <cellStyle name="Style 89" xfId="1781" xr:uid="{00000000-0005-0000-0000-000000070000}"/>
    <cellStyle name="Style 9" xfId="1782" xr:uid="{00000000-0005-0000-0000-000001070000}"/>
    <cellStyle name="Style 90" xfId="1783" xr:uid="{00000000-0005-0000-0000-000002070000}"/>
    <cellStyle name="Style 91" xfId="1784" xr:uid="{00000000-0005-0000-0000-000003070000}"/>
    <cellStyle name="Style 92" xfId="1785" xr:uid="{00000000-0005-0000-0000-000004070000}"/>
    <cellStyle name="Style 93" xfId="1786" xr:uid="{00000000-0005-0000-0000-000005070000}"/>
    <cellStyle name="Style 94" xfId="1787" xr:uid="{00000000-0005-0000-0000-000006070000}"/>
    <cellStyle name="Style 95" xfId="1788" xr:uid="{00000000-0005-0000-0000-000007070000}"/>
    <cellStyle name="Style 96" xfId="1789" xr:uid="{00000000-0005-0000-0000-000008070000}"/>
    <cellStyle name="Style 97" xfId="1790" xr:uid="{00000000-0005-0000-0000-000009070000}"/>
    <cellStyle name="Style 98" xfId="1791" xr:uid="{00000000-0005-0000-0000-00000A070000}"/>
    <cellStyle name="Style 99" xfId="1792" xr:uid="{00000000-0005-0000-0000-00000B070000}"/>
    <cellStyle name="Style Date" xfId="1793" xr:uid="{00000000-0005-0000-0000-00000C070000}"/>
    <cellStyle name="Style Date 2" xfId="1794" xr:uid="{00000000-0005-0000-0000-00000D070000}"/>
    <cellStyle name="style_1" xfId="1795" xr:uid="{00000000-0005-0000-0000-00000E070000}"/>
    <cellStyle name="subhead" xfId="1796" xr:uid="{00000000-0005-0000-0000-00000F070000}"/>
    <cellStyle name="Subtotal" xfId="1797" xr:uid="{00000000-0005-0000-0000-000010070000}"/>
    <cellStyle name="symbol" xfId="1798" xr:uid="{00000000-0005-0000-0000-000011070000}"/>
    <cellStyle name="T" xfId="1799" xr:uid="{00000000-0005-0000-0000-000012070000}"/>
    <cellStyle name="T 2" xfId="1800" xr:uid="{00000000-0005-0000-0000-000013070000}"/>
    <cellStyle name="T_50-BB Vung tau 2011" xfId="1801" xr:uid="{00000000-0005-0000-0000-000014070000}"/>
    <cellStyle name="T_50-BB Vung tau 2011_27-8Tong hop PA uoc 2012-DT 2013 -PA 420.000 ty-490.000 ty chuyen doi" xfId="1802" xr:uid="{00000000-0005-0000-0000-000015070000}"/>
    <cellStyle name="T_BANG LUONG MOI KSDH va KSDC (co phu cap khu vuc)" xfId="1803" xr:uid="{00000000-0005-0000-0000-000016070000}"/>
    <cellStyle name="T_BANG LUONG MOI KSDH va KSDC (co phu cap khu vuc) 2" xfId="1804" xr:uid="{00000000-0005-0000-0000-000017070000}"/>
    <cellStyle name="T_bao cao" xfId="1805" xr:uid="{00000000-0005-0000-0000-000018070000}"/>
    <cellStyle name="T_bao cao 2" xfId="1806" xr:uid="{00000000-0005-0000-0000-000019070000}"/>
    <cellStyle name="T_Bao cao so lieu kiem toan nam 2007 sua" xfId="1807" xr:uid="{00000000-0005-0000-0000-00001A070000}"/>
    <cellStyle name="T_Bao cao so lieu kiem toan nam 2007 sua 2" xfId="1808" xr:uid="{00000000-0005-0000-0000-00001B070000}"/>
    <cellStyle name="T_BBTNG-06" xfId="1809" xr:uid="{00000000-0005-0000-0000-00001C070000}"/>
    <cellStyle name="T_BBTNG-06 2" xfId="1810" xr:uid="{00000000-0005-0000-0000-00001D070000}"/>
    <cellStyle name="T_BC CTMT-2008 Ttinh" xfId="1811" xr:uid="{00000000-0005-0000-0000-00001E070000}"/>
    <cellStyle name="T_BC CTMT-2008 Ttinh 2" xfId="1812" xr:uid="{00000000-0005-0000-0000-00001F070000}"/>
    <cellStyle name="T_BC CTMT-2008 Ttinh_bieu tong hop" xfId="1813" xr:uid="{00000000-0005-0000-0000-000020070000}"/>
    <cellStyle name="T_BC CTMT-2008 Ttinh_bieu tong hop 2" xfId="1814" xr:uid="{00000000-0005-0000-0000-000021070000}"/>
    <cellStyle name="T_BC CTMT-2008 Ttinh_Tong hop ra soat von ung 2011 -Chau" xfId="1815" xr:uid="{00000000-0005-0000-0000-000022070000}"/>
    <cellStyle name="T_BC CTMT-2008 Ttinh_Tong hop ra soat von ung 2011 -Chau 2" xfId="1816" xr:uid="{00000000-0005-0000-0000-000023070000}"/>
    <cellStyle name="T_BC CTMT-2008 Ttinh_Tong hop -Yte-Giao thong-Thuy loi-24-6" xfId="1817" xr:uid="{00000000-0005-0000-0000-000024070000}"/>
    <cellStyle name="T_BC CTMT-2008 Ttinh_Tong hop -Yte-Giao thong-Thuy loi-24-6 2" xfId="1818" xr:uid="{00000000-0005-0000-0000-000025070000}"/>
    <cellStyle name="T_Bc_tuan_1_CKy_6_KONTUM" xfId="1819" xr:uid="{00000000-0005-0000-0000-000026070000}"/>
    <cellStyle name="T_Bc_tuan_1_CKy_6_KONTUM 2" xfId="1820" xr:uid="{00000000-0005-0000-0000-000027070000}"/>
    <cellStyle name="T_Bc_tuan_1_CKy_6_KONTUM_Book1" xfId="1821" xr:uid="{00000000-0005-0000-0000-000028070000}"/>
    <cellStyle name="T_Bc_tuan_1_CKy_6_KONTUM_Book1 2" xfId="1822" xr:uid="{00000000-0005-0000-0000-000029070000}"/>
    <cellStyle name="T_bieu 1" xfId="1823" xr:uid="{00000000-0005-0000-0000-00002A070000}"/>
    <cellStyle name="T_bieu 2" xfId="1824" xr:uid="{00000000-0005-0000-0000-00002B070000}"/>
    <cellStyle name="T_bieu 4" xfId="1825" xr:uid="{00000000-0005-0000-0000-00002C070000}"/>
    <cellStyle name="T_Bieu mau danh muc du an thuoc CTMTQG nam 2008" xfId="1826" xr:uid="{00000000-0005-0000-0000-00002D070000}"/>
    <cellStyle name="T_Bieu mau danh muc du an thuoc CTMTQG nam 2008 2" xfId="1827" xr:uid="{00000000-0005-0000-0000-00002E070000}"/>
    <cellStyle name="T_Bieu mau danh muc du an thuoc CTMTQG nam 2008_bieu tong hop" xfId="1828" xr:uid="{00000000-0005-0000-0000-00002F070000}"/>
    <cellStyle name="T_Bieu mau danh muc du an thuoc CTMTQG nam 2008_bieu tong hop 2" xfId="1829" xr:uid="{00000000-0005-0000-0000-000030070000}"/>
    <cellStyle name="T_Bieu mau danh muc du an thuoc CTMTQG nam 2008_Tong hop ra soat von ung 2011 -Chau" xfId="1830" xr:uid="{00000000-0005-0000-0000-000031070000}"/>
    <cellStyle name="T_Bieu mau danh muc du an thuoc CTMTQG nam 2008_Tong hop ra soat von ung 2011 -Chau 2" xfId="1831" xr:uid="{00000000-0005-0000-0000-000032070000}"/>
    <cellStyle name="T_Bieu mau danh muc du an thuoc CTMTQG nam 2008_Tong hop -Yte-Giao thong-Thuy loi-24-6" xfId="1832" xr:uid="{00000000-0005-0000-0000-000033070000}"/>
    <cellStyle name="T_Bieu mau danh muc du an thuoc CTMTQG nam 2008_Tong hop -Yte-Giao thong-Thuy loi-24-6 2" xfId="1833" xr:uid="{00000000-0005-0000-0000-000034070000}"/>
    <cellStyle name="T_Bieu tong hop nhu cau ung 2011 da chon loc -Mien nui" xfId="1834" xr:uid="{00000000-0005-0000-0000-000035070000}"/>
    <cellStyle name="T_Bieu tong hop nhu cau ung 2011 da chon loc -Mien nui 2" xfId="1835" xr:uid="{00000000-0005-0000-0000-000036070000}"/>
    <cellStyle name="T_Book1" xfId="1836" xr:uid="{00000000-0005-0000-0000-000037070000}"/>
    <cellStyle name="T_Book1 2" xfId="1837" xr:uid="{00000000-0005-0000-0000-000038070000}"/>
    <cellStyle name="T_Book1_1" xfId="1838" xr:uid="{00000000-0005-0000-0000-000039070000}"/>
    <cellStyle name="T_Book1_1 2" xfId="1839" xr:uid="{00000000-0005-0000-0000-00003A070000}"/>
    <cellStyle name="T_Book1_1_Bieu mau ung 2011-Mien Trung-TPCP-11-6" xfId="1840" xr:uid="{00000000-0005-0000-0000-00003B070000}"/>
    <cellStyle name="T_Book1_1_Bieu mau ung 2011-Mien Trung-TPCP-11-6 2" xfId="1841" xr:uid="{00000000-0005-0000-0000-00003C070000}"/>
    <cellStyle name="T_Book1_1_bieu tong hop" xfId="1842" xr:uid="{00000000-0005-0000-0000-00003D070000}"/>
    <cellStyle name="T_Book1_1_bieu tong hop 2" xfId="1843" xr:uid="{00000000-0005-0000-0000-00003E070000}"/>
    <cellStyle name="T_Book1_1_Bieu tong hop nhu cau ung 2011 da chon loc -Mien nui" xfId="1844" xr:uid="{00000000-0005-0000-0000-00003F070000}"/>
    <cellStyle name="T_Book1_1_Bieu tong hop nhu cau ung 2011 da chon loc -Mien nui 2" xfId="1845" xr:uid="{00000000-0005-0000-0000-000040070000}"/>
    <cellStyle name="T_Book1_1_Book1" xfId="1846" xr:uid="{00000000-0005-0000-0000-000041070000}"/>
    <cellStyle name="T_Book1_1_Book1 2" xfId="1847" xr:uid="{00000000-0005-0000-0000-000042070000}"/>
    <cellStyle name="T_Book1_1_CPK" xfId="1848" xr:uid="{00000000-0005-0000-0000-000043070000}"/>
    <cellStyle name="T_Book1_1_CPK 2" xfId="1849" xr:uid="{00000000-0005-0000-0000-000044070000}"/>
    <cellStyle name="T_Book1_1_KL NT dap nen Dot 3" xfId="1854" xr:uid="{00000000-0005-0000-0000-000045070000}"/>
    <cellStyle name="T_Book1_1_KL NT dap nen Dot 3 2" xfId="1855" xr:uid="{00000000-0005-0000-0000-000046070000}"/>
    <cellStyle name="T_Book1_1_KL NT Dot 3" xfId="1856" xr:uid="{00000000-0005-0000-0000-000047070000}"/>
    <cellStyle name="T_Book1_1_KL NT Dot 3 2" xfId="1857" xr:uid="{00000000-0005-0000-0000-000048070000}"/>
    <cellStyle name="T_Book1_1_Khoi luong cac hang muc chi tiet-702" xfId="1850" xr:uid="{00000000-0005-0000-0000-000049070000}"/>
    <cellStyle name="T_Book1_1_Khoi luong cac hang muc chi tiet-702 2" xfId="1851" xr:uid="{00000000-0005-0000-0000-00004A070000}"/>
    <cellStyle name="T_Book1_1_khoiluongbdacdoa" xfId="1852" xr:uid="{00000000-0005-0000-0000-00004B070000}"/>
    <cellStyle name="T_Book1_1_khoiluongbdacdoa 2" xfId="1853" xr:uid="{00000000-0005-0000-0000-00004C070000}"/>
    <cellStyle name="T_Book1_1_mau KL vach son" xfId="1858" xr:uid="{00000000-0005-0000-0000-00004D070000}"/>
    <cellStyle name="T_Book1_1_mau KL vach son 2" xfId="1859" xr:uid="{00000000-0005-0000-0000-00004E070000}"/>
    <cellStyle name="T_Book1_1_Nhu cau tam ung NSNN&amp;TPCP&amp;ODA theo tieu chi cua Bo (CV410_BKH-TH)_vung Tay Nguyen (11.6.2010)" xfId="1860" xr:uid="{00000000-0005-0000-0000-00004F070000}"/>
    <cellStyle name="T_Book1_1_Nhu cau tam ung NSNN&amp;TPCP&amp;ODA theo tieu chi cua Bo (CV410_BKH-TH)_vung Tay Nguyen (11.6.2010) 2" xfId="1861" xr:uid="{00000000-0005-0000-0000-000050070000}"/>
    <cellStyle name="T_Book1_1_Tong hop ra soat von ung 2011 -Chau" xfId="1866" xr:uid="{00000000-0005-0000-0000-000051070000}"/>
    <cellStyle name="T_Book1_1_Tong hop ra soat von ung 2011 -Chau 2" xfId="1867" xr:uid="{00000000-0005-0000-0000-000052070000}"/>
    <cellStyle name="T_Book1_1_Tong hop -Yte-Giao thong-Thuy loi-24-6" xfId="1868" xr:uid="{00000000-0005-0000-0000-000053070000}"/>
    <cellStyle name="T_Book1_1_Tong hop -Yte-Giao thong-Thuy loi-24-6 2" xfId="1869" xr:uid="{00000000-0005-0000-0000-000054070000}"/>
    <cellStyle name="T_Book1_1_Thiet bi" xfId="1862" xr:uid="{00000000-0005-0000-0000-000055070000}"/>
    <cellStyle name="T_Book1_1_Thiet bi 2" xfId="1863" xr:uid="{00000000-0005-0000-0000-000056070000}"/>
    <cellStyle name="T_Book1_1_Thong ke cong" xfId="1864" xr:uid="{00000000-0005-0000-0000-000057070000}"/>
    <cellStyle name="T_Book1_1_Thong ke cong 2" xfId="1865" xr:uid="{00000000-0005-0000-0000-000058070000}"/>
    <cellStyle name="T_Book1_2" xfId="1870" xr:uid="{00000000-0005-0000-0000-000059070000}"/>
    <cellStyle name="T_Book1_2 2" xfId="1871" xr:uid="{00000000-0005-0000-0000-00005A070000}"/>
    <cellStyle name="T_Book1_2_DTDuong dong tien -sua tham tra 2009 - luong 650" xfId="1872" xr:uid="{00000000-0005-0000-0000-00005B070000}"/>
    <cellStyle name="T_Book1_2_DTDuong dong tien -sua tham tra 2009 - luong 650 2" xfId="1873" xr:uid="{00000000-0005-0000-0000-00005C070000}"/>
    <cellStyle name="T_Book1_Bao cao kiem toan kh 2010" xfId="1874" xr:uid="{00000000-0005-0000-0000-00005D070000}"/>
    <cellStyle name="T_Book1_Bao cao kiem toan kh 2010 2" xfId="1875" xr:uid="{00000000-0005-0000-0000-00005E070000}"/>
    <cellStyle name="T_Book1_Bieu mau danh muc du an thuoc CTMTQG nam 2008" xfId="1876" xr:uid="{00000000-0005-0000-0000-00005F070000}"/>
    <cellStyle name="T_Book1_Bieu mau danh muc du an thuoc CTMTQG nam 2008 2" xfId="1877" xr:uid="{00000000-0005-0000-0000-000060070000}"/>
    <cellStyle name="T_Book1_Bieu mau danh muc du an thuoc CTMTQG nam 2008_bieu tong hop" xfId="1878" xr:uid="{00000000-0005-0000-0000-000061070000}"/>
    <cellStyle name="T_Book1_Bieu mau danh muc du an thuoc CTMTQG nam 2008_bieu tong hop 2" xfId="1879" xr:uid="{00000000-0005-0000-0000-000062070000}"/>
    <cellStyle name="T_Book1_Bieu mau danh muc du an thuoc CTMTQG nam 2008_Tong hop ra soat von ung 2011 -Chau" xfId="1880" xr:uid="{00000000-0005-0000-0000-000063070000}"/>
    <cellStyle name="T_Book1_Bieu mau danh muc du an thuoc CTMTQG nam 2008_Tong hop ra soat von ung 2011 -Chau 2" xfId="1881" xr:uid="{00000000-0005-0000-0000-000064070000}"/>
    <cellStyle name="T_Book1_Bieu mau danh muc du an thuoc CTMTQG nam 2008_Tong hop -Yte-Giao thong-Thuy loi-24-6" xfId="1882" xr:uid="{00000000-0005-0000-0000-000065070000}"/>
    <cellStyle name="T_Book1_Bieu mau danh muc du an thuoc CTMTQG nam 2008_Tong hop -Yte-Giao thong-Thuy loi-24-6 2" xfId="1883" xr:uid="{00000000-0005-0000-0000-000066070000}"/>
    <cellStyle name="T_Book1_Bieu tong hop nhu cau ung 2011 da chon loc -Mien nui" xfId="1884" xr:uid="{00000000-0005-0000-0000-000067070000}"/>
    <cellStyle name="T_Book1_Bieu tong hop nhu cau ung 2011 da chon loc -Mien nui 2" xfId="1885" xr:uid="{00000000-0005-0000-0000-000068070000}"/>
    <cellStyle name="T_Book1_Book1" xfId="1886" xr:uid="{00000000-0005-0000-0000-000069070000}"/>
    <cellStyle name="T_Book1_Book1 2" xfId="1887" xr:uid="{00000000-0005-0000-0000-00006A070000}"/>
    <cellStyle name="T_Book1_Book1_1" xfId="1888" xr:uid="{00000000-0005-0000-0000-00006B070000}"/>
    <cellStyle name="T_Book1_Book1_1 2" xfId="1889" xr:uid="{00000000-0005-0000-0000-00006C070000}"/>
    <cellStyle name="T_Book1_CPK" xfId="1890" xr:uid="{00000000-0005-0000-0000-00006D070000}"/>
    <cellStyle name="T_Book1_CPK 2" xfId="1891" xr:uid="{00000000-0005-0000-0000-00006E070000}"/>
    <cellStyle name="T_Book1_DT492" xfId="1892" xr:uid="{00000000-0005-0000-0000-00006F070000}"/>
    <cellStyle name="T_Book1_DT492 2" xfId="1893" xr:uid="{00000000-0005-0000-0000-000070070000}"/>
    <cellStyle name="T_Book1_DT972000" xfId="1894" xr:uid="{00000000-0005-0000-0000-000071070000}"/>
    <cellStyle name="T_Book1_DT972000 2" xfId="1895" xr:uid="{00000000-0005-0000-0000-000072070000}"/>
    <cellStyle name="T_Book1_DTDuong dong tien -sua tham tra 2009 - luong 650" xfId="1896" xr:uid="{00000000-0005-0000-0000-000073070000}"/>
    <cellStyle name="T_Book1_DTDuong dong tien -sua tham tra 2009 - luong 650 2" xfId="1897" xr:uid="{00000000-0005-0000-0000-000074070000}"/>
    <cellStyle name="T_Book1_Du an khoi cong moi nam 2010" xfId="1898" xr:uid="{00000000-0005-0000-0000-000075070000}"/>
    <cellStyle name="T_Book1_Du an khoi cong moi nam 2010 2" xfId="1899" xr:uid="{00000000-0005-0000-0000-000076070000}"/>
    <cellStyle name="T_Book1_Du an khoi cong moi nam 2010_bieu tong hop" xfId="1900" xr:uid="{00000000-0005-0000-0000-000077070000}"/>
    <cellStyle name="T_Book1_Du an khoi cong moi nam 2010_bieu tong hop 2" xfId="1901" xr:uid="{00000000-0005-0000-0000-000078070000}"/>
    <cellStyle name="T_Book1_Du an khoi cong moi nam 2010_Tong hop ra soat von ung 2011 -Chau" xfId="1902" xr:uid="{00000000-0005-0000-0000-000079070000}"/>
    <cellStyle name="T_Book1_Du an khoi cong moi nam 2010_Tong hop ra soat von ung 2011 -Chau 2" xfId="1903" xr:uid="{00000000-0005-0000-0000-00007A070000}"/>
    <cellStyle name="T_Book1_Du an khoi cong moi nam 2010_Tong hop -Yte-Giao thong-Thuy loi-24-6" xfId="1904" xr:uid="{00000000-0005-0000-0000-00007B070000}"/>
    <cellStyle name="T_Book1_Du an khoi cong moi nam 2010_Tong hop -Yte-Giao thong-Thuy loi-24-6 2" xfId="1905" xr:uid="{00000000-0005-0000-0000-00007C070000}"/>
    <cellStyle name="T_Book1_Du toan khao sat (bo sung 2009)" xfId="1906" xr:uid="{00000000-0005-0000-0000-00007D070000}"/>
    <cellStyle name="T_Book1_Du toan khao sat (bo sung 2009) 2" xfId="1907" xr:uid="{00000000-0005-0000-0000-00007E070000}"/>
    <cellStyle name="T_Book1_Hang Tom goi9 9-07(Cau 12 sua)" xfId="1908" xr:uid="{00000000-0005-0000-0000-00007F070000}"/>
    <cellStyle name="T_Book1_HECO-NR78-Gui a-Vinh(15-5-07)" xfId="1909" xr:uid="{00000000-0005-0000-0000-000080070000}"/>
    <cellStyle name="T_Book1_HECO-NR78-Gui a-Vinh(15-5-07) 2" xfId="1910" xr:uid="{00000000-0005-0000-0000-000081070000}"/>
    <cellStyle name="T_Book1_Ke hoach 2010 (theo doi)2" xfId="1911" xr:uid="{00000000-0005-0000-0000-000082070000}"/>
    <cellStyle name="T_Book1_Ke hoach 2010 (theo doi)2 2" xfId="1912" xr:uid="{00000000-0005-0000-0000-000083070000}"/>
    <cellStyle name="T_Book1_Ket qua phan bo von nam 2008" xfId="1913" xr:uid="{00000000-0005-0000-0000-000084070000}"/>
    <cellStyle name="T_Book1_Ket qua phan bo von nam 2008 2" xfId="1914" xr:uid="{00000000-0005-0000-0000-000085070000}"/>
    <cellStyle name="T_Book1_KL NT dap nen Dot 3" xfId="1922" xr:uid="{00000000-0005-0000-0000-000086070000}"/>
    <cellStyle name="T_Book1_KL NT dap nen Dot 3 2" xfId="1923" xr:uid="{00000000-0005-0000-0000-000087070000}"/>
    <cellStyle name="T_Book1_KL NT Dot 3" xfId="1924" xr:uid="{00000000-0005-0000-0000-000088070000}"/>
    <cellStyle name="T_Book1_KL NT Dot 3 2" xfId="1925" xr:uid="{00000000-0005-0000-0000-000089070000}"/>
    <cellStyle name="T_Book1_KH XDCB_2008 lan 2 sua ngay 10-11" xfId="1915" xr:uid="{00000000-0005-0000-0000-00008A070000}"/>
    <cellStyle name="T_Book1_KH XDCB_2008 lan 2 sua ngay 10-11 2" xfId="1916" xr:uid="{00000000-0005-0000-0000-00008B070000}"/>
    <cellStyle name="T_Book1_Khoi luong cac hang muc chi tiet-702" xfId="1917" xr:uid="{00000000-0005-0000-0000-00008C070000}"/>
    <cellStyle name="T_Book1_Khoi luong cac hang muc chi tiet-702 2" xfId="1918" xr:uid="{00000000-0005-0000-0000-00008D070000}"/>
    <cellStyle name="T_Book1_Khoi luong chinh Hang Tom" xfId="1919" xr:uid="{00000000-0005-0000-0000-00008E070000}"/>
    <cellStyle name="T_Book1_khoiluongbdacdoa" xfId="1920" xr:uid="{00000000-0005-0000-0000-00008F070000}"/>
    <cellStyle name="T_Book1_khoiluongbdacdoa 2" xfId="1921" xr:uid="{00000000-0005-0000-0000-000090070000}"/>
    <cellStyle name="T_Book1_mau bieu doan giam sat 2010 (version 2)" xfId="1926" xr:uid="{00000000-0005-0000-0000-000091070000}"/>
    <cellStyle name="T_Book1_mau bieu doan giam sat 2010 (version 2) 2" xfId="1927" xr:uid="{00000000-0005-0000-0000-000092070000}"/>
    <cellStyle name="T_Book1_mau KL vach son" xfId="1928" xr:uid="{00000000-0005-0000-0000-000093070000}"/>
    <cellStyle name="T_Book1_mau KL vach son 2" xfId="1929" xr:uid="{00000000-0005-0000-0000-000094070000}"/>
    <cellStyle name="T_Book1_Nhu cau von ung truoc 2011 Tha h Hoa + Nge An gui TW" xfId="1930" xr:uid="{00000000-0005-0000-0000-000095070000}"/>
    <cellStyle name="T_Book1_Nhu cau von ung truoc 2011 Tha h Hoa + Nge An gui TW 2" xfId="1931" xr:uid="{00000000-0005-0000-0000-000096070000}"/>
    <cellStyle name="T_Book1_QD UBND tinh" xfId="1932" xr:uid="{00000000-0005-0000-0000-000097070000}"/>
    <cellStyle name="T_Book1_QD UBND tinh 2" xfId="1933" xr:uid="{00000000-0005-0000-0000-000098070000}"/>
    <cellStyle name="T_Book1_San sat hach moi" xfId="1934" xr:uid="{00000000-0005-0000-0000-000099070000}"/>
    <cellStyle name="T_Book1_San sat hach moi 2" xfId="1935" xr:uid="{00000000-0005-0000-0000-00009A070000}"/>
    <cellStyle name="T_Book1_Tong hop 3 tinh (11_5)-TTH-QN-QT" xfId="1940" xr:uid="{00000000-0005-0000-0000-00009B070000}"/>
    <cellStyle name="T_Book1_Tong hop 3 tinh (11_5)-TTH-QN-QT 2" xfId="1941" xr:uid="{00000000-0005-0000-0000-00009C070000}"/>
    <cellStyle name="T_Book1_Thiet bi" xfId="1936" xr:uid="{00000000-0005-0000-0000-00009D070000}"/>
    <cellStyle name="T_Book1_Thiet bi 2" xfId="1937" xr:uid="{00000000-0005-0000-0000-00009E070000}"/>
    <cellStyle name="T_Book1_Thong ke cong" xfId="1938" xr:uid="{00000000-0005-0000-0000-00009F070000}"/>
    <cellStyle name="T_Book1_Thong ke cong 2" xfId="1939" xr:uid="{00000000-0005-0000-0000-0000A0070000}"/>
    <cellStyle name="T_Book1_ung 2011 - 11-6-Thanh hoa-Nghe an" xfId="1942" xr:uid="{00000000-0005-0000-0000-0000A1070000}"/>
    <cellStyle name="T_Book1_ung 2011 - 11-6-Thanh hoa-Nghe an 2" xfId="1943" xr:uid="{00000000-0005-0000-0000-0000A2070000}"/>
    <cellStyle name="T_Book1_ung truoc 2011 NSTW Thanh Hoa + Nge An gui Thu 12-5" xfId="1944" xr:uid="{00000000-0005-0000-0000-0000A3070000}"/>
    <cellStyle name="T_Book1_ung truoc 2011 NSTW Thanh Hoa + Nge An gui Thu 12-5 2" xfId="1945" xr:uid="{00000000-0005-0000-0000-0000A4070000}"/>
    <cellStyle name="T_Book1_VBPL kiểm toán Đầu tư XDCB 2010" xfId="1946" xr:uid="{00000000-0005-0000-0000-0000A5070000}"/>
    <cellStyle name="T_Book1_VBPL kiểm toán Đầu tư XDCB 2010 2" xfId="1947" xr:uid="{00000000-0005-0000-0000-0000A6070000}"/>
    <cellStyle name="T_Book1_Worksheet in D: My Documents Luc Van ban xu ly Nam 2011 Bao cao ra soat tam ung TPCP" xfId="1948" xr:uid="{00000000-0005-0000-0000-0000A7070000}"/>
    <cellStyle name="T_Book1_Worksheet in D: My Documents Luc Van ban xu ly Nam 2011 Bao cao ra soat tam ung TPCP 2" xfId="1949" xr:uid="{00000000-0005-0000-0000-0000A8070000}"/>
    <cellStyle name="T_CDKT" xfId="1950" xr:uid="{00000000-0005-0000-0000-0000A9070000}"/>
    <cellStyle name="T_CDKT 2" xfId="1951" xr:uid="{00000000-0005-0000-0000-0000AA070000}"/>
    <cellStyle name="T_Copy of Bao cao  XDCB 7 thang nam 2008_So KH&amp;DT SUA" xfId="1960" xr:uid="{00000000-0005-0000-0000-0000AB070000}"/>
    <cellStyle name="T_Copy of Bao cao  XDCB 7 thang nam 2008_So KH&amp;DT SUA 2" xfId="1961" xr:uid="{00000000-0005-0000-0000-0000AC070000}"/>
    <cellStyle name="T_Copy of Bao cao  XDCB 7 thang nam 2008_So KH&amp;DT SUA_bieu tong hop" xfId="1962" xr:uid="{00000000-0005-0000-0000-0000AD070000}"/>
    <cellStyle name="T_Copy of Bao cao  XDCB 7 thang nam 2008_So KH&amp;DT SUA_bieu tong hop 2" xfId="1963" xr:uid="{00000000-0005-0000-0000-0000AE070000}"/>
    <cellStyle name="T_Copy of Bao cao  XDCB 7 thang nam 2008_So KH&amp;DT SUA_Tong hop ra soat von ung 2011 -Chau" xfId="1964" xr:uid="{00000000-0005-0000-0000-0000AF070000}"/>
    <cellStyle name="T_Copy of Bao cao  XDCB 7 thang nam 2008_So KH&amp;DT SUA_Tong hop ra soat von ung 2011 -Chau 2" xfId="1965" xr:uid="{00000000-0005-0000-0000-0000B0070000}"/>
    <cellStyle name="T_Copy of Bao cao  XDCB 7 thang nam 2008_So KH&amp;DT SUA_Tong hop -Yte-Giao thong-Thuy loi-24-6" xfId="1966" xr:uid="{00000000-0005-0000-0000-0000B1070000}"/>
    <cellStyle name="T_Copy of Bao cao  XDCB 7 thang nam 2008_So KH&amp;DT SUA_Tong hop -Yte-Giao thong-Thuy loi-24-6 2" xfId="1967" xr:uid="{00000000-0005-0000-0000-0000B2070000}"/>
    <cellStyle name="T_Copy of KS Du an dau tu" xfId="1968" xr:uid="{00000000-0005-0000-0000-0000B3070000}"/>
    <cellStyle name="T_Copy of KS Du an dau tu 2" xfId="1969" xr:uid="{00000000-0005-0000-0000-0000B4070000}"/>
    <cellStyle name="T_Cost for DD (summary)" xfId="1970" xr:uid="{00000000-0005-0000-0000-0000B5070000}"/>
    <cellStyle name="T_Cost for DD (summary) 2" xfId="1971" xr:uid="{00000000-0005-0000-0000-0000B6070000}"/>
    <cellStyle name="T_CPK" xfId="1972" xr:uid="{00000000-0005-0000-0000-0000B7070000}"/>
    <cellStyle name="T_CPK 2" xfId="1973" xr:uid="{00000000-0005-0000-0000-0000B8070000}"/>
    <cellStyle name="T_CTMTQG 2008" xfId="1974" xr:uid="{00000000-0005-0000-0000-0000B9070000}"/>
    <cellStyle name="T_CTMTQG 2008 2" xfId="1975" xr:uid="{00000000-0005-0000-0000-0000BA070000}"/>
    <cellStyle name="T_CTMTQG 2008_Bieu mau danh muc du an thuoc CTMTQG nam 2008" xfId="1976" xr:uid="{00000000-0005-0000-0000-0000BB070000}"/>
    <cellStyle name="T_CTMTQG 2008_Bieu mau danh muc du an thuoc CTMTQG nam 2008 2" xfId="1977" xr:uid="{00000000-0005-0000-0000-0000BC070000}"/>
    <cellStyle name="T_CTMTQG 2008_Hi-Tong hop KQ phan bo KH nam 08- LD fong giao 15-11-08" xfId="1978" xr:uid="{00000000-0005-0000-0000-0000BD070000}"/>
    <cellStyle name="T_CTMTQG 2008_Hi-Tong hop KQ phan bo KH nam 08- LD fong giao 15-11-08 2" xfId="1979" xr:uid="{00000000-0005-0000-0000-0000BE070000}"/>
    <cellStyle name="T_CTMTQG 2008_Ket qua thuc hien nam 2008" xfId="1980" xr:uid="{00000000-0005-0000-0000-0000BF070000}"/>
    <cellStyle name="T_CTMTQG 2008_Ket qua thuc hien nam 2008 2" xfId="1981" xr:uid="{00000000-0005-0000-0000-0000C0070000}"/>
    <cellStyle name="T_CTMTQG 2008_KH XDCB_2008 lan 1" xfId="1982" xr:uid="{00000000-0005-0000-0000-0000C1070000}"/>
    <cellStyle name="T_CTMTQG 2008_KH XDCB_2008 lan 1 2" xfId="1983" xr:uid="{00000000-0005-0000-0000-0000C2070000}"/>
    <cellStyle name="T_CTMTQG 2008_KH XDCB_2008 lan 1 sua ngay 27-10" xfId="1984" xr:uid="{00000000-0005-0000-0000-0000C3070000}"/>
    <cellStyle name="T_CTMTQG 2008_KH XDCB_2008 lan 1 sua ngay 27-10 2" xfId="1985" xr:uid="{00000000-0005-0000-0000-0000C4070000}"/>
    <cellStyle name="T_CTMTQG 2008_KH XDCB_2008 lan 2 sua ngay 10-11" xfId="1986" xr:uid="{00000000-0005-0000-0000-0000C5070000}"/>
    <cellStyle name="T_CTMTQG 2008_KH XDCB_2008 lan 2 sua ngay 10-11 2" xfId="1987" xr:uid="{00000000-0005-0000-0000-0000C6070000}"/>
    <cellStyle name="T_Chuan bi dau tu nam 2008" xfId="1952" xr:uid="{00000000-0005-0000-0000-0000C7070000}"/>
    <cellStyle name="T_Chuan bi dau tu nam 2008 2" xfId="1953" xr:uid="{00000000-0005-0000-0000-0000C8070000}"/>
    <cellStyle name="T_Chuan bi dau tu nam 2008_bieu tong hop" xfId="1954" xr:uid="{00000000-0005-0000-0000-0000C9070000}"/>
    <cellStyle name="T_Chuan bi dau tu nam 2008_bieu tong hop 2" xfId="1955" xr:uid="{00000000-0005-0000-0000-0000CA070000}"/>
    <cellStyle name="T_Chuan bi dau tu nam 2008_Tong hop ra soat von ung 2011 -Chau" xfId="1956" xr:uid="{00000000-0005-0000-0000-0000CB070000}"/>
    <cellStyle name="T_Chuan bi dau tu nam 2008_Tong hop ra soat von ung 2011 -Chau 2" xfId="1957" xr:uid="{00000000-0005-0000-0000-0000CC070000}"/>
    <cellStyle name="T_Chuan bi dau tu nam 2008_Tong hop -Yte-Giao thong-Thuy loi-24-6" xfId="1958" xr:uid="{00000000-0005-0000-0000-0000CD070000}"/>
    <cellStyle name="T_Chuan bi dau tu nam 2008_Tong hop -Yte-Giao thong-Thuy loi-24-6 2" xfId="1959" xr:uid="{00000000-0005-0000-0000-0000CE070000}"/>
    <cellStyle name="T_DT972000" xfId="1988" xr:uid="{00000000-0005-0000-0000-0000CF070000}"/>
    <cellStyle name="T_DTDuong dong tien -sua tham tra 2009 - luong 650" xfId="1989" xr:uid="{00000000-0005-0000-0000-0000D0070000}"/>
    <cellStyle name="T_DTDuong dong tien -sua tham tra 2009 - luong 650 2" xfId="1990" xr:uid="{00000000-0005-0000-0000-0000D1070000}"/>
    <cellStyle name="T_dtTL598G1." xfId="1991" xr:uid="{00000000-0005-0000-0000-0000D2070000}"/>
    <cellStyle name="T_dtTL598G1. 2" xfId="1992" xr:uid="{00000000-0005-0000-0000-0000D3070000}"/>
    <cellStyle name="T_Du an khoi cong moi nam 2010" xfId="1993" xr:uid="{00000000-0005-0000-0000-0000D4070000}"/>
    <cellStyle name="T_Du an khoi cong moi nam 2010 2" xfId="1994" xr:uid="{00000000-0005-0000-0000-0000D5070000}"/>
    <cellStyle name="T_Du an khoi cong moi nam 2010_bieu tong hop" xfId="1995" xr:uid="{00000000-0005-0000-0000-0000D6070000}"/>
    <cellStyle name="T_Du an khoi cong moi nam 2010_bieu tong hop 2" xfId="1996" xr:uid="{00000000-0005-0000-0000-0000D7070000}"/>
    <cellStyle name="T_Du an khoi cong moi nam 2010_Tong hop ra soat von ung 2011 -Chau" xfId="1997" xr:uid="{00000000-0005-0000-0000-0000D8070000}"/>
    <cellStyle name="T_Du an khoi cong moi nam 2010_Tong hop ra soat von ung 2011 -Chau 2" xfId="1998" xr:uid="{00000000-0005-0000-0000-0000D9070000}"/>
    <cellStyle name="T_Du an khoi cong moi nam 2010_Tong hop -Yte-Giao thong-Thuy loi-24-6" xfId="1999" xr:uid="{00000000-0005-0000-0000-0000DA070000}"/>
    <cellStyle name="T_Du an khoi cong moi nam 2010_Tong hop -Yte-Giao thong-Thuy loi-24-6 2" xfId="2000" xr:uid="{00000000-0005-0000-0000-0000DB070000}"/>
    <cellStyle name="T_DU AN TKQH VA CHUAN BI DAU TU NAM 2007 sua ngay 9-11" xfId="2001" xr:uid="{00000000-0005-0000-0000-0000DC070000}"/>
    <cellStyle name="T_DU AN TKQH VA CHUAN BI DAU TU NAM 2007 sua ngay 9-11 2" xfId="2002" xr:uid="{00000000-0005-0000-0000-0000DD070000}"/>
    <cellStyle name="T_DU AN TKQH VA CHUAN BI DAU TU NAM 2007 sua ngay 9-11_Bieu mau danh muc du an thuoc CTMTQG nam 2008" xfId="2003" xr:uid="{00000000-0005-0000-0000-0000DE070000}"/>
    <cellStyle name="T_DU AN TKQH VA CHUAN BI DAU TU NAM 2007 sua ngay 9-11_Bieu mau danh muc du an thuoc CTMTQG nam 2008 2" xfId="2004" xr:uid="{00000000-0005-0000-0000-0000DF070000}"/>
    <cellStyle name="T_DU AN TKQH VA CHUAN BI DAU TU NAM 2007 sua ngay 9-11_Bieu mau danh muc du an thuoc CTMTQG nam 2008_bieu tong hop" xfId="2005" xr:uid="{00000000-0005-0000-0000-0000E0070000}"/>
    <cellStyle name="T_DU AN TKQH VA CHUAN BI DAU TU NAM 2007 sua ngay 9-11_Bieu mau danh muc du an thuoc CTMTQG nam 2008_bieu tong hop 2" xfId="2006" xr:uid="{00000000-0005-0000-0000-0000E1070000}"/>
    <cellStyle name="T_DU AN TKQH VA CHUAN BI DAU TU NAM 2007 sua ngay 9-11_Bieu mau danh muc du an thuoc CTMTQG nam 2008_Tong hop ra soat von ung 2011 -Chau" xfId="2007" xr:uid="{00000000-0005-0000-0000-0000E2070000}"/>
    <cellStyle name="T_DU AN TKQH VA CHUAN BI DAU TU NAM 2007 sua ngay 9-11_Bieu mau danh muc du an thuoc CTMTQG nam 2008_Tong hop ra soat von ung 2011 -Chau 2" xfId="2008" xr:uid="{00000000-0005-0000-0000-0000E3070000}"/>
    <cellStyle name="T_DU AN TKQH VA CHUAN BI DAU TU NAM 2007 sua ngay 9-11_Bieu mau danh muc du an thuoc CTMTQG nam 2008_Tong hop -Yte-Giao thong-Thuy loi-24-6" xfId="2009" xr:uid="{00000000-0005-0000-0000-0000E4070000}"/>
    <cellStyle name="T_DU AN TKQH VA CHUAN BI DAU TU NAM 2007 sua ngay 9-11_Bieu mau danh muc du an thuoc CTMTQG nam 2008_Tong hop -Yte-Giao thong-Thuy loi-24-6 2" xfId="2010" xr:uid="{00000000-0005-0000-0000-0000E5070000}"/>
    <cellStyle name="T_DU AN TKQH VA CHUAN BI DAU TU NAM 2007 sua ngay 9-11_Du an khoi cong moi nam 2010" xfId="2011" xr:uid="{00000000-0005-0000-0000-0000E6070000}"/>
    <cellStyle name="T_DU AN TKQH VA CHUAN BI DAU TU NAM 2007 sua ngay 9-11_Du an khoi cong moi nam 2010 2" xfId="2012" xr:uid="{00000000-0005-0000-0000-0000E7070000}"/>
    <cellStyle name="T_DU AN TKQH VA CHUAN BI DAU TU NAM 2007 sua ngay 9-11_Du an khoi cong moi nam 2010_bieu tong hop" xfId="2013" xr:uid="{00000000-0005-0000-0000-0000E8070000}"/>
    <cellStyle name="T_DU AN TKQH VA CHUAN BI DAU TU NAM 2007 sua ngay 9-11_Du an khoi cong moi nam 2010_bieu tong hop 2" xfId="2014" xr:uid="{00000000-0005-0000-0000-0000E9070000}"/>
    <cellStyle name="T_DU AN TKQH VA CHUAN BI DAU TU NAM 2007 sua ngay 9-11_Du an khoi cong moi nam 2010_Tong hop ra soat von ung 2011 -Chau" xfId="2015" xr:uid="{00000000-0005-0000-0000-0000EA070000}"/>
    <cellStyle name="T_DU AN TKQH VA CHUAN BI DAU TU NAM 2007 sua ngay 9-11_Du an khoi cong moi nam 2010_Tong hop ra soat von ung 2011 -Chau 2" xfId="2016" xr:uid="{00000000-0005-0000-0000-0000EB070000}"/>
    <cellStyle name="T_DU AN TKQH VA CHUAN BI DAU TU NAM 2007 sua ngay 9-11_Du an khoi cong moi nam 2010_Tong hop -Yte-Giao thong-Thuy loi-24-6" xfId="2017" xr:uid="{00000000-0005-0000-0000-0000EC070000}"/>
    <cellStyle name="T_DU AN TKQH VA CHUAN BI DAU TU NAM 2007 sua ngay 9-11_Du an khoi cong moi nam 2010_Tong hop -Yte-Giao thong-Thuy loi-24-6 2" xfId="2018" xr:uid="{00000000-0005-0000-0000-0000ED070000}"/>
    <cellStyle name="T_DU AN TKQH VA CHUAN BI DAU TU NAM 2007 sua ngay 9-11_Ket qua phan bo von nam 2008" xfId="2019" xr:uid="{00000000-0005-0000-0000-0000EE070000}"/>
    <cellStyle name="T_DU AN TKQH VA CHUAN BI DAU TU NAM 2007 sua ngay 9-11_Ket qua phan bo von nam 2008 2" xfId="2020" xr:uid="{00000000-0005-0000-0000-0000EF070000}"/>
    <cellStyle name="T_DU AN TKQH VA CHUAN BI DAU TU NAM 2007 sua ngay 9-11_KH XDCB_2008 lan 2 sua ngay 10-11" xfId="2021" xr:uid="{00000000-0005-0000-0000-0000F0070000}"/>
    <cellStyle name="T_DU AN TKQH VA CHUAN BI DAU TU NAM 2007 sua ngay 9-11_KH XDCB_2008 lan 2 sua ngay 10-11 2" xfId="2022" xr:uid="{00000000-0005-0000-0000-0000F1070000}"/>
    <cellStyle name="T_du toan dieu chinh  20-8-2006" xfId="2023" xr:uid="{00000000-0005-0000-0000-0000F2070000}"/>
    <cellStyle name="T_du toan dieu chinh  20-8-2006 2" xfId="2024" xr:uid="{00000000-0005-0000-0000-0000F3070000}"/>
    <cellStyle name="T_Du toan khao sat (bo sung 2009)" xfId="2025" xr:uid="{00000000-0005-0000-0000-0000F4070000}"/>
    <cellStyle name="T_Du toan khao sat (bo sung 2009) 2" xfId="2026" xr:uid="{00000000-0005-0000-0000-0000F5070000}"/>
    <cellStyle name="T_du toan lan 3" xfId="2027" xr:uid="{00000000-0005-0000-0000-0000F6070000}"/>
    <cellStyle name="T_du toan lan 3 2" xfId="2028" xr:uid="{00000000-0005-0000-0000-0000F7070000}"/>
    <cellStyle name="T_Ke hoach KTXH  nam 2009_PKT thang 11 nam 2008" xfId="2029" xr:uid="{00000000-0005-0000-0000-0000F8070000}"/>
    <cellStyle name="T_Ke hoach KTXH  nam 2009_PKT thang 11 nam 2008 2" xfId="2030" xr:uid="{00000000-0005-0000-0000-0000F9070000}"/>
    <cellStyle name="T_Ke hoach KTXH  nam 2009_PKT thang 11 nam 2008_bieu tong hop" xfId="2031" xr:uid="{00000000-0005-0000-0000-0000FA070000}"/>
    <cellStyle name="T_Ke hoach KTXH  nam 2009_PKT thang 11 nam 2008_bieu tong hop 2" xfId="2032" xr:uid="{00000000-0005-0000-0000-0000FB070000}"/>
    <cellStyle name="T_Ke hoach KTXH  nam 2009_PKT thang 11 nam 2008_Tong hop ra soat von ung 2011 -Chau" xfId="2033" xr:uid="{00000000-0005-0000-0000-0000FC070000}"/>
    <cellStyle name="T_Ke hoach KTXH  nam 2009_PKT thang 11 nam 2008_Tong hop ra soat von ung 2011 -Chau 2" xfId="2034" xr:uid="{00000000-0005-0000-0000-0000FD070000}"/>
    <cellStyle name="T_Ke hoach KTXH  nam 2009_PKT thang 11 nam 2008_Tong hop -Yte-Giao thong-Thuy loi-24-6" xfId="2035" xr:uid="{00000000-0005-0000-0000-0000FE070000}"/>
    <cellStyle name="T_Ke hoach KTXH  nam 2009_PKT thang 11 nam 2008_Tong hop -Yte-Giao thong-Thuy loi-24-6 2" xfId="2036" xr:uid="{00000000-0005-0000-0000-0000FF070000}"/>
    <cellStyle name="T_Ket qua dau thau" xfId="2037" xr:uid="{00000000-0005-0000-0000-000000080000}"/>
    <cellStyle name="T_Ket qua dau thau 2" xfId="2038" xr:uid="{00000000-0005-0000-0000-000001080000}"/>
    <cellStyle name="T_Ket qua dau thau_bieu tong hop" xfId="2039" xr:uid="{00000000-0005-0000-0000-000002080000}"/>
    <cellStyle name="T_Ket qua dau thau_bieu tong hop 2" xfId="2040" xr:uid="{00000000-0005-0000-0000-000003080000}"/>
    <cellStyle name="T_Ket qua dau thau_Tong hop ra soat von ung 2011 -Chau" xfId="2041" xr:uid="{00000000-0005-0000-0000-000004080000}"/>
    <cellStyle name="T_Ket qua dau thau_Tong hop ra soat von ung 2011 -Chau 2" xfId="2042" xr:uid="{00000000-0005-0000-0000-000005080000}"/>
    <cellStyle name="T_Ket qua dau thau_Tong hop -Yte-Giao thong-Thuy loi-24-6" xfId="2043" xr:uid="{00000000-0005-0000-0000-000006080000}"/>
    <cellStyle name="T_Ket qua dau thau_Tong hop -Yte-Giao thong-Thuy loi-24-6 2" xfId="2044" xr:uid="{00000000-0005-0000-0000-000007080000}"/>
    <cellStyle name="T_Ket qua phan bo von nam 2008" xfId="2045" xr:uid="{00000000-0005-0000-0000-000008080000}"/>
    <cellStyle name="T_Ket qua phan bo von nam 2008 2" xfId="2046" xr:uid="{00000000-0005-0000-0000-000009080000}"/>
    <cellStyle name="T_KL NT dap nen Dot 3" xfId="2053" xr:uid="{00000000-0005-0000-0000-00000A080000}"/>
    <cellStyle name="T_KL NT Dot 3" xfId="2054" xr:uid="{00000000-0005-0000-0000-00000B080000}"/>
    <cellStyle name="T_Kl VL ranh" xfId="2055" xr:uid="{00000000-0005-0000-0000-00000C080000}"/>
    <cellStyle name="T_Kl VL ranh 2" xfId="2056" xr:uid="{00000000-0005-0000-0000-00000D080000}"/>
    <cellStyle name="T_KLNMD1" xfId="2057" xr:uid="{00000000-0005-0000-0000-00000E080000}"/>
    <cellStyle name="T_KLNMD1 2" xfId="2058" xr:uid="{00000000-0005-0000-0000-00000F080000}"/>
    <cellStyle name="T_KH XDCB_2008 lan 2 sua ngay 10-11" xfId="2047" xr:uid="{00000000-0005-0000-0000-000010080000}"/>
    <cellStyle name="T_KH XDCB_2008 lan 2 sua ngay 10-11 2" xfId="2048" xr:uid="{00000000-0005-0000-0000-000011080000}"/>
    <cellStyle name="T_Khao satD1" xfId="2049" xr:uid="{00000000-0005-0000-0000-000012080000}"/>
    <cellStyle name="T_Khao satD1 2" xfId="2050" xr:uid="{00000000-0005-0000-0000-000013080000}"/>
    <cellStyle name="T_Khoi luong cac hang muc chi tiet-702" xfId="2051" xr:uid="{00000000-0005-0000-0000-000014080000}"/>
    <cellStyle name="T_Khoi luong cac hang muc chi tiet-702 2" xfId="2052" xr:uid="{00000000-0005-0000-0000-000015080000}"/>
    <cellStyle name="T_mau bieu doan giam sat 2010 (version 2)" xfId="2059" xr:uid="{00000000-0005-0000-0000-000016080000}"/>
    <cellStyle name="T_mau bieu doan giam sat 2010 (version 2) 2" xfId="2060" xr:uid="{00000000-0005-0000-0000-000017080000}"/>
    <cellStyle name="T_mau KL vach son" xfId="2061" xr:uid="{00000000-0005-0000-0000-000018080000}"/>
    <cellStyle name="T_mau KL vach son 2" xfId="2062" xr:uid="{00000000-0005-0000-0000-000019080000}"/>
    <cellStyle name="T_Me_Tri_6_07" xfId="2063" xr:uid="{00000000-0005-0000-0000-00001A080000}"/>
    <cellStyle name="T_Me_Tri_6_07 2" xfId="2064" xr:uid="{00000000-0005-0000-0000-00001B080000}"/>
    <cellStyle name="T_N2 thay dat (N1-1)" xfId="2065" xr:uid="{00000000-0005-0000-0000-00001C080000}"/>
    <cellStyle name="T_N2 thay dat (N1-1) 2" xfId="2066" xr:uid="{00000000-0005-0000-0000-00001D080000}"/>
    <cellStyle name="T_Phuong an can doi nam 2008" xfId="2067" xr:uid="{00000000-0005-0000-0000-00001E080000}"/>
    <cellStyle name="T_Phuong an can doi nam 2008 2" xfId="2068" xr:uid="{00000000-0005-0000-0000-00001F080000}"/>
    <cellStyle name="T_Phuong an can doi nam 2008_bieu tong hop" xfId="2069" xr:uid="{00000000-0005-0000-0000-000020080000}"/>
    <cellStyle name="T_Phuong an can doi nam 2008_bieu tong hop 2" xfId="2070" xr:uid="{00000000-0005-0000-0000-000021080000}"/>
    <cellStyle name="T_Phuong an can doi nam 2008_Tong hop ra soat von ung 2011 -Chau" xfId="2071" xr:uid="{00000000-0005-0000-0000-000022080000}"/>
    <cellStyle name="T_Phuong an can doi nam 2008_Tong hop ra soat von ung 2011 -Chau 2" xfId="2072" xr:uid="{00000000-0005-0000-0000-000023080000}"/>
    <cellStyle name="T_Phuong an can doi nam 2008_Tong hop -Yte-Giao thong-Thuy loi-24-6" xfId="2073" xr:uid="{00000000-0005-0000-0000-000024080000}"/>
    <cellStyle name="T_Phuong an can doi nam 2008_Tong hop -Yte-Giao thong-Thuy loi-24-6 2" xfId="2074" xr:uid="{00000000-0005-0000-0000-000025080000}"/>
    <cellStyle name="T_San sat hach moi" xfId="2075" xr:uid="{00000000-0005-0000-0000-000026080000}"/>
    <cellStyle name="T_San sat hach moi 2" xfId="2076" xr:uid="{00000000-0005-0000-0000-000027080000}"/>
    <cellStyle name="T_Seagame(BTL)" xfId="2077" xr:uid="{00000000-0005-0000-0000-000028080000}"/>
    <cellStyle name="T_So GTVT" xfId="2078" xr:uid="{00000000-0005-0000-0000-000029080000}"/>
    <cellStyle name="T_So GTVT 2" xfId="2079" xr:uid="{00000000-0005-0000-0000-00002A080000}"/>
    <cellStyle name="T_So GTVT_bieu tong hop" xfId="2080" xr:uid="{00000000-0005-0000-0000-00002B080000}"/>
    <cellStyle name="T_So GTVT_bieu tong hop 2" xfId="2081" xr:uid="{00000000-0005-0000-0000-00002C080000}"/>
    <cellStyle name="T_So GTVT_Tong hop ra soat von ung 2011 -Chau" xfId="2082" xr:uid="{00000000-0005-0000-0000-00002D080000}"/>
    <cellStyle name="T_So GTVT_Tong hop ra soat von ung 2011 -Chau 2" xfId="2083" xr:uid="{00000000-0005-0000-0000-00002E080000}"/>
    <cellStyle name="T_So GTVT_Tong hop -Yte-Giao thong-Thuy loi-24-6" xfId="2084" xr:uid="{00000000-0005-0000-0000-00002F080000}"/>
    <cellStyle name="T_So GTVT_Tong hop -Yte-Giao thong-Thuy loi-24-6 2" xfId="2085" xr:uid="{00000000-0005-0000-0000-000030080000}"/>
    <cellStyle name="T_SS BVTC cau va cong tuyen Le Chan" xfId="2086" xr:uid="{00000000-0005-0000-0000-000031080000}"/>
    <cellStyle name="T_SS BVTC cau va cong tuyen Le Chan 2" xfId="2087" xr:uid="{00000000-0005-0000-0000-000032080000}"/>
    <cellStyle name="T_Tay Bac 1" xfId="2088" xr:uid="{00000000-0005-0000-0000-000033080000}"/>
    <cellStyle name="T_Tay Bac 1 2" xfId="2089" xr:uid="{00000000-0005-0000-0000-000034080000}"/>
    <cellStyle name="T_Tay Bac 1_Bao cao kiem toan kh 2010" xfId="2090" xr:uid="{00000000-0005-0000-0000-000035080000}"/>
    <cellStyle name="T_Tay Bac 1_Bao cao kiem toan kh 2010 2" xfId="2091" xr:uid="{00000000-0005-0000-0000-000036080000}"/>
    <cellStyle name="T_Tay Bac 1_Book1" xfId="2092" xr:uid="{00000000-0005-0000-0000-000037080000}"/>
    <cellStyle name="T_Tay Bac 1_Book1 2" xfId="2093" xr:uid="{00000000-0005-0000-0000-000038080000}"/>
    <cellStyle name="T_Tay Bac 1_Ke hoach 2010 (theo doi)2" xfId="2094" xr:uid="{00000000-0005-0000-0000-000039080000}"/>
    <cellStyle name="T_Tay Bac 1_Ke hoach 2010 (theo doi)2 2" xfId="2095" xr:uid="{00000000-0005-0000-0000-00003A080000}"/>
    <cellStyle name="T_Tay Bac 1_QD UBND tinh" xfId="2096" xr:uid="{00000000-0005-0000-0000-00003B080000}"/>
    <cellStyle name="T_Tay Bac 1_QD UBND tinh 2" xfId="2097" xr:uid="{00000000-0005-0000-0000-00003C080000}"/>
    <cellStyle name="T_Tay Bac 1_Worksheet in D: My Documents Luc Van ban xu ly Nam 2011 Bao cao ra soat tam ung TPCP" xfId="2098" xr:uid="{00000000-0005-0000-0000-00003D080000}"/>
    <cellStyle name="T_Tay Bac 1_Worksheet in D: My Documents Luc Van ban xu ly Nam 2011 Bao cao ra soat tam ung TPCP 2" xfId="2099" xr:uid="{00000000-0005-0000-0000-00003E080000}"/>
    <cellStyle name="T_TDT + duong(8-5-07)" xfId="2100" xr:uid="{00000000-0005-0000-0000-00003F080000}"/>
    <cellStyle name="T_TDT + duong(8-5-07) 2" xfId="2101" xr:uid="{00000000-0005-0000-0000-000040080000}"/>
    <cellStyle name="T_tien2004" xfId="2114" xr:uid="{00000000-0005-0000-0000-000041080000}"/>
    <cellStyle name="T_tien2004 2" xfId="2115" xr:uid="{00000000-0005-0000-0000-000042080000}"/>
    <cellStyle name="T_TKE-ChoDon-sua" xfId="2116" xr:uid="{00000000-0005-0000-0000-000043080000}"/>
    <cellStyle name="T_TKE-ChoDon-sua 2" xfId="2117" xr:uid="{00000000-0005-0000-0000-000044080000}"/>
    <cellStyle name="T_Tong hop 3 tinh (11_5)-TTH-QN-QT" xfId="2118" xr:uid="{00000000-0005-0000-0000-000045080000}"/>
    <cellStyle name="T_Tong hop 3 tinh (11_5)-TTH-QN-QT 2" xfId="2119" xr:uid="{00000000-0005-0000-0000-000046080000}"/>
    <cellStyle name="T_Tong hop khoi luong Dot 3" xfId="2120" xr:uid="{00000000-0005-0000-0000-000047080000}"/>
    <cellStyle name="T_Tong hop khoi luong Dot 3 2" xfId="2121" xr:uid="{00000000-0005-0000-0000-000048080000}"/>
    <cellStyle name="T_Tong hop theo doi von TPCP" xfId="2122" xr:uid="{00000000-0005-0000-0000-000049080000}"/>
    <cellStyle name="T_Tong hop theo doi von TPCP 2" xfId="2123" xr:uid="{00000000-0005-0000-0000-00004A080000}"/>
    <cellStyle name="T_Tong hop theo doi von TPCP_Bao cao kiem toan kh 2010" xfId="2124" xr:uid="{00000000-0005-0000-0000-00004B080000}"/>
    <cellStyle name="T_Tong hop theo doi von TPCP_Bao cao kiem toan kh 2010 2" xfId="2125" xr:uid="{00000000-0005-0000-0000-00004C080000}"/>
    <cellStyle name="T_Tong hop theo doi von TPCP_Ke hoach 2010 (theo doi)2" xfId="2126" xr:uid="{00000000-0005-0000-0000-00004D080000}"/>
    <cellStyle name="T_Tong hop theo doi von TPCP_Ke hoach 2010 (theo doi)2 2" xfId="2127" xr:uid="{00000000-0005-0000-0000-00004E080000}"/>
    <cellStyle name="T_Tong hop theo doi von TPCP_QD UBND tinh" xfId="2128" xr:uid="{00000000-0005-0000-0000-00004F080000}"/>
    <cellStyle name="T_Tong hop theo doi von TPCP_QD UBND tinh 2" xfId="2129" xr:uid="{00000000-0005-0000-0000-000050080000}"/>
    <cellStyle name="T_Tong hop theo doi von TPCP_Worksheet in D: My Documents Luc Van ban xu ly Nam 2011 Bao cao ra soat tam ung TPCP" xfId="2130" xr:uid="{00000000-0005-0000-0000-000051080000}"/>
    <cellStyle name="T_Tong hop theo doi von TPCP_Worksheet in D: My Documents Luc Van ban xu ly Nam 2011 Bao cao ra soat tam ung TPCP 2" xfId="2131" xr:uid="{00000000-0005-0000-0000-000052080000}"/>
    <cellStyle name="T_tham_tra_du_toan" xfId="2102" xr:uid="{00000000-0005-0000-0000-000053080000}"/>
    <cellStyle name="T_tham_tra_du_toan 2" xfId="2103" xr:uid="{00000000-0005-0000-0000-000054080000}"/>
    <cellStyle name="T_Thiet bi" xfId="2104" xr:uid="{00000000-0005-0000-0000-000055080000}"/>
    <cellStyle name="T_Thiet bi 2" xfId="2105" xr:uid="{00000000-0005-0000-0000-000056080000}"/>
    <cellStyle name="T_THKL 1303" xfId="2106" xr:uid="{00000000-0005-0000-0000-000057080000}"/>
    <cellStyle name="T_THKL 1303 2" xfId="2107" xr:uid="{00000000-0005-0000-0000-000058080000}"/>
    <cellStyle name="T_Thong ke" xfId="2108" xr:uid="{00000000-0005-0000-0000-000059080000}"/>
    <cellStyle name="T_Thong ke 2" xfId="2109" xr:uid="{00000000-0005-0000-0000-00005A080000}"/>
    <cellStyle name="T_Thong ke cong" xfId="2110" xr:uid="{00000000-0005-0000-0000-00005B080000}"/>
    <cellStyle name="T_Thong ke cong 2" xfId="2111" xr:uid="{00000000-0005-0000-0000-00005C080000}"/>
    <cellStyle name="T_thong ke giao dan sinh" xfId="2112" xr:uid="{00000000-0005-0000-0000-00005D080000}"/>
    <cellStyle name="T_thong ke giao dan sinh 2" xfId="2113" xr:uid="{00000000-0005-0000-0000-00005E080000}"/>
    <cellStyle name="T_VBPL kiểm toán Đầu tư XDCB 2010" xfId="2132" xr:uid="{00000000-0005-0000-0000-00005F080000}"/>
    <cellStyle name="T_VBPL kiểm toán Đầu tư XDCB 2010 2" xfId="2133" xr:uid="{00000000-0005-0000-0000-000060080000}"/>
    <cellStyle name="T_Worksheet in D: ... Hoan thien 5goi theo KL cu 28-06 4.Cong 5goi Coc 33-Km1+490.13 Cong coc 33-km1+490.13" xfId="2134" xr:uid="{00000000-0005-0000-0000-000061080000}"/>
    <cellStyle name="T_Worksheet in D: ... Hoan thien 5goi theo KL cu 28-06 4.Cong 5goi Coc 33-Km1+490.13 Cong coc 33-km1+490.13 2" xfId="2135" xr:uid="{00000000-0005-0000-0000-000062080000}"/>
    <cellStyle name="T_ÿÿÿÿÿ" xfId="2136" xr:uid="{00000000-0005-0000-0000-000063080000}"/>
    <cellStyle name="T_ÿÿÿÿÿ 2" xfId="2137" xr:uid="{00000000-0005-0000-0000-000064080000}"/>
    <cellStyle name="Text" xfId="2138" xr:uid="{00000000-0005-0000-0000-000065080000}"/>
    <cellStyle name="Text Indent A" xfId="2139" xr:uid="{00000000-0005-0000-0000-000066080000}"/>
    <cellStyle name="Text Indent B" xfId="2140" xr:uid="{00000000-0005-0000-0000-000067080000}"/>
    <cellStyle name="Text Indent C" xfId="2141" xr:uid="{00000000-0005-0000-0000-000068080000}"/>
    <cellStyle name="Text_Bao cao doan cong tac cua Bo thang 4-2010" xfId="2142" xr:uid="{00000000-0005-0000-0000-000069080000}"/>
    <cellStyle name="Tien1" xfId="2155" xr:uid="{00000000-0005-0000-0000-00006A080000}"/>
    <cellStyle name="Tiêu đề" xfId="2156" xr:uid="{00000000-0005-0000-0000-00006B080000}"/>
    <cellStyle name="Times New Roman" xfId="2157" xr:uid="{00000000-0005-0000-0000-00006C080000}"/>
    <cellStyle name="Tính toán" xfId="2158" xr:uid="{00000000-0005-0000-0000-00006D080000}"/>
    <cellStyle name="Tính toán 2" xfId="2159" xr:uid="{00000000-0005-0000-0000-00006E080000}"/>
    <cellStyle name="tit1" xfId="2160" xr:uid="{00000000-0005-0000-0000-00006F080000}"/>
    <cellStyle name="tit2" xfId="2161" xr:uid="{00000000-0005-0000-0000-000070080000}"/>
    <cellStyle name="tit2 2" xfId="2162" xr:uid="{00000000-0005-0000-0000-000071080000}"/>
    <cellStyle name="tit3" xfId="2163" xr:uid="{00000000-0005-0000-0000-000072080000}"/>
    <cellStyle name="tit4" xfId="2164" xr:uid="{00000000-0005-0000-0000-000073080000}"/>
    <cellStyle name="Title 2" xfId="2165" xr:uid="{00000000-0005-0000-0000-000074080000}"/>
    <cellStyle name="Title 3" xfId="2166" xr:uid="{00000000-0005-0000-0000-000075080000}"/>
    <cellStyle name="Tongcong" xfId="2169" xr:uid="{00000000-0005-0000-0000-000076080000}"/>
    <cellStyle name="Tongcong 2" xfId="2170" xr:uid="{00000000-0005-0000-0000-000077080000}"/>
    <cellStyle name="Total 2" xfId="2172" xr:uid="{00000000-0005-0000-0000-000078080000}"/>
    <cellStyle name="Total 3" xfId="2173" xr:uid="{00000000-0005-0000-0000-000079080000}"/>
    <cellStyle name="Total 3 2" xfId="2174" xr:uid="{00000000-0005-0000-0000-00007A080000}"/>
    <cellStyle name="Total 4" xfId="2175" xr:uid="{00000000-0005-0000-0000-00007B080000}"/>
    <cellStyle name="Tổng" xfId="2167" xr:uid="{00000000-0005-0000-0000-00007C080000}"/>
    <cellStyle name="Tổng 2" xfId="2168" xr:uid="{00000000-0005-0000-0000-00007D080000}"/>
    <cellStyle name="Tốt" xfId="2171" xr:uid="{00000000-0005-0000-0000-00007E080000}"/>
    <cellStyle name="tt1" xfId="2178" xr:uid="{00000000-0005-0000-0000-00007F080000}"/>
    <cellStyle name="Tuan" xfId="2179" xr:uid="{00000000-0005-0000-0000-000080080000}"/>
    <cellStyle name="Tusental (0)_pldt" xfId="2180" xr:uid="{00000000-0005-0000-0000-000081080000}"/>
    <cellStyle name="Tusental_pldt" xfId="2181" xr:uid="{00000000-0005-0000-0000-000082080000}"/>
    <cellStyle name="th" xfId="2143" xr:uid="{00000000-0005-0000-0000-000083080000}"/>
    <cellStyle name="th 2" xfId="2144" xr:uid="{00000000-0005-0000-0000-000084080000}"/>
    <cellStyle name="than" xfId="2145" xr:uid="{00000000-0005-0000-0000-000085080000}"/>
    <cellStyle name="thanh" xfId="2146" xr:uid="{00000000-0005-0000-0000-000086080000}"/>
    <cellStyle name="þ_x001d_ð¤_x000c_¯þ_x0014__x000d_¨þU_x0001_À_x0004_ _x0015__x000f__x0001__x0001_" xfId="2147" xr:uid="{00000000-0005-0000-0000-000087080000}"/>
    <cellStyle name="þ_x001d_ð·_x000c_æþ'_x000d_ßþU_x0001_Ø_x0005_ü_x0014__x0007__x0001__x0001_" xfId="2148" xr:uid="{00000000-0005-0000-0000-000088080000}"/>
    <cellStyle name="þ_x001d_ðÇ%Uý—&amp;Hý9_x0008_Ÿ s_x000a__x0007__x0001__x0001_" xfId="2149" xr:uid="{00000000-0005-0000-0000-000089080000}"/>
    <cellStyle name="þ_x001d_ðÇ%Uý—&amp;Hý9_x0008_Ÿ_x0009_s_x000a__x0007__x0001__x0001_" xfId="2150" xr:uid="{00000000-0005-0000-0000-00008A080000}"/>
    <cellStyle name="þ_x001d_ðK_x000c_Fý_x001b__x000d_9ýU_x0001_Ð_x0008_¦)_x0007__x0001__x0001_" xfId="2151" xr:uid="{00000000-0005-0000-0000-00008B080000}"/>
    <cellStyle name="thuong-10" xfId="2152" xr:uid="{00000000-0005-0000-0000-00008C080000}"/>
    <cellStyle name="thuong-11" xfId="2153" xr:uid="{00000000-0005-0000-0000-00008D080000}"/>
    <cellStyle name="Thuyet minh" xfId="2154" xr:uid="{00000000-0005-0000-0000-00008E080000}"/>
    <cellStyle name="trang" xfId="2176" xr:uid="{00000000-0005-0000-0000-00008F080000}"/>
    <cellStyle name="Trung tính" xfId="2177" xr:uid="{00000000-0005-0000-0000-000090080000}"/>
    <cellStyle name="u" xfId="2182" xr:uid="{00000000-0005-0000-0000-000091080000}"/>
    <cellStyle name="ux_3_¼­¿ï-¾È»ê" xfId="2183" xr:uid="{00000000-0005-0000-0000-000092080000}"/>
    <cellStyle name="Valuta (0)_CALPREZZ" xfId="2184" xr:uid="{00000000-0005-0000-0000-000093080000}"/>
    <cellStyle name="Valuta_ PESO ELETTR." xfId="2185" xr:uid="{00000000-0005-0000-0000-000094080000}"/>
    <cellStyle name="VANG1" xfId="2188" xr:uid="{00000000-0005-0000-0000-000095080000}"/>
    <cellStyle name="Văn bản Cảnh báo" xfId="2186" xr:uid="{00000000-0005-0000-0000-000096080000}"/>
    <cellStyle name="Văn bản Giải thích" xfId="2187" xr:uid="{00000000-0005-0000-0000-000097080000}"/>
    <cellStyle name="viet" xfId="2189" xr:uid="{00000000-0005-0000-0000-000098080000}"/>
    <cellStyle name="viet2" xfId="2190" xr:uid="{00000000-0005-0000-0000-000099080000}"/>
    <cellStyle name="viet2 2" xfId="2191" xr:uid="{00000000-0005-0000-0000-00009A080000}"/>
    <cellStyle name="Vietnam 1" xfId="2192" xr:uid="{00000000-0005-0000-0000-00009B080000}"/>
    <cellStyle name="VN new romanNormal" xfId="2193" xr:uid="{00000000-0005-0000-0000-00009C080000}"/>
    <cellStyle name="VN new romanNormal 2" xfId="2194" xr:uid="{00000000-0005-0000-0000-00009D080000}"/>
    <cellStyle name="vn time 10" xfId="2195" xr:uid="{00000000-0005-0000-0000-00009E080000}"/>
    <cellStyle name="Vn Time 13" xfId="2196" xr:uid="{00000000-0005-0000-0000-00009F080000}"/>
    <cellStyle name="Vn Time 14" xfId="2197" xr:uid="{00000000-0005-0000-0000-0000A0080000}"/>
    <cellStyle name="VN time new roman" xfId="2198" xr:uid="{00000000-0005-0000-0000-0000A1080000}"/>
    <cellStyle name="VN time new roman 2" xfId="2199" xr:uid="{00000000-0005-0000-0000-0000A2080000}"/>
    <cellStyle name="vn_time" xfId="2200" xr:uid="{00000000-0005-0000-0000-0000A3080000}"/>
    <cellStyle name="vnbo" xfId="2201" xr:uid="{00000000-0005-0000-0000-0000A4080000}"/>
    <cellStyle name="vnbo 2" xfId="2202" xr:uid="{00000000-0005-0000-0000-0000A5080000}"/>
    <cellStyle name="vntxt1" xfId="2210" xr:uid="{00000000-0005-0000-0000-0000A6080000}"/>
    <cellStyle name="vntxt2" xfId="2211" xr:uid="{00000000-0005-0000-0000-0000A7080000}"/>
    <cellStyle name="vnhead1" xfId="2203" xr:uid="{00000000-0005-0000-0000-0000A8080000}"/>
    <cellStyle name="vnhead1 2" xfId="2204" xr:uid="{00000000-0005-0000-0000-0000A9080000}"/>
    <cellStyle name="vnhead2" xfId="2205" xr:uid="{00000000-0005-0000-0000-0000AA080000}"/>
    <cellStyle name="vnhead2 2" xfId="2206" xr:uid="{00000000-0005-0000-0000-0000AB080000}"/>
    <cellStyle name="vnhead3" xfId="2207" xr:uid="{00000000-0005-0000-0000-0000AC080000}"/>
    <cellStyle name="vnhead3 2" xfId="2208" xr:uid="{00000000-0005-0000-0000-0000AD080000}"/>
    <cellStyle name="vnhead4" xfId="2209" xr:uid="{00000000-0005-0000-0000-0000AE080000}"/>
    <cellStyle name="W?hrung [0]_35ERI8T2gbIEMixb4v26icuOo" xfId="2212" xr:uid="{00000000-0005-0000-0000-0000AF080000}"/>
    <cellStyle name="W?hrung_35ERI8T2gbIEMixb4v26icuOo" xfId="2213" xr:uid="{00000000-0005-0000-0000-0000B0080000}"/>
    <cellStyle name="Währung [0]_68574_Materialbedarfsliste" xfId="2214" xr:uid="{00000000-0005-0000-0000-0000B1080000}"/>
    <cellStyle name="Währung_68574_Materialbedarfsliste" xfId="2215" xr:uid="{00000000-0005-0000-0000-0000B2080000}"/>
    <cellStyle name="Walutowy [0]_Invoices2001Slovakia" xfId="2216" xr:uid="{00000000-0005-0000-0000-0000B3080000}"/>
    <cellStyle name="Walutowy_Invoices2001Slovakia" xfId="2217" xr:uid="{00000000-0005-0000-0000-0000B4080000}"/>
    <cellStyle name="Warning Text 2" xfId="2218" xr:uid="{00000000-0005-0000-0000-0000B5080000}"/>
    <cellStyle name="Warning Text 3" xfId="2219" xr:uid="{00000000-0005-0000-0000-0000B6080000}"/>
    <cellStyle name="wrap" xfId="2220" xr:uid="{00000000-0005-0000-0000-0000B7080000}"/>
    <cellStyle name="Wไhrung [0]_35ERI8T2gbIEMixb4v26icuOo" xfId="2221" xr:uid="{00000000-0005-0000-0000-0000B8080000}"/>
    <cellStyle name="Wไhrung_35ERI8T2gbIEMixb4v26icuOo" xfId="2222" xr:uid="{00000000-0005-0000-0000-0000B9080000}"/>
    <cellStyle name="Xấu" xfId="2223" xr:uid="{00000000-0005-0000-0000-0000BA080000}"/>
    <cellStyle name="xuan" xfId="2224" xr:uid="{00000000-0005-0000-0000-0000BB080000}"/>
    <cellStyle name="y" xfId="2225" xr:uid="{00000000-0005-0000-0000-0000BC080000}"/>
    <cellStyle name="Ý kh¸c_B¶ng 1 (2)" xfId="2226" xr:uid="{00000000-0005-0000-0000-0000BD080000}"/>
    <cellStyle name="เครื่องหมายสกุลเงิน [0]_FTC_OFFER" xfId="2227" xr:uid="{00000000-0005-0000-0000-0000BE080000}"/>
    <cellStyle name="เครื่องหมายสกุลเงิน_FTC_OFFER" xfId="2228" xr:uid="{00000000-0005-0000-0000-0000BF080000}"/>
    <cellStyle name="ปกติ_FTC_OFFER" xfId="2229" xr:uid="{00000000-0005-0000-0000-0000C0080000}"/>
    <cellStyle name=" [0.00]_ Att. 1- Cover" xfId="2230" xr:uid="{00000000-0005-0000-0000-0000C1080000}"/>
    <cellStyle name="_ Att. 1- Cover" xfId="2231" xr:uid="{00000000-0005-0000-0000-0000C2080000}"/>
    <cellStyle name="?_ Att. 1- Cover" xfId="2232" xr:uid="{00000000-0005-0000-0000-0000C3080000}"/>
    <cellStyle name="똿뗦먛귟 [0.00]_PRODUCT DETAIL Q1" xfId="2233" xr:uid="{00000000-0005-0000-0000-0000C4080000}"/>
    <cellStyle name="똿뗦먛귟_PRODUCT DETAIL Q1" xfId="2234" xr:uid="{00000000-0005-0000-0000-0000C5080000}"/>
    <cellStyle name="믅됞 [0.00]_PRODUCT DETAIL Q1" xfId="2235" xr:uid="{00000000-0005-0000-0000-0000C6080000}"/>
    <cellStyle name="믅됞_PRODUCT DETAIL Q1" xfId="2236" xr:uid="{00000000-0005-0000-0000-0000C7080000}"/>
    <cellStyle name="백분율_††††† " xfId="2237" xr:uid="{00000000-0005-0000-0000-0000C8080000}"/>
    <cellStyle name="뷭?_BOOKSHIP" xfId="2238" xr:uid="{00000000-0005-0000-0000-0000C9080000}"/>
    <cellStyle name="안건회계법인" xfId="2239" xr:uid="{00000000-0005-0000-0000-0000CA080000}"/>
    <cellStyle name="콤마 [ - 유형1" xfId="2240" xr:uid="{00000000-0005-0000-0000-0000CB080000}"/>
    <cellStyle name="콤마 [ - 유형2" xfId="2241" xr:uid="{00000000-0005-0000-0000-0000CC080000}"/>
    <cellStyle name="콤마 [ - 유형3" xfId="2242" xr:uid="{00000000-0005-0000-0000-0000CD080000}"/>
    <cellStyle name="콤마 [ - 유형4" xfId="2243" xr:uid="{00000000-0005-0000-0000-0000CE080000}"/>
    <cellStyle name="콤마 [ - 유형5" xfId="2244" xr:uid="{00000000-0005-0000-0000-0000CF080000}"/>
    <cellStyle name="콤마 [ - 유형6" xfId="2245" xr:uid="{00000000-0005-0000-0000-0000D0080000}"/>
    <cellStyle name="콤마 [ - 유형7" xfId="2246" xr:uid="{00000000-0005-0000-0000-0000D1080000}"/>
    <cellStyle name="콤마 [ - 유형8" xfId="2247" xr:uid="{00000000-0005-0000-0000-0000D2080000}"/>
    <cellStyle name="콤마 [0]_ 비목별 월별기술 " xfId="2248" xr:uid="{00000000-0005-0000-0000-0000D3080000}"/>
    <cellStyle name="콤마_ 비목별 월별기술 " xfId="2249" xr:uid="{00000000-0005-0000-0000-0000D4080000}"/>
    <cellStyle name="통화 [0]_††††† " xfId="2250" xr:uid="{00000000-0005-0000-0000-0000D5080000}"/>
    <cellStyle name="통화_††††† " xfId="2251" xr:uid="{00000000-0005-0000-0000-0000D6080000}"/>
    <cellStyle name="표준_ 97년 경영분석(안)" xfId="2252" xr:uid="{00000000-0005-0000-0000-0000D7080000}"/>
    <cellStyle name="표줠_Sheet1_1_총괄표 (수출입) (2)" xfId="2253" xr:uid="{00000000-0005-0000-0000-0000D8080000}"/>
    <cellStyle name="一般_00Q3902REV.1" xfId="2254" xr:uid="{00000000-0005-0000-0000-0000D9080000}"/>
    <cellStyle name="千分位[0]_00Q3902REV.1" xfId="2255" xr:uid="{00000000-0005-0000-0000-0000DA080000}"/>
    <cellStyle name="千分位_00Q3902REV.1" xfId="2256" xr:uid="{00000000-0005-0000-0000-0000DB080000}"/>
    <cellStyle name="桁区切り [0.00]_BE-BQ" xfId="2257" xr:uid="{00000000-0005-0000-0000-0000DC080000}"/>
    <cellStyle name="桁区切り_BE-BQ" xfId="2258" xr:uid="{00000000-0005-0000-0000-0000DD080000}"/>
    <cellStyle name="標準_(A1)BOQ " xfId="2259" xr:uid="{00000000-0005-0000-0000-0000DE080000}"/>
    <cellStyle name="貨幣 [0]_00Q3902REV.1" xfId="2260" xr:uid="{00000000-0005-0000-0000-0000DF080000}"/>
    <cellStyle name="貨幣[0]_BRE" xfId="2261" xr:uid="{00000000-0005-0000-0000-0000E0080000}"/>
    <cellStyle name="貨幣_00Q3902REV.1" xfId="2262" xr:uid="{00000000-0005-0000-0000-0000E1080000}"/>
    <cellStyle name="通貨 [0.00]_BE-BQ" xfId="2263" xr:uid="{00000000-0005-0000-0000-0000E2080000}"/>
    <cellStyle name="通貨_BE-BQ" xfId="2264" xr:uid="{00000000-0005-0000-0000-0000E3080000}"/>
  </cellStyles>
  <dxfs count="0"/>
  <tableStyles count="0" defaultTableStyle="TableStyleMedium9"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247650</xdr:colOff>
      <xdr:row>0</xdr:row>
      <xdr:rowOff>9525</xdr:rowOff>
    </xdr:from>
    <xdr:to>
      <xdr:col>8</xdr:col>
      <xdr:colOff>1647825</xdr:colOff>
      <xdr:row>0</xdr:row>
      <xdr:rowOff>276225</xdr:rowOff>
    </xdr:to>
    <xdr:sp macro="" textlink="">
      <xdr:nvSpPr>
        <xdr:cNvPr id="2" name="Rectangle 1">
          <a:extLst>
            <a:ext uri="{FF2B5EF4-FFF2-40B4-BE49-F238E27FC236}">
              <a16:creationId xmlns:a16="http://schemas.microsoft.com/office/drawing/2014/main" id="{5E79B23E-BBE9-4DD2-BE5E-7F1B26E79211}"/>
            </a:ext>
          </a:extLst>
        </xdr:cNvPr>
        <xdr:cNvSpPr>
          <a:spLocks noChangeArrowheads="1"/>
        </xdr:cNvSpPr>
      </xdr:nvSpPr>
      <xdr:spPr bwMode="auto">
        <a:xfrm>
          <a:off x="7172325" y="9525"/>
          <a:ext cx="447675" cy="190500"/>
        </a:xfrm>
        <a:prstGeom prst="rect">
          <a:avLst/>
        </a:prstGeom>
        <a:solidFill>
          <a:srgbClr val="FFFFFF"/>
        </a:solidFill>
        <a:ln w="9525">
          <a:solidFill>
            <a:srgbClr val="FFFFFF"/>
          </a:solidFill>
          <a:miter lim="800000"/>
          <a:headEnd/>
          <a:tailEnd/>
        </a:ln>
      </xdr:spPr>
      <xdr:txBody>
        <a:bodyPr vertOverflow="clip" wrap="square" lIns="36576" tIns="27432" rIns="0" bIns="0" anchor="t" upright="1"/>
        <a:lstStyle/>
        <a:p>
          <a:pPr algn="l" rtl="1">
            <a:defRPr sz="1000"/>
          </a:pPr>
          <a:r>
            <a:rPr lang="en-US" sz="1300" b="1" i="0" strike="noStrike">
              <a:solidFill>
                <a:srgbClr val="000000"/>
              </a:solidFill>
              <a:latin typeface=".VnTime"/>
            </a:rPr>
            <a:t>          </a:t>
          </a:r>
          <a:r>
            <a:rPr lang="en-US" sz="1400" b="1" i="0" strike="noStrike">
              <a:solidFill>
                <a:srgbClr val="000000"/>
              </a:solidFill>
              <a:latin typeface=".VnTime"/>
            </a:rPr>
            <a:t> Phô lôc 12</a:t>
          </a:r>
        </a:p>
      </xdr:txBody>
    </xdr:sp>
    <xdr:clientData/>
  </xdr:twoCellAnchor>
  <xdr:twoCellAnchor>
    <xdr:from>
      <xdr:col>8</xdr:col>
      <xdr:colOff>247650</xdr:colOff>
      <xdr:row>0</xdr:row>
      <xdr:rowOff>9525</xdr:rowOff>
    </xdr:from>
    <xdr:to>
      <xdr:col>8</xdr:col>
      <xdr:colOff>1647825</xdr:colOff>
      <xdr:row>0</xdr:row>
      <xdr:rowOff>276225</xdr:rowOff>
    </xdr:to>
    <xdr:sp macro="" textlink="">
      <xdr:nvSpPr>
        <xdr:cNvPr id="3" name="Rectangle 2">
          <a:extLst>
            <a:ext uri="{FF2B5EF4-FFF2-40B4-BE49-F238E27FC236}">
              <a16:creationId xmlns:a16="http://schemas.microsoft.com/office/drawing/2014/main" id="{CBB12F07-1775-4A3C-A661-04A8A02F7DB6}"/>
            </a:ext>
          </a:extLst>
        </xdr:cNvPr>
        <xdr:cNvSpPr>
          <a:spLocks noChangeArrowheads="1"/>
        </xdr:cNvSpPr>
      </xdr:nvSpPr>
      <xdr:spPr bwMode="auto">
        <a:xfrm>
          <a:off x="7172325" y="9525"/>
          <a:ext cx="447675" cy="190500"/>
        </a:xfrm>
        <a:prstGeom prst="rect">
          <a:avLst/>
        </a:prstGeom>
        <a:solidFill>
          <a:srgbClr val="FFFFFF"/>
        </a:solidFill>
        <a:ln w="9525">
          <a:solidFill>
            <a:srgbClr val="FFFFFF"/>
          </a:solidFill>
          <a:miter lim="800000"/>
          <a:headEnd/>
          <a:tailEnd/>
        </a:ln>
      </xdr:spPr>
      <xdr:txBody>
        <a:bodyPr vertOverflow="clip" wrap="square" lIns="36576" tIns="27432" rIns="0" bIns="0" anchor="t" upright="1"/>
        <a:lstStyle/>
        <a:p>
          <a:pPr algn="l" rtl="1">
            <a:defRPr sz="1000"/>
          </a:pPr>
          <a:r>
            <a:rPr lang="en-US" sz="1300" b="1" i="0" strike="noStrike">
              <a:solidFill>
                <a:srgbClr val="000000"/>
              </a:solidFill>
              <a:latin typeface=".VnTime"/>
            </a:rPr>
            <a:t>          </a:t>
          </a:r>
          <a:r>
            <a:rPr lang="en-US" sz="1400" b="1" i="0" strike="noStrike">
              <a:solidFill>
                <a:srgbClr val="000000"/>
              </a:solidFill>
              <a:latin typeface=".VnTime"/>
            </a:rPr>
            <a:t> Phô lôc 12</a:t>
          </a:r>
        </a:p>
      </xdr:txBody>
    </xdr:sp>
    <xdr:clientData/>
  </xdr:twoCellAnchor>
  <xdr:twoCellAnchor>
    <xdr:from>
      <xdr:col>8</xdr:col>
      <xdr:colOff>247650</xdr:colOff>
      <xdr:row>0</xdr:row>
      <xdr:rowOff>9525</xdr:rowOff>
    </xdr:from>
    <xdr:to>
      <xdr:col>8</xdr:col>
      <xdr:colOff>1647825</xdr:colOff>
      <xdr:row>0</xdr:row>
      <xdr:rowOff>276225</xdr:rowOff>
    </xdr:to>
    <xdr:sp macro="" textlink="">
      <xdr:nvSpPr>
        <xdr:cNvPr id="4" name="Rectangle 3">
          <a:extLst>
            <a:ext uri="{FF2B5EF4-FFF2-40B4-BE49-F238E27FC236}">
              <a16:creationId xmlns:a16="http://schemas.microsoft.com/office/drawing/2014/main" id="{6CE1D5C5-8052-4B3E-A4D4-C8E26B9687D7}"/>
            </a:ext>
          </a:extLst>
        </xdr:cNvPr>
        <xdr:cNvSpPr>
          <a:spLocks noChangeArrowheads="1"/>
        </xdr:cNvSpPr>
      </xdr:nvSpPr>
      <xdr:spPr bwMode="auto">
        <a:xfrm>
          <a:off x="7172325" y="9525"/>
          <a:ext cx="447675" cy="190500"/>
        </a:xfrm>
        <a:prstGeom prst="rect">
          <a:avLst/>
        </a:prstGeom>
        <a:solidFill>
          <a:srgbClr val="FFFFFF"/>
        </a:solidFill>
        <a:ln w="9525">
          <a:solidFill>
            <a:srgbClr val="FFFFFF"/>
          </a:solidFill>
          <a:miter lim="800000"/>
          <a:headEnd/>
          <a:tailEnd/>
        </a:ln>
      </xdr:spPr>
      <xdr:txBody>
        <a:bodyPr vertOverflow="clip" wrap="square" lIns="36576" tIns="27432" rIns="0" bIns="0" anchor="t" upright="1"/>
        <a:lstStyle/>
        <a:p>
          <a:pPr algn="l" rtl="1">
            <a:defRPr sz="1000"/>
          </a:pPr>
          <a:r>
            <a:rPr lang="en-US" sz="1300" b="1" i="0" strike="noStrike">
              <a:solidFill>
                <a:srgbClr val="000000"/>
              </a:solidFill>
              <a:latin typeface=".VnTime"/>
            </a:rPr>
            <a:t>          </a:t>
          </a:r>
          <a:r>
            <a:rPr lang="en-US" sz="1400" b="1" i="0" strike="noStrike">
              <a:solidFill>
                <a:srgbClr val="000000"/>
              </a:solidFill>
              <a:latin typeface=".VnTime"/>
            </a:rPr>
            <a:t> Phô lôc 12</a:t>
          </a:r>
        </a:p>
      </xdr:txBody>
    </xdr:sp>
    <xdr:clientData/>
  </xdr:twoCellAnchor>
  <xdr:twoCellAnchor>
    <xdr:from>
      <xdr:col>8</xdr:col>
      <xdr:colOff>247650</xdr:colOff>
      <xdr:row>0</xdr:row>
      <xdr:rowOff>9525</xdr:rowOff>
    </xdr:from>
    <xdr:to>
      <xdr:col>8</xdr:col>
      <xdr:colOff>1647825</xdr:colOff>
      <xdr:row>0</xdr:row>
      <xdr:rowOff>276225</xdr:rowOff>
    </xdr:to>
    <xdr:sp macro="" textlink="">
      <xdr:nvSpPr>
        <xdr:cNvPr id="5" name="Rectangle 4">
          <a:extLst>
            <a:ext uri="{FF2B5EF4-FFF2-40B4-BE49-F238E27FC236}">
              <a16:creationId xmlns:a16="http://schemas.microsoft.com/office/drawing/2014/main" id="{3F6EECBC-0A38-477D-B05E-17925E8FF86D}"/>
            </a:ext>
          </a:extLst>
        </xdr:cNvPr>
        <xdr:cNvSpPr>
          <a:spLocks noChangeArrowheads="1"/>
        </xdr:cNvSpPr>
      </xdr:nvSpPr>
      <xdr:spPr bwMode="auto">
        <a:xfrm>
          <a:off x="7172325" y="9525"/>
          <a:ext cx="447675" cy="190500"/>
        </a:xfrm>
        <a:prstGeom prst="rect">
          <a:avLst/>
        </a:prstGeom>
        <a:solidFill>
          <a:srgbClr val="FFFFFF"/>
        </a:solidFill>
        <a:ln w="9525">
          <a:solidFill>
            <a:srgbClr val="FFFFFF"/>
          </a:solidFill>
          <a:miter lim="800000"/>
          <a:headEnd/>
          <a:tailEnd/>
        </a:ln>
      </xdr:spPr>
      <xdr:txBody>
        <a:bodyPr vertOverflow="clip" wrap="square" lIns="36576" tIns="27432" rIns="0" bIns="0" anchor="t" upright="1"/>
        <a:lstStyle/>
        <a:p>
          <a:pPr algn="l" rtl="1">
            <a:defRPr sz="1000"/>
          </a:pPr>
          <a:r>
            <a:rPr lang="en-US" sz="1300" b="1" i="0" strike="noStrike">
              <a:solidFill>
                <a:srgbClr val="000000"/>
              </a:solidFill>
              <a:latin typeface=".VnTime"/>
            </a:rPr>
            <a:t>          </a:t>
          </a:r>
          <a:r>
            <a:rPr lang="en-US" sz="1400" b="1" i="0" strike="noStrike">
              <a:solidFill>
                <a:srgbClr val="000000"/>
              </a:solidFill>
              <a:latin typeface=".VnTime"/>
            </a:rPr>
            <a:t> Phô lôc 12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HAI%20VAN%20ANH\2020\Quyet%20toan%20ND%202019_lam%202020\Lam%20QT%202019\TCDT_TH%20QT_2019_bieu%2052_53_54_55_62_ND31_28-5-20_lay%20the%20KH%20giao%20dau%20na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an_P.QLNS\QUY&#7870;T%20TO&#193;N%202019\TCDT_TH%20QT_2019_bieu%2052_53_54_55_62_ND31_TT85_5-6-20_lay%20the%20KH%20giao%20dau%20nam_16-6-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an_P.QLNS\QUY&#7870;T%20TO&#193;N%202019\Cac%20Huyen%20BC%20bieu%20mau%20theo%20ND%2031\Bieu-Quyet-Toan-2019-ND-31-Tan-Hien-vao_dt_bo%20sung%2013ty3%20gui%20NS%2015092020_chieu_&#272;T%20gui%20la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Tan_P.QLNS\QUY&#7870;T%20TO&#193;N%202019\Cac%20Huyen%20BC%20bieu%20mau%20theo%20ND%2031\Bieu-Quyet-Toan-2019-ND-31-Tan-Hien-vao_bo%20sung%2013ty3%20gui%20NS%2010-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Tan_P.QLNS\QUY&#7870;T%20TO&#193;N%202019\Cac%20Huyen%20BC%20bieu%20mau%20theo%20ND%2031\DAK%20TO%20Bieu%2058,%2059%20Quyet%20toan%202019%20ND%2031%20-Gui%20cac%20huyen%20phoi%20hop.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TONG%20HOP%202020\HO%20SO%20QUYET%20TOAN%202019\BIEU%20MAU%20QUYET%20TOAN%20NSDP%202019%20THEO%20TT%20342-BTC_Hai_H&#224;o_T&#226;n%20vao%20so%20lie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 2018"/>
      <sheetName val="ung chua thu hoi "/>
      <sheetName val="QT 2018 theo LV"/>
      <sheetName val="2017"/>
      <sheetName val="B55"/>
      <sheetName val="B55_B54_B62"/>
      <sheetName val="TT85"/>
    </sheetNames>
    <sheetDataSet>
      <sheetData sheetId="0"/>
      <sheetData sheetId="1"/>
      <sheetData sheetId="2"/>
      <sheetData sheetId="3"/>
      <sheetData sheetId="4"/>
      <sheetData sheetId="5">
        <row r="12">
          <cell r="DL12">
            <v>0</v>
          </cell>
        </row>
      </sheetData>
      <sheetData sheetId="6">
        <row r="348">
          <cell r="W348">
            <v>210797</v>
          </cell>
        </row>
        <row r="359">
          <cell r="E359" t="str">
            <v>TW bổ sung có MT - Chương trình mục tiêu tái cơ cấu kinh tế nông nghiệp và phòng chống giảm nhẹ thiên tai, ổn định đời sống dân cư</v>
          </cell>
          <cell r="W359">
            <v>21745.879999999997</v>
          </cell>
        </row>
        <row r="362">
          <cell r="E362" t="str">
            <v>TW bổ sung có MT - nguồn dự phòng ngân sách trung ương 2019</v>
          </cell>
        </row>
        <row r="364">
          <cell r="E364" t="str">
            <v xml:space="preserve">TW bổ sung có MT - Chương trình cấp điện nông thôn miền núi và hải đảo </v>
          </cell>
          <cell r="W364">
            <v>20000</v>
          </cell>
        </row>
        <row r="368">
          <cell r="E368" t="str">
            <v>TW bổ sung có MT - Chương trình mục tiêu Đầu tư hạ tầng khu kinh tế ven biển, Khu kinh tế cửa khẩu, Khu công nghiệp, công nghệ cao, khu nông nghiệp ứng dụng công nghệ cao</v>
          </cell>
          <cell r="W368">
            <v>48398</v>
          </cell>
        </row>
        <row r="372">
          <cell r="E372" t="str">
            <v xml:space="preserve">Nguồn dự phòng ngân sách Trung ương 2019_Dự án khẩn cấp - Dự án phòng cháy chữa cháy rừng </v>
          </cell>
        </row>
        <row r="375">
          <cell r="E375" t="str">
            <v xml:space="preserve">Nguồn dự phòng ngân sách Trung ương 2019 - các dự án cấp bách </v>
          </cell>
        </row>
        <row r="379">
          <cell r="E379" t="str">
            <v xml:space="preserve">Nguồn dự phòng ngân sách Trung ương 2019 - các dự án cấp bách </v>
          </cell>
        </row>
        <row r="383">
          <cell r="E383" t="str">
            <v>TW bổ sung có MT - Chương trình mục tiêu QP-AN trên địa bàn trọng điểm</v>
          </cell>
          <cell r="W383">
            <v>45600</v>
          </cell>
        </row>
        <row r="387">
          <cell r="E387" t="str">
            <v>TW bổ sung có MT - Hỗ trợ đối ứng ODA các tỉnh khó khăn</v>
          </cell>
          <cell r="W387">
            <v>1209</v>
          </cell>
        </row>
        <row r="412">
          <cell r="E412" t="str">
            <v>TW bổ sung có MT - Chương trình mục tiêu phát triển văn hóa</v>
          </cell>
        </row>
        <row r="418">
          <cell r="E418" t="str">
            <v>TW bổ sung có MT - Nguồn dự án trồng mới 5 triệu ha rừng</v>
          </cell>
        </row>
        <row r="423">
          <cell r="E423" t="str">
            <v>Dự phòng NSTW năm 2016</v>
          </cell>
        </row>
        <row r="442">
          <cell r="CC442">
            <v>29283.577000000001</v>
          </cell>
        </row>
        <row r="731">
          <cell r="CC731">
            <v>8352.7816899999998</v>
          </cell>
          <cell r="CI731">
            <v>3.56915</v>
          </cell>
        </row>
        <row r="733">
          <cell r="CC733">
            <v>4229.4103340000001</v>
          </cell>
          <cell r="CI733">
            <v>304.83600000000001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 2018"/>
      <sheetName val="B55_B54_B62"/>
      <sheetName val="TT85"/>
      <sheetName val="lam lai 16-6-20"/>
      <sheetName val="CAC HUYEN"/>
      <sheetName val="dakto"/>
      <sheetName val="dakglei"/>
      <sheetName val="kpl"/>
      <sheetName val="TP"/>
      <sheetName val="ngoc hoi"/>
      <sheetName val="iahdrai"/>
      <sheetName val="dakha"/>
      <sheetName val="TMR"/>
      <sheetName val="ST"/>
      <sheetName val="IAHDRAI_2"/>
      <sheetName val="kr"/>
    </sheetNames>
    <sheetDataSet>
      <sheetData sheetId="0"/>
      <sheetData sheetId="1"/>
      <sheetData sheetId="2"/>
      <sheetData sheetId="3">
        <row r="451">
          <cell r="CC451">
            <v>34090.785666000003</v>
          </cell>
          <cell r="CI451">
            <v>9462.6369999999988</v>
          </cell>
        </row>
        <row r="540">
          <cell r="CC540">
            <v>89523.416974000022</v>
          </cell>
          <cell r="CI540">
            <v>25737.172936999996</v>
          </cell>
        </row>
        <row r="722">
          <cell r="CC722">
            <v>85726.541345000005</v>
          </cell>
          <cell r="CI722">
            <v>6581.7934400000004</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phan cong"/>
      <sheetName val="Bieu 48"/>
      <sheetName val="Bieu 50"/>
      <sheetName val="Bieu 51_NS_DT"/>
      <sheetName val="bieu 52_NS_DT"/>
      <sheetName val="bieu 53_NS_DT"/>
      <sheetName val="Bieu 54_NS_DT"/>
      <sheetName val="Bieu 58 "/>
      <sheetName val="Bieu 59"/>
      <sheetName val="Bieu 61"/>
      <sheetName val="Bieu 61_lay sl"/>
      <sheetName val="Bieu 45_QT 2019_28-6"/>
      <sheetName val="60"/>
      <sheetName val="62"/>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10">
          <cell r="K10">
            <v>2906304.6410000003</v>
          </cell>
        </row>
      </sheetData>
      <sheetData sheetId="9" refreshError="1"/>
      <sheetData sheetId="10" refreshError="1"/>
      <sheetData sheetId="11" refreshError="1"/>
      <sheetData sheetId="12">
        <row r="9">
          <cell r="H9">
            <v>8617058.9104749989</v>
          </cell>
        </row>
        <row r="16">
          <cell r="H16">
            <v>21871.162321</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phan cong"/>
      <sheetName val="Bieu 48"/>
      <sheetName val="Bieu 50"/>
      <sheetName val="Bieu 51_NS_DT"/>
      <sheetName val="bieu 52_NS_DT"/>
      <sheetName val="bieu 53_NS_DT"/>
      <sheetName val="Bieu 54_NS_DT"/>
      <sheetName val="Bieu 58"/>
      <sheetName val="Bieu 59"/>
      <sheetName val="Bieu 61"/>
    </sheetNames>
    <sheetDataSet>
      <sheetData sheetId="0"/>
      <sheetData sheetId="1"/>
      <sheetData sheetId="2"/>
      <sheetData sheetId="3"/>
      <sheetData sheetId="4"/>
      <sheetData sheetId="5"/>
      <sheetData sheetId="6"/>
      <sheetData sheetId="7">
        <row r="10">
          <cell r="S10">
            <v>2862560.8620119998</v>
          </cell>
        </row>
      </sheetData>
      <sheetData sheetId="8"/>
      <sheetData sheetId="9">
        <row r="33">
          <cell r="U33">
            <v>4122.1797420000003</v>
          </cell>
          <cell r="V33">
            <v>3682.6745519999999</v>
          </cell>
        </row>
        <row r="34">
          <cell r="U34">
            <v>13681.49</v>
          </cell>
          <cell r="V34">
            <v>7585.3961369999997</v>
          </cell>
        </row>
        <row r="35">
          <cell r="U35">
            <v>14154.021000000001</v>
          </cell>
          <cell r="V35">
            <v>5682.7959999999994</v>
          </cell>
        </row>
        <row r="36">
          <cell r="U36">
            <v>19161.043999999998</v>
          </cell>
          <cell r="V36">
            <v>5596.9790000000003</v>
          </cell>
        </row>
        <row r="37">
          <cell r="U37">
            <v>32567.205000000002</v>
          </cell>
          <cell r="V37">
            <v>9801.18</v>
          </cell>
        </row>
        <row r="38">
          <cell r="U38">
            <v>33437.038520000002</v>
          </cell>
          <cell r="V38">
            <v>7534.0504000000001</v>
          </cell>
        </row>
        <row r="39">
          <cell r="U39">
            <v>16480.614468</v>
          </cell>
          <cell r="V39">
            <v>10440.104042999999</v>
          </cell>
        </row>
        <row r="40">
          <cell r="U40">
            <v>15548.94</v>
          </cell>
          <cell r="V40">
            <v>5388.8670000000002</v>
          </cell>
        </row>
        <row r="41">
          <cell r="U41">
            <v>49576.67</v>
          </cell>
          <cell r="V41">
            <v>17884.944</v>
          </cell>
        </row>
        <row r="42">
          <cell r="U42">
            <v>64463.607299999996</v>
          </cell>
          <cell r="V42">
            <v>19949.046990000003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ội địa"/>
      <sheetName val="Bieu 58"/>
      <sheetName val="Bieu 59"/>
      <sheetName val="Sheet1"/>
    </sheetNames>
    <sheetDataSet>
      <sheetData sheetId="0"/>
      <sheetData sheetId="1">
        <row r="13">
          <cell r="X13">
            <v>5682.8012500000004</v>
          </cell>
        </row>
      </sheetData>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tong hop"/>
      <sheetName val="CD ket du NS tinh"/>
      <sheetName val="photo"/>
      <sheetName val="60"/>
      <sheetName val="61"/>
      <sheetName val="TT"/>
      <sheetName val="PL03"/>
      <sheetName val="TT_dong"/>
      <sheetName val="62_dong "/>
      <sheetName val="62"/>
      <sheetName val="63"/>
      <sheetName val="64"/>
      <sheetName val="65"/>
      <sheetName val="66"/>
      <sheetName val="67"/>
      <sheetName val="68"/>
      <sheetName val="69"/>
      <sheetName val="69_2018"/>
      <sheetName val="70"/>
      <sheetName val="DT QLHC tinh 2018"/>
      <sheetName val="Luong ND72 HC"/>
    </sheetNames>
    <sheetDataSet>
      <sheetData sheetId="0"/>
      <sheetData sheetId="1"/>
      <sheetData sheetId="2"/>
      <sheetData sheetId="3"/>
      <sheetData sheetId="4"/>
      <sheetData sheetId="5"/>
      <sheetData sheetId="6"/>
      <sheetData sheetId="7"/>
      <sheetData sheetId="8">
        <row r="9">
          <cell r="C9">
            <v>6896296000000</v>
          </cell>
          <cell r="D9">
            <v>6963296000000</v>
          </cell>
        </row>
        <row r="10">
          <cell r="C10">
            <v>1980092000000</v>
          </cell>
          <cell r="D10">
            <v>2043592000000</v>
          </cell>
        </row>
        <row r="11">
          <cell r="C11">
            <v>1980092000000</v>
          </cell>
          <cell r="D11">
            <v>2042014000000</v>
          </cell>
        </row>
        <row r="12">
          <cell r="C12">
            <v>0</v>
          </cell>
          <cell r="D12">
            <v>29273995000</v>
          </cell>
          <cell r="Y12">
            <v>98530870353</v>
          </cell>
          <cell r="Z12" t="str">
            <v>0</v>
          </cell>
          <cell r="AA12" t="str">
            <v>0</v>
          </cell>
        </row>
        <row r="13">
          <cell r="C13">
            <v>0</v>
          </cell>
          <cell r="D13">
            <v>0</v>
          </cell>
          <cell r="Y13" t="str">
            <v>0</v>
          </cell>
          <cell r="Z13">
            <v>3010218000</v>
          </cell>
          <cell r="AA13" t="str">
            <v>0</v>
          </cell>
        </row>
        <row r="14">
          <cell r="C14">
            <v>0</v>
          </cell>
          <cell r="D14">
            <v>100117753650</v>
          </cell>
          <cell r="Y14">
            <v>58915729569</v>
          </cell>
          <cell r="Z14">
            <v>98053274386</v>
          </cell>
          <cell r="AA14">
            <v>59453532</v>
          </cell>
        </row>
        <row r="15">
          <cell r="C15">
            <v>0</v>
          </cell>
          <cell r="D15">
            <v>17934736000</v>
          </cell>
          <cell r="Y15">
            <v>17609274000</v>
          </cell>
          <cell r="Z15">
            <v>365592000</v>
          </cell>
          <cell r="AA15" t="str">
            <v>0</v>
          </cell>
        </row>
        <row r="16">
          <cell r="C16">
            <v>0</v>
          </cell>
          <cell r="D16">
            <v>56493000000</v>
          </cell>
          <cell r="Y16">
            <v>67491035484</v>
          </cell>
          <cell r="Z16">
            <v>130723000</v>
          </cell>
          <cell r="AA16" t="str">
            <v>0</v>
          </cell>
        </row>
        <row r="17">
          <cell r="C17">
            <v>0</v>
          </cell>
          <cell r="D17">
            <v>45280544817</v>
          </cell>
          <cell r="Y17">
            <v>2724507000</v>
          </cell>
          <cell r="Z17">
            <v>65214913960</v>
          </cell>
          <cell r="AA17">
            <v>545124200</v>
          </cell>
        </row>
        <row r="18">
          <cell r="C18">
            <v>0</v>
          </cell>
          <cell r="D18">
            <v>10043457000</v>
          </cell>
          <cell r="Y18">
            <v>17219203132</v>
          </cell>
          <cell r="Z18">
            <v>55366000</v>
          </cell>
          <cell r="AA18" t="str">
            <v>0</v>
          </cell>
        </row>
        <row r="19">
          <cell r="C19">
            <v>0</v>
          </cell>
          <cell r="D19">
            <v>26562761000</v>
          </cell>
          <cell r="Y19">
            <v>1000788880</v>
          </cell>
          <cell r="Z19">
            <v>9162023000</v>
          </cell>
          <cell r="AA19" t="str">
            <v>0</v>
          </cell>
        </row>
        <row r="20">
          <cell r="C20">
            <v>0</v>
          </cell>
          <cell r="D20">
            <v>0</v>
          </cell>
          <cell r="Y20">
            <v>3646165300</v>
          </cell>
          <cell r="Z20">
            <v>2014183000</v>
          </cell>
          <cell r="AA20" t="str">
            <v>0</v>
          </cell>
        </row>
        <row r="21">
          <cell r="C21">
            <v>0</v>
          </cell>
          <cell r="D21">
            <v>1662495782433</v>
          </cell>
          <cell r="Y21">
            <v>1315790065239</v>
          </cell>
          <cell r="Z21">
            <v>638484780301</v>
          </cell>
          <cell r="AA21">
            <v>13741396540</v>
          </cell>
        </row>
        <row r="22">
          <cell r="C22">
            <v>0</v>
          </cell>
          <cell r="D22">
            <v>91144438100</v>
          </cell>
          <cell r="Y22">
            <v>135303223580</v>
          </cell>
          <cell r="Z22">
            <v>42851850597</v>
          </cell>
          <cell r="AA22">
            <v>4138173267</v>
          </cell>
        </row>
        <row r="23">
          <cell r="C23">
            <v>0</v>
          </cell>
          <cell r="D23">
            <v>1500766000</v>
          </cell>
          <cell r="Y23">
            <v>3157329000</v>
          </cell>
          <cell r="Z23">
            <v>2224766000</v>
          </cell>
          <cell r="AA23" t="str">
            <v>0</v>
          </cell>
        </row>
        <row r="24">
          <cell r="C24">
            <v>0</v>
          </cell>
          <cell r="D24">
            <v>1166766000</v>
          </cell>
          <cell r="Y24" t="str">
            <v>0</v>
          </cell>
          <cell r="Z24">
            <v>1166766000</v>
          </cell>
          <cell r="AA24" t="str">
            <v>0</v>
          </cell>
        </row>
        <row r="25">
          <cell r="C25">
            <v>0</v>
          </cell>
          <cell r="D25">
            <v>1578000000</v>
          </cell>
          <cell r="Y25">
            <v>4515000000</v>
          </cell>
          <cell r="Z25">
            <v>0</v>
          </cell>
          <cell r="AA25">
            <v>0</v>
          </cell>
        </row>
        <row r="26">
          <cell r="C26">
            <v>0</v>
          </cell>
          <cell r="D26">
            <v>0</v>
          </cell>
          <cell r="Y26" t="str">
            <v>0</v>
          </cell>
          <cell r="Z26" t="str">
            <v>0</v>
          </cell>
          <cell r="AA26" t="str">
            <v>0</v>
          </cell>
        </row>
        <row r="27">
          <cell r="C27">
            <v>0</v>
          </cell>
          <cell r="D27">
            <v>0</v>
          </cell>
          <cell r="Y27">
            <v>29000000000</v>
          </cell>
          <cell r="Z27">
            <v>0</v>
          </cell>
          <cell r="AA27">
            <v>0</v>
          </cell>
        </row>
        <row r="28">
          <cell r="C28">
            <v>4813273000000</v>
          </cell>
          <cell r="D28">
            <v>4812257000000</v>
          </cell>
        </row>
        <row r="29">
          <cell r="C29">
            <v>0</v>
          </cell>
          <cell r="D29">
            <v>90277349000</v>
          </cell>
          <cell r="Y29">
            <v>52865037550</v>
          </cell>
          <cell r="Z29">
            <v>28089277840</v>
          </cell>
          <cell r="AA29">
            <v>49320933892</v>
          </cell>
        </row>
        <row r="30">
          <cell r="C30">
            <v>0</v>
          </cell>
          <cell r="D30">
            <v>38973000000</v>
          </cell>
          <cell r="Y30">
            <v>28238000000</v>
          </cell>
          <cell r="Z30">
            <v>12429288181</v>
          </cell>
          <cell r="AA30">
            <v>11566521683</v>
          </cell>
        </row>
        <row r="31">
          <cell r="C31">
            <v>1874637000000</v>
          </cell>
          <cell r="D31">
            <v>1997555000000</v>
          </cell>
          <cell r="Y31">
            <v>417048190185</v>
          </cell>
          <cell r="Z31">
            <v>1577308384134</v>
          </cell>
          <cell r="AA31">
            <v>1877025417</v>
          </cell>
        </row>
        <row r="32">
          <cell r="C32">
            <v>15753000000</v>
          </cell>
          <cell r="D32">
            <v>15753000000</v>
          </cell>
          <cell r="Y32">
            <v>8179284749</v>
          </cell>
          <cell r="Z32">
            <v>1250537000</v>
          </cell>
          <cell r="AA32" t="str">
            <v>0</v>
          </cell>
        </row>
        <row r="33">
          <cell r="C33"/>
          <cell r="D33">
            <v>701100000000</v>
          </cell>
          <cell r="Y33">
            <v>657383505929</v>
          </cell>
          <cell r="Z33">
            <v>5566843239</v>
          </cell>
          <cell r="AA33">
            <v>698464362</v>
          </cell>
        </row>
        <row r="34">
          <cell r="C34"/>
          <cell r="D34">
            <v>59749034000</v>
          </cell>
          <cell r="Y34">
            <v>29928007684</v>
          </cell>
          <cell r="Z34">
            <v>14041636927</v>
          </cell>
          <cell r="AA34">
            <v>2431774040</v>
          </cell>
        </row>
        <row r="35">
          <cell r="C35"/>
          <cell r="D35">
            <v>31857210000</v>
          </cell>
          <cell r="Y35">
            <v>15743250000</v>
          </cell>
          <cell r="Z35">
            <v>19437713871</v>
          </cell>
          <cell r="AA35">
            <v>420141432</v>
          </cell>
        </row>
        <row r="36">
          <cell r="C36"/>
          <cell r="D36">
            <v>11465000000</v>
          </cell>
          <cell r="Y36">
            <v>11065406950</v>
          </cell>
          <cell r="Z36">
            <v>2474296338</v>
          </cell>
          <cell r="AA36">
            <v>1013075000</v>
          </cell>
        </row>
        <row r="37">
          <cell r="C37">
            <v>72273000000</v>
          </cell>
          <cell r="D37">
            <v>82680449000</v>
          </cell>
          <cell r="Y37">
            <v>5286624700</v>
          </cell>
          <cell r="Z37">
            <v>80788009162</v>
          </cell>
          <cell r="AA37">
            <v>1817744200</v>
          </cell>
        </row>
        <row r="38">
          <cell r="C38"/>
          <cell r="D38">
            <v>530694173000</v>
          </cell>
          <cell r="Y38">
            <v>338025861033</v>
          </cell>
          <cell r="Z38">
            <v>192201465172</v>
          </cell>
          <cell r="AA38">
            <v>55845204125</v>
          </cell>
        </row>
        <row r="39">
          <cell r="C39"/>
          <cell r="D39">
            <v>1010911785000</v>
          </cell>
          <cell r="Y39">
            <v>327687713122</v>
          </cell>
          <cell r="Z39">
            <v>350521586014</v>
          </cell>
          <cell r="AA39">
            <v>384059782468</v>
          </cell>
        </row>
        <row r="40">
          <cell r="C40"/>
          <cell r="D40">
            <v>154188000000</v>
          </cell>
          <cell r="Y40">
            <v>23591148332</v>
          </cell>
          <cell r="Z40">
            <v>100731102421</v>
          </cell>
          <cell r="AA40">
            <v>8119928334</v>
          </cell>
        </row>
        <row r="41">
          <cell r="C41"/>
          <cell r="D41">
            <v>87053000000</v>
          </cell>
          <cell r="Y41">
            <v>12789948000</v>
          </cell>
          <cell r="Z41">
            <v>13484662802</v>
          </cell>
          <cell r="AA41">
            <v>40611772459</v>
          </cell>
        </row>
        <row r="42">
          <cell r="C42">
            <v>1000000000</v>
          </cell>
          <cell r="D42">
            <v>1000000000</v>
          </cell>
          <cell r="Y42">
            <v>2000000000</v>
          </cell>
          <cell r="Z42">
            <v>0</v>
          </cell>
          <cell r="AA42">
            <v>0</v>
          </cell>
        </row>
        <row r="43">
          <cell r="C43"/>
          <cell r="D43">
            <v>0</v>
          </cell>
          <cell r="Y43">
            <v>1973824817883</v>
          </cell>
          <cell r="Z43">
            <v>565521249970</v>
          </cell>
          <cell r="AA43">
            <v>48289270546</v>
          </cell>
        </row>
        <row r="44">
          <cell r="C44">
            <v>1200000000</v>
          </cell>
          <cell r="D44">
            <v>880000000</v>
          </cell>
          <cell r="Y44">
            <v>88116000</v>
          </cell>
          <cell r="Z44"/>
          <cell r="AA44"/>
        </row>
        <row r="45">
          <cell r="C45">
            <v>100731000000</v>
          </cell>
          <cell r="D45">
            <v>102067000000</v>
          </cell>
          <cell r="Y45"/>
          <cell r="Z45"/>
          <cell r="AA45"/>
        </row>
        <row r="46">
          <cell r="C46"/>
          <cell r="D46">
            <v>3500000000</v>
          </cell>
          <cell r="Y46"/>
          <cell r="Z46"/>
          <cell r="AA46"/>
        </row>
        <row r="47">
          <cell r="C47">
            <v>0</v>
          </cell>
          <cell r="D47">
            <v>0</v>
          </cell>
          <cell r="Y47">
            <v>30235000000</v>
          </cell>
          <cell r="Z47">
            <v>500000000</v>
          </cell>
          <cell r="AA47"/>
        </row>
        <row r="48">
          <cell r="C48">
            <v>0</v>
          </cell>
          <cell r="D48">
            <v>0</v>
          </cell>
          <cell r="Y48">
            <v>0</v>
          </cell>
          <cell r="Z48">
            <v>0</v>
          </cell>
          <cell r="AA48">
            <v>4000000</v>
          </cell>
        </row>
        <row r="49">
          <cell r="C49">
            <v>0</v>
          </cell>
          <cell r="D49">
            <v>0</v>
          </cell>
          <cell r="Y49">
            <v>0</v>
          </cell>
          <cell r="Z49">
            <v>0</v>
          </cell>
          <cell r="AA49">
            <v>0</v>
          </cell>
        </row>
        <row r="50">
          <cell r="C50">
            <v>0</v>
          </cell>
          <cell r="D50">
            <v>0</v>
          </cell>
          <cell r="Y50">
            <v>0</v>
          </cell>
          <cell r="Z50">
            <v>0</v>
          </cell>
          <cell r="AA50">
            <v>4000000</v>
          </cell>
        </row>
        <row r="51">
          <cell r="C51"/>
          <cell r="D51">
            <v>0</v>
          </cell>
          <cell r="Y51"/>
          <cell r="Z51"/>
          <cell r="AA51"/>
        </row>
        <row r="52">
          <cell r="C52"/>
          <cell r="D52">
            <v>0</v>
          </cell>
          <cell r="Y52"/>
          <cell r="Z52"/>
          <cell r="AA52">
            <v>4000000</v>
          </cell>
        </row>
        <row r="53">
          <cell r="C53">
            <v>0</v>
          </cell>
          <cell r="D53">
            <v>0</v>
          </cell>
          <cell r="Y53">
            <v>2906304644500</v>
          </cell>
          <cell r="Z53">
            <v>534285333358</v>
          </cell>
          <cell r="AA53">
            <v>0</v>
          </cell>
        </row>
        <row r="54">
          <cell r="C54">
            <v>0</v>
          </cell>
          <cell r="D54">
            <v>0</v>
          </cell>
          <cell r="Y54">
            <v>1913342000000</v>
          </cell>
          <cell r="Z54">
            <v>411349496714</v>
          </cell>
          <cell r="AA54">
            <v>0</v>
          </cell>
        </row>
        <row r="55">
          <cell r="C55">
            <v>0</v>
          </cell>
          <cell r="D55">
            <v>0</v>
          </cell>
          <cell r="Y55">
            <v>992962644500</v>
          </cell>
          <cell r="Z55">
            <v>122935836644</v>
          </cell>
          <cell r="AA55">
            <v>0</v>
          </cell>
        </row>
        <row r="56">
          <cell r="C56">
            <v>0</v>
          </cell>
          <cell r="D56">
            <v>0</v>
          </cell>
          <cell r="Y56">
            <v>992962644500</v>
          </cell>
          <cell r="Z56">
            <v>122935836644</v>
          </cell>
          <cell r="AA56">
            <v>0</v>
          </cell>
        </row>
        <row r="57">
          <cell r="C57">
            <v>0</v>
          </cell>
          <cell r="D57">
            <v>0</v>
          </cell>
          <cell r="Y57">
            <v>0</v>
          </cell>
          <cell r="Z57">
            <v>0</v>
          </cell>
          <cell r="AA57">
            <v>0</v>
          </cell>
        </row>
        <row r="58">
          <cell r="C58">
            <v>0</v>
          </cell>
          <cell r="D58">
            <v>0</v>
          </cell>
          <cell r="Y58">
            <v>21871162321</v>
          </cell>
          <cell r="Z58">
            <v>45714148102</v>
          </cell>
          <cell r="AA58">
            <v>3723668059</v>
          </cell>
        </row>
        <row r="59">
          <cell r="X59">
            <v>13652422354806</v>
          </cell>
        </row>
      </sheetData>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
  <sheetViews>
    <sheetView workbookViewId="0">
      <selection activeCell="B15" sqref="B15"/>
    </sheetView>
  </sheetViews>
  <sheetFormatPr defaultColWidth="9.1796875" defaultRowHeight="18"/>
  <cols>
    <col min="1" max="1" width="5.54296875" style="15" customWidth="1"/>
    <col min="2" max="2" width="53.54296875" style="15" customWidth="1"/>
    <col min="3" max="3" width="17.453125" style="15" customWidth="1"/>
    <col min="4" max="4" width="20.54296875" style="15" customWidth="1"/>
    <col min="5" max="5" width="21.7265625" style="15" customWidth="1"/>
    <col min="6" max="6" width="19" style="15" customWidth="1"/>
    <col min="7" max="16384" width="9.1796875" style="15"/>
  </cols>
  <sheetData>
    <row r="1" spans="1:6" s="8" customFormat="1" ht="17.5">
      <c r="A1" s="568" t="s">
        <v>350</v>
      </c>
      <c r="B1" s="568"/>
      <c r="C1" s="568"/>
      <c r="D1" s="568"/>
      <c r="E1" s="568"/>
      <c r="F1" s="568"/>
    </row>
    <row r="3" spans="1:6" s="10" customFormat="1" ht="35">
      <c r="A3" s="9" t="s">
        <v>1</v>
      </c>
      <c r="B3" s="9" t="s">
        <v>351</v>
      </c>
      <c r="C3" s="9" t="s">
        <v>352</v>
      </c>
      <c r="D3" s="9" t="s">
        <v>353</v>
      </c>
      <c r="E3" s="9" t="s">
        <v>354</v>
      </c>
      <c r="F3" s="9" t="s">
        <v>355</v>
      </c>
    </row>
    <row r="4" spans="1:6">
      <c r="A4" s="11">
        <v>1</v>
      </c>
      <c r="B4" s="12" t="s">
        <v>356</v>
      </c>
      <c r="C4" s="13" t="s">
        <v>357</v>
      </c>
      <c r="D4" s="14" t="s">
        <v>358</v>
      </c>
      <c r="E4" s="14" t="s">
        <v>359</v>
      </c>
      <c r="F4" s="569" t="s">
        <v>381</v>
      </c>
    </row>
    <row r="5" spans="1:6" ht="36">
      <c r="A5" s="14">
        <v>2</v>
      </c>
      <c r="B5" s="16" t="s">
        <v>360</v>
      </c>
      <c r="C5" s="17" t="s">
        <v>361</v>
      </c>
      <c r="D5" s="14" t="s">
        <v>358</v>
      </c>
      <c r="E5" s="14" t="s">
        <v>359</v>
      </c>
      <c r="F5" s="570"/>
    </row>
    <row r="6" spans="1:6" ht="36">
      <c r="A6" s="14">
        <v>3</v>
      </c>
      <c r="B6" s="16" t="s">
        <v>362</v>
      </c>
      <c r="C6" s="17" t="s">
        <v>363</v>
      </c>
      <c r="D6" s="14" t="s">
        <v>364</v>
      </c>
      <c r="E6" s="14"/>
      <c r="F6" s="570"/>
    </row>
    <row r="7" spans="1:6">
      <c r="A7" s="14">
        <v>4</v>
      </c>
      <c r="B7" s="16" t="s">
        <v>369</v>
      </c>
      <c r="C7" s="17" t="s">
        <v>365</v>
      </c>
      <c r="D7" s="14" t="s">
        <v>382</v>
      </c>
      <c r="E7" s="14" t="s">
        <v>383</v>
      </c>
      <c r="F7" s="570"/>
    </row>
    <row r="8" spans="1:6">
      <c r="A8" s="14">
        <v>5</v>
      </c>
      <c r="B8" s="16" t="s">
        <v>370</v>
      </c>
      <c r="C8" s="17" t="s">
        <v>366</v>
      </c>
      <c r="D8" s="14" t="s">
        <v>382</v>
      </c>
      <c r="E8" s="14" t="s">
        <v>383</v>
      </c>
      <c r="F8" s="570"/>
    </row>
    <row r="9" spans="1:6" ht="36">
      <c r="A9" s="14">
        <v>6</v>
      </c>
      <c r="B9" s="16" t="s">
        <v>372</v>
      </c>
      <c r="C9" s="17" t="s">
        <v>367</v>
      </c>
      <c r="D9" s="14" t="s">
        <v>382</v>
      </c>
      <c r="E9" s="14" t="s">
        <v>383</v>
      </c>
      <c r="F9" s="570"/>
    </row>
    <row r="10" spans="1:6" ht="36">
      <c r="A10" s="14">
        <v>7</v>
      </c>
      <c r="B10" s="16" t="s">
        <v>373</v>
      </c>
      <c r="C10" s="17" t="s">
        <v>368</v>
      </c>
      <c r="D10" s="14" t="s">
        <v>382</v>
      </c>
      <c r="E10" s="14" t="s">
        <v>383</v>
      </c>
      <c r="F10" s="570"/>
    </row>
    <row r="11" spans="1:6">
      <c r="A11" s="14">
        <v>8</v>
      </c>
      <c r="B11" s="16" t="s">
        <v>377</v>
      </c>
      <c r="C11" s="17" t="s">
        <v>374</v>
      </c>
      <c r="D11" s="14" t="s">
        <v>358</v>
      </c>
      <c r="E11" s="14" t="s">
        <v>371</v>
      </c>
      <c r="F11" s="570"/>
    </row>
    <row r="12" spans="1:6" ht="36">
      <c r="A12" s="14">
        <v>9</v>
      </c>
      <c r="B12" s="16" t="s">
        <v>380</v>
      </c>
      <c r="C12" s="17" t="s">
        <v>375</v>
      </c>
      <c r="D12" s="14" t="s">
        <v>358</v>
      </c>
      <c r="E12" s="14" t="s">
        <v>371</v>
      </c>
      <c r="F12" s="570"/>
    </row>
    <row r="13" spans="1:6">
      <c r="A13" s="14">
        <v>10</v>
      </c>
      <c r="B13" s="16" t="s">
        <v>378</v>
      </c>
      <c r="C13" s="17" t="s">
        <v>376</v>
      </c>
      <c r="D13" s="14" t="s">
        <v>379</v>
      </c>
      <c r="E13" s="14"/>
      <c r="F13" s="571"/>
    </row>
    <row r="14" spans="1:6">
      <c r="A14" s="18"/>
      <c r="B14" s="18"/>
      <c r="C14" s="18"/>
      <c r="D14" s="18"/>
      <c r="E14" s="18"/>
      <c r="F14" s="18"/>
    </row>
  </sheetData>
  <mergeCells count="2">
    <mergeCell ref="A1:F1"/>
    <mergeCell ref="F4:F13"/>
  </mergeCells>
  <pageMargins left="0.70866141732283472" right="0.70866141732283472" top="0.74803149606299213" bottom="0.74803149606299213" header="0.31496062992125984" footer="0.31496062992125984"/>
  <pageSetup paperSize="9"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15514-2507-422C-9B57-ECD04FE7F272}">
  <sheetPr>
    <tabColor rgb="FFFF0000"/>
  </sheetPr>
  <dimension ref="A1:BA44"/>
  <sheetViews>
    <sheetView showZeros="0" zoomScale="85" zoomScaleNormal="85" workbookViewId="0">
      <pane xSplit="2" ySplit="12" topLeftCell="P13" activePane="bottomRight" state="frozen"/>
      <selection pane="topRight" activeCell="C1" sqref="C1"/>
      <selection pane="bottomLeft" activeCell="A13" sqref="A13"/>
      <selection pane="bottomRight" activeCell="A4" sqref="A4:BA4"/>
    </sheetView>
  </sheetViews>
  <sheetFormatPr defaultColWidth="9.1796875" defaultRowHeight="14"/>
  <cols>
    <col min="1" max="1" width="5.7265625" style="4" customWidth="1"/>
    <col min="2" max="2" width="22.26953125" style="4" customWidth="1"/>
    <col min="3" max="3" width="11" style="4" customWidth="1"/>
    <col min="4" max="4" width="9.1796875" style="4"/>
    <col min="5" max="5" width="8.54296875" style="4" customWidth="1"/>
    <col min="6" max="7" width="9.1796875" style="4"/>
    <col min="8" max="8" width="8.81640625" style="4" customWidth="1"/>
    <col min="9" max="13" width="9.1796875" style="4"/>
    <col min="14" max="14" width="10.26953125" style="4" customWidth="1"/>
    <col min="15" max="16" width="9.1796875" style="4"/>
    <col min="17" max="17" width="10.54296875" style="4" customWidth="1"/>
    <col min="18" max="37" width="9.1796875" style="4"/>
    <col min="38" max="38" width="8.1796875" style="4" customWidth="1"/>
    <col min="39" max="52" width="9.1796875" style="4"/>
    <col min="53" max="53" width="8.81640625" style="4" customWidth="1"/>
    <col min="54" max="16384" width="9.1796875" style="4"/>
  </cols>
  <sheetData>
    <row r="1" spans="1:53" ht="15" customHeight="1">
      <c r="A1" s="612"/>
      <c r="B1" s="612"/>
      <c r="Q1" s="577"/>
      <c r="R1" s="577"/>
      <c r="S1" s="577"/>
      <c r="AY1" s="572" t="s">
        <v>376</v>
      </c>
      <c r="AZ1" s="572"/>
      <c r="BA1" s="572"/>
    </row>
    <row r="2" spans="1:53">
      <c r="A2" s="39"/>
    </row>
    <row r="3" spans="1:53">
      <c r="A3" s="613" t="s">
        <v>465</v>
      </c>
      <c r="B3" s="613"/>
      <c r="C3" s="613"/>
      <c r="D3" s="613"/>
      <c r="E3" s="613"/>
      <c r="F3" s="613"/>
      <c r="G3" s="613"/>
      <c r="H3" s="613"/>
      <c r="I3" s="613"/>
      <c r="J3" s="613"/>
      <c r="K3" s="613"/>
      <c r="L3" s="613"/>
      <c r="M3" s="613"/>
      <c r="N3" s="613"/>
      <c r="O3" s="613"/>
      <c r="P3" s="613"/>
      <c r="Q3" s="613"/>
      <c r="R3" s="613"/>
      <c r="S3" s="613"/>
      <c r="T3" s="613"/>
      <c r="U3" s="613"/>
      <c r="V3" s="613"/>
      <c r="W3" s="613"/>
      <c r="X3" s="613"/>
      <c r="Y3" s="613"/>
      <c r="Z3" s="613"/>
      <c r="AA3" s="613"/>
      <c r="AB3" s="613"/>
      <c r="AC3" s="613"/>
      <c r="AD3" s="613"/>
      <c r="AE3" s="613"/>
      <c r="AF3" s="613"/>
      <c r="AG3" s="613"/>
      <c r="AH3" s="613"/>
      <c r="AI3" s="613"/>
      <c r="AJ3" s="613"/>
      <c r="AK3" s="613"/>
      <c r="AL3" s="613"/>
      <c r="AM3" s="613"/>
      <c r="AN3" s="613"/>
      <c r="AO3" s="613"/>
      <c r="AP3" s="613"/>
      <c r="AQ3" s="613"/>
      <c r="AR3" s="613"/>
      <c r="AS3" s="613"/>
      <c r="AT3" s="613"/>
      <c r="AU3" s="613"/>
      <c r="AV3" s="613"/>
      <c r="AW3" s="613"/>
      <c r="AX3" s="613"/>
      <c r="AY3" s="613"/>
      <c r="AZ3" s="613"/>
      <c r="BA3" s="613"/>
    </row>
    <row r="4" spans="1:53" s="40" customFormat="1">
      <c r="A4" s="614" t="s">
        <v>1112</v>
      </c>
      <c r="B4" s="614"/>
      <c r="C4" s="614"/>
      <c r="D4" s="614"/>
      <c r="E4" s="614"/>
      <c r="F4" s="614"/>
      <c r="G4" s="614"/>
      <c r="H4" s="614"/>
      <c r="I4" s="614"/>
      <c r="J4" s="614"/>
      <c r="K4" s="614"/>
      <c r="L4" s="614"/>
      <c r="M4" s="614"/>
      <c r="N4" s="614"/>
      <c r="O4" s="614"/>
      <c r="P4" s="614"/>
      <c r="Q4" s="614"/>
      <c r="R4" s="614"/>
      <c r="S4" s="614"/>
      <c r="T4" s="614"/>
      <c r="U4" s="614"/>
      <c r="V4" s="614"/>
      <c r="W4" s="614"/>
      <c r="X4" s="614"/>
      <c r="Y4" s="614"/>
      <c r="Z4" s="614"/>
      <c r="AA4" s="614"/>
      <c r="AB4" s="614"/>
      <c r="AC4" s="614"/>
      <c r="AD4" s="614"/>
      <c r="AE4" s="614"/>
      <c r="AF4" s="614"/>
      <c r="AG4" s="614"/>
      <c r="AH4" s="614"/>
      <c r="AI4" s="614"/>
      <c r="AJ4" s="614"/>
      <c r="AK4" s="614"/>
      <c r="AL4" s="614"/>
      <c r="AM4" s="614"/>
      <c r="AN4" s="614"/>
      <c r="AO4" s="614"/>
      <c r="AP4" s="614"/>
      <c r="AQ4" s="614"/>
      <c r="AR4" s="614"/>
      <c r="AS4" s="614"/>
      <c r="AT4" s="614"/>
      <c r="AU4" s="614"/>
      <c r="AV4" s="614"/>
      <c r="AW4" s="614"/>
      <c r="AX4" s="614"/>
      <c r="AY4" s="614"/>
      <c r="AZ4" s="614"/>
      <c r="BA4" s="614"/>
    </row>
    <row r="5" spans="1:53">
      <c r="B5" s="451"/>
    </row>
    <row r="6" spans="1:53">
      <c r="R6" s="347"/>
      <c r="S6" s="347"/>
      <c r="W6" s="41"/>
      <c r="AZ6" s="584" t="s">
        <v>53</v>
      </c>
      <c r="BA6" s="584"/>
    </row>
    <row r="7" spans="1:53" s="6" customFormat="1" ht="24.75" customHeight="1">
      <c r="A7" s="609" t="s">
        <v>1</v>
      </c>
      <c r="B7" s="609" t="s">
        <v>54</v>
      </c>
      <c r="C7" s="610" t="s">
        <v>346</v>
      </c>
      <c r="D7" s="610"/>
      <c r="E7" s="610"/>
      <c r="F7" s="610"/>
      <c r="G7" s="610"/>
      <c r="H7" s="610"/>
      <c r="I7" s="610"/>
      <c r="J7" s="610"/>
      <c r="K7" s="610"/>
      <c r="L7" s="610"/>
      <c r="M7" s="610"/>
      <c r="N7" s="610"/>
      <c r="O7" s="610"/>
      <c r="P7" s="610"/>
      <c r="Q7" s="610"/>
      <c r="R7" s="610"/>
      <c r="S7" s="610"/>
      <c r="T7" s="610" t="s">
        <v>347</v>
      </c>
      <c r="U7" s="610"/>
      <c r="V7" s="610"/>
      <c r="W7" s="610"/>
      <c r="X7" s="610"/>
      <c r="Y7" s="610"/>
      <c r="Z7" s="610"/>
      <c r="AA7" s="610"/>
      <c r="AB7" s="610"/>
      <c r="AC7" s="610"/>
      <c r="AD7" s="610"/>
      <c r="AE7" s="610"/>
      <c r="AF7" s="610"/>
      <c r="AG7" s="610"/>
      <c r="AH7" s="610"/>
      <c r="AI7" s="610"/>
      <c r="AJ7" s="610"/>
      <c r="AK7" s="610" t="s">
        <v>348</v>
      </c>
      <c r="AL7" s="610"/>
      <c r="AM7" s="610"/>
      <c r="AN7" s="610"/>
      <c r="AO7" s="610"/>
      <c r="AP7" s="610"/>
      <c r="AQ7" s="610"/>
      <c r="AR7" s="610"/>
      <c r="AS7" s="610"/>
      <c r="AT7" s="610"/>
      <c r="AU7" s="610"/>
      <c r="AV7" s="610"/>
      <c r="AW7" s="610"/>
      <c r="AX7" s="610"/>
      <c r="AY7" s="610"/>
      <c r="AZ7" s="610"/>
      <c r="BA7" s="610"/>
    </row>
    <row r="8" spans="1:53">
      <c r="A8" s="609"/>
      <c r="B8" s="609"/>
      <c r="C8" s="609" t="s">
        <v>151</v>
      </c>
      <c r="D8" s="609" t="s">
        <v>157</v>
      </c>
      <c r="E8" s="609"/>
      <c r="F8" s="609" t="s">
        <v>467</v>
      </c>
      <c r="G8" s="609"/>
      <c r="H8" s="609"/>
      <c r="I8" s="609"/>
      <c r="J8" s="609"/>
      <c r="K8" s="609"/>
      <c r="L8" s="609"/>
      <c r="M8" s="609" t="s">
        <v>468</v>
      </c>
      <c r="N8" s="609"/>
      <c r="O8" s="609"/>
      <c r="P8" s="609"/>
      <c r="Q8" s="609"/>
      <c r="R8" s="609"/>
      <c r="S8" s="609"/>
      <c r="T8" s="609" t="s">
        <v>151</v>
      </c>
      <c r="U8" s="609" t="s">
        <v>157</v>
      </c>
      <c r="V8" s="609"/>
      <c r="W8" s="609" t="s">
        <v>467</v>
      </c>
      <c r="X8" s="609"/>
      <c r="Y8" s="609"/>
      <c r="Z8" s="609"/>
      <c r="AA8" s="609"/>
      <c r="AB8" s="609"/>
      <c r="AC8" s="609"/>
      <c r="AD8" s="609" t="s">
        <v>468</v>
      </c>
      <c r="AE8" s="609"/>
      <c r="AF8" s="609"/>
      <c r="AG8" s="609"/>
      <c r="AH8" s="609"/>
      <c r="AI8" s="609"/>
      <c r="AJ8" s="609"/>
      <c r="AK8" s="609" t="s">
        <v>151</v>
      </c>
      <c r="AL8" s="609" t="s">
        <v>157</v>
      </c>
      <c r="AM8" s="609"/>
      <c r="AN8" s="609" t="s">
        <v>467</v>
      </c>
      <c r="AO8" s="609"/>
      <c r="AP8" s="609"/>
      <c r="AQ8" s="609"/>
      <c r="AR8" s="609"/>
      <c r="AS8" s="609"/>
      <c r="AT8" s="609"/>
      <c r="AU8" s="609" t="s">
        <v>468</v>
      </c>
      <c r="AV8" s="609"/>
      <c r="AW8" s="609"/>
      <c r="AX8" s="609"/>
      <c r="AY8" s="609"/>
      <c r="AZ8" s="609"/>
      <c r="BA8" s="609"/>
    </row>
    <row r="9" spans="1:53" ht="14.25" customHeight="1">
      <c r="A9" s="609"/>
      <c r="B9" s="609"/>
      <c r="C9" s="609"/>
      <c r="D9" s="611" t="s">
        <v>469</v>
      </c>
      <c r="E9" s="611" t="s">
        <v>470</v>
      </c>
      <c r="F9" s="609" t="s">
        <v>151</v>
      </c>
      <c r="G9" s="611" t="s">
        <v>469</v>
      </c>
      <c r="H9" s="611"/>
      <c r="I9" s="611"/>
      <c r="J9" s="611" t="s">
        <v>470</v>
      </c>
      <c r="K9" s="611"/>
      <c r="L9" s="611"/>
      <c r="M9" s="609" t="s">
        <v>151</v>
      </c>
      <c r="N9" s="611" t="s">
        <v>469</v>
      </c>
      <c r="O9" s="611"/>
      <c r="P9" s="611"/>
      <c r="Q9" s="611" t="s">
        <v>470</v>
      </c>
      <c r="R9" s="611"/>
      <c r="S9" s="611"/>
      <c r="T9" s="609"/>
      <c r="U9" s="611" t="s">
        <v>469</v>
      </c>
      <c r="V9" s="611" t="s">
        <v>470</v>
      </c>
      <c r="W9" s="609" t="s">
        <v>151</v>
      </c>
      <c r="X9" s="611" t="s">
        <v>469</v>
      </c>
      <c r="Y9" s="611"/>
      <c r="Z9" s="611"/>
      <c r="AA9" s="611" t="s">
        <v>470</v>
      </c>
      <c r="AB9" s="611"/>
      <c r="AC9" s="611"/>
      <c r="AD9" s="609" t="s">
        <v>151</v>
      </c>
      <c r="AE9" s="611" t="s">
        <v>469</v>
      </c>
      <c r="AF9" s="611"/>
      <c r="AG9" s="611"/>
      <c r="AH9" s="611" t="s">
        <v>470</v>
      </c>
      <c r="AI9" s="611"/>
      <c r="AJ9" s="611"/>
      <c r="AK9" s="609"/>
      <c r="AL9" s="611" t="s">
        <v>469</v>
      </c>
      <c r="AM9" s="611" t="s">
        <v>470</v>
      </c>
      <c r="AN9" s="609" t="s">
        <v>151</v>
      </c>
      <c r="AO9" s="611" t="s">
        <v>469</v>
      </c>
      <c r="AP9" s="611"/>
      <c r="AQ9" s="611"/>
      <c r="AR9" s="611" t="s">
        <v>470</v>
      </c>
      <c r="AS9" s="611"/>
      <c r="AT9" s="611"/>
      <c r="AU9" s="609" t="s">
        <v>151</v>
      </c>
      <c r="AV9" s="611" t="s">
        <v>469</v>
      </c>
      <c r="AW9" s="611"/>
      <c r="AX9" s="611"/>
      <c r="AY9" s="611" t="s">
        <v>470</v>
      </c>
      <c r="AZ9" s="611"/>
      <c r="BA9" s="611"/>
    </row>
    <row r="10" spans="1:53" ht="46.5" customHeight="1">
      <c r="A10" s="609"/>
      <c r="B10" s="609"/>
      <c r="C10" s="609"/>
      <c r="D10" s="611"/>
      <c r="E10" s="611"/>
      <c r="F10" s="609"/>
      <c r="G10" s="348" t="s">
        <v>151</v>
      </c>
      <c r="H10" s="348" t="s">
        <v>170</v>
      </c>
      <c r="I10" s="348" t="s">
        <v>169</v>
      </c>
      <c r="J10" s="348" t="s">
        <v>151</v>
      </c>
      <c r="K10" s="348" t="s">
        <v>170</v>
      </c>
      <c r="L10" s="348" t="s">
        <v>169</v>
      </c>
      <c r="M10" s="609"/>
      <c r="N10" s="348" t="s">
        <v>151</v>
      </c>
      <c r="O10" s="348" t="s">
        <v>170</v>
      </c>
      <c r="P10" s="348" t="s">
        <v>169</v>
      </c>
      <c r="Q10" s="348" t="s">
        <v>151</v>
      </c>
      <c r="R10" s="348" t="s">
        <v>170</v>
      </c>
      <c r="S10" s="348" t="s">
        <v>169</v>
      </c>
      <c r="T10" s="609"/>
      <c r="U10" s="611"/>
      <c r="V10" s="611"/>
      <c r="W10" s="609"/>
      <c r="X10" s="348" t="s">
        <v>151</v>
      </c>
      <c r="Y10" s="348" t="s">
        <v>170</v>
      </c>
      <c r="Z10" s="348" t="s">
        <v>169</v>
      </c>
      <c r="AA10" s="348" t="s">
        <v>151</v>
      </c>
      <c r="AB10" s="348" t="s">
        <v>170</v>
      </c>
      <c r="AC10" s="348" t="s">
        <v>169</v>
      </c>
      <c r="AD10" s="609"/>
      <c r="AE10" s="348" t="s">
        <v>151</v>
      </c>
      <c r="AF10" s="348" t="s">
        <v>170</v>
      </c>
      <c r="AG10" s="348" t="s">
        <v>169</v>
      </c>
      <c r="AH10" s="348" t="s">
        <v>151</v>
      </c>
      <c r="AI10" s="348" t="s">
        <v>170</v>
      </c>
      <c r="AJ10" s="348" t="s">
        <v>169</v>
      </c>
      <c r="AK10" s="609"/>
      <c r="AL10" s="611"/>
      <c r="AM10" s="611"/>
      <c r="AN10" s="609"/>
      <c r="AO10" s="348" t="s">
        <v>151</v>
      </c>
      <c r="AP10" s="348" t="s">
        <v>170</v>
      </c>
      <c r="AQ10" s="348" t="s">
        <v>169</v>
      </c>
      <c r="AR10" s="348" t="s">
        <v>151</v>
      </c>
      <c r="AS10" s="348" t="s">
        <v>170</v>
      </c>
      <c r="AT10" s="348" t="s">
        <v>169</v>
      </c>
      <c r="AU10" s="609"/>
      <c r="AV10" s="348" t="s">
        <v>151</v>
      </c>
      <c r="AW10" s="348" t="s">
        <v>170</v>
      </c>
      <c r="AX10" s="348" t="s">
        <v>169</v>
      </c>
      <c r="AY10" s="348" t="s">
        <v>151</v>
      </c>
      <c r="AZ10" s="348" t="s">
        <v>170</v>
      </c>
      <c r="BA10" s="348" t="s">
        <v>169</v>
      </c>
    </row>
    <row r="11" spans="1:53" ht="23.25" customHeight="1">
      <c r="A11" s="348" t="s">
        <v>8</v>
      </c>
      <c r="B11" s="348" t="s">
        <v>9</v>
      </c>
      <c r="C11" s="348">
        <v>1</v>
      </c>
      <c r="D11" s="348">
        <v>2</v>
      </c>
      <c r="E11" s="348">
        <v>3</v>
      </c>
      <c r="F11" s="348">
        <v>4</v>
      </c>
      <c r="G11" s="348">
        <v>5</v>
      </c>
      <c r="H11" s="348">
        <v>6</v>
      </c>
      <c r="I11" s="348">
        <v>7</v>
      </c>
      <c r="J11" s="348">
        <v>8</v>
      </c>
      <c r="K11" s="348">
        <v>9</v>
      </c>
      <c r="L11" s="348">
        <v>10</v>
      </c>
      <c r="M11" s="348">
        <v>11</v>
      </c>
      <c r="N11" s="348">
        <v>12</v>
      </c>
      <c r="O11" s="348">
        <v>13</v>
      </c>
      <c r="P11" s="348">
        <v>14</v>
      </c>
      <c r="Q11" s="348">
        <v>15</v>
      </c>
      <c r="R11" s="348">
        <v>16</v>
      </c>
      <c r="S11" s="348">
        <v>17</v>
      </c>
      <c r="T11" s="348">
        <v>18</v>
      </c>
      <c r="U11" s="348">
        <v>19</v>
      </c>
      <c r="V11" s="348">
        <v>20</v>
      </c>
      <c r="W11" s="348">
        <v>21</v>
      </c>
      <c r="X11" s="348">
        <v>22</v>
      </c>
      <c r="Y11" s="348">
        <v>23</v>
      </c>
      <c r="Z11" s="348">
        <v>24</v>
      </c>
      <c r="AA11" s="348">
        <v>25</v>
      </c>
      <c r="AB11" s="348">
        <v>26</v>
      </c>
      <c r="AC11" s="348">
        <v>27</v>
      </c>
      <c r="AD11" s="348">
        <v>28</v>
      </c>
      <c r="AE11" s="348">
        <v>29</v>
      </c>
      <c r="AF11" s="348">
        <v>30</v>
      </c>
      <c r="AG11" s="348">
        <v>31</v>
      </c>
      <c r="AH11" s="348">
        <v>32</v>
      </c>
      <c r="AI11" s="348">
        <v>33</v>
      </c>
      <c r="AJ11" s="348">
        <v>34</v>
      </c>
      <c r="AK11" s="348" t="s">
        <v>471</v>
      </c>
      <c r="AL11" s="348" t="s">
        <v>472</v>
      </c>
      <c r="AM11" s="348" t="s">
        <v>473</v>
      </c>
      <c r="AN11" s="348" t="s">
        <v>474</v>
      </c>
      <c r="AO11" s="348" t="s">
        <v>475</v>
      </c>
      <c r="AP11" s="348" t="s">
        <v>476</v>
      </c>
      <c r="AQ11" s="348" t="s">
        <v>477</v>
      </c>
      <c r="AR11" s="348" t="s">
        <v>478</v>
      </c>
      <c r="AS11" s="348" t="s">
        <v>479</v>
      </c>
      <c r="AT11" s="348" t="s">
        <v>480</v>
      </c>
      <c r="AU11" s="348" t="s">
        <v>481</v>
      </c>
      <c r="AV11" s="348" t="s">
        <v>482</v>
      </c>
      <c r="AW11" s="348" t="s">
        <v>483</v>
      </c>
      <c r="AX11" s="348" t="s">
        <v>484</v>
      </c>
      <c r="AY11" s="348" t="s">
        <v>485</v>
      </c>
      <c r="AZ11" s="348" t="s">
        <v>486</v>
      </c>
      <c r="BA11" s="348" t="s">
        <v>487</v>
      </c>
    </row>
    <row r="12" spans="1:53" s="451" customFormat="1">
      <c r="A12" s="453"/>
      <c r="B12" s="454" t="s">
        <v>152</v>
      </c>
      <c r="C12" s="455">
        <f t="shared" ref="C12:AJ12" si="0">SUBTOTAL(9,C13:C44)</f>
        <v>496403.44900000002</v>
      </c>
      <c r="D12" s="455">
        <f t="shared" si="0"/>
        <v>386762.44900000002</v>
      </c>
      <c r="E12" s="455">
        <f t="shared" si="0"/>
        <v>109641</v>
      </c>
      <c r="F12" s="455">
        <f t="shared" si="0"/>
        <v>288303.44900000002</v>
      </c>
      <c r="G12" s="455">
        <f t="shared" si="0"/>
        <v>227162.44899999999</v>
      </c>
      <c r="H12" s="455">
        <f t="shared" si="0"/>
        <v>227162.44899999999</v>
      </c>
      <c r="I12" s="455">
        <f t="shared" si="0"/>
        <v>0</v>
      </c>
      <c r="J12" s="455">
        <f t="shared" si="0"/>
        <v>61141</v>
      </c>
      <c r="K12" s="455">
        <f t="shared" si="0"/>
        <v>61141</v>
      </c>
      <c r="L12" s="455">
        <f t="shared" si="0"/>
        <v>0</v>
      </c>
      <c r="M12" s="455">
        <f t="shared" si="0"/>
        <v>208100</v>
      </c>
      <c r="N12" s="455">
        <f t="shared" si="0"/>
        <v>159600</v>
      </c>
      <c r="O12" s="455">
        <f t="shared" si="0"/>
        <v>159600</v>
      </c>
      <c r="P12" s="455">
        <f t="shared" si="0"/>
        <v>0</v>
      </c>
      <c r="Q12" s="455">
        <f t="shared" si="0"/>
        <v>48500</v>
      </c>
      <c r="R12" s="455">
        <f t="shared" si="0"/>
        <v>48500</v>
      </c>
      <c r="S12" s="455">
        <f t="shared" si="0"/>
        <v>0</v>
      </c>
      <c r="T12" s="455">
        <f t="shared" si="0"/>
        <v>434534.76735700003</v>
      </c>
      <c r="U12" s="455">
        <f t="shared" si="0"/>
        <v>328399.94715799997</v>
      </c>
      <c r="V12" s="455">
        <f t="shared" si="0"/>
        <v>106134.82019900001</v>
      </c>
      <c r="W12" s="455">
        <f t="shared" si="0"/>
        <v>240154.62013</v>
      </c>
      <c r="X12" s="455">
        <f t="shared" si="0"/>
        <v>180160.83463299999</v>
      </c>
      <c r="Y12" s="455">
        <f t="shared" si="0"/>
        <v>180160.83463299999</v>
      </c>
      <c r="Z12" s="455">
        <f t="shared" si="0"/>
        <v>0</v>
      </c>
      <c r="AA12" s="455">
        <f t="shared" si="0"/>
        <v>59993.785496999997</v>
      </c>
      <c r="AB12" s="455">
        <f t="shared" si="0"/>
        <v>59993.785496999997</v>
      </c>
      <c r="AC12" s="455">
        <f t="shared" si="0"/>
        <v>0</v>
      </c>
      <c r="AD12" s="455">
        <f t="shared" si="0"/>
        <v>194380.14722700001</v>
      </c>
      <c r="AE12" s="455">
        <f t="shared" si="0"/>
        <v>148239.112525</v>
      </c>
      <c r="AF12" s="455">
        <f t="shared" si="0"/>
        <v>148239.112525</v>
      </c>
      <c r="AG12" s="455">
        <f t="shared" si="0"/>
        <v>0</v>
      </c>
      <c r="AH12" s="455">
        <f t="shared" si="0"/>
        <v>46141.034702000004</v>
      </c>
      <c r="AI12" s="455">
        <f t="shared" si="0"/>
        <v>46141.034702000004</v>
      </c>
      <c r="AJ12" s="455">
        <f t="shared" si="0"/>
        <v>0</v>
      </c>
      <c r="AK12" s="456">
        <f>T12/C12</f>
        <v>0.8753661325930876</v>
      </c>
      <c r="AL12" s="456">
        <f t="shared" ref="AL12:AZ23" si="1">U12/D12</f>
        <v>0.84909987514842722</v>
      </c>
      <c r="AM12" s="456">
        <f t="shared" si="1"/>
        <v>0.96802127123065285</v>
      </c>
      <c r="AN12" s="456">
        <f t="shared" si="1"/>
        <v>0.83299253256592143</v>
      </c>
      <c r="AO12" s="456">
        <f t="shared" si="1"/>
        <v>0.79309250021776267</v>
      </c>
      <c r="AP12" s="456">
        <f t="shared" si="1"/>
        <v>0.79309250021776267</v>
      </c>
      <c r="AQ12" s="456"/>
      <c r="AR12" s="456">
        <f t="shared" si="1"/>
        <v>0.98123657606188963</v>
      </c>
      <c r="AS12" s="456">
        <f t="shared" si="1"/>
        <v>0.98123657606188963</v>
      </c>
      <c r="AT12" s="456"/>
      <c r="AU12" s="456">
        <f t="shared" si="1"/>
        <v>0.93407086605958678</v>
      </c>
      <c r="AV12" s="456">
        <f t="shared" si="1"/>
        <v>0.92881649451754389</v>
      </c>
      <c r="AW12" s="456">
        <f t="shared" si="1"/>
        <v>0.92881649451754389</v>
      </c>
      <c r="AX12" s="456"/>
      <c r="AY12" s="456">
        <f t="shared" si="1"/>
        <v>0.95136154024742281</v>
      </c>
      <c r="AZ12" s="456">
        <f t="shared" si="1"/>
        <v>0.95136154024742281</v>
      </c>
      <c r="BA12" s="456"/>
    </row>
    <row r="13" spans="1:53">
      <c r="A13" s="46" t="s">
        <v>13</v>
      </c>
      <c r="B13" s="47" t="s">
        <v>939</v>
      </c>
      <c r="C13" s="45">
        <f>SUBTOTAL(9,C14:C32)</f>
        <v>36148</v>
      </c>
      <c r="D13" s="45">
        <f t="shared" ref="D13:AJ13" si="2">SUBTOTAL(9,D14:D32)</f>
        <v>21900</v>
      </c>
      <c r="E13" s="45">
        <f t="shared" si="2"/>
        <v>14248</v>
      </c>
      <c r="F13" s="45">
        <f t="shared" si="2"/>
        <v>8698</v>
      </c>
      <c r="G13" s="45">
        <f t="shared" si="2"/>
        <v>0</v>
      </c>
      <c r="H13" s="45">
        <f t="shared" si="2"/>
        <v>0</v>
      </c>
      <c r="I13" s="45">
        <f t="shared" si="2"/>
        <v>0</v>
      </c>
      <c r="J13" s="45">
        <f t="shared" si="2"/>
        <v>8698</v>
      </c>
      <c r="K13" s="45">
        <f t="shared" si="2"/>
        <v>8698</v>
      </c>
      <c r="L13" s="45">
        <f t="shared" si="2"/>
        <v>0</v>
      </c>
      <c r="M13" s="45">
        <f t="shared" si="2"/>
        <v>27450</v>
      </c>
      <c r="N13" s="45">
        <f t="shared" si="2"/>
        <v>21900</v>
      </c>
      <c r="O13" s="45">
        <f t="shared" si="2"/>
        <v>21900</v>
      </c>
      <c r="P13" s="45">
        <f t="shared" si="2"/>
        <v>0</v>
      </c>
      <c r="Q13" s="45">
        <f t="shared" si="2"/>
        <v>5550</v>
      </c>
      <c r="R13" s="45">
        <f t="shared" si="2"/>
        <v>5550</v>
      </c>
      <c r="S13" s="45">
        <f t="shared" si="2"/>
        <v>0</v>
      </c>
      <c r="T13" s="45">
        <f t="shared" si="2"/>
        <v>12588.782077</v>
      </c>
      <c r="U13" s="45">
        <f t="shared" si="2"/>
        <v>0</v>
      </c>
      <c r="V13" s="45">
        <f t="shared" si="2"/>
        <v>12588.782077</v>
      </c>
      <c r="W13" s="45">
        <f t="shared" si="2"/>
        <v>8034.8370770000001</v>
      </c>
      <c r="X13" s="45">
        <f t="shared" si="2"/>
        <v>0</v>
      </c>
      <c r="Y13" s="45">
        <f t="shared" si="2"/>
        <v>0</v>
      </c>
      <c r="Z13" s="45">
        <f t="shared" si="2"/>
        <v>0</v>
      </c>
      <c r="AA13" s="45">
        <f t="shared" si="2"/>
        <v>8034.8370770000001</v>
      </c>
      <c r="AB13" s="45">
        <f t="shared" si="2"/>
        <v>8034.8370770000001</v>
      </c>
      <c r="AC13" s="45">
        <f t="shared" si="2"/>
        <v>0</v>
      </c>
      <c r="AD13" s="45">
        <f t="shared" si="2"/>
        <v>4553.9449999999997</v>
      </c>
      <c r="AE13" s="45">
        <f t="shared" si="2"/>
        <v>0</v>
      </c>
      <c r="AF13" s="45">
        <f t="shared" si="2"/>
        <v>0</v>
      </c>
      <c r="AG13" s="45">
        <f t="shared" si="2"/>
        <v>0</v>
      </c>
      <c r="AH13" s="45">
        <f t="shared" si="2"/>
        <v>4553.9449999999997</v>
      </c>
      <c r="AI13" s="45">
        <f t="shared" si="2"/>
        <v>4553.9449999999997</v>
      </c>
      <c r="AJ13" s="45">
        <f t="shared" si="2"/>
        <v>0</v>
      </c>
      <c r="AK13" s="349">
        <f>T13/C13</f>
        <v>0.34825666916565229</v>
      </c>
      <c r="AL13" s="349"/>
      <c r="AM13" s="349">
        <f t="shared" si="1"/>
        <v>0.88354731028916333</v>
      </c>
      <c r="AN13" s="349">
        <f t="shared" si="1"/>
        <v>0.92375684950563353</v>
      </c>
      <c r="AO13" s="349"/>
      <c r="AP13" s="349"/>
      <c r="AQ13" s="349"/>
      <c r="AR13" s="349">
        <f t="shared" si="1"/>
        <v>0.92375684950563353</v>
      </c>
      <c r="AS13" s="349">
        <f t="shared" si="1"/>
        <v>0.92375684950563353</v>
      </c>
      <c r="AT13" s="349"/>
      <c r="AU13" s="349">
        <f t="shared" si="1"/>
        <v>0.16589963570127503</v>
      </c>
      <c r="AV13" s="349"/>
      <c r="AW13" s="349"/>
      <c r="AX13" s="349"/>
      <c r="AY13" s="349">
        <f t="shared" si="1"/>
        <v>0.82053063063063059</v>
      </c>
      <c r="AZ13" s="349">
        <f t="shared" si="1"/>
        <v>0.82053063063063059</v>
      </c>
      <c r="BA13" s="349"/>
    </row>
    <row r="14" spans="1:53" ht="26">
      <c r="A14" s="48">
        <v>1</v>
      </c>
      <c r="B14" s="49" t="s">
        <v>489</v>
      </c>
      <c r="C14" s="50">
        <f>D14+E14</f>
        <v>1000</v>
      </c>
      <c r="D14" s="51">
        <f>G14+N14</f>
        <v>0</v>
      </c>
      <c r="E14" s="51">
        <f>J14+Q14</f>
        <v>1000</v>
      </c>
      <c r="F14" s="51">
        <f>G14+J14</f>
        <v>0</v>
      </c>
      <c r="G14" s="51">
        <f>H14+I14</f>
        <v>0</v>
      </c>
      <c r="H14" s="52"/>
      <c r="I14" s="51"/>
      <c r="J14" s="51">
        <f>K14+L14</f>
        <v>0</v>
      </c>
      <c r="K14" s="51"/>
      <c r="L14" s="51"/>
      <c r="M14" s="51">
        <f>N14+Q14</f>
        <v>1000</v>
      </c>
      <c r="N14" s="51">
        <f>O14+P14</f>
        <v>0</v>
      </c>
      <c r="O14" s="51"/>
      <c r="P14" s="51"/>
      <c r="Q14" s="51">
        <f>R14+S14</f>
        <v>1000</v>
      </c>
      <c r="R14" s="51">
        <v>1000</v>
      </c>
      <c r="S14" s="51"/>
      <c r="T14" s="50">
        <f>U14+V14</f>
        <v>941.71600000000001</v>
      </c>
      <c r="U14" s="51">
        <f>X14+AE14</f>
        <v>0</v>
      </c>
      <c r="V14" s="51">
        <f>AA14+AH14</f>
        <v>941.71600000000001</v>
      </c>
      <c r="W14" s="51">
        <f>X14+AA14</f>
        <v>0</v>
      </c>
      <c r="X14" s="51">
        <f>Y14+Z14</f>
        <v>0</v>
      </c>
      <c r="Y14" s="52"/>
      <c r="Z14" s="51"/>
      <c r="AA14" s="51">
        <f>AB14+AC14</f>
        <v>0</v>
      </c>
      <c r="AB14" s="51"/>
      <c r="AC14" s="51"/>
      <c r="AD14" s="51">
        <f>AE14+AH14</f>
        <v>941.71600000000001</v>
      </c>
      <c r="AE14" s="51">
        <f>AF14+AG14</f>
        <v>0</v>
      </c>
      <c r="AF14" s="51"/>
      <c r="AG14" s="51"/>
      <c r="AH14" s="51">
        <f>AI14+AJ14</f>
        <v>941.71600000000001</v>
      </c>
      <c r="AI14" s="51">
        <v>941.71600000000001</v>
      </c>
      <c r="AJ14" s="51"/>
      <c r="AK14" s="350">
        <f>T14/C14</f>
        <v>0.941716</v>
      </c>
      <c r="AL14" s="350"/>
      <c r="AM14" s="350">
        <f t="shared" si="1"/>
        <v>0.941716</v>
      </c>
      <c r="AN14" s="350"/>
      <c r="AO14" s="350"/>
      <c r="AP14" s="350"/>
      <c r="AQ14" s="350"/>
      <c r="AR14" s="350"/>
      <c r="AS14" s="350"/>
      <c r="AT14" s="350"/>
      <c r="AU14" s="350">
        <f t="shared" si="1"/>
        <v>0.941716</v>
      </c>
      <c r="AV14" s="350"/>
      <c r="AW14" s="350"/>
      <c r="AX14" s="350"/>
      <c r="AY14" s="350">
        <f t="shared" si="1"/>
        <v>0.941716</v>
      </c>
      <c r="AZ14" s="350">
        <f t="shared" si="1"/>
        <v>0.941716</v>
      </c>
      <c r="BA14" s="350"/>
    </row>
    <row r="15" spans="1:53">
      <c r="A15" s="48">
        <v>2</v>
      </c>
      <c r="B15" s="49" t="s">
        <v>490</v>
      </c>
      <c r="C15" s="50">
        <f t="shared" ref="C15:C43" si="3">D15+E15</f>
        <v>300</v>
      </c>
      <c r="D15" s="51">
        <f t="shared" ref="D15:D43" si="4">G15+N15</f>
        <v>0</v>
      </c>
      <c r="E15" s="51">
        <f t="shared" ref="E15:E43" si="5">J15+Q15</f>
        <v>300</v>
      </c>
      <c r="F15" s="51">
        <f t="shared" ref="F15:F32" si="6">G15+J15</f>
        <v>0</v>
      </c>
      <c r="G15" s="51">
        <f t="shared" ref="G15:G32" si="7">H15+I15</f>
        <v>0</v>
      </c>
      <c r="H15" s="52"/>
      <c r="I15" s="51"/>
      <c r="J15" s="51">
        <f t="shared" ref="J15:J32" si="8">K15+L15</f>
        <v>0</v>
      </c>
      <c r="K15" s="51"/>
      <c r="L15" s="51"/>
      <c r="M15" s="51">
        <f t="shared" ref="M15:M32" si="9">N15+Q15</f>
        <v>300</v>
      </c>
      <c r="N15" s="51">
        <f t="shared" ref="N15:N32" si="10">O15+P15</f>
        <v>0</v>
      </c>
      <c r="O15" s="51"/>
      <c r="P15" s="51"/>
      <c r="Q15" s="51">
        <f t="shared" ref="Q15:Q32" si="11">R15+S15</f>
        <v>300</v>
      </c>
      <c r="R15" s="51">
        <v>300</v>
      </c>
      <c r="S15" s="51"/>
      <c r="T15" s="50">
        <f t="shared" ref="T15:T32" si="12">U15+V15</f>
        <v>299</v>
      </c>
      <c r="U15" s="51">
        <f t="shared" ref="U15:U32" si="13">X15+AE15</f>
        <v>0</v>
      </c>
      <c r="V15" s="51">
        <f t="shared" ref="V15:V32" si="14">AA15+AH15</f>
        <v>299</v>
      </c>
      <c r="W15" s="51">
        <f t="shared" ref="W15:W32" si="15">X15+AA15</f>
        <v>0</v>
      </c>
      <c r="X15" s="51">
        <f t="shared" ref="X15:X32" si="16">Y15+Z15</f>
        <v>0</v>
      </c>
      <c r="Y15" s="52"/>
      <c r="Z15" s="51"/>
      <c r="AA15" s="51">
        <f t="shared" ref="AA15:AA32" si="17">AB15+AC15</f>
        <v>0</v>
      </c>
      <c r="AB15" s="51"/>
      <c r="AC15" s="51"/>
      <c r="AD15" s="51">
        <f t="shared" ref="AD15:AD32" si="18">AE15+AH15</f>
        <v>299</v>
      </c>
      <c r="AE15" s="51">
        <f t="shared" ref="AE15:AE32" si="19">AF15+AG15</f>
        <v>0</v>
      </c>
      <c r="AF15" s="51"/>
      <c r="AG15" s="51"/>
      <c r="AH15" s="51">
        <f t="shared" ref="AH15:AH32" si="20">AI15+AJ15</f>
        <v>299</v>
      </c>
      <c r="AI15" s="51">
        <v>299</v>
      </c>
      <c r="AJ15" s="51"/>
      <c r="AK15" s="350">
        <f t="shared" ref="AK15:AK23" si="21">T15/C15</f>
        <v>0.9966666666666667</v>
      </c>
      <c r="AL15" s="350"/>
      <c r="AM15" s="350">
        <f t="shared" si="1"/>
        <v>0.9966666666666667</v>
      </c>
      <c r="AN15" s="350"/>
      <c r="AO15" s="350"/>
      <c r="AP15" s="350"/>
      <c r="AQ15" s="350"/>
      <c r="AR15" s="350"/>
      <c r="AS15" s="350"/>
      <c r="AT15" s="350"/>
      <c r="AU15" s="350">
        <f t="shared" si="1"/>
        <v>0.9966666666666667</v>
      </c>
      <c r="AV15" s="350"/>
      <c r="AW15" s="350"/>
      <c r="AX15" s="350"/>
      <c r="AY15" s="350">
        <f t="shared" si="1"/>
        <v>0.9966666666666667</v>
      </c>
      <c r="AZ15" s="350">
        <f t="shared" si="1"/>
        <v>0.9966666666666667</v>
      </c>
      <c r="BA15" s="350"/>
    </row>
    <row r="16" spans="1:53">
      <c r="A16" s="48">
        <v>3</v>
      </c>
      <c r="B16" s="53" t="s">
        <v>491</v>
      </c>
      <c r="C16" s="50">
        <f t="shared" si="3"/>
        <v>300</v>
      </c>
      <c r="D16" s="51">
        <f t="shared" si="4"/>
        <v>0</v>
      </c>
      <c r="E16" s="51">
        <f t="shared" si="5"/>
        <v>300</v>
      </c>
      <c r="F16" s="51">
        <f t="shared" si="6"/>
        <v>0</v>
      </c>
      <c r="G16" s="51">
        <f t="shared" si="7"/>
        <v>0</v>
      </c>
      <c r="H16" s="52"/>
      <c r="I16" s="51"/>
      <c r="J16" s="51">
        <f t="shared" si="8"/>
        <v>0</v>
      </c>
      <c r="K16" s="51"/>
      <c r="L16" s="51"/>
      <c r="M16" s="51">
        <f t="shared" si="9"/>
        <v>300</v>
      </c>
      <c r="N16" s="51">
        <f t="shared" si="10"/>
        <v>0</v>
      </c>
      <c r="O16" s="51"/>
      <c r="P16" s="51"/>
      <c r="Q16" s="51">
        <f t="shared" si="11"/>
        <v>300</v>
      </c>
      <c r="R16" s="51">
        <v>300</v>
      </c>
      <c r="S16" s="51"/>
      <c r="T16" s="50">
        <f t="shared" si="12"/>
        <v>300</v>
      </c>
      <c r="U16" s="51">
        <f t="shared" si="13"/>
        <v>0</v>
      </c>
      <c r="V16" s="51">
        <f t="shared" si="14"/>
        <v>300</v>
      </c>
      <c r="W16" s="51">
        <f t="shared" si="15"/>
        <v>0</v>
      </c>
      <c r="X16" s="51">
        <f t="shared" si="16"/>
        <v>0</v>
      </c>
      <c r="Y16" s="52"/>
      <c r="Z16" s="51"/>
      <c r="AA16" s="51">
        <f t="shared" si="17"/>
        <v>0</v>
      </c>
      <c r="AB16" s="51"/>
      <c r="AC16" s="51"/>
      <c r="AD16" s="51">
        <f t="shared" si="18"/>
        <v>300</v>
      </c>
      <c r="AE16" s="51">
        <f t="shared" si="19"/>
        <v>0</v>
      </c>
      <c r="AF16" s="51"/>
      <c r="AG16" s="51"/>
      <c r="AH16" s="51">
        <f t="shared" si="20"/>
        <v>300</v>
      </c>
      <c r="AI16" s="51">
        <v>300</v>
      </c>
      <c r="AJ16" s="51"/>
      <c r="AK16" s="350">
        <f t="shared" si="21"/>
        <v>1</v>
      </c>
      <c r="AL16" s="350"/>
      <c r="AM16" s="350">
        <f t="shared" si="1"/>
        <v>1</v>
      </c>
      <c r="AN16" s="350"/>
      <c r="AO16" s="350"/>
      <c r="AP16" s="350"/>
      <c r="AQ16" s="350"/>
      <c r="AR16" s="350"/>
      <c r="AS16" s="350"/>
      <c r="AT16" s="350"/>
      <c r="AU16" s="350">
        <f t="shared" si="1"/>
        <v>1</v>
      </c>
      <c r="AV16" s="350"/>
      <c r="AW16" s="350"/>
      <c r="AX16" s="350"/>
      <c r="AY16" s="350">
        <f t="shared" si="1"/>
        <v>1</v>
      </c>
      <c r="AZ16" s="350">
        <f t="shared" si="1"/>
        <v>1</v>
      </c>
      <c r="BA16" s="350"/>
    </row>
    <row r="17" spans="1:53">
      <c r="A17" s="48">
        <v>4</v>
      </c>
      <c r="B17" s="53" t="s">
        <v>492</v>
      </c>
      <c r="C17" s="50">
        <f t="shared" si="3"/>
        <v>4784</v>
      </c>
      <c r="D17" s="51">
        <f t="shared" si="4"/>
        <v>0</v>
      </c>
      <c r="E17" s="51">
        <f t="shared" si="5"/>
        <v>4784</v>
      </c>
      <c r="F17" s="51">
        <f t="shared" si="6"/>
        <v>1834</v>
      </c>
      <c r="G17" s="51">
        <f t="shared" si="7"/>
        <v>0</v>
      </c>
      <c r="H17" s="52"/>
      <c r="I17" s="51"/>
      <c r="J17" s="51">
        <f t="shared" si="8"/>
        <v>1834</v>
      </c>
      <c r="K17" s="51">
        <v>1834</v>
      </c>
      <c r="L17" s="51"/>
      <c r="M17" s="51">
        <f t="shared" si="9"/>
        <v>2950</v>
      </c>
      <c r="N17" s="51">
        <f t="shared" si="10"/>
        <v>0</v>
      </c>
      <c r="O17" s="51"/>
      <c r="P17" s="51"/>
      <c r="Q17" s="51">
        <f t="shared" si="11"/>
        <v>2950</v>
      </c>
      <c r="R17" s="51">
        <v>2950</v>
      </c>
      <c r="S17" s="51"/>
      <c r="T17" s="50">
        <f t="shared" si="12"/>
        <v>3815.7890000000002</v>
      </c>
      <c r="U17" s="51">
        <f t="shared" si="13"/>
        <v>0</v>
      </c>
      <c r="V17" s="51">
        <f t="shared" si="14"/>
        <v>3815.7890000000002</v>
      </c>
      <c r="W17" s="51">
        <f t="shared" si="15"/>
        <v>1739.56</v>
      </c>
      <c r="X17" s="51">
        <f t="shared" si="16"/>
        <v>0</v>
      </c>
      <c r="Y17" s="52"/>
      <c r="Z17" s="51"/>
      <c r="AA17" s="51">
        <f t="shared" si="17"/>
        <v>1739.56</v>
      </c>
      <c r="AB17" s="51">
        <v>1739.56</v>
      </c>
      <c r="AC17" s="51"/>
      <c r="AD17" s="51">
        <f t="shared" si="18"/>
        <v>2076.2290000000003</v>
      </c>
      <c r="AE17" s="51">
        <f t="shared" si="19"/>
        <v>0</v>
      </c>
      <c r="AF17" s="51"/>
      <c r="AG17" s="51"/>
      <c r="AH17" s="51">
        <f t="shared" si="20"/>
        <v>2076.2290000000003</v>
      </c>
      <c r="AI17" s="51">
        <v>2076.2290000000003</v>
      </c>
      <c r="AJ17" s="51"/>
      <c r="AK17" s="350">
        <f t="shared" si="21"/>
        <v>0.79761475752508371</v>
      </c>
      <c r="AL17" s="350"/>
      <c r="AM17" s="350">
        <f t="shared" si="1"/>
        <v>0.79761475752508371</v>
      </c>
      <c r="AN17" s="350">
        <f t="shared" si="1"/>
        <v>0.94850599781897493</v>
      </c>
      <c r="AO17" s="350"/>
      <c r="AP17" s="350"/>
      <c r="AQ17" s="350"/>
      <c r="AR17" s="350">
        <f t="shared" ref="AR17:AS34" si="22">AA17/J17</f>
        <v>0.94850599781897493</v>
      </c>
      <c r="AS17" s="350">
        <f t="shared" si="22"/>
        <v>0.94850599781897493</v>
      </c>
      <c r="AT17" s="350"/>
      <c r="AU17" s="350">
        <f t="shared" si="1"/>
        <v>0.70380644067796616</v>
      </c>
      <c r="AV17" s="350"/>
      <c r="AW17" s="350"/>
      <c r="AX17" s="350"/>
      <c r="AY17" s="350">
        <f t="shared" si="1"/>
        <v>0.70380644067796616</v>
      </c>
      <c r="AZ17" s="350">
        <f t="shared" si="1"/>
        <v>0.70380644067796616</v>
      </c>
      <c r="BA17" s="350"/>
    </row>
    <row r="18" spans="1:53">
      <c r="A18" s="48">
        <v>5</v>
      </c>
      <c r="B18" s="49" t="s">
        <v>493</v>
      </c>
      <c r="C18" s="50">
        <f t="shared" si="3"/>
        <v>300</v>
      </c>
      <c r="D18" s="51">
        <f t="shared" si="4"/>
        <v>0</v>
      </c>
      <c r="E18" s="51">
        <f t="shared" si="5"/>
        <v>300</v>
      </c>
      <c r="F18" s="51">
        <f t="shared" si="6"/>
        <v>0</v>
      </c>
      <c r="G18" s="51">
        <f t="shared" si="7"/>
        <v>0</v>
      </c>
      <c r="H18" s="52"/>
      <c r="I18" s="51"/>
      <c r="J18" s="51">
        <f t="shared" si="8"/>
        <v>0</v>
      </c>
      <c r="K18" s="51"/>
      <c r="L18" s="51"/>
      <c r="M18" s="51">
        <f t="shared" si="9"/>
        <v>300</v>
      </c>
      <c r="N18" s="51">
        <f t="shared" si="10"/>
        <v>0</v>
      </c>
      <c r="O18" s="51"/>
      <c r="P18" s="51"/>
      <c r="Q18" s="51">
        <f t="shared" si="11"/>
        <v>300</v>
      </c>
      <c r="R18" s="51">
        <v>300</v>
      </c>
      <c r="S18" s="51"/>
      <c r="T18" s="50">
        <f t="shared" si="12"/>
        <v>300</v>
      </c>
      <c r="U18" s="51">
        <f t="shared" si="13"/>
        <v>0</v>
      </c>
      <c r="V18" s="51">
        <f t="shared" si="14"/>
        <v>300</v>
      </c>
      <c r="W18" s="51">
        <f t="shared" si="15"/>
        <v>0</v>
      </c>
      <c r="X18" s="51">
        <f t="shared" si="16"/>
        <v>0</v>
      </c>
      <c r="Y18" s="52"/>
      <c r="Z18" s="51"/>
      <c r="AA18" s="51">
        <f t="shared" si="17"/>
        <v>0</v>
      </c>
      <c r="AB18" s="51"/>
      <c r="AC18" s="51"/>
      <c r="AD18" s="51">
        <f t="shared" si="18"/>
        <v>300</v>
      </c>
      <c r="AE18" s="51">
        <f t="shared" si="19"/>
        <v>0</v>
      </c>
      <c r="AF18" s="51"/>
      <c r="AG18" s="51"/>
      <c r="AH18" s="51">
        <f t="shared" si="20"/>
        <v>300</v>
      </c>
      <c r="AI18" s="51">
        <v>300</v>
      </c>
      <c r="AJ18" s="51"/>
      <c r="AK18" s="350">
        <f t="shared" si="21"/>
        <v>1</v>
      </c>
      <c r="AL18" s="350"/>
      <c r="AM18" s="350">
        <f t="shared" si="1"/>
        <v>1</v>
      </c>
      <c r="AN18" s="350"/>
      <c r="AO18" s="350"/>
      <c r="AP18" s="350"/>
      <c r="AQ18" s="350"/>
      <c r="AR18" s="350"/>
      <c r="AS18" s="350"/>
      <c r="AT18" s="350"/>
      <c r="AU18" s="350">
        <f t="shared" si="1"/>
        <v>1</v>
      </c>
      <c r="AV18" s="350"/>
      <c r="AW18" s="350"/>
      <c r="AX18" s="350"/>
      <c r="AY18" s="350">
        <f t="shared" si="1"/>
        <v>1</v>
      </c>
      <c r="AZ18" s="350">
        <f t="shared" si="1"/>
        <v>1</v>
      </c>
      <c r="BA18" s="350"/>
    </row>
    <row r="19" spans="1:53">
      <c r="A19" s="48">
        <v>6</v>
      </c>
      <c r="B19" s="49" t="s">
        <v>494</v>
      </c>
      <c r="C19" s="50">
        <f t="shared" si="3"/>
        <v>1231</v>
      </c>
      <c r="D19" s="51">
        <f t="shared" si="4"/>
        <v>0</v>
      </c>
      <c r="E19" s="51">
        <f t="shared" si="5"/>
        <v>1231</v>
      </c>
      <c r="F19" s="51">
        <f t="shared" si="6"/>
        <v>1031</v>
      </c>
      <c r="G19" s="51">
        <f t="shared" si="7"/>
        <v>0</v>
      </c>
      <c r="H19" s="52"/>
      <c r="I19" s="51"/>
      <c r="J19" s="51">
        <f t="shared" si="8"/>
        <v>1031</v>
      </c>
      <c r="K19" s="51">
        <v>1031</v>
      </c>
      <c r="L19" s="51"/>
      <c r="M19" s="51">
        <f t="shared" si="9"/>
        <v>200</v>
      </c>
      <c r="N19" s="51">
        <f t="shared" si="10"/>
        <v>0</v>
      </c>
      <c r="O19" s="51"/>
      <c r="P19" s="51"/>
      <c r="Q19" s="51">
        <f t="shared" si="11"/>
        <v>200</v>
      </c>
      <c r="R19" s="51">
        <v>200</v>
      </c>
      <c r="S19" s="51"/>
      <c r="T19" s="50">
        <f t="shared" si="12"/>
        <v>748</v>
      </c>
      <c r="U19" s="51">
        <f t="shared" si="13"/>
        <v>0</v>
      </c>
      <c r="V19" s="51">
        <f t="shared" si="14"/>
        <v>748</v>
      </c>
      <c r="W19" s="51">
        <f t="shared" si="15"/>
        <v>611</v>
      </c>
      <c r="X19" s="51">
        <f t="shared" si="16"/>
        <v>0</v>
      </c>
      <c r="Y19" s="52"/>
      <c r="Z19" s="51"/>
      <c r="AA19" s="51">
        <f t="shared" si="17"/>
        <v>611</v>
      </c>
      <c r="AB19" s="51">
        <v>611</v>
      </c>
      <c r="AC19" s="51"/>
      <c r="AD19" s="51">
        <f t="shared" si="18"/>
        <v>137</v>
      </c>
      <c r="AE19" s="51">
        <f t="shared" si="19"/>
        <v>0</v>
      </c>
      <c r="AF19" s="51"/>
      <c r="AG19" s="51"/>
      <c r="AH19" s="51">
        <f t="shared" si="20"/>
        <v>137</v>
      </c>
      <c r="AI19" s="51">
        <v>137</v>
      </c>
      <c r="AJ19" s="51"/>
      <c r="AK19" s="350">
        <f t="shared" si="21"/>
        <v>0.60763606823720551</v>
      </c>
      <c r="AL19" s="350"/>
      <c r="AM19" s="350">
        <f t="shared" si="1"/>
        <v>0.60763606823720551</v>
      </c>
      <c r="AN19" s="350">
        <f t="shared" si="1"/>
        <v>0.59262851600387978</v>
      </c>
      <c r="AO19" s="350"/>
      <c r="AP19" s="350"/>
      <c r="AQ19" s="350"/>
      <c r="AR19" s="350">
        <f t="shared" si="22"/>
        <v>0.59262851600387978</v>
      </c>
      <c r="AS19" s="350">
        <f t="shared" si="22"/>
        <v>0.59262851600387978</v>
      </c>
      <c r="AT19" s="350"/>
      <c r="AU19" s="350">
        <f t="shared" si="1"/>
        <v>0.68500000000000005</v>
      </c>
      <c r="AV19" s="350"/>
      <c r="AW19" s="350"/>
      <c r="AX19" s="350"/>
      <c r="AY19" s="350">
        <f t="shared" si="1"/>
        <v>0.68500000000000005</v>
      </c>
      <c r="AZ19" s="350">
        <f t="shared" si="1"/>
        <v>0.68500000000000005</v>
      </c>
      <c r="BA19" s="350"/>
    </row>
    <row r="20" spans="1:53">
      <c r="A20" s="48">
        <v>7</v>
      </c>
      <c r="B20" s="49" t="s">
        <v>495</v>
      </c>
      <c r="C20" s="50">
        <f t="shared" si="3"/>
        <v>200</v>
      </c>
      <c r="D20" s="51">
        <f t="shared" si="4"/>
        <v>0</v>
      </c>
      <c r="E20" s="51">
        <f t="shared" si="5"/>
        <v>200</v>
      </c>
      <c r="F20" s="51">
        <f t="shared" si="6"/>
        <v>0</v>
      </c>
      <c r="G20" s="51">
        <f t="shared" si="7"/>
        <v>0</v>
      </c>
      <c r="H20" s="52"/>
      <c r="I20" s="51"/>
      <c r="J20" s="51">
        <f t="shared" si="8"/>
        <v>0</v>
      </c>
      <c r="K20" s="51"/>
      <c r="L20" s="51"/>
      <c r="M20" s="51">
        <f t="shared" si="9"/>
        <v>200</v>
      </c>
      <c r="N20" s="51">
        <f t="shared" si="10"/>
        <v>0</v>
      </c>
      <c r="O20" s="51"/>
      <c r="P20" s="51"/>
      <c r="Q20" s="51">
        <f t="shared" si="11"/>
        <v>200</v>
      </c>
      <c r="R20" s="51">
        <v>200</v>
      </c>
      <c r="S20" s="51"/>
      <c r="T20" s="50">
        <f t="shared" si="12"/>
        <v>200</v>
      </c>
      <c r="U20" s="51">
        <f t="shared" si="13"/>
        <v>0</v>
      </c>
      <c r="V20" s="51">
        <f t="shared" si="14"/>
        <v>200</v>
      </c>
      <c r="W20" s="51">
        <f t="shared" si="15"/>
        <v>0</v>
      </c>
      <c r="X20" s="51">
        <f t="shared" si="16"/>
        <v>0</v>
      </c>
      <c r="Y20" s="52"/>
      <c r="Z20" s="51"/>
      <c r="AA20" s="51">
        <f t="shared" si="17"/>
        <v>0</v>
      </c>
      <c r="AB20" s="51"/>
      <c r="AC20" s="51"/>
      <c r="AD20" s="51">
        <f t="shared" si="18"/>
        <v>200</v>
      </c>
      <c r="AE20" s="51">
        <f t="shared" si="19"/>
        <v>0</v>
      </c>
      <c r="AF20" s="51"/>
      <c r="AG20" s="51"/>
      <c r="AH20" s="51">
        <f t="shared" si="20"/>
        <v>200</v>
      </c>
      <c r="AI20" s="51">
        <v>200</v>
      </c>
      <c r="AJ20" s="51"/>
      <c r="AK20" s="350">
        <f t="shared" si="21"/>
        <v>1</v>
      </c>
      <c r="AL20" s="350"/>
      <c r="AM20" s="350">
        <f t="shared" si="1"/>
        <v>1</v>
      </c>
      <c r="AN20" s="350"/>
      <c r="AO20" s="350"/>
      <c r="AP20" s="350"/>
      <c r="AQ20" s="350"/>
      <c r="AR20" s="350"/>
      <c r="AS20" s="350"/>
      <c r="AT20" s="350"/>
      <c r="AU20" s="350">
        <f t="shared" si="1"/>
        <v>1</v>
      </c>
      <c r="AV20" s="350"/>
      <c r="AW20" s="350"/>
      <c r="AX20" s="350"/>
      <c r="AY20" s="350">
        <f t="shared" si="1"/>
        <v>1</v>
      </c>
      <c r="AZ20" s="350">
        <f t="shared" si="1"/>
        <v>1</v>
      </c>
      <c r="BA20" s="350"/>
    </row>
    <row r="21" spans="1:53">
      <c r="A21" s="48">
        <v>8</v>
      </c>
      <c r="B21" s="49" t="s">
        <v>496</v>
      </c>
      <c r="C21" s="50">
        <f t="shared" si="3"/>
        <v>300</v>
      </c>
      <c r="D21" s="51">
        <f t="shared" si="4"/>
        <v>0</v>
      </c>
      <c r="E21" s="51">
        <f t="shared" si="5"/>
        <v>300</v>
      </c>
      <c r="F21" s="51">
        <f t="shared" si="6"/>
        <v>0</v>
      </c>
      <c r="G21" s="51">
        <f t="shared" si="7"/>
        <v>0</v>
      </c>
      <c r="H21" s="52"/>
      <c r="I21" s="51"/>
      <c r="J21" s="51">
        <f t="shared" si="8"/>
        <v>0</v>
      </c>
      <c r="K21" s="51"/>
      <c r="L21" s="51"/>
      <c r="M21" s="51">
        <f t="shared" si="9"/>
        <v>300</v>
      </c>
      <c r="N21" s="51">
        <f t="shared" si="10"/>
        <v>0</v>
      </c>
      <c r="O21" s="51"/>
      <c r="P21" s="51"/>
      <c r="Q21" s="51">
        <f t="shared" si="11"/>
        <v>300</v>
      </c>
      <c r="R21" s="51">
        <v>300</v>
      </c>
      <c r="S21" s="51"/>
      <c r="T21" s="50">
        <f t="shared" si="12"/>
        <v>300</v>
      </c>
      <c r="U21" s="51">
        <f t="shared" si="13"/>
        <v>0</v>
      </c>
      <c r="V21" s="51">
        <f t="shared" si="14"/>
        <v>300</v>
      </c>
      <c r="W21" s="51">
        <f t="shared" si="15"/>
        <v>0</v>
      </c>
      <c r="X21" s="51">
        <f t="shared" si="16"/>
        <v>0</v>
      </c>
      <c r="Y21" s="52"/>
      <c r="Z21" s="51"/>
      <c r="AA21" s="51">
        <f t="shared" si="17"/>
        <v>0</v>
      </c>
      <c r="AB21" s="51"/>
      <c r="AC21" s="51"/>
      <c r="AD21" s="51">
        <f t="shared" si="18"/>
        <v>300</v>
      </c>
      <c r="AE21" s="51">
        <f t="shared" si="19"/>
        <v>0</v>
      </c>
      <c r="AF21" s="51"/>
      <c r="AG21" s="51"/>
      <c r="AH21" s="51">
        <f t="shared" si="20"/>
        <v>300</v>
      </c>
      <c r="AI21" s="51">
        <v>300</v>
      </c>
      <c r="AJ21" s="51"/>
      <c r="AK21" s="350">
        <f t="shared" si="21"/>
        <v>1</v>
      </c>
      <c r="AL21" s="350"/>
      <c r="AM21" s="350">
        <f t="shared" si="1"/>
        <v>1</v>
      </c>
      <c r="AN21" s="350"/>
      <c r="AO21" s="350"/>
      <c r="AP21" s="350"/>
      <c r="AQ21" s="350"/>
      <c r="AR21" s="350"/>
      <c r="AS21" s="350"/>
      <c r="AT21" s="350"/>
      <c r="AU21" s="350">
        <f t="shared" si="1"/>
        <v>1</v>
      </c>
      <c r="AV21" s="350"/>
      <c r="AW21" s="350"/>
      <c r="AX21" s="350"/>
      <c r="AY21" s="350">
        <f t="shared" si="1"/>
        <v>1</v>
      </c>
      <c r="AZ21" s="350">
        <f t="shared" si="1"/>
        <v>1</v>
      </c>
      <c r="BA21" s="350"/>
    </row>
    <row r="22" spans="1:53">
      <c r="A22" s="48">
        <v>9</v>
      </c>
      <c r="B22" s="49" t="s">
        <v>497</v>
      </c>
      <c r="C22" s="50">
        <f t="shared" si="3"/>
        <v>3134</v>
      </c>
      <c r="D22" s="51">
        <f t="shared" si="4"/>
        <v>0</v>
      </c>
      <c r="E22" s="51">
        <f t="shared" si="5"/>
        <v>3134</v>
      </c>
      <c r="F22" s="51">
        <f t="shared" si="6"/>
        <v>3134</v>
      </c>
      <c r="G22" s="51">
        <f t="shared" si="7"/>
        <v>0</v>
      </c>
      <c r="H22" s="52"/>
      <c r="I22" s="51"/>
      <c r="J22" s="51">
        <f t="shared" si="8"/>
        <v>3134</v>
      </c>
      <c r="K22" s="51">
        <v>3134</v>
      </c>
      <c r="L22" s="51"/>
      <c r="M22" s="51">
        <f t="shared" si="9"/>
        <v>0</v>
      </c>
      <c r="N22" s="51">
        <f t="shared" si="10"/>
        <v>0</v>
      </c>
      <c r="O22" s="51"/>
      <c r="P22" s="51"/>
      <c r="Q22" s="51">
        <f t="shared" si="11"/>
        <v>0</v>
      </c>
      <c r="R22" s="51"/>
      <c r="S22" s="51"/>
      <c r="T22" s="50">
        <f t="shared" si="12"/>
        <v>2985.2770770000002</v>
      </c>
      <c r="U22" s="51">
        <f t="shared" si="13"/>
        <v>0</v>
      </c>
      <c r="V22" s="51">
        <f t="shared" si="14"/>
        <v>2985.2770770000002</v>
      </c>
      <c r="W22" s="51">
        <f t="shared" si="15"/>
        <v>2985.2770770000002</v>
      </c>
      <c r="X22" s="51">
        <f t="shared" si="16"/>
        <v>0</v>
      </c>
      <c r="Y22" s="52"/>
      <c r="Z22" s="51"/>
      <c r="AA22" s="51">
        <f t="shared" si="17"/>
        <v>2985.2770770000002</v>
      </c>
      <c r="AB22" s="51">
        <v>2985.2770770000002</v>
      </c>
      <c r="AC22" s="51"/>
      <c r="AD22" s="51">
        <f t="shared" si="18"/>
        <v>0</v>
      </c>
      <c r="AE22" s="51">
        <f t="shared" si="19"/>
        <v>0</v>
      </c>
      <c r="AF22" s="51"/>
      <c r="AG22" s="51"/>
      <c r="AH22" s="51">
        <f t="shared" si="20"/>
        <v>0</v>
      </c>
      <c r="AI22" s="51"/>
      <c r="AJ22" s="51"/>
      <c r="AK22" s="350">
        <f t="shared" si="21"/>
        <v>0.9525453340778558</v>
      </c>
      <c r="AL22" s="350"/>
      <c r="AM22" s="350">
        <f t="shared" si="1"/>
        <v>0.9525453340778558</v>
      </c>
      <c r="AN22" s="350">
        <f t="shared" si="1"/>
        <v>0.9525453340778558</v>
      </c>
      <c r="AO22" s="350"/>
      <c r="AP22" s="350"/>
      <c r="AQ22" s="350"/>
      <c r="AR22" s="350">
        <f t="shared" si="22"/>
        <v>0.9525453340778558</v>
      </c>
      <c r="AS22" s="350">
        <f t="shared" si="22"/>
        <v>0.9525453340778558</v>
      </c>
      <c r="AT22" s="350"/>
      <c r="AU22" s="350"/>
      <c r="AV22" s="350"/>
      <c r="AW22" s="350"/>
      <c r="AX22" s="350"/>
      <c r="AY22" s="350"/>
      <c r="AZ22" s="350"/>
      <c r="BA22" s="350"/>
    </row>
    <row r="23" spans="1:53">
      <c r="A23" s="48">
        <v>10</v>
      </c>
      <c r="B23" s="49" t="s">
        <v>498</v>
      </c>
      <c r="C23" s="50">
        <f t="shared" si="3"/>
        <v>2699</v>
      </c>
      <c r="D23" s="51">
        <f t="shared" si="4"/>
        <v>0</v>
      </c>
      <c r="E23" s="51">
        <f t="shared" si="5"/>
        <v>2699</v>
      </c>
      <c r="F23" s="51">
        <f t="shared" si="6"/>
        <v>2699</v>
      </c>
      <c r="G23" s="51">
        <f t="shared" si="7"/>
        <v>0</v>
      </c>
      <c r="H23" s="52"/>
      <c r="I23" s="51"/>
      <c r="J23" s="51">
        <f t="shared" si="8"/>
        <v>2699</v>
      </c>
      <c r="K23" s="51">
        <v>2699</v>
      </c>
      <c r="L23" s="51"/>
      <c r="M23" s="51">
        <f t="shared" si="9"/>
        <v>0</v>
      </c>
      <c r="N23" s="51">
        <f t="shared" si="10"/>
        <v>0</v>
      </c>
      <c r="O23" s="51"/>
      <c r="P23" s="51"/>
      <c r="Q23" s="51">
        <f t="shared" si="11"/>
        <v>0</v>
      </c>
      <c r="R23" s="51"/>
      <c r="S23" s="51"/>
      <c r="T23" s="50">
        <f t="shared" si="12"/>
        <v>2699</v>
      </c>
      <c r="U23" s="51">
        <f t="shared" si="13"/>
        <v>0</v>
      </c>
      <c r="V23" s="51">
        <f t="shared" si="14"/>
        <v>2699</v>
      </c>
      <c r="W23" s="51">
        <f t="shared" si="15"/>
        <v>2699</v>
      </c>
      <c r="X23" s="51">
        <f t="shared" si="16"/>
        <v>0</v>
      </c>
      <c r="Y23" s="52"/>
      <c r="Z23" s="51"/>
      <c r="AA23" s="51">
        <f t="shared" si="17"/>
        <v>2699</v>
      </c>
      <c r="AB23" s="51">
        <v>2699</v>
      </c>
      <c r="AC23" s="51"/>
      <c r="AD23" s="51">
        <f t="shared" si="18"/>
        <v>0</v>
      </c>
      <c r="AE23" s="51">
        <f t="shared" si="19"/>
        <v>0</v>
      </c>
      <c r="AF23" s="51"/>
      <c r="AG23" s="51"/>
      <c r="AH23" s="51">
        <f t="shared" si="20"/>
        <v>0</v>
      </c>
      <c r="AI23" s="51"/>
      <c r="AJ23" s="51"/>
      <c r="AK23" s="350">
        <f t="shared" si="21"/>
        <v>1</v>
      </c>
      <c r="AL23" s="350"/>
      <c r="AM23" s="350">
        <f t="shared" si="1"/>
        <v>1</v>
      </c>
      <c r="AN23" s="350">
        <f t="shared" si="1"/>
        <v>1</v>
      </c>
      <c r="AO23" s="350"/>
      <c r="AP23" s="350"/>
      <c r="AQ23" s="350"/>
      <c r="AR23" s="350">
        <f t="shared" si="22"/>
        <v>1</v>
      </c>
      <c r="AS23" s="350">
        <f t="shared" si="22"/>
        <v>1</v>
      </c>
      <c r="AT23" s="350"/>
      <c r="AU23" s="350"/>
      <c r="AV23" s="350"/>
      <c r="AW23" s="350"/>
      <c r="AX23" s="350"/>
      <c r="AY23" s="350"/>
      <c r="AZ23" s="350"/>
      <c r="BA23" s="350"/>
    </row>
    <row r="24" spans="1:53">
      <c r="A24" s="48">
        <v>11</v>
      </c>
      <c r="B24" s="53" t="s">
        <v>349</v>
      </c>
      <c r="C24" s="50">
        <f t="shared" si="3"/>
        <v>21900</v>
      </c>
      <c r="D24" s="51">
        <f t="shared" si="4"/>
        <v>21900</v>
      </c>
      <c r="E24" s="51">
        <f t="shared" si="5"/>
        <v>0</v>
      </c>
      <c r="F24" s="51">
        <f t="shared" si="6"/>
        <v>0</v>
      </c>
      <c r="G24" s="51">
        <f t="shared" si="7"/>
        <v>0</v>
      </c>
      <c r="H24" s="52"/>
      <c r="I24" s="48"/>
      <c r="J24" s="51">
        <f t="shared" si="8"/>
        <v>0</v>
      </c>
      <c r="K24" s="48"/>
      <c r="L24" s="48"/>
      <c r="M24" s="51">
        <f t="shared" si="9"/>
        <v>21900</v>
      </c>
      <c r="N24" s="51">
        <f t="shared" si="10"/>
        <v>21900</v>
      </c>
      <c r="O24" s="51">
        <f>21900</f>
        <v>21900</v>
      </c>
      <c r="P24" s="48"/>
      <c r="Q24" s="51">
        <f t="shared" si="11"/>
        <v>0</v>
      </c>
      <c r="R24" s="48"/>
      <c r="S24" s="48"/>
      <c r="T24" s="50">
        <f t="shared" si="12"/>
        <v>0</v>
      </c>
      <c r="U24" s="51">
        <f t="shared" si="13"/>
        <v>0</v>
      </c>
      <c r="V24" s="51">
        <f t="shared" si="14"/>
        <v>0</v>
      </c>
      <c r="W24" s="51">
        <f t="shared" si="15"/>
        <v>0</v>
      </c>
      <c r="X24" s="51">
        <f t="shared" si="16"/>
        <v>0</v>
      </c>
      <c r="Y24" s="52"/>
      <c r="Z24" s="48"/>
      <c r="AA24" s="51">
        <f t="shared" si="17"/>
        <v>0</v>
      </c>
      <c r="AB24" s="48"/>
      <c r="AC24" s="48"/>
      <c r="AD24" s="51">
        <f t="shared" si="18"/>
        <v>0</v>
      </c>
      <c r="AE24" s="51">
        <f t="shared" si="19"/>
        <v>0</v>
      </c>
      <c r="AF24" s="51"/>
      <c r="AG24" s="48"/>
      <c r="AH24" s="51">
        <f t="shared" si="20"/>
        <v>0</v>
      </c>
      <c r="AI24" s="48"/>
      <c r="AJ24" s="48"/>
      <c r="AK24" s="350"/>
      <c r="AL24" s="350"/>
      <c r="AM24" s="350"/>
      <c r="AN24" s="350"/>
      <c r="AO24" s="350"/>
      <c r="AP24" s="350"/>
      <c r="AQ24" s="350"/>
      <c r="AR24" s="350"/>
      <c r="AS24" s="350"/>
      <c r="AT24" s="350"/>
      <c r="AU24" s="350"/>
      <c r="AV24" s="350"/>
      <c r="AW24" s="350"/>
      <c r="AX24" s="350"/>
      <c r="AY24" s="350"/>
      <c r="AZ24" s="350"/>
      <c r="BA24" s="350"/>
    </row>
    <row r="25" spans="1:53" hidden="1">
      <c r="A25" s="48">
        <v>12</v>
      </c>
      <c r="B25" s="53" t="s">
        <v>345</v>
      </c>
      <c r="C25" s="55">
        <f t="shared" si="3"/>
        <v>0</v>
      </c>
      <c r="D25" s="51">
        <f t="shared" si="4"/>
        <v>0</v>
      </c>
      <c r="E25" s="51">
        <f t="shared" si="5"/>
        <v>0</v>
      </c>
      <c r="F25" s="56">
        <f t="shared" si="6"/>
        <v>0</v>
      </c>
      <c r="G25" s="56">
        <f t="shared" si="7"/>
        <v>0</v>
      </c>
      <c r="H25" s="56">
        <f>26104-26104</f>
        <v>0</v>
      </c>
      <c r="I25" s="58"/>
      <c r="J25" s="56">
        <f t="shared" si="8"/>
        <v>0</v>
      </c>
      <c r="K25" s="58"/>
      <c r="L25" s="58"/>
      <c r="M25" s="56">
        <f t="shared" si="9"/>
        <v>0</v>
      </c>
      <c r="N25" s="56">
        <f t="shared" si="10"/>
        <v>0</v>
      </c>
      <c r="O25" s="56"/>
      <c r="P25" s="58"/>
      <c r="Q25" s="56">
        <f t="shared" si="11"/>
        <v>0</v>
      </c>
      <c r="R25" s="58"/>
      <c r="S25" s="58"/>
      <c r="T25" s="55">
        <f t="shared" si="12"/>
        <v>0</v>
      </c>
      <c r="U25" s="51">
        <f t="shared" si="13"/>
        <v>0</v>
      </c>
      <c r="V25" s="51">
        <f t="shared" si="14"/>
        <v>0</v>
      </c>
      <c r="W25" s="56">
        <f t="shared" si="15"/>
        <v>0</v>
      </c>
      <c r="X25" s="56">
        <f t="shared" si="16"/>
        <v>0</v>
      </c>
      <c r="Y25" s="56">
        <f>24119.337-24119.337</f>
        <v>0</v>
      </c>
      <c r="Z25" s="58"/>
      <c r="AA25" s="56">
        <f t="shared" si="17"/>
        <v>0</v>
      </c>
      <c r="AB25" s="58"/>
      <c r="AC25" s="58"/>
      <c r="AD25" s="56">
        <f t="shared" si="18"/>
        <v>0</v>
      </c>
      <c r="AE25" s="56">
        <f t="shared" si="19"/>
        <v>0</v>
      </c>
      <c r="AF25" s="57"/>
      <c r="AG25" s="58"/>
      <c r="AH25" s="56">
        <f t="shared" si="20"/>
        <v>0</v>
      </c>
      <c r="AI25" s="58"/>
      <c r="AJ25" s="58"/>
      <c r="AK25" s="350"/>
      <c r="AL25" s="350"/>
      <c r="AM25" s="350"/>
      <c r="AN25" s="350"/>
      <c r="AO25" s="350"/>
      <c r="AP25" s="350"/>
      <c r="AQ25" s="350"/>
      <c r="AR25" s="350"/>
      <c r="AS25" s="350"/>
      <c r="AT25" s="350"/>
      <c r="AU25" s="350"/>
      <c r="AV25" s="350"/>
      <c r="AW25" s="350"/>
      <c r="AX25" s="350"/>
      <c r="AY25" s="350"/>
      <c r="AZ25" s="350"/>
      <c r="BA25" s="350"/>
    </row>
    <row r="26" spans="1:53" hidden="1">
      <c r="A26" s="48">
        <v>13</v>
      </c>
      <c r="B26" s="53" t="s">
        <v>344</v>
      </c>
      <c r="C26" s="55">
        <f t="shared" si="3"/>
        <v>0</v>
      </c>
      <c r="D26" s="51">
        <f t="shared" si="4"/>
        <v>0</v>
      </c>
      <c r="E26" s="51">
        <f t="shared" si="5"/>
        <v>0</v>
      </c>
      <c r="F26" s="56">
        <f t="shared" si="6"/>
        <v>0</v>
      </c>
      <c r="G26" s="56">
        <f t="shared" si="7"/>
        <v>0</v>
      </c>
      <c r="H26" s="56">
        <f>19854-19854</f>
        <v>0</v>
      </c>
      <c r="I26" s="58"/>
      <c r="J26" s="56">
        <f t="shared" si="8"/>
        <v>0</v>
      </c>
      <c r="K26" s="58"/>
      <c r="L26" s="58"/>
      <c r="M26" s="56">
        <f t="shared" si="9"/>
        <v>0</v>
      </c>
      <c r="N26" s="56">
        <f t="shared" si="10"/>
        <v>0</v>
      </c>
      <c r="O26" s="56"/>
      <c r="P26" s="58"/>
      <c r="Q26" s="56">
        <f t="shared" si="11"/>
        <v>0</v>
      </c>
      <c r="R26" s="58"/>
      <c r="S26" s="58"/>
      <c r="T26" s="55">
        <f t="shared" si="12"/>
        <v>0</v>
      </c>
      <c r="U26" s="51">
        <f t="shared" si="13"/>
        <v>0</v>
      </c>
      <c r="V26" s="51">
        <f t="shared" si="14"/>
        <v>0</v>
      </c>
      <c r="W26" s="56">
        <f t="shared" si="15"/>
        <v>0</v>
      </c>
      <c r="X26" s="56">
        <f t="shared" si="16"/>
        <v>0</v>
      </c>
      <c r="Y26" s="56">
        <f>22254.785-22254.785</f>
        <v>0</v>
      </c>
      <c r="Z26" s="58"/>
      <c r="AA26" s="56">
        <f t="shared" si="17"/>
        <v>0</v>
      </c>
      <c r="AB26" s="58"/>
      <c r="AC26" s="58"/>
      <c r="AD26" s="56">
        <f t="shared" si="18"/>
        <v>0</v>
      </c>
      <c r="AE26" s="56">
        <f t="shared" si="19"/>
        <v>0</v>
      </c>
      <c r="AF26" s="57"/>
      <c r="AG26" s="58"/>
      <c r="AH26" s="56">
        <f t="shared" si="20"/>
        <v>0</v>
      </c>
      <c r="AI26" s="58"/>
      <c r="AJ26" s="58"/>
      <c r="AK26" s="350"/>
      <c r="AL26" s="350"/>
      <c r="AM26" s="350"/>
      <c r="AN26" s="350"/>
      <c r="AO26" s="350"/>
      <c r="AP26" s="350"/>
      <c r="AQ26" s="350"/>
      <c r="AR26" s="350"/>
      <c r="AS26" s="350"/>
      <c r="AT26" s="350"/>
      <c r="AU26" s="350"/>
      <c r="AV26" s="350"/>
      <c r="AW26" s="350"/>
      <c r="AX26" s="350"/>
      <c r="AY26" s="350"/>
      <c r="AZ26" s="350"/>
      <c r="BA26" s="350"/>
    </row>
    <row r="27" spans="1:53" hidden="1">
      <c r="A27" s="77">
        <v>14</v>
      </c>
      <c r="B27" s="49" t="s">
        <v>343</v>
      </c>
      <c r="C27" s="78">
        <f t="shared" si="3"/>
        <v>0</v>
      </c>
      <c r="D27" s="79">
        <f t="shared" si="4"/>
        <v>0</v>
      </c>
      <c r="E27" s="79">
        <f t="shared" si="5"/>
        <v>0</v>
      </c>
      <c r="F27" s="58">
        <f t="shared" si="6"/>
        <v>0</v>
      </c>
      <c r="G27" s="58">
        <f t="shared" si="7"/>
        <v>0</v>
      </c>
      <c r="H27" s="56">
        <f>32049-32049</f>
        <v>0</v>
      </c>
      <c r="I27" s="58"/>
      <c r="J27" s="58">
        <f t="shared" si="8"/>
        <v>0</v>
      </c>
      <c r="K27" s="58"/>
      <c r="L27" s="58"/>
      <c r="M27" s="58">
        <f t="shared" si="9"/>
        <v>0</v>
      </c>
      <c r="N27" s="58">
        <f t="shared" si="10"/>
        <v>0</v>
      </c>
      <c r="O27" s="58"/>
      <c r="P27" s="58"/>
      <c r="Q27" s="58">
        <f t="shared" si="11"/>
        <v>0</v>
      </c>
      <c r="R27" s="58"/>
      <c r="S27" s="58"/>
      <c r="T27" s="78">
        <f t="shared" si="12"/>
        <v>0</v>
      </c>
      <c r="U27" s="79">
        <f t="shared" si="13"/>
        <v>0</v>
      </c>
      <c r="V27" s="79">
        <f t="shared" si="14"/>
        <v>0</v>
      </c>
      <c r="W27" s="58">
        <f t="shared" si="15"/>
        <v>0</v>
      </c>
      <c r="X27" s="58">
        <f t="shared" si="16"/>
        <v>0</v>
      </c>
      <c r="Y27" s="58">
        <f>18418.828243-18418.828243</f>
        <v>0</v>
      </c>
      <c r="Z27" s="58"/>
      <c r="AA27" s="58">
        <f t="shared" si="17"/>
        <v>0</v>
      </c>
      <c r="AB27" s="58"/>
      <c r="AC27" s="58"/>
      <c r="AD27" s="58">
        <f t="shared" si="18"/>
        <v>0</v>
      </c>
      <c r="AE27" s="58">
        <f t="shared" si="19"/>
        <v>0</v>
      </c>
      <c r="AF27" s="80"/>
      <c r="AG27" s="58"/>
      <c r="AH27" s="58">
        <f t="shared" si="20"/>
        <v>0</v>
      </c>
      <c r="AI27" s="58"/>
      <c r="AJ27" s="58"/>
      <c r="AK27" s="351"/>
      <c r="AL27" s="351"/>
      <c r="AM27" s="351"/>
      <c r="AN27" s="351"/>
      <c r="AO27" s="351"/>
      <c r="AP27" s="351"/>
      <c r="AQ27" s="351"/>
      <c r="AR27" s="351"/>
      <c r="AS27" s="351"/>
      <c r="AT27" s="351"/>
      <c r="AU27" s="351"/>
      <c r="AV27" s="351"/>
      <c r="AW27" s="351"/>
      <c r="AX27" s="351"/>
      <c r="AY27" s="351"/>
      <c r="AZ27" s="351"/>
      <c r="BA27" s="351"/>
    </row>
    <row r="28" spans="1:53" hidden="1">
      <c r="A28" s="48">
        <v>15</v>
      </c>
      <c r="B28" s="53" t="s">
        <v>504</v>
      </c>
      <c r="C28" s="78">
        <f t="shared" si="3"/>
        <v>0</v>
      </c>
      <c r="D28" s="79">
        <f t="shared" si="4"/>
        <v>0</v>
      </c>
      <c r="E28" s="79">
        <f t="shared" si="5"/>
        <v>0</v>
      </c>
      <c r="F28" s="58">
        <f t="shared" si="6"/>
        <v>0</v>
      </c>
      <c r="G28" s="58">
        <f t="shared" si="7"/>
        <v>0</v>
      </c>
      <c r="H28" s="58">
        <f>13841-13841</f>
        <v>0</v>
      </c>
      <c r="I28" s="58"/>
      <c r="J28" s="58">
        <f t="shared" si="8"/>
        <v>0</v>
      </c>
      <c r="K28" s="58"/>
      <c r="L28" s="58"/>
      <c r="M28" s="58">
        <f t="shared" si="9"/>
        <v>0</v>
      </c>
      <c r="N28" s="58">
        <f t="shared" si="10"/>
        <v>0</v>
      </c>
      <c r="O28" s="58"/>
      <c r="P28" s="58"/>
      <c r="Q28" s="58">
        <f t="shared" si="11"/>
        <v>0</v>
      </c>
      <c r="R28" s="58"/>
      <c r="S28" s="58"/>
      <c r="T28" s="78">
        <f t="shared" si="12"/>
        <v>0</v>
      </c>
      <c r="U28" s="79">
        <f t="shared" si="13"/>
        <v>0</v>
      </c>
      <c r="V28" s="79">
        <f t="shared" si="14"/>
        <v>0</v>
      </c>
      <c r="W28" s="58">
        <f t="shared" si="15"/>
        <v>0</v>
      </c>
      <c r="X28" s="58">
        <f t="shared" si="16"/>
        <v>0</v>
      </c>
      <c r="Y28" s="58">
        <f>124.683-124.683</f>
        <v>0</v>
      </c>
      <c r="Z28" s="58"/>
      <c r="AA28" s="58">
        <f t="shared" si="17"/>
        <v>0</v>
      </c>
      <c r="AB28" s="58"/>
      <c r="AC28" s="58"/>
      <c r="AD28" s="58">
        <f t="shared" si="18"/>
        <v>0</v>
      </c>
      <c r="AE28" s="58">
        <f t="shared" si="19"/>
        <v>0</v>
      </c>
      <c r="AF28" s="80"/>
      <c r="AG28" s="58"/>
      <c r="AH28" s="58">
        <f t="shared" si="20"/>
        <v>0</v>
      </c>
      <c r="AI28" s="58"/>
      <c r="AJ28" s="58"/>
      <c r="AK28" s="351"/>
      <c r="AL28" s="351"/>
      <c r="AM28" s="351"/>
      <c r="AN28" s="351"/>
      <c r="AO28" s="351"/>
      <c r="AP28" s="351"/>
      <c r="AQ28" s="351"/>
      <c r="AR28" s="351"/>
      <c r="AS28" s="351"/>
      <c r="AT28" s="351"/>
      <c r="AU28" s="351"/>
      <c r="AV28" s="351"/>
      <c r="AW28" s="351"/>
      <c r="AX28" s="351"/>
      <c r="AY28" s="351"/>
      <c r="AZ28" s="351"/>
      <c r="BA28" s="351"/>
    </row>
    <row r="29" spans="1:53" hidden="1">
      <c r="A29" s="48">
        <v>16</v>
      </c>
      <c r="B29" s="53" t="s">
        <v>505</v>
      </c>
      <c r="C29" s="78">
        <f t="shared" si="3"/>
        <v>0</v>
      </c>
      <c r="D29" s="79">
        <f t="shared" si="4"/>
        <v>0</v>
      </c>
      <c r="E29" s="79">
        <f t="shared" si="5"/>
        <v>0</v>
      </c>
      <c r="F29" s="58">
        <f t="shared" si="6"/>
        <v>0</v>
      </c>
      <c r="G29" s="58">
        <f t="shared" si="7"/>
        <v>0</v>
      </c>
      <c r="H29" s="58">
        <f>14400-14400</f>
        <v>0</v>
      </c>
      <c r="I29" s="58"/>
      <c r="J29" s="58">
        <f t="shared" si="8"/>
        <v>0</v>
      </c>
      <c r="K29" s="58"/>
      <c r="L29" s="58"/>
      <c r="M29" s="58">
        <f t="shared" si="9"/>
        <v>0</v>
      </c>
      <c r="N29" s="58">
        <f t="shared" si="10"/>
        <v>0</v>
      </c>
      <c r="O29" s="58"/>
      <c r="P29" s="58"/>
      <c r="Q29" s="58">
        <f t="shared" si="11"/>
        <v>0</v>
      </c>
      <c r="R29" s="58"/>
      <c r="S29" s="58"/>
      <c r="T29" s="78">
        <f t="shared" si="12"/>
        <v>0</v>
      </c>
      <c r="U29" s="79">
        <f t="shared" si="13"/>
        <v>0</v>
      </c>
      <c r="V29" s="79">
        <f t="shared" si="14"/>
        <v>0</v>
      </c>
      <c r="W29" s="58">
        <f t="shared" si="15"/>
        <v>0</v>
      </c>
      <c r="X29" s="58">
        <f t="shared" si="16"/>
        <v>0</v>
      </c>
      <c r="Y29" s="58">
        <f>223.233-223.233</f>
        <v>0</v>
      </c>
      <c r="Z29" s="58"/>
      <c r="AA29" s="58">
        <f t="shared" si="17"/>
        <v>0</v>
      </c>
      <c r="AB29" s="58"/>
      <c r="AC29" s="58"/>
      <c r="AD29" s="58">
        <f t="shared" si="18"/>
        <v>0</v>
      </c>
      <c r="AE29" s="58">
        <f t="shared" si="19"/>
        <v>0</v>
      </c>
      <c r="AF29" s="80"/>
      <c r="AG29" s="58"/>
      <c r="AH29" s="58">
        <f t="shared" si="20"/>
        <v>0</v>
      </c>
      <c r="AI29" s="58"/>
      <c r="AJ29" s="58"/>
      <c r="AK29" s="351"/>
      <c r="AL29" s="351"/>
      <c r="AM29" s="351"/>
      <c r="AN29" s="351"/>
      <c r="AO29" s="351"/>
      <c r="AP29" s="351"/>
      <c r="AQ29" s="351"/>
      <c r="AR29" s="351"/>
      <c r="AS29" s="351"/>
      <c r="AT29" s="351"/>
      <c r="AU29" s="351"/>
      <c r="AV29" s="351"/>
      <c r="AW29" s="351"/>
      <c r="AX29" s="351"/>
      <c r="AY29" s="351"/>
      <c r="AZ29" s="351"/>
      <c r="BA29" s="351"/>
    </row>
    <row r="30" spans="1:53" hidden="1">
      <c r="A30" s="48">
        <v>17</v>
      </c>
      <c r="B30" s="53" t="s">
        <v>337</v>
      </c>
      <c r="C30" s="78">
        <f t="shared" si="3"/>
        <v>0</v>
      </c>
      <c r="D30" s="79">
        <f t="shared" si="4"/>
        <v>0</v>
      </c>
      <c r="E30" s="79">
        <f t="shared" si="5"/>
        <v>0</v>
      </c>
      <c r="F30" s="58">
        <f t="shared" si="6"/>
        <v>0</v>
      </c>
      <c r="G30" s="58">
        <f t="shared" si="7"/>
        <v>0</v>
      </c>
      <c r="H30" s="58"/>
      <c r="I30" s="58"/>
      <c r="J30" s="58">
        <f t="shared" si="8"/>
        <v>0</v>
      </c>
      <c r="K30" s="58"/>
      <c r="L30" s="58"/>
      <c r="M30" s="58">
        <f t="shared" si="9"/>
        <v>0</v>
      </c>
      <c r="N30" s="58">
        <f t="shared" si="10"/>
        <v>0</v>
      </c>
      <c r="O30" s="58"/>
      <c r="P30" s="58"/>
      <c r="Q30" s="58">
        <f t="shared" si="11"/>
        <v>0</v>
      </c>
      <c r="R30" s="58"/>
      <c r="S30" s="58"/>
      <c r="T30" s="78">
        <f t="shared" si="12"/>
        <v>0</v>
      </c>
      <c r="U30" s="79">
        <f t="shared" si="13"/>
        <v>0</v>
      </c>
      <c r="V30" s="79">
        <f t="shared" si="14"/>
        <v>0</v>
      </c>
      <c r="W30" s="58">
        <f t="shared" si="15"/>
        <v>0</v>
      </c>
      <c r="X30" s="58">
        <f t="shared" si="16"/>
        <v>0</v>
      </c>
      <c r="Y30" s="58"/>
      <c r="Z30" s="58"/>
      <c r="AA30" s="58">
        <f t="shared" si="17"/>
        <v>0</v>
      </c>
      <c r="AB30" s="58"/>
      <c r="AC30" s="58"/>
      <c r="AD30" s="58">
        <f t="shared" si="18"/>
        <v>0</v>
      </c>
      <c r="AE30" s="58">
        <f t="shared" si="19"/>
        <v>0</v>
      </c>
      <c r="AF30" s="80">
        <f>32.888196-32.888196</f>
        <v>0</v>
      </c>
      <c r="AG30" s="58"/>
      <c r="AH30" s="58">
        <f t="shared" si="20"/>
        <v>0</v>
      </c>
      <c r="AI30" s="58"/>
      <c r="AJ30" s="58"/>
      <c r="AK30" s="351"/>
      <c r="AL30" s="351"/>
      <c r="AM30" s="351"/>
      <c r="AN30" s="351"/>
      <c r="AO30" s="351"/>
      <c r="AP30" s="351"/>
      <c r="AQ30" s="351"/>
      <c r="AR30" s="351"/>
      <c r="AS30" s="351"/>
      <c r="AT30" s="351"/>
      <c r="AU30" s="351"/>
      <c r="AV30" s="351"/>
      <c r="AW30" s="351"/>
      <c r="AX30" s="351"/>
      <c r="AY30" s="351"/>
      <c r="AZ30" s="351"/>
      <c r="BA30" s="351"/>
    </row>
    <row r="31" spans="1:53" hidden="1">
      <c r="A31" s="48">
        <v>18</v>
      </c>
      <c r="B31" s="53" t="s">
        <v>335</v>
      </c>
      <c r="C31" s="78">
        <f t="shared" si="3"/>
        <v>0</v>
      </c>
      <c r="D31" s="79">
        <f t="shared" si="4"/>
        <v>0</v>
      </c>
      <c r="E31" s="79">
        <f t="shared" si="5"/>
        <v>0</v>
      </c>
      <c r="F31" s="58">
        <f t="shared" si="6"/>
        <v>0</v>
      </c>
      <c r="G31" s="58">
        <f t="shared" si="7"/>
        <v>0</v>
      </c>
      <c r="H31" s="58">
        <f>12503.449-12503.449</f>
        <v>0</v>
      </c>
      <c r="I31" s="58"/>
      <c r="J31" s="58">
        <f t="shared" si="8"/>
        <v>0</v>
      </c>
      <c r="K31" s="58"/>
      <c r="L31" s="58"/>
      <c r="M31" s="58">
        <f t="shared" si="9"/>
        <v>0</v>
      </c>
      <c r="N31" s="58">
        <f t="shared" si="10"/>
        <v>0</v>
      </c>
      <c r="O31" s="58"/>
      <c r="P31" s="58"/>
      <c r="Q31" s="58">
        <f t="shared" si="11"/>
        <v>0</v>
      </c>
      <c r="R31" s="58"/>
      <c r="S31" s="58"/>
      <c r="T31" s="78">
        <f t="shared" si="12"/>
        <v>0</v>
      </c>
      <c r="U31" s="79"/>
      <c r="V31" s="79">
        <f t="shared" si="14"/>
        <v>0</v>
      </c>
      <c r="W31" s="58">
        <f t="shared" si="15"/>
        <v>0</v>
      </c>
      <c r="X31" s="58">
        <f t="shared" si="16"/>
        <v>0</v>
      </c>
      <c r="Y31" s="58"/>
      <c r="Z31" s="58"/>
      <c r="AA31" s="58">
        <f t="shared" si="17"/>
        <v>0</v>
      </c>
      <c r="AB31" s="58"/>
      <c r="AC31" s="58"/>
      <c r="AD31" s="58">
        <f t="shared" si="18"/>
        <v>0</v>
      </c>
      <c r="AE31" s="58">
        <f t="shared" si="19"/>
        <v>0</v>
      </c>
      <c r="AF31" s="80"/>
      <c r="AG31" s="58"/>
      <c r="AH31" s="58">
        <f t="shared" si="20"/>
        <v>0</v>
      </c>
      <c r="AI31" s="58"/>
      <c r="AJ31" s="58"/>
      <c r="AK31" s="351"/>
      <c r="AL31" s="351"/>
      <c r="AM31" s="351"/>
      <c r="AN31" s="351"/>
      <c r="AO31" s="351"/>
      <c r="AP31" s="351"/>
      <c r="AQ31" s="351"/>
      <c r="AR31" s="351"/>
      <c r="AS31" s="351"/>
      <c r="AT31" s="351"/>
      <c r="AU31" s="351"/>
      <c r="AV31" s="351"/>
      <c r="AW31" s="351"/>
      <c r="AX31" s="351"/>
      <c r="AY31" s="351"/>
      <c r="AZ31" s="351"/>
      <c r="BA31" s="351"/>
    </row>
    <row r="32" spans="1:53" hidden="1">
      <c r="A32" s="48">
        <v>19</v>
      </c>
      <c r="B32" s="53" t="s">
        <v>338</v>
      </c>
      <c r="C32" s="78">
        <f t="shared" si="3"/>
        <v>0</v>
      </c>
      <c r="D32" s="79">
        <f t="shared" si="4"/>
        <v>0</v>
      </c>
      <c r="E32" s="79">
        <f t="shared" si="5"/>
        <v>0</v>
      </c>
      <c r="F32" s="58">
        <f t="shared" si="6"/>
        <v>0</v>
      </c>
      <c r="G32" s="58">
        <f t="shared" si="7"/>
        <v>0</v>
      </c>
      <c r="H32" s="58"/>
      <c r="I32" s="58"/>
      <c r="J32" s="58">
        <f t="shared" si="8"/>
        <v>0</v>
      </c>
      <c r="K32" s="58"/>
      <c r="L32" s="58"/>
      <c r="M32" s="58">
        <f t="shared" si="9"/>
        <v>0</v>
      </c>
      <c r="N32" s="58">
        <f t="shared" si="10"/>
        <v>0</v>
      </c>
      <c r="O32" s="58"/>
      <c r="P32" s="58"/>
      <c r="Q32" s="58">
        <f t="shared" si="11"/>
        <v>0</v>
      </c>
      <c r="R32" s="58"/>
      <c r="S32" s="58"/>
      <c r="T32" s="78">
        <f t="shared" si="12"/>
        <v>0</v>
      </c>
      <c r="U32" s="79">
        <f t="shared" si="13"/>
        <v>0</v>
      </c>
      <c r="V32" s="79">
        <f t="shared" si="14"/>
        <v>0</v>
      </c>
      <c r="W32" s="58">
        <f t="shared" si="15"/>
        <v>0</v>
      </c>
      <c r="X32" s="58">
        <f t="shared" si="16"/>
        <v>0</v>
      </c>
      <c r="Y32" s="58"/>
      <c r="Z32" s="58"/>
      <c r="AA32" s="58">
        <f t="shared" si="17"/>
        <v>0</v>
      </c>
      <c r="AB32" s="58"/>
      <c r="AC32" s="58"/>
      <c r="AD32" s="58">
        <f t="shared" si="18"/>
        <v>0</v>
      </c>
      <c r="AE32" s="58">
        <f t="shared" si="19"/>
        <v>0</v>
      </c>
      <c r="AF32" s="80">
        <f>33.382689-33.382689</f>
        <v>0</v>
      </c>
      <c r="AG32" s="58"/>
      <c r="AH32" s="58">
        <f t="shared" si="20"/>
        <v>0</v>
      </c>
      <c r="AI32" s="58"/>
      <c r="AJ32" s="58"/>
      <c r="AK32" s="351"/>
      <c r="AL32" s="351"/>
      <c r="AM32" s="351"/>
      <c r="AN32" s="351"/>
      <c r="AO32" s="351"/>
      <c r="AP32" s="351"/>
      <c r="AQ32" s="351"/>
      <c r="AR32" s="351"/>
      <c r="AS32" s="351"/>
      <c r="AT32" s="351"/>
      <c r="AU32" s="351"/>
      <c r="AV32" s="351"/>
      <c r="AW32" s="351"/>
      <c r="AX32" s="351"/>
      <c r="AY32" s="351"/>
      <c r="AZ32" s="351"/>
      <c r="BA32" s="351"/>
    </row>
    <row r="33" spans="1:53" s="54" customFormat="1">
      <c r="A33" s="43" t="s">
        <v>18</v>
      </c>
      <c r="B33" s="82" t="s">
        <v>940</v>
      </c>
      <c r="C33" s="83">
        <f t="shared" ref="C33:AJ33" si="23">SUBTOTAL(9,C34:C44)</f>
        <v>460255.44900000002</v>
      </c>
      <c r="D33" s="84">
        <f t="shared" si="23"/>
        <v>364862.44900000002</v>
      </c>
      <c r="E33" s="84">
        <f t="shared" si="23"/>
        <v>95393</v>
      </c>
      <c r="F33" s="84">
        <f t="shared" si="23"/>
        <v>279605.44900000002</v>
      </c>
      <c r="G33" s="84">
        <f t="shared" si="23"/>
        <v>227162.44899999999</v>
      </c>
      <c r="H33" s="84">
        <f t="shared" si="23"/>
        <v>227162.44899999999</v>
      </c>
      <c r="I33" s="84">
        <f t="shared" si="23"/>
        <v>0</v>
      </c>
      <c r="J33" s="84">
        <f t="shared" si="23"/>
        <v>52443</v>
      </c>
      <c r="K33" s="84">
        <f t="shared" si="23"/>
        <v>52443</v>
      </c>
      <c r="L33" s="84">
        <f t="shared" si="23"/>
        <v>0</v>
      </c>
      <c r="M33" s="84">
        <f t="shared" si="23"/>
        <v>180650</v>
      </c>
      <c r="N33" s="84">
        <f t="shared" si="23"/>
        <v>137700</v>
      </c>
      <c r="O33" s="84">
        <f t="shared" si="23"/>
        <v>137700</v>
      </c>
      <c r="P33" s="84">
        <f t="shared" si="23"/>
        <v>0</v>
      </c>
      <c r="Q33" s="84">
        <f t="shared" si="23"/>
        <v>42950</v>
      </c>
      <c r="R33" s="84">
        <f t="shared" si="23"/>
        <v>42950</v>
      </c>
      <c r="S33" s="84">
        <f t="shared" si="23"/>
        <v>0</v>
      </c>
      <c r="T33" s="84">
        <f t="shared" si="23"/>
        <v>421945.98528000002</v>
      </c>
      <c r="U33" s="84">
        <f t="shared" si="23"/>
        <v>328399.94715799997</v>
      </c>
      <c r="V33" s="84">
        <f t="shared" si="23"/>
        <v>93546.038121999998</v>
      </c>
      <c r="W33" s="84">
        <f t="shared" si="23"/>
        <v>232119.78305299999</v>
      </c>
      <c r="X33" s="84">
        <f t="shared" si="23"/>
        <v>180160.83463299999</v>
      </c>
      <c r="Y33" s="84">
        <f t="shared" si="23"/>
        <v>180160.83463299999</v>
      </c>
      <c r="Z33" s="84">
        <f t="shared" si="23"/>
        <v>0</v>
      </c>
      <c r="AA33" s="84">
        <f t="shared" si="23"/>
        <v>51958.948420000001</v>
      </c>
      <c r="AB33" s="84">
        <f t="shared" si="23"/>
        <v>51958.948420000001</v>
      </c>
      <c r="AC33" s="84">
        <f t="shared" si="23"/>
        <v>0</v>
      </c>
      <c r="AD33" s="84">
        <f t="shared" si="23"/>
        <v>189826.202227</v>
      </c>
      <c r="AE33" s="84">
        <f t="shared" si="23"/>
        <v>148239.112525</v>
      </c>
      <c r="AF33" s="84">
        <f t="shared" si="23"/>
        <v>148239.112525</v>
      </c>
      <c r="AG33" s="84">
        <f t="shared" si="23"/>
        <v>0</v>
      </c>
      <c r="AH33" s="84">
        <f t="shared" si="23"/>
        <v>41587.089702000005</v>
      </c>
      <c r="AI33" s="84">
        <f t="shared" si="23"/>
        <v>41587.089702000005</v>
      </c>
      <c r="AJ33" s="84">
        <f t="shared" si="23"/>
        <v>0</v>
      </c>
      <c r="AK33" s="352">
        <f>T33/C33</f>
        <v>0.91676477963870884</v>
      </c>
      <c r="AL33" s="352">
        <f t="shared" ref="AL33:AP43" si="24">U33/D33</f>
        <v>0.900065073997242</v>
      </c>
      <c r="AM33" s="352">
        <f t="shared" si="24"/>
        <v>0.98063839193651525</v>
      </c>
      <c r="AN33" s="352">
        <f t="shared" si="24"/>
        <v>0.83016902525744396</v>
      </c>
      <c r="AO33" s="352">
        <f t="shared" si="24"/>
        <v>0.79309250021776267</v>
      </c>
      <c r="AP33" s="352">
        <f t="shared" si="24"/>
        <v>0.79309250021776267</v>
      </c>
      <c r="AQ33" s="352"/>
      <c r="AR33" s="352">
        <f t="shared" si="22"/>
        <v>0.99076994870621438</v>
      </c>
      <c r="AS33" s="352">
        <f t="shared" si="22"/>
        <v>0.99076994870621438</v>
      </c>
      <c r="AT33" s="352"/>
      <c r="AU33" s="352">
        <f t="shared" ref="AU33:AW43" si="25">AD33/M33</f>
        <v>1.050795473163576</v>
      </c>
      <c r="AV33" s="352">
        <f t="shared" si="25"/>
        <v>1.0765367648874364</v>
      </c>
      <c r="AW33" s="352">
        <f t="shared" si="25"/>
        <v>1.0765367648874364</v>
      </c>
      <c r="AX33" s="352"/>
      <c r="AY33" s="352">
        <f t="shared" ref="AY33:AZ43" si="26">AH33/Q33</f>
        <v>0.9682675134342259</v>
      </c>
      <c r="AZ33" s="352">
        <f t="shared" si="26"/>
        <v>0.9682675134342259</v>
      </c>
      <c r="BA33" s="352"/>
    </row>
    <row r="34" spans="1:53">
      <c r="A34" s="48">
        <v>1</v>
      </c>
      <c r="B34" s="53" t="s">
        <v>337</v>
      </c>
      <c r="C34" s="55">
        <f>D34+E34</f>
        <v>8010</v>
      </c>
      <c r="D34" s="51">
        <f>G34+N34</f>
        <v>4167</v>
      </c>
      <c r="E34" s="51">
        <f>J34+Q34</f>
        <v>3843</v>
      </c>
      <c r="F34" s="56">
        <f>G34+J34</f>
        <v>4175</v>
      </c>
      <c r="G34" s="56">
        <f>H34+I34</f>
        <v>2867</v>
      </c>
      <c r="H34" s="56">
        <v>2867</v>
      </c>
      <c r="I34" s="56"/>
      <c r="J34" s="56">
        <f>K34+L34</f>
        <v>1308</v>
      </c>
      <c r="K34" s="56">
        <v>1308</v>
      </c>
      <c r="L34" s="56"/>
      <c r="M34" s="56">
        <f>N34+Q34</f>
        <v>3835</v>
      </c>
      <c r="N34" s="56">
        <f>O34+P34</f>
        <v>1300</v>
      </c>
      <c r="O34" s="56">
        <f>1300</f>
        <v>1300</v>
      </c>
      <c r="P34" s="56"/>
      <c r="Q34" s="56">
        <f>R34+S34</f>
        <v>2535</v>
      </c>
      <c r="R34" s="56">
        <v>2535</v>
      </c>
      <c r="S34" s="56"/>
      <c r="T34" s="55">
        <f>U34+V34</f>
        <v>7837.7424900000005</v>
      </c>
      <c r="U34" s="51">
        <f>X34+AE34</f>
        <v>4155.0679380000001</v>
      </c>
      <c r="V34" s="51">
        <f>AA34+AH34</f>
        <v>3682.6745519999999</v>
      </c>
      <c r="W34" s="56">
        <f>X34+AA34</f>
        <v>4144.6585999999998</v>
      </c>
      <c r="X34" s="56">
        <f>Y34+Z34</f>
        <v>2853.5385999999999</v>
      </c>
      <c r="Y34" s="56">
        <v>2853.5385999999999</v>
      </c>
      <c r="Z34" s="56"/>
      <c r="AA34" s="56">
        <f>AB34+AC34</f>
        <v>1291.1199999999999</v>
      </c>
      <c r="AB34" s="56">
        <v>1291.1199999999999</v>
      </c>
      <c r="AC34" s="56"/>
      <c r="AD34" s="56">
        <f>AE34+AH34</f>
        <v>3693.0838899999999</v>
      </c>
      <c r="AE34" s="56">
        <f>AF34+AG34</f>
        <v>1301.5293380000001</v>
      </c>
      <c r="AF34" s="57">
        <f>1268.641142+32.888196</f>
        <v>1301.5293380000001</v>
      </c>
      <c r="AG34" s="56"/>
      <c r="AH34" s="56">
        <f>AI34+AJ34</f>
        <v>2391.5545520000001</v>
      </c>
      <c r="AI34" s="56">
        <v>2391.5545520000001</v>
      </c>
      <c r="AJ34" s="56"/>
      <c r="AK34" s="350">
        <f>T34/C34</f>
        <v>0.97849469288389523</v>
      </c>
      <c r="AL34" s="350">
        <f t="shared" si="24"/>
        <v>0.99713653419726422</v>
      </c>
      <c r="AM34" s="350">
        <f t="shared" si="24"/>
        <v>0.95828117408274782</v>
      </c>
      <c r="AN34" s="350">
        <f t="shared" si="24"/>
        <v>0.99273259880239517</v>
      </c>
      <c r="AO34" s="350">
        <f t="shared" si="24"/>
        <v>0.99530470875479593</v>
      </c>
      <c r="AP34" s="350">
        <f t="shared" si="24"/>
        <v>0.99530470875479593</v>
      </c>
      <c r="AQ34" s="350"/>
      <c r="AR34" s="350">
        <f t="shared" si="22"/>
        <v>0.98709480122324156</v>
      </c>
      <c r="AS34" s="350">
        <f t="shared" si="22"/>
        <v>0.98709480122324156</v>
      </c>
      <c r="AT34" s="350"/>
      <c r="AU34" s="350">
        <f t="shared" si="25"/>
        <v>0.96299449543676663</v>
      </c>
      <c r="AV34" s="350">
        <f t="shared" si="25"/>
        <v>1.0011764138461539</v>
      </c>
      <c r="AW34" s="350">
        <f t="shared" si="25"/>
        <v>1.0011764138461539</v>
      </c>
      <c r="AX34" s="350"/>
      <c r="AY34" s="350">
        <f t="shared" si="26"/>
        <v>0.9434140244575937</v>
      </c>
      <c r="AZ34" s="350">
        <f t="shared" si="26"/>
        <v>0.9434140244575937</v>
      </c>
      <c r="BA34" s="350"/>
    </row>
    <row r="35" spans="1:53">
      <c r="A35" s="48">
        <v>2</v>
      </c>
      <c r="B35" s="53" t="s">
        <v>338</v>
      </c>
      <c r="C35" s="55">
        <f t="shared" si="3"/>
        <v>21413</v>
      </c>
      <c r="D35" s="51">
        <f t="shared" si="4"/>
        <v>13780</v>
      </c>
      <c r="E35" s="51">
        <f t="shared" si="5"/>
        <v>7633</v>
      </c>
      <c r="F35" s="56">
        <f t="shared" ref="F35:F43" si="27">G35+J35</f>
        <v>8848</v>
      </c>
      <c r="G35" s="56">
        <f t="shared" ref="G35:G43" si="28">H35+I35</f>
        <v>6310</v>
      </c>
      <c r="H35" s="56">
        <v>6310</v>
      </c>
      <c r="I35" s="56"/>
      <c r="J35" s="56">
        <f t="shared" ref="J35:J43" si="29">K35+L35</f>
        <v>2538</v>
      </c>
      <c r="K35" s="56">
        <v>2538</v>
      </c>
      <c r="L35" s="56"/>
      <c r="M35" s="56">
        <f t="shared" ref="M35:M43" si="30">N35+Q35</f>
        <v>12565</v>
      </c>
      <c r="N35" s="56">
        <f t="shared" ref="N35:N43" si="31">O35+P35</f>
        <v>7470</v>
      </c>
      <c r="O35" s="56">
        <f>7470</f>
        <v>7470</v>
      </c>
      <c r="P35" s="56"/>
      <c r="Q35" s="56">
        <f t="shared" ref="Q35:Q43" si="32">R35+S35</f>
        <v>5095</v>
      </c>
      <c r="R35" s="56">
        <v>5095</v>
      </c>
      <c r="S35" s="56"/>
      <c r="T35" s="55">
        <f t="shared" ref="T35:T43" si="33">U35+V35</f>
        <v>21300.268826</v>
      </c>
      <c r="U35" s="51">
        <f t="shared" ref="U35:U43" si="34">X35+AE35</f>
        <v>13714.872689</v>
      </c>
      <c r="V35" s="51">
        <f t="shared" ref="V35:V43" si="35">AA35+AH35</f>
        <v>7585.3961369999997</v>
      </c>
      <c r="W35" s="56">
        <f t="shared" ref="W35:W43" si="36">X35+AA35</f>
        <v>8688.196136999999</v>
      </c>
      <c r="X35" s="56">
        <f t="shared" ref="X35:X43" si="37">Y35+Z35</f>
        <v>6194.4</v>
      </c>
      <c r="Y35" s="56">
        <v>6194.4</v>
      </c>
      <c r="Z35" s="56"/>
      <c r="AA35" s="56">
        <f t="shared" ref="AA35:AA43" si="38">AB35+AC35</f>
        <v>2493.7961369999998</v>
      </c>
      <c r="AB35" s="56">
        <v>2493.7961369999998</v>
      </c>
      <c r="AC35" s="56"/>
      <c r="AD35" s="56">
        <f t="shared" ref="AD35:AD43" si="39">AE35+AH35</f>
        <v>12612.072689000001</v>
      </c>
      <c r="AE35" s="56">
        <f t="shared" ref="AE35:AE43" si="40">AF35+AG35</f>
        <v>7520.4726890000002</v>
      </c>
      <c r="AF35" s="57">
        <f>7487.09+33.382689</f>
        <v>7520.4726890000002</v>
      </c>
      <c r="AG35" s="56"/>
      <c r="AH35" s="56">
        <f t="shared" ref="AH35:AH43" si="41">AI35+AJ35</f>
        <v>5091.6000000000004</v>
      </c>
      <c r="AI35" s="56">
        <v>5091.6000000000004</v>
      </c>
      <c r="AJ35" s="56"/>
      <c r="AK35" s="350">
        <f t="shared" ref="AK35:AK43" si="42">T35/C35</f>
        <v>0.9947353862606827</v>
      </c>
      <c r="AL35" s="350">
        <f t="shared" si="24"/>
        <v>0.99527378004354139</v>
      </c>
      <c r="AM35" s="350">
        <f t="shared" si="24"/>
        <v>0.99376341372985721</v>
      </c>
      <c r="AN35" s="350">
        <f t="shared" si="24"/>
        <v>0.98193898474231456</v>
      </c>
      <c r="AO35" s="350">
        <f t="shared" si="24"/>
        <v>0.98167987321711558</v>
      </c>
      <c r="AP35" s="350">
        <f t="shared" si="24"/>
        <v>0.98167987321711558</v>
      </c>
      <c r="AQ35" s="350"/>
      <c r="AR35" s="350">
        <f t="shared" ref="AR35:AS43" si="43">AA35/J35</f>
        <v>0.98258319030732855</v>
      </c>
      <c r="AS35" s="350">
        <f t="shared" si="43"/>
        <v>0.98258319030732855</v>
      </c>
      <c r="AT35" s="350"/>
      <c r="AU35" s="350">
        <f t="shared" si="25"/>
        <v>1.0037463341822523</v>
      </c>
      <c r="AV35" s="350">
        <f t="shared" si="25"/>
        <v>1.0067567187416333</v>
      </c>
      <c r="AW35" s="350">
        <f t="shared" si="25"/>
        <v>1.0067567187416333</v>
      </c>
      <c r="AX35" s="350"/>
      <c r="AY35" s="350">
        <f t="shared" si="26"/>
        <v>0.99933267909715418</v>
      </c>
      <c r="AZ35" s="350">
        <f t="shared" si="26"/>
        <v>0.99933267909715418</v>
      </c>
      <c r="BA35" s="350"/>
    </row>
    <row r="36" spans="1:53">
      <c r="A36" s="48">
        <v>3</v>
      </c>
      <c r="B36" s="53" t="s">
        <v>339</v>
      </c>
      <c r="C36" s="55">
        <f t="shared" si="3"/>
        <v>19899</v>
      </c>
      <c r="D36" s="51">
        <f t="shared" si="4"/>
        <v>14166</v>
      </c>
      <c r="E36" s="51">
        <f t="shared" si="5"/>
        <v>5733</v>
      </c>
      <c r="F36" s="56">
        <f t="shared" si="27"/>
        <v>6957</v>
      </c>
      <c r="G36" s="56">
        <f t="shared" si="28"/>
        <v>5056</v>
      </c>
      <c r="H36" s="56">
        <v>5056</v>
      </c>
      <c r="I36" s="56"/>
      <c r="J36" s="56">
        <f t="shared" si="29"/>
        <v>1901</v>
      </c>
      <c r="K36" s="56">
        <v>1901</v>
      </c>
      <c r="L36" s="56"/>
      <c r="M36" s="56">
        <f t="shared" si="30"/>
        <v>12942</v>
      </c>
      <c r="N36" s="56">
        <f t="shared" si="31"/>
        <v>9110</v>
      </c>
      <c r="O36" s="56">
        <f>9110</f>
        <v>9110</v>
      </c>
      <c r="P36" s="56"/>
      <c r="Q36" s="56">
        <f t="shared" si="32"/>
        <v>3832</v>
      </c>
      <c r="R36" s="56">
        <v>3832</v>
      </c>
      <c r="S36" s="56"/>
      <c r="T36" s="55">
        <f t="shared" si="33"/>
        <v>19836.816999999999</v>
      </c>
      <c r="U36" s="51">
        <f t="shared" si="34"/>
        <v>14154.021000000001</v>
      </c>
      <c r="V36" s="51">
        <f t="shared" si="35"/>
        <v>5682.7959999999994</v>
      </c>
      <c r="W36" s="56">
        <f t="shared" si="36"/>
        <v>6894.9859999999999</v>
      </c>
      <c r="X36" s="56">
        <f t="shared" si="37"/>
        <v>5040.7089999999998</v>
      </c>
      <c r="Y36" s="56">
        <v>5040.7089999999998</v>
      </c>
      <c r="Z36" s="56"/>
      <c r="AA36" s="56">
        <f t="shared" si="38"/>
        <v>1854.2769999999998</v>
      </c>
      <c r="AB36" s="56">
        <v>1854.2769999999998</v>
      </c>
      <c r="AC36" s="56"/>
      <c r="AD36" s="56">
        <f t="shared" si="39"/>
        <v>12941.831</v>
      </c>
      <c r="AE36" s="56">
        <f t="shared" si="40"/>
        <v>9113.3119999999999</v>
      </c>
      <c r="AF36" s="57">
        <v>9113.3119999999999</v>
      </c>
      <c r="AG36" s="56"/>
      <c r="AH36" s="56">
        <f t="shared" si="41"/>
        <v>3828.5189999999998</v>
      </c>
      <c r="AI36" s="56">
        <v>3828.5189999999998</v>
      </c>
      <c r="AJ36" s="56"/>
      <c r="AK36" s="350">
        <f t="shared" si="42"/>
        <v>0.99687506909894963</v>
      </c>
      <c r="AL36" s="350">
        <f t="shared" si="24"/>
        <v>0.99915438373570531</v>
      </c>
      <c r="AM36" s="350">
        <f t="shared" si="24"/>
        <v>0.99124297924297911</v>
      </c>
      <c r="AN36" s="350">
        <f t="shared" si="24"/>
        <v>0.99108610033060229</v>
      </c>
      <c r="AO36" s="350">
        <f t="shared" si="24"/>
        <v>0.99697567246835439</v>
      </c>
      <c r="AP36" s="350">
        <f t="shared" si="24"/>
        <v>0.99697567246835439</v>
      </c>
      <c r="AQ36" s="350"/>
      <c r="AR36" s="350">
        <f t="shared" si="43"/>
        <v>0.97542188321935819</v>
      </c>
      <c r="AS36" s="350">
        <f t="shared" si="43"/>
        <v>0.97542188321935819</v>
      </c>
      <c r="AT36" s="350"/>
      <c r="AU36" s="350">
        <f t="shared" si="25"/>
        <v>0.99998694174007108</v>
      </c>
      <c r="AV36" s="350">
        <f t="shared" si="25"/>
        <v>1.0003635565312843</v>
      </c>
      <c r="AW36" s="350">
        <f t="shared" si="25"/>
        <v>1.0003635565312843</v>
      </c>
      <c r="AX36" s="350"/>
      <c r="AY36" s="350">
        <f t="shared" si="26"/>
        <v>0.99909159707724415</v>
      </c>
      <c r="AZ36" s="350">
        <f t="shared" si="26"/>
        <v>0.99909159707724415</v>
      </c>
      <c r="BA36" s="350"/>
    </row>
    <row r="37" spans="1:53">
      <c r="A37" s="48">
        <v>4</v>
      </c>
      <c r="B37" s="53" t="s">
        <v>340</v>
      </c>
      <c r="C37" s="55">
        <f t="shared" si="3"/>
        <v>25017</v>
      </c>
      <c r="D37" s="51">
        <f t="shared" si="4"/>
        <v>19089</v>
      </c>
      <c r="E37" s="51">
        <f t="shared" si="5"/>
        <v>5928</v>
      </c>
      <c r="F37" s="56">
        <f t="shared" si="27"/>
        <v>6436</v>
      </c>
      <c r="G37" s="56">
        <f t="shared" si="28"/>
        <v>4579</v>
      </c>
      <c r="H37" s="56">
        <v>4579</v>
      </c>
      <c r="I37" s="56"/>
      <c r="J37" s="56">
        <f t="shared" si="29"/>
        <v>1857</v>
      </c>
      <c r="K37" s="56">
        <v>1857</v>
      </c>
      <c r="L37" s="56"/>
      <c r="M37" s="56">
        <f t="shared" si="30"/>
        <v>18581</v>
      </c>
      <c r="N37" s="56">
        <f t="shared" si="31"/>
        <v>14510</v>
      </c>
      <c r="O37" s="56">
        <f>14510</f>
        <v>14510</v>
      </c>
      <c r="P37" s="56"/>
      <c r="Q37" s="56">
        <f t="shared" si="32"/>
        <v>4071</v>
      </c>
      <c r="R37" s="56">
        <v>4071</v>
      </c>
      <c r="S37" s="56"/>
      <c r="T37" s="55">
        <f t="shared" si="33"/>
        <v>24758.022999999997</v>
      </c>
      <c r="U37" s="51">
        <f t="shared" si="34"/>
        <v>19161.043999999998</v>
      </c>
      <c r="V37" s="51">
        <f t="shared" si="35"/>
        <v>5596.9790000000003</v>
      </c>
      <c r="W37" s="56">
        <f t="shared" si="36"/>
        <v>6841.473</v>
      </c>
      <c r="X37" s="56">
        <f t="shared" si="37"/>
        <v>5009.5209999999997</v>
      </c>
      <c r="Y37" s="56">
        <v>5009.5209999999997</v>
      </c>
      <c r="Z37" s="56"/>
      <c r="AA37" s="56">
        <f t="shared" si="38"/>
        <v>1831.952</v>
      </c>
      <c r="AB37" s="56">
        <v>1831.952</v>
      </c>
      <c r="AC37" s="56"/>
      <c r="AD37" s="56">
        <f t="shared" si="39"/>
        <v>17916.55</v>
      </c>
      <c r="AE37" s="56">
        <f t="shared" si="40"/>
        <v>14151.522999999999</v>
      </c>
      <c r="AF37" s="57">
        <v>14151.522999999999</v>
      </c>
      <c r="AG37" s="56"/>
      <c r="AH37" s="56">
        <f t="shared" si="41"/>
        <v>3765.027</v>
      </c>
      <c r="AI37" s="56">
        <v>3765.027</v>
      </c>
      <c r="AJ37" s="56"/>
      <c r="AK37" s="350">
        <f t="shared" si="42"/>
        <v>0.98964795938761629</v>
      </c>
      <c r="AL37" s="350">
        <f t="shared" si="24"/>
        <v>1.0037741107444076</v>
      </c>
      <c r="AM37" s="350">
        <f t="shared" si="24"/>
        <v>0.94415975033738198</v>
      </c>
      <c r="AN37" s="350">
        <f t="shared" si="24"/>
        <v>1.0630007768800498</v>
      </c>
      <c r="AO37" s="350">
        <f t="shared" si="24"/>
        <v>1.0940207468879668</v>
      </c>
      <c r="AP37" s="350">
        <f t="shared" si="24"/>
        <v>1.0940207468879668</v>
      </c>
      <c r="AQ37" s="350"/>
      <c r="AR37" s="350">
        <f t="shared" si="43"/>
        <v>0.98651157781367793</v>
      </c>
      <c r="AS37" s="350">
        <f t="shared" si="43"/>
        <v>0.98651157781367793</v>
      </c>
      <c r="AT37" s="350"/>
      <c r="AU37" s="350">
        <f t="shared" si="25"/>
        <v>0.96424035304881328</v>
      </c>
      <c r="AV37" s="350">
        <f t="shared" si="25"/>
        <v>0.97529448656099238</v>
      </c>
      <c r="AW37" s="350">
        <f t="shared" si="25"/>
        <v>0.97529448656099238</v>
      </c>
      <c r="AX37" s="350"/>
      <c r="AY37" s="350">
        <f t="shared" si="26"/>
        <v>0.92484082535003687</v>
      </c>
      <c r="AZ37" s="350">
        <f t="shared" si="26"/>
        <v>0.92484082535003687</v>
      </c>
      <c r="BA37" s="350"/>
    </row>
    <row r="38" spans="1:53">
      <c r="A38" s="48">
        <v>5</v>
      </c>
      <c r="B38" s="53" t="s">
        <v>341</v>
      </c>
      <c r="C38" s="55">
        <f t="shared" si="3"/>
        <v>55563</v>
      </c>
      <c r="D38" s="51">
        <f t="shared" si="4"/>
        <v>45626</v>
      </c>
      <c r="E38" s="51">
        <f t="shared" si="5"/>
        <v>9937</v>
      </c>
      <c r="F38" s="56">
        <f t="shared" si="27"/>
        <v>28989</v>
      </c>
      <c r="G38" s="56">
        <f t="shared" si="28"/>
        <v>24636</v>
      </c>
      <c r="H38" s="56">
        <f>10795+13841</f>
        <v>24636</v>
      </c>
      <c r="I38" s="58"/>
      <c r="J38" s="56">
        <f t="shared" si="29"/>
        <v>4353</v>
      </c>
      <c r="K38" s="58">
        <v>4353</v>
      </c>
      <c r="L38" s="58"/>
      <c r="M38" s="56">
        <f t="shared" si="30"/>
        <v>26574</v>
      </c>
      <c r="N38" s="56">
        <f t="shared" si="31"/>
        <v>20990</v>
      </c>
      <c r="O38" s="56">
        <f>20990</f>
        <v>20990</v>
      </c>
      <c r="P38" s="58"/>
      <c r="Q38" s="56">
        <f t="shared" si="32"/>
        <v>5584</v>
      </c>
      <c r="R38" s="58">
        <v>5584</v>
      </c>
      <c r="S38" s="58"/>
      <c r="T38" s="55">
        <f t="shared" si="33"/>
        <v>42493.067999999999</v>
      </c>
      <c r="U38" s="51">
        <f t="shared" si="34"/>
        <v>32691.887999999999</v>
      </c>
      <c r="V38" s="51">
        <f t="shared" si="35"/>
        <v>9801.18</v>
      </c>
      <c r="W38" s="56">
        <f t="shared" si="36"/>
        <v>16057.317999999999</v>
      </c>
      <c r="X38" s="56">
        <f t="shared" si="37"/>
        <v>11744.438</v>
      </c>
      <c r="Y38" s="56">
        <f>11744.438</f>
        <v>11744.438</v>
      </c>
      <c r="Z38" s="58"/>
      <c r="AA38" s="56">
        <f t="shared" si="38"/>
        <v>4312.88</v>
      </c>
      <c r="AB38" s="58">
        <v>4312.88</v>
      </c>
      <c r="AC38" s="58"/>
      <c r="AD38" s="56">
        <f t="shared" si="39"/>
        <v>26435.75</v>
      </c>
      <c r="AE38" s="56">
        <f t="shared" si="40"/>
        <v>20947.45</v>
      </c>
      <c r="AF38" s="57">
        <v>20947.45</v>
      </c>
      <c r="AG38" s="58"/>
      <c r="AH38" s="56">
        <f t="shared" si="41"/>
        <v>5488.3</v>
      </c>
      <c r="AI38" s="58">
        <v>5488.3</v>
      </c>
      <c r="AJ38" s="58"/>
      <c r="AK38" s="350">
        <f t="shared" si="42"/>
        <v>0.76477274445224341</v>
      </c>
      <c r="AL38" s="350">
        <f t="shared" si="24"/>
        <v>0.716518826984614</v>
      </c>
      <c r="AM38" s="350">
        <f t="shared" si="24"/>
        <v>0.98633189091275031</v>
      </c>
      <c r="AN38" s="350">
        <f t="shared" si="24"/>
        <v>0.55391072475766667</v>
      </c>
      <c r="AO38" s="350">
        <f t="shared" si="24"/>
        <v>0.4767185419710992</v>
      </c>
      <c r="AP38" s="350">
        <f t="shared" si="24"/>
        <v>0.4767185419710992</v>
      </c>
      <c r="AQ38" s="350"/>
      <c r="AR38" s="350">
        <f t="shared" si="43"/>
        <v>0.99078336779232712</v>
      </c>
      <c r="AS38" s="350">
        <f t="shared" si="43"/>
        <v>0.99078336779232712</v>
      </c>
      <c r="AT38" s="350"/>
      <c r="AU38" s="350">
        <f t="shared" si="25"/>
        <v>0.9947975464739971</v>
      </c>
      <c r="AV38" s="350">
        <f t="shared" si="25"/>
        <v>0.99797284421152932</v>
      </c>
      <c r="AW38" s="350">
        <f t="shared" si="25"/>
        <v>0.99797284421152932</v>
      </c>
      <c r="AX38" s="350"/>
      <c r="AY38" s="350">
        <f t="shared" si="26"/>
        <v>0.98286174785100289</v>
      </c>
      <c r="AZ38" s="350">
        <f t="shared" si="26"/>
        <v>0.98286174785100289</v>
      </c>
      <c r="BA38" s="350"/>
    </row>
    <row r="39" spans="1:53">
      <c r="A39" s="48">
        <v>6</v>
      </c>
      <c r="B39" s="53" t="s">
        <v>342</v>
      </c>
      <c r="C39" s="55">
        <f t="shared" si="3"/>
        <v>49893</v>
      </c>
      <c r="D39" s="51">
        <f t="shared" si="4"/>
        <v>41948</v>
      </c>
      <c r="E39" s="51">
        <f t="shared" si="5"/>
        <v>7945</v>
      </c>
      <c r="F39" s="56">
        <f t="shared" si="27"/>
        <v>25510</v>
      </c>
      <c r="G39" s="56">
        <f t="shared" si="28"/>
        <v>22308</v>
      </c>
      <c r="H39" s="56">
        <f>7908+14400</f>
        <v>22308</v>
      </c>
      <c r="I39" s="58"/>
      <c r="J39" s="56">
        <f t="shared" si="29"/>
        <v>3202</v>
      </c>
      <c r="K39" s="58">
        <v>3202</v>
      </c>
      <c r="L39" s="58"/>
      <c r="M39" s="56">
        <f t="shared" si="30"/>
        <v>24383</v>
      </c>
      <c r="N39" s="56">
        <f t="shared" si="31"/>
        <v>19640</v>
      </c>
      <c r="O39" s="56">
        <f>19640</f>
        <v>19640</v>
      </c>
      <c r="P39" s="58"/>
      <c r="Q39" s="56">
        <f t="shared" si="32"/>
        <v>4743</v>
      </c>
      <c r="R39" s="58">
        <v>4743</v>
      </c>
      <c r="S39" s="58"/>
      <c r="T39" s="55">
        <f t="shared" si="33"/>
        <v>41194.321920000002</v>
      </c>
      <c r="U39" s="51">
        <f t="shared" si="34"/>
        <v>33660.271520000002</v>
      </c>
      <c r="V39" s="51">
        <f t="shared" si="35"/>
        <v>7534.0504000000001</v>
      </c>
      <c r="W39" s="56">
        <f t="shared" si="36"/>
        <v>11177.609990000001</v>
      </c>
      <c r="X39" s="56">
        <f t="shared" si="37"/>
        <v>7998.2472900000002</v>
      </c>
      <c r="Y39" s="56">
        <f>7998.24729</f>
        <v>7998.2472900000002</v>
      </c>
      <c r="Z39" s="58"/>
      <c r="AA39" s="56">
        <f t="shared" si="38"/>
        <v>3179.3626999999997</v>
      </c>
      <c r="AB39" s="58">
        <v>3179.3626999999997</v>
      </c>
      <c r="AC39" s="58"/>
      <c r="AD39" s="56">
        <f t="shared" si="39"/>
        <v>30016.711930000005</v>
      </c>
      <c r="AE39" s="56">
        <f t="shared" si="40"/>
        <v>25662.024230000003</v>
      </c>
      <c r="AF39" s="57">
        <v>25662.024230000003</v>
      </c>
      <c r="AG39" s="58"/>
      <c r="AH39" s="56">
        <f t="shared" si="41"/>
        <v>4354.6877000000004</v>
      </c>
      <c r="AI39" s="58">
        <v>4354.6877000000004</v>
      </c>
      <c r="AJ39" s="58"/>
      <c r="AK39" s="350">
        <f t="shared" si="42"/>
        <v>0.82565333654019601</v>
      </c>
      <c r="AL39" s="350">
        <f t="shared" si="24"/>
        <v>0.80242851911890922</v>
      </c>
      <c r="AM39" s="350">
        <f t="shared" si="24"/>
        <v>0.94827569540591572</v>
      </c>
      <c r="AN39" s="350">
        <f t="shared" si="24"/>
        <v>0.43816581693453549</v>
      </c>
      <c r="AO39" s="350">
        <f t="shared" si="24"/>
        <v>0.35853717455621303</v>
      </c>
      <c r="AP39" s="350">
        <f t="shared" si="24"/>
        <v>0.35853717455621303</v>
      </c>
      <c r="AQ39" s="350"/>
      <c r="AR39" s="350">
        <f t="shared" si="43"/>
        <v>0.99293026233603987</v>
      </c>
      <c r="AS39" s="350">
        <f t="shared" si="43"/>
        <v>0.99293026233603987</v>
      </c>
      <c r="AT39" s="350"/>
      <c r="AU39" s="350">
        <f t="shared" si="25"/>
        <v>1.2310508112209329</v>
      </c>
      <c r="AV39" s="350">
        <f t="shared" si="25"/>
        <v>1.3066203783095724</v>
      </c>
      <c r="AW39" s="350">
        <f t="shared" si="25"/>
        <v>1.3066203783095724</v>
      </c>
      <c r="AX39" s="350"/>
      <c r="AY39" s="350">
        <f t="shared" si="26"/>
        <v>0.91812939068100363</v>
      </c>
      <c r="AZ39" s="350">
        <f t="shared" si="26"/>
        <v>0.91812939068100363</v>
      </c>
      <c r="BA39" s="350"/>
    </row>
    <row r="40" spans="1:53">
      <c r="A40" s="48">
        <v>7</v>
      </c>
      <c r="B40" s="53" t="s">
        <v>343</v>
      </c>
      <c r="C40" s="55">
        <f t="shared" si="3"/>
        <v>54799</v>
      </c>
      <c r="D40" s="51">
        <f t="shared" si="4"/>
        <v>44009</v>
      </c>
      <c r="E40" s="51">
        <f t="shared" si="5"/>
        <v>10790</v>
      </c>
      <c r="F40" s="56">
        <f t="shared" si="27"/>
        <v>43780</v>
      </c>
      <c r="G40" s="56">
        <f t="shared" si="28"/>
        <v>35099</v>
      </c>
      <c r="H40" s="56">
        <f>35099</f>
        <v>35099</v>
      </c>
      <c r="I40" s="58"/>
      <c r="J40" s="56">
        <f t="shared" si="29"/>
        <v>8681</v>
      </c>
      <c r="K40" s="58">
        <v>8681</v>
      </c>
      <c r="L40" s="58"/>
      <c r="M40" s="56">
        <f t="shared" si="30"/>
        <v>11019</v>
      </c>
      <c r="N40" s="56">
        <f t="shared" si="31"/>
        <v>8910</v>
      </c>
      <c r="O40" s="56">
        <f>8910</f>
        <v>8910</v>
      </c>
      <c r="P40" s="58"/>
      <c r="Q40" s="56">
        <f t="shared" si="32"/>
        <v>2109</v>
      </c>
      <c r="R40" s="58">
        <v>2109</v>
      </c>
      <c r="S40" s="58"/>
      <c r="T40" s="55">
        <f t="shared" si="33"/>
        <v>45339.546753999995</v>
      </c>
      <c r="U40" s="51">
        <f t="shared" si="34"/>
        <v>34899.442710999996</v>
      </c>
      <c r="V40" s="51">
        <f t="shared" si="35"/>
        <v>10440.104042999999</v>
      </c>
      <c r="W40" s="56">
        <f t="shared" si="36"/>
        <v>29844.594336000002</v>
      </c>
      <c r="X40" s="56">
        <f t="shared" si="37"/>
        <v>21298.277243</v>
      </c>
      <c r="Y40" s="56">
        <f>21298.277243</f>
        <v>21298.277243</v>
      </c>
      <c r="Z40" s="58"/>
      <c r="AA40" s="56">
        <f t="shared" si="38"/>
        <v>8546.3170929999997</v>
      </c>
      <c r="AB40" s="58">
        <v>8546.3170929999997</v>
      </c>
      <c r="AC40" s="58"/>
      <c r="AD40" s="56">
        <f t="shared" si="39"/>
        <v>15494.952417999999</v>
      </c>
      <c r="AE40" s="56">
        <f t="shared" si="40"/>
        <v>13601.165467999999</v>
      </c>
      <c r="AF40" s="57">
        <v>13601.165467999999</v>
      </c>
      <c r="AG40" s="58"/>
      <c r="AH40" s="56">
        <f t="shared" si="41"/>
        <v>1893.7869499999997</v>
      </c>
      <c r="AI40" s="58">
        <v>1893.7869499999997</v>
      </c>
      <c r="AJ40" s="58"/>
      <c r="AK40" s="350">
        <f t="shared" si="42"/>
        <v>0.82737909001989074</v>
      </c>
      <c r="AL40" s="350">
        <f t="shared" si="24"/>
        <v>0.79300694655638615</v>
      </c>
      <c r="AM40" s="350">
        <f t="shared" si="24"/>
        <v>0.96757220046339198</v>
      </c>
      <c r="AN40" s="350">
        <f t="shared" si="24"/>
        <v>0.68169470845134772</v>
      </c>
      <c r="AO40" s="350">
        <f t="shared" si="24"/>
        <v>0.60680581335650585</v>
      </c>
      <c r="AP40" s="350">
        <f t="shared" si="24"/>
        <v>0.60680581335650585</v>
      </c>
      <c r="AQ40" s="350"/>
      <c r="AR40" s="350">
        <f t="shared" si="43"/>
        <v>0.98448532346503859</v>
      </c>
      <c r="AS40" s="350">
        <f t="shared" si="43"/>
        <v>0.98448532346503859</v>
      </c>
      <c r="AT40" s="350"/>
      <c r="AU40" s="350">
        <f t="shared" si="25"/>
        <v>1.4062031416643979</v>
      </c>
      <c r="AV40" s="350">
        <f t="shared" si="25"/>
        <v>1.5265056641975308</v>
      </c>
      <c r="AW40" s="350">
        <f t="shared" si="25"/>
        <v>1.5265056641975308</v>
      </c>
      <c r="AX40" s="350"/>
      <c r="AY40" s="350">
        <f t="shared" si="26"/>
        <v>0.8979549312470364</v>
      </c>
      <c r="AZ40" s="350">
        <f t="shared" si="26"/>
        <v>0.8979549312470364</v>
      </c>
      <c r="BA40" s="350"/>
    </row>
    <row r="41" spans="1:53">
      <c r="A41" s="48">
        <v>8</v>
      </c>
      <c r="B41" s="53" t="s">
        <v>335</v>
      </c>
      <c r="C41" s="55">
        <f t="shared" si="3"/>
        <v>33936.449000000001</v>
      </c>
      <c r="D41" s="51">
        <f t="shared" si="4"/>
        <v>28425.449000000001</v>
      </c>
      <c r="E41" s="51">
        <f t="shared" si="5"/>
        <v>5511</v>
      </c>
      <c r="F41" s="56">
        <f t="shared" si="27"/>
        <v>20114.449000000001</v>
      </c>
      <c r="G41" s="56">
        <f t="shared" si="28"/>
        <v>18075.449000000001</v>
      </c>
      <c r="H41" s="56">
        <f>5572+12503.449</f>
        <v>18075.449000000001</v>
      </c>
      <c r="I41" s="58"/>
      <c r="J41" s="56">
        <f t="shared" si="29"/>
        <v>2039</v>
      </c>
      <c r="K41" s="58">
        <v>2039</v>
      </c>
      <c r="L41" s="58"/>
      <c r="M41" s="56">
        <f t="shared" si="30"/>
        <v>13822</v>
      </c>
      <c r="N41" s="56">
        <f t="shared" si="31"/>
        <v>10350</v>
      </c>
      <c r="O41" s="56">
        <v>10350</v>
      </c>
      <c r="P41" s="58"/>
      <c r="Q41" s="56">
        <f t="shared" si="32"/>
        <v>3472</v>
      </c>
      <c r="R41" s="58">
        <v>3472</v>
      </c>
      <c r="S41" s="58"/>
      <c r="T41" s="55">
        <f t="shared" si="33"/>
        <v>20937.807000000001</v>
      </c>
      <c r="U41" s="51">
        <f t="shared" si="34"/>
        <v>15548.94</v>
      </c>
      <c r="V41" s="51">
        <f t="shared" si="35"/>
        <v>5388.8670000000002</v>
      </c>
      <c r="W41" s="56">
        <f t="shared" si="36"/>
        <v>7333.9489999999996</v>
      </c>
      <c r="X41" s="56">
        <f t="shared" si="37"/>
        <v>5331.24</v>
      </c>
      <c r="Y41" s="56">
        <v>5331.24</v>
      </c>
      <c r="Z41" s="58"/>
      <c r="AA41" s="56">
        <f t="shared" si="38"/>
        <v>2002.7089999999998</v>
      </c>
      <c r="AB41" s="58">
        <v>2002.7089999999998</v>
      </c>
      <c r="AC41" s="58"/>
      <c r="AD41" s="56">
        <f t="shared" si="39"/>
        <v>13603.858</v>
      </c>
      <c r="AE41" s="56">
        <f t="shared" si="40"/>
        <v>10217.700000000001</v>
      </c>
      <c r="AF41" s="57">
        <v>10217.700000000001</v>
      </c>
      <c r="AG41" s="58"/>
      <c r="AH41" s="56">
        <f t="shared" si="41"/>
        <v>3386.1579999999999</v>
      </c>
      <c r="AI41" s="58">
        <v>3386.1579999999999</v>
      </c>
      <c r="AJ41" s="58"/>
      <c r="AK41" s="350">
        <f t="shared" si="42"/>
        <v>0.61697106258819245</v>
      </c>
      <c r="AL41" s="350">
        <f t="shared" si="24"/>
        <v>0.5470077183301485</v>
      </c>
      <c r="AM41" s="350">
        <f t="shared" si="24"/>
        <v>0.97783832335329346</v>
      </c>
      <c r="AN41" s="350">
        <f t="shared" si="24"/>
        <v>0.36461098188670243</v>
      </c>
      <c r="AO41" s="350">
        <f t="shared" si="24"/>
        <v>0.29494371066522329</v>
      </c>
      <c r="AP41" s="350">
        <f t="shared" si="24"/>
        <v>0.29494371066522329</v>
      </c>
      <c r="AQ41" s="350"/>
      <c r="AR41" s="350">
        <f t="shared" si="43"/>
        <v>0.98220156939676306</v>
      </c>
      <c r="AS41" s="350">
        <f t="shared" si="43"/>
        <v>0.98220156939676306</v>
      </c>
      <c r="AT41" s="350"/>
      <c r="AU41" s="350">
        <f t="shared" si="25"/>
        <v>0.98421776877441758</v>
      </c>
      <c r="AV41" s="350">
        <f t="shared" si="25"/>
        <v>0.98721739130434794</v>
      </c>
      <c r="AW41" s="350">
        <f t="shared" si="25"/>
        <v>0.98721739130434794</v>
      </c>
      <c r="AX41" s="350"/>
      <c r="AY41" s="350">
        <f t="shared" si="26"/>
        <v>0.97527592165898613</v>
      </c>
      <c r="AZ41" s="350">
        <f t="shared" si="26"/>
        <v>0.97527592165898613</v>
      </c>
      <c r="BA41" s="350"/>
    </row>
    <row r="42" spans="1:53">
      <c r="A42" s="48">
        <v>9</v>
      </c>
      <c r="B42" s="53" t="s">
        <v>344</v>
      </c>
      <c r="C42" s="55">
        <f t="shared" si="3"/>
        <v>87549</v>
      </c>
      <c r="D42" s="51">
        <f t="shared" si="4"/>
        <v>69545</v>
      </c>
      <c r="E42" s="51">
        <f t="shared" si="5"/>
        <v>18004</v>
      </c>
      <c r="F42" s="56">
        <f t="shared" si="27"/>
        <v>65311</v>
      </c>
      <c r="G42" s="56">
        <f t="shared" si="28"/>
        <v>52515</v>
      </c>
      <c r="H42" s="56">
        <f>32661+19854</f>
        <v>52515</v>
      </c>
      <c r="I42" s="58"/>
      <c r="J42" s="56">
        <f t="shared" si="29"/>
        <v>12796</v>
      </c>
      <c r="K42" s="58">
        <v>12796</v>
      </c>
      <c r="L42" s="58"/>
      <c r="M42" s="56">
        <f t="shared" si="30"/>
        <v>22238</v>
      </c>
      <c r="N42" s="56">
        <f t="shared" si="31"/>
        <v>17030</v>
      </c>
      <c r="O42" s="56">
        <f>17030</f>
        <v>17030</v>
      </c>
      <c r="P42" s="58"/>
      <c r="Q42" s="56">
        <f t="shared" si="32"/>
        <v>5208</v>
      </c>
      <c r="R42" s="58">
        <v>5208</v>
      </c>
      <c r="S42" s="58"/>
      <c r="T42" s="55">
        <f t="shared" si="33"/>
        <v>89716.399000000005</v>
      </c>
      <c r="U42" s="51">
        <f t="shared" si="34"/>
        <v>71831.455000000002</v>
      </c>
      <c r="V42" s="51">
        <f t="shared" si="35"/>
        <v>17884.944</v>
      </c>
      <c r="W42" s="56">
        <f t="shared" si="36"/>
        <v>67566.255000000005</v>
      </c>
      <c r="X42" s="56">
        <f t="shared" si="37"/>
        <v>54842.555</v>
      </c>
      <c r="Y42" s="56">
        <f>54842.555</f>
        <v>54842.555</v>
      </c>
      <c r="Z42" s="58"/>
      <c r="AA42" s="56">
        <f t="shared" si="38"/>
        <v>12723.699999999999</v>
      </c>
      <c r="AB42" s="58">
        <v>12723.699999999999</v>
      </c>
      <c r="AC42" s="58"/>
      <c r="AD42" s="56">
        <f t="shared" si="39"/>
        <v>22150.144</v>
      </c>
      <c r="AE42" s="56">
        <f t="shared" si="40"/>
        <v>16988.900000000001</v>
      </c>
      <c r="AF42" s="57">
        <v>16988.900000000001</v>
      </c>
      <c r="AG42" s="58"/>
      <c r="AH42" s="56">
        <f t="shared" si="41"/>
        <v>5161.2440000000006</v>
      </c>
      <c r="AI42" s="58">
        <v>5161.2440000000006</v>
      </c>
      <c r="AJ42" s="58"/>
      <c r="AK42" s="350">
        <f t="shared" si="42"/>
        <v>1.0247564106957248</v>
      </c>
      <c r="AL42" s="350">
        <f t="shared" si="24"/>
        <v>1.032877345603566</v>
      </c>
      <c r="AM42" s="350">
        <f t="shared" si="24"/>
        <v>0.99338724727838257</v>
      </c>
      <c r="AN42" s="350">
        <f t="shared" si="24"/>
        <v>1.0345310131524552</v>
      </c>
      <c r="AO42" s="350">
        <f t="shared" si="24"/>
        <v>1.0443217176044939</v>
      </c>
      <c r="AP42" s="350">
        <f t="shared" si="24"/>
        <v>1.0443217176044939</v>
      </c>
      <c r="AQ42" s="350"/>
      <c r="AR42" s="350">
        <f t="shared" si="43"/>
        <v>0.99434979681150348</v>
      </c>
      <c r="AS42" s="350">
        <f t="shared" si="43"/>
        <v>0.99434979681150348</v>
      </c>
      <c r="AT42" s="350"/>
      <c r="AU42" s="350">
        <f t="shared" si="25"/>
        <v>0.99604928500764456</v>
      </c>
      <c r="AV42" s="350">
        <f t="shared" si="25"/>
        <v>0.99758661186142106</v>
      </c>
      <c r="AW42" s="350">
        <f t="shared" si="25"/>
        <v>0.99758661186142106</v>
      </c>
      <c r="AX42" s="350"/>
      <c r="AY42" s="350">
        <f t="shared" si="26"/>
        <v>0.99102227342549931</v>
      </c>
      <c r="AZ42" s="350">
        <f t="shared" si="26"/>
        <v>0.99102227342549931</v>
      </c>
      <c r="BA42" s="350"/>
    </row>
    <row r="43" spans="1:53">
      <c r="A43" s="48">
        <v>10</v>
      </c>
      <c r="B43" s="53" t="s">
        <v>345</v>
      </c>
      <c r="C43" s="55">
        <f t="shared" si="3"/>
        <v>104176</v>
      </c>
      <c r="D43" s="51">
        <f t="shared" si="4"/>
        <v>84107</v>
      </c>
      <c r="E43" s="51">
        <f t="shared" si="5"/>
        <v>20069</v>
      </c>
      <c r="F43" s="56">
        <f t="shared" si="27"/>
        <v>69485</v>
      </c>
      <c r="G43" s="56">
        <f t="shared" si="28"/>
        <v>55717</v>
      </c>
      <c r="H43" s="56">
        <f>29613+26104</f>
        <v>55717</v>
      </c>
      <c r="I43" s="58"/>
      <c r="J43" s="56">
        <f t="shared" si="29"/>
        <v>13768</v>
      </c>
      <c r="K43" s="58">
        <v>13768</v>
      </c>
      <c r="L43" s="58"/>
      <c r="M43" s="56">
        <f t="shared" si="30"/>
        <v>34691</v>
      </c>
      <c r="N43" s="56">
        <f t="shared" si="31"/>
        <v>28390</v>
      </c>
      <c r="O43" s="56">
        <f>28390</f>
        <v>28390</v>
      </c>
      <c r="P43" s="58"/>
      <c r="Q43" s="56">
        <f t="shared" si="32"/>
        <v>6301</v>
      </c>
      <c r="R43" s="58">
        <v>6301</v>
      </c>
      <c r="S43" s="58"/>
      <c r="T43" s="55">
        <f t="shared" si="33"/>
        <v>108531.99129000001</v>
      </c>
      <c r="U43" s="51">
        <f t="shared" si="34"/>
        <v>88582.944300000003</v>
      </c>
      <c r="V43" s="51">
        <f t="shared" si="35"/>
        <v>19949.046990000003</v>
      </c>
      <c r="W43" s="56">
        <f t="shared" si="36"/>
        <v>73570.742989999999</v>
      </c>
      <c r="X43" s="56">
        <f t="shared" si="37"/>
        <v>59847.908499999998</v>
      </c>
      <c r="Y43" s="56">
        <f>59847.9085</f>
        <v>59847.908499999998</v>
      </c>
      <c r="Z43" s="58"/>
      <c r="AA43" s="56">
        <f t="shared" si="38"/>
        <v>13722.834490000001</v>
      </c>
      <c r="AB43" s="58">
        <v>13722.834490000001</v>
      </c>
      <c r="AC43" s="58"/>
      <c r="AD43" s="56">
        <f t="shared" si="39"/>
        <v>34961.248299999999</v>
      </c>
      <c r="AE43" s="56">
        <f t="shared" si="40"/>
        <v>28735.035799999998</v>
      </c>
      <c r="AF43" s="57">
        <v>28735.035799999998</v>
      </c>
      <c r="AG43" s="58"/>
      <c r="AH43" s="56">
        <f t="shared" si="41"/>
        <v>6226.2124999999996</v>
      </c>
      <c r="AI43" s="58">
        <v>6226.2124999999996</v>
      </c>
      <c r="AJ43" s="58"/>
      <c r="AK43" s="350">
        <f t="shared" si="42"/>
        <v>1.0418137698702197</v>
      </c>
      <c r="AL43" s="350">
        <f t="shared" si="24"/>
        <v>1.0532172625346286</v>
      </c>
      <c r="AM43" s="350">
        <f t="shared" si="24"/>
        <v>0.99402297025262853</v>
      </c>
      <c r="AN43" s="350">
        <f t="shared" si="24"/>
        <v>1.0588003596459667</v>
      </c>
      <c r="AO43" s="350">
        <f t="shared" si="24"/>
        <v>1.0741408995459196</v>
      </c>
      <c r="AP43" s="350">
        <f t="shared" si="24"/>
        <v>1.0741408995459196</v>
      </c>
      <c r="AQ43" s="350"/>
      <c r="AR43" s="350">
        <f t="shared" si="43"/>
        <v>0.99671953006972702</v>
      </c>
      <c r="AS43" s="350">
        <f t="shared" si="43"/>
        <v>0.99671953006972702</v>
      </c>
      <c r="AT43" s="350"/>
      <c r="AU43" s="350">
        <f t="shared" si="25"/>
        <v>1.0077901559482285</v>
      </c>
      <c r="AV43" s="350">
        <f t="shared" si="25"/>
        <v>1.0121534272631207</v>
      </c>
      <c r="AW43" s="350">
        <f t="shared" si="25"/>
        <v>1.0121534272631207</v>
      </c>
      <c r="AX43" s="350"/>
      <c r="AY43" s="350">
        <f t="shared" si="26"/>
        <v>0.98813085224567521</v>
      </c>
      <c r="AZ43" s="350">
        <f t="shared" si="26"/>
        <v>0.98813085224567521</v>
      </c>
      <c r="BA43" s="350"/>
    </row>
    <row r="44" spans="1:53">
      <c r="A44" s="59"/>
      <c r="B44" s="60"/>
      <c r="C44" s="61"/>
      <c r="D44" s="62"/>
      <c r="E44" s="62"/>
      <c r="F44" s="62"/>
      <c r="G44" s="62"/>
      <c r="H44" s="62"/>
      <c r="I44" s="62"/>
      <c r="J44" s="62"/>
      <c r="K44" s="62"/>
      <c r="L44" s="62"/>
      <c r="M44" s="62"/>
      <c r="N44" s="62"/>
      <c r="O44" s="62"/>
      <c r="P44" s="62"/>
      <c r="Q44" s="62"/>
      <c r="R44" s="62"/>
      <c r="S44" s="62"/>
      <c r="T44" s="61"/>
      <c r="U44" s="62"/>
      <c r="V44" s="62"/>
      <c r="W44" s="62"/>
      <c r="X44" s="62"/>
      <c r="Y44" s="62"/>
      <c r="Z44" s="62"/>
      <c r="AA44" s="62"/>
      <c r="AB44" s="62"/>
      <c r="AC44" s="62"/>
      <c r="AD44" s="62"/>
      <c r="AE44" s="62"/>
      <c r="AF44" s="62"/>
      <c r="AG44" s="62"/>
      <c r="AH44" s="62"/>
      <c r="AI44" s="62"/>
      <c r="AJ44" s="62"/>
      <c r="AK44" s="61"/>
      <c r="AL44" s="62"/>
      <c r="AM44" s="62"/>
      <c r="AN44" s="62"/>
      <c r="AO44" s="62"/>
      <c r="AP44" s="62"/>
      <c r="AQ44" s="62"/>
      <c r="AR44" s="62"/>
      <c r="AS44" s="62"/>
      <c r="AT44" s="62"/>
      <c r="AU44" s="62"/>
      <c r="AV44" s="62"/>
      <c r="AW44" s="62"/>
      <c r="AX44" s="59"/>
      <c r="AY44" s="59"/>
      <c r="AZ44" s="59"/>
      <c r="BA44" s="59"/>
    </row>
  </sheetData>
  <mergeCells count="47">
    <mergeCell ref="AR9:AT9"/>
    <mergeCell ref="AU9:AU10"/>
    <mergeCell ref="AV9:AX9"/>
    <mergeCell ref="AY9:BA9"/>
    <mergeCell ref="AE9:AG9"/>
    <mergeCell ref="AH9:AJ9"/>
    <mergeCell ref="AL9:AL10"/>
    <mergeCell ref="AM9:AM10"/>
    <mergeCell ref="AN9:AN10"/>
    <mergeCell ref="AO9:AQ9"/>
    <mergeCell ref="J9:L9"/>
    <mergeCell ref="M9:M10"/>
    <mergeCell ref="N9:P9"/>
    <mergeCell ref="Q9:S9"/>
    <mergeCell ref="U9:U10"/>
    <mergeCell ref="W8:AC8"/>
    <mergeCell ref="AD8:AJ8"/>
    <mergeCell ref="AK8:AK10"/>
    <mergeCell ref="AL8:AM8"/>
    <mergeCell ref="U8:V8"/>
    <mergeCell ref="W9:W10"/>
    <mergeCell ref="X9:Z9"/>
    <mergeCell ref="AA9:AC9"/>
    <mergeCell ref="AD9:AD10"/>
    <mergeCell ref="V9:V10"/>
    <mergeCell ref="A1:B1"/>
    <mergeCell ref="Q1:S1"/>
    <mergeCell ref="A3:BA3"/>
    <mergeCell ref="A4:BA4"/>
    <mergeCell ref="AZ6:BA6"/>
    <mergeCell ref="AY1:BA1"/>
    <mergeCell ref="A7:A10"/>
    <mergeCell ref="B7:B10"/>
    <mergeCell ref="C7:S7"/>
    <mergeCell ref="T7:AJ7"/>
    <mergeCell ref="AK7:BA7"/>
    <mergeCell ref="C8:C10"/>
    <mergeCell ref="D8:E8"/>
    <mergeCell ref="F8:L8"/>
    <mergeCell ref="M8:S8"/>
    <mergeCell ref="T8:T10"/>
    <mergeCell ref="D9:D10"/>
    <mergeCell ref="E9:E10"/>
    <mergeCell ref="F9:F10"/>
    <mergeCell ref="G9:I9"/>
    <mergeCell ref="AN8:AT8"/>
    <mergeCell ref="AU8:BA8"/>
  </mergeCells>
  <dataValidations count="5">
    <dataValidation allowBlank="1" showInputMessage="1" showErrorMessage="1" prompt="Trong năm, đã Điều chỉnh giảm 12.503 tr.đ tại Quyết định số 1421/QĐ-UBND ngày 13/12/2019" sqref="H31" xr:uid="{C59D23CD-6AEB-441B-B6DE-3A29F9CF89B6}"/>
    <dataValidation allowBlank="1" showInputMessage="1" showErrorMessage="1" prompt="Trong năm, đã Điều chỉnh giảm 14.400 tr.đ tại Quyết định số 1421/QĐ-UBND ngày 13/12/2019" sqref="H29" xr:uid="{C85AE1AE-EB4A-4F71-B1EA-2E3DB52B2838}"/>
    <dataValidation allowBlank="1" showInputMessage="1" showErrorMessage="1" prompt="Trong năm, đã Điều chỉnh giảm 13.841 tr.đ tại Quyết định số 1421/QĐ-UBND ngày 13/12/2019" sqref="H28" xr:uid="{3837CBD2-0F63-4712-975A-087AE3D31ED3}"/>
    <dataValidation allowBlank="1" showInputMessage="1" showErrorMessage="1" prompt="Quyết toán số năm trước chuyển sang" sqref="Y28:Y29" xr:uid="{86AC1F4C-04CA-4DE2-BDB3-1E022DDB50FC}"/>
    <dataValidation allowBlank="1" showInputMessage="1" showErrorMessage="1" prompt="Điều chỉnh tăng tại Quyết định số 1421/QĐ-UBND ngày 13/12/2019" sqref="H25:H26" xr:uid="{4F416637-48F2-4B69-81CA-5CAA343B89D9}"/>
  </dataValidations>
  <pageMargins left="0" right="0" top="0" bottom="0" header="0.31496062992125984" footer="0.31496062992125984"/>
  <pageSetup paperSize="9" scale="7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A44"/>
  <sheetViews>
    <sheetView showZeros="0" zoomScale="85" zoomScaleNormal="85" workbookViewId="0">
      <pane xSplit="2" ySplit="12" topLeftCell="C13" activePane="bottomRight" state="frozen"/>
      <selection pane="topRight" activeCell="C1" sqref="C1"/>
      <selection pane="bottomLeft" activeCell="A13" sqref="A13"/>
      <selection pane="bottomRight" activeCell="F13" sqref="F13"/>
    </sheetView>
  </sheetViews>
  <sheetFormatPr defaultColWidth="9.1796875" defaultRowHeight="14"/>
  <cols>
    <col min="1" max="1" width="5.7265625" style="4" customWidth="1"/>
    <col min="2" max="2" width="22.26953125" style="4" customWidth="1"/>
    <col min="3" max="3" width="11" style="4" customWidth="1"/>
    <col min="4" max="4" width="9.1796875" style="4"/>
    <col min="5" max="5" width="8.54296875" style="4" customWidth="1"/>
    <col min="6" max="7" width="9.1796875" style="4"/>
    <col min="8" max="8" width="8.81640625" style="4" customWidth="1"/>
    <col min="9" max="13" width="9.1796875" style="4"/>
    <col min="14" max="14" width="10.26953125" style="4" customWidth="1"/>
    <col min="15" max="16" width="9.1796875" style="4"/>
    <col min="17" max="17" width="10.54296875" style="4" customWidth="1"/>
    <col min="18" max="16384" width="9.1796875" style="4"/>
  </cols>
  <sheetData>
    <row r="1" spans="1:53" ht="15" customHeight="1">
      <c r="A1" s="612"/>
      <c r="B1" s="612"/>
      <c r="Q1" s="577"/>
      <c r="R1" s="577"/>
      <c r="S1" s="577"/>
    </row>
    <row r="2" spans="1:53">
      <c r="A2" s="39"/>
    </row>
    <row r="3" spans="1:53">
      <c r="A3" s="613" t="s">
        <v>465</v>
      </c>
      <c r="B3" s="613"/>
      <c r="C3" s="613"/>
      <c r="D3" s="613"/>
      <c r="E3" s="613"/>
      <c r="F3" s="613"/>
      <c r="G3" s="613"/>
      <c r="H3" s="613"/>
      <c r="I3" s="613"/>
      <c r="J3" s="613"/>
      <c r="K3" s="613"/>
      <c r="L3" s="613"/>
      <c r="M3" s="613"/>
      <c r="N3" s="613"/>
      <c r="O3" s="613"/>
      <c r="P3" s="613"/>
      <c r="Q3" s="613"/>
      <c r="R3" s="613"/>
      <c r="S3" s="613"/>
      <c r="T3" s="613"/>
      <c r="U3" s="613"/>
      <c r="V3" s="613"/>
      <c r="W3" s="613"/>
      <c r="X3" s="613"/>
      <c r="Y3" s="613"/>
      <c r="Z3" s="613"/>
      <c r="AA3" s="613"/>
      <c r="AB3" s="613"/>
      <c r="AC3" s="613"/>
      <c r="AD3" s="613"/>
      <c r="AE3" s="613"/>
      <c r="AF3" s="613"/>
      <c r="AG3" s="613"/>
      <c r="AH3" s="613"/>
      <c r="AI3" s="613"/>
      <c r="AJ3" s="613"/>
      <c r="AK3" s="613"/>
      <c r="AL3" s="613"/>
      <c r="AM3" s="613"/>
      <c r="AN3" s="613"/>
      <c r="AO3" s="613"/>
      <c r="AP3" s="613"/>
      <c r="AQ3" s="613"/>
      <c r="AR3" s="613"/>
      <c r="AS3" s="613"/>
      <c r="AT3" s="613"/>
      <c r="AU3" s="613"/>
      <c r="AV3" s="613"/>
      <c r="AW3" s="613"/>
      <c r="AX3" s="613"/>
      <c r="AY3" s="613"/>
      <c r="AZ3" s="613"/>
      <c r="BA3" s="613"/>
    </row>
    <row r="4" spans="1:53">
      <c r="A4" s="584" t="s">
        <v>52</v>
      </c>
      <c r="B4" s="584"/>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584"/>
      <c r="AJ4" s="584"/>
      <c r="AK4" s="584"/>
      <c r="AL4" s="584"/>
      <c r="AM4" s="584"/>
      <c r="AN4" s="584"/>
      <c r="AO4" s="584"/>
      <c r="AP4" s="584"/>
      <c r="AQ4" s="584"/>
      <c r="AR4" s="584"/>
      <c r="AS4" s="584"/>
      <c r="AT4" s="584"/>
      <c r="AU4" s="584"/>
      <c r="AV4" s="584"/>
      <c r="AW4" s="584"/>
      <c r="AX4" s="584"/>
      <c r="AY4" s="584"/>
      <c r="AZ4" s="584"/>
      <c r="BA4" s="584"/>
    </row>
    <row r="5" spans="1:53">
      <c r="B5" s="40" t="s">
        <v>466</v>
      </c>
    </row>
    <row r="6" spans="1:53">
      <c r="R6" s="74"/>
      <c r="S6" s="74"/>
      <c r="W6" s="41">
        <v>240154.62013</v>
      </c>
      <c r="AZ6" s="584" t="s">
        <v>53</v>
      </c>
      <c r="BA6" s="584"/>
    </row>
    <row r="7" spans="1:53" s="6" customFormat="1" ht="24.75" customHeight="1">
      <c r="A7" s="609" t="s">
        <v>1</v>
      </c>
      <c r="B7" s="609" t="s">
        <v>54</v>
      </c>
      <c r="C7" s="610" t="s">
        <v>346</v>
      </c>
      <c r="D7" s="610"/>
      <c r="E7" s="610"/>
      <c r="F7" s="610"/>
      <c r="G7" s="610"/>
      <c r="H7" s="610"/>
      <c r="I7" s="610"/>
      <c r="J7" s="610"/>
      <c r="K7" s="610"/>
      <c r="L7" s="610"/>
      <c r="M7" s="610"/>
      <c r="N7" s="610"/>
      <c r="O7" s="610"/>
      <c r="P7" s="610"/>
      <c r="Q7" s="610"/>
      <c r="R7" s="610"/>
      <c r="S7" s="610"/>
      <c r="T7" s="610" t="s">
        <v>347</v>
      </c>
      <c r="U7" s="610"/>
      <c r="V7" s="610"/>
      <c r="W7" s="610"/>
      <c r="X7" s="610"/>
      <c r="Y7" s="610"/>
      <c r="Z7" s="610"/>
      <c r="AA7" s="610"/>
      <c r="AB7" s="610"/>
      <c r="AC7" s="610"/>
      <c r="AD7" s="610"/>
      <c r="AE7" s="610"/>
      <c r="AF7" s="610"/>
      <c r="AG7" s="610"/>
      <c r="AH7" s="610"/>
      <c r="AI7" s="610"/>
      <c r="AJ7" s="610"/>
      <c r="AK7" s="610" t="s">
        <v>348</v>
      </c>
      <c r="AL7" s="610"/>
      <c r="AM7" s="610"/>
      <c r="AN7" s="610"/>
      <c r="AO7" s="610"/>
      <c r="AP7" s="610"/>
      <c r="AQ7" s="610"/>
      <c r="AR7" s="610"/>
      <c r="AS7" s="610"/>
      <c r="AT7" s="610"/>
      <c r="AU7" s="610"/>
      <c r="AV7" s="610"/>
      <c r="AW7" s="610"/>
      <c r="AX7" s="610"/>
      <c r="AY7" s="610"/>
      <c r="AZ7" s="610"/>
      <c r="BA7" s="610"/>
    </row>
    <row r="8" spans="1:53">
      <c r="A8" s="609"/>
      <c r="B8" s="609"/>
      <c r="C8" s="609" t="s">
        <v>151</v>
      </c>
      <c r="D8" s="609" t="s">
        <v>157</v>
      </c>
      <c r="E8" s="609"/>
      <c r="F8" s="609" t="s">
        <v>467</v>
      </c>
      <c r="G8" s="609"/>
      <c r="H8" s="609"/>
      <c r="I8" s="609"/>
      <c r="J8" s="609"/>
      <c r="K8" s="609"/>
      <c r="L8" s="609"/>
      <c r="M8" s="609" t="s">
        <v>468</v>
      </c>
      <c r="N8" s="609"/>
      <c r="O8" s="609"/>
      <c r="P8" s="609"/>
      <c r="Q8" s="609"/>
      <c r="R8" s="609"/>
      <c r="S8" s="609"/>
      <c r="T8" s="609" t="s">
        <v>151</v>
      </c>
      <c r="U8" s="609" t="s">
        <v>157</v>
      </c>
      <c r="V8" s="609"/>
      <c r="W8" s="609" t="s">
        <v>467</v>
      </c>
      <c r="X8" s="609"/>
      <c r="Y8" s="609"/>
      <c r="Z8" s="609"/>
      <c r="AA8" s="609"/>
      <c r="AB8" s="609"/>
      <c r="AC8" s="609"/>
      <c r="AD8" s="609" t="s">
        <v>468</v>
      </c>
      <c r="AE8" s="609"/>
      <c r="AF8" s="609"/>
      <c r="AG8" s="609"/>
      <c r="AH8" s="609"/>
      <c r="AI8" s="609"/>
      <c r="AJ8" s="609"/>
      <c r="AK8" s="609" t="s">
        <v>151</v>
      </c>
      <c r="AL8" s="609" t="s">
        <v>157</v>
      </c>
      <c r="AM8" s="609"/>
      <c r="AN8" s="609" t="s">
        <v>467</v>
      </c>
      <c r="AO8" s="609"/>
      <c r="AP8" s="609"/>
      <c r="AQ8" s="609"/>
      <c r="AR8" s="609"/>
      <c r="AS8" s="609"/>
      <c r="AT8" s="609"/>
      <c r="AU8" s="609" t="s">
        <v>468</v>
      </c>
      <c r="AV8" s="609"/>
      <c r="AW8" s="609"/>
      <c r="AX8" s="609"/>
      <c r="AY8" s="609"/>
      <c r="AZ8" s="609"/>
      <c r="BA8" s="609"/>
    </row>
    <row r="9" spans="1:53" ht="14.25" customHeight="1">
      <c r="A9" s="609"/>
      <c r="B9" s="609"/>
      <c r="C9" s="609"/>
      <c r="D9" s="611" t="s">
        <v>469</v>
      </c>
      <c r="E9" s="611" t="s">
        <v>470</v>
      </c>
      <c r="F9" s="609" t="s">
        <v>151</v>
      </c>
      <c r="G9" s="611" t="s">
        <v>469</v>
      </c>
      <c r="H9" s="611"/>
      <c r="I9" s="611"/>
      <c r="J9" s="611" t="s">
        <v>470</v>
      </c>
      <c r="K9" s="611"/>
      <c r="L9" s="611"/>
      <c r="M9" s="609" t="s">
        <v>151</v>
      </c>
      <c r="N9" s="611" t="s">
        <v>469</v>
      </c>
      <c r="O9" s="611"/>
      <c r="P9" s="611"/>
      <c r="Q9" s="611" t="s">
        <v>470</v>
      </c>
      <c r="R9" s="611"/>
      <c r="S9" s="611"/>
      <c r="T9" s="609"/>
      <c r="U9" s="611" t="s">
        <v>469</v>
      </c>
      <c r="V9" s="611" t="s">
        <v>470</v>
      </c>
      <c r="W9" s="609" t="s">
        <v>151</v>
      </c>
      <c r="X9" s="611" t="s">
        <v>469</v>
      </c>
      <c r="Y9" s="611"/>
      <c r="Z9" s="611"/>
      <c r="AA9" s="611" t="s">
        <v>470</v>
      </c>
      <c r="AB9" s="611"/>
      <c r="AC9" s="611"/>
      <c r="AD9" s="609" t="s">
        <v>151</v>
      </c>
      <c r="AE9" s="611" t="s">
        <v>469</v>
      </c>
      <c r="AF9" s="611"/>
      <c r="AG9" s="611"/>
      <c r="AH9" s="611" t="s">
        <v>470</v>
      </c>
      <c r="AI9" s="611"/>
      <c r="AJ9" s="611"/>
      <c r="AK9" s="609"/>
      <c r="AL9" s="611" t="s">
        <v>469</v>
      </c>
      <c r="AM9" s="611" t="s">
        <v>470</v>
      </c>
      <c r="AN9" s="609" t="s">
        <v>151</v>
      </c>
      <c r="AO9" s="611" t="s">
        <v>469</v>
      </c>
      <c r="AP9" s="611"/>
      <c r="AQ9" s="611"/>
      <c r="AR9" s="611" t="s">
        <v>470</v>
      </c>
      <c r="AS9" s="611"/>
      <c r="AT9" s="611"/>
      <c r="AU9" s="609" t="s">
        <v>151</v>
      </c>
      <c r="AV9" s="611" t="s">
        <v>469</v>
      </c>
      <c r="AW9" s="611"/>
      <c r="AX9" s="611"/>
      <c r="AY9" s="611" t="s">
        <v>470</v>
      </c>
      <c r="AZ9" s="611"/>
      <c r="BA9" s="611"/>
    </row>
    <row r="10" spans="1:53" ht="46.5" customHeight="1">
      <c r="A10" s="609"/>
      <c r="B10" s="609"/>
      <c r="C10" s="609"/>
      <c r="D10" s="611"/>
      <c r="E10" s="611"/>
      <c r="F10" s="609"/>
      <c r="G10" s="73" t="s">
        <v>151</v>
      </c>
      <c r="H10" s="73" t="s">
        <v>170</v>
      </c>
      <c r="I10" s="73" t="s">
        <v>169</v>
      </c>
      <c r="J10" s="73" t="s">
        <v>151</v>
      </c>
      <c r="K10" s="73" t="s">
        <v>170</v>
      </c>
      <c r="L10" s="73" t="s">
        <v>169</v>
      </c>
      <c r="M10" s="609"/>
      <c r="N10" s="73" t="s">
        <v>151</v>
      </c>
      <c r="O10" s="73" t="s">
        <v>170</v>
      </c>
      <c r="P10" s="73" t="s">
        <v>169</v>
      </c>
      <c r="Q10" s="73" t="s">
        <v>151</v>
      </c>
      <c r="R10" s="73" t="s">
        <v>170</v>
      </c>
      <c r="S10" s="73" t="s">
        <v>169</v>
      </c>
      <c r="T10" s="609"/>
      <c r="U10" s="611"/>
      <c r="V10" s="611"/>
      <c r="W10" s="609"/>
      <c r="X10" s="73" t="s">
        <v>151</v>
      </c>
      <c r="Y10" s="73" t="s">
        <v>170</v>
      </c>
      <c r="Z10" s="73" t="s">
        <v>169</v>
      </c>
      <c r="AA10" s="73" t="s">
        <v>151</v>
      </c>
      <c r="AB10" s="73" t="s">
        <v>170</v>
      </c>
      <c r="AC10" s="73" t="s">
        <v>169</v>
      </c>
      <c r="AD10" s="609"/>
      <c r="AE10" s="73" t="s">
        <v>151</v>
      </c>
      <c r="AF10" s="73" t="s">
        <v>170</v>
      </c>
      <c r="AG10" s="73" t="s">
        <v>169</v>
      </c>
      <c r="AH10" s="73" t="s">
        <v>151</v>
      </c>
      <c r="AI10" s="73" t="s">
        <v>170</v>
      </c>
      <c r="AJ10" s="73" t="s">
        <v>169</v>
      </c>
      <c r="AK10" s="609"/>
      <c r="AL10" s="611"/>
      <c r="AM10" s="611"/>
      <c r="AN10" s="609"/>
      <c r="AO10" s="73" t="s">
        <v>151</v>
      </c>
      <c r="AP10" s="73" t="s">
        <v>170</v>
      </c>
      <c r="AQ10" s="73" t="s">
        <v>169</v>
      </c>
      <c r="AR10" s="73" t="s">
        <v>151</v>
      </c>
      <c r="AS10" s="73" t="s">
        <v>170</v>
      </c>
      <c r="AT10" s="73" t="s">
        <v>169</v>
      </c>
      <c r="AU10" s="609"/>
      <c r="AV10" s="73" t="s">
        <v>151</v>
      </c>
      <c r="AW10" s="73" t="s">
        <v>170</v>
      </c>
      <c r="AX10" s="73" t="s">
        <v>169</v>
      </c>
      <c r="AY10" s="73" t="s">
        <v>151</v>
      </c>
      <c r="AZ10" s="73" t="s">
        <v>170</v>
      </c>
      <c r="BA10" s="73" t="s">
        <v>169</v>
      </c>
    </row>
    <row r="11" spans="1:53" ht="23.25" customHeight="1">
      <c r="A11" s="73" t="s">
        <v>8</v>
      </c>
      <c r="B11" s="73" t="s">
        <v>9</v>
      </c>
      <c r="C11" s="73">
        <v>1</v>
      </c>
      <c r="D11" s="73">
        <v>2</v>
      </c>
      <c r="E11" s="73">
        <v>3</v>
      </c>
      <c r="F11" s="73">
        <v>4</v>
      </c>
      <c r="G11" s="73">
        <v>5</v>
      </c>
      <c r="H11" s="73">
        <v>6</v>
      </c>
      <c r="I11" s="73">
        <v>7</v>
      </c>
      <c r="J11" s="73">
        <v>8</v>
      </c>
      <c r="K11" s="73">
        <v>9</v>
      </c>
      <c r="L11" s="73">
        <v>10</v>
      </c>
      <c r="M11" s="73">
        <v>11</v>
      </c>
      <c r="N11" s="73">
        <v>12</v>
      </c>
      <c r="O11" s="73">
        <v>13</v>
      </c>
      <c r="P11" s="73">
        <v>14</v>
      </c>
      <c r="Q11" s="73">
        <v>15</v>
      </c>
      <c r="R11" s="73">
        <v>16</v>
      </c>
      <c r="S11" s="73">
        <v>17</v>
      </c>
      <c r="T11" s="73">
        <v>18</v>
      </c>
      <c r="U11" s="73">
        <v>19</v>
      </c>
      <c r="V11" s="73">
        <v>20</v>
      </c>
      <c r="W11" s="73">
        <v>21</v>
      </c>
      <c r="X11" s="73">
        <v>22</v>
      </c>
      <c r="Y11" s="73">
        <v>23</v>
      </c>
      <c r="Z11" s="73">
        <v>24</v>
      </c>
      <c r="AA11" s="73">
        <v>25</v>
      </c>
      <c r="AB11" s="73">
        <v>26</v>
      </c>
      <c r="AC11" s="73">
        <v>27</v>
      </c>
      <c r="AD11" s="73">
        <v>28</v>
      </c>
      <c r="AE11" s="73">
        <v>29</v>
      </c>
      <c r="AF11" s="73">
        <v>30</v>
      </c>
      <c r="AG11" s="73">
        <v>31</v>
      </c>
      <c r="AH11" s="73">
        <v>32</v>
      </c>
      <c r="AI11" s="73">
        <v>33</v>
      </c>
      <c r="AJ11" s="73">
        <v>34</v>
      </c>
      <c r="AK11" s="73" t="s">
        <v>471</v>
      </c>
      <c r="AL11" s="73" t="s">
        <v>472</v>
      </c>
      <c r="AM11" s="73" t="s">
        <v>473</v>
      </c>
      <c r="AN11" s="73" t="s">
        <v>474</v>
      </c>
      <c r="AO11" s="73" t="s">
        <v>475</v>
      </c>
      <c r="AP11" s="73" t="s">
        <v>476</v>
      </c>
      <c r="AQ11" s="73" t="s">
        <v>477</v>
      </c>
      <c r="AR11" s="73" t="s">
        <v>478</v>
      </c>
      <c r="AS11" s="73" t="s">
        <v>479</v>
      </c>
      <c r="AT11" s="73" t="s">
        <v>480</v>
      </c>
      <c r="AU11" s="73" t="s">
        <v>481</v>
      </c>
      <c r="AV11" s="73" t="s">
        <v>482</v>
      </c>
      <c r="AW11" s="73" t="s">
        <v>483</v>
      </c>
      <c r="AX11" s="73" t="s">
        <v>484</v>
      </c>
      <c r="AY11" s="73" t="s">
        <v>485</v>
      </c>
      <c r="AZ11" s="73" t="s">
        <v>486</v>
      </c>
      <c r="BA11" s="73" t="s">
        <v>487</v>
      </c>
    </row>
    <row r="12" spans="1:53">
      <c r="A12" s="42"/>
      <c r="B12" s="43" t="s">
        <v>152</v>
      </c>
      <c r="C12" s="44">
        <f t="shared" ref="C12:AJ12" si="0">SUBTOTAL(9,C13:C44)</f>
        <v>496403.44900000002</v>
      </c>
      <c r="D12" s="45">
        <f t="shared" si="0"/>
        <v>386762.44900000002</v>
      </c>
      <c r="E12" s="45">
        <f t="shared" si="0"/>
        <v>109641</v>
      </c>
      <c r="F12" s="44">
        <f t="shared" si="0"/>
        <v>288303.44900000002</v>
      </c>
      <c r="G12" s="45">
        <f t="shared" si="0"/>
        <v>227162.44899999999</v>
      </c>
      <c r="H12" s="45">
        <f t="shared" si="0"/>
        <v>227162.44899999999</v>
      </c>
      <c r="I12" s="45">
        <f t="shared" si="0"/>
        <v>0</v>
      </c>
      <c r="J12" s="45">
        <f t="shared" si="0"/>
        <v>61141</v>
      </c>
      <c r="K12" s="45">
        <f t="shared" si="0"/>
        <v>61141</v>
      </c>
      <c r="L12" s="45">
        <f t="shared" si="0"/>
        <v>0</v>
      </c>
      <c r="M12" s="44">
        <f t="shared" si="0"/>
        <v>208100</v>
      </c>
      <c r="N12" s="45">
        <f t="shared" si="0"/>
        <v>159600</v>
      </c>
      <c r="O12" s="45">
        <f t="shared" si="0"/>
        <v>159600</v>
      </c>
      <c r="P12" s="45">
        <f t="shared" si="0"/>
        <v>0</v>
      </c>
      <c r="Q12" s="45">
        <f t="shared" si="0"/>
        <v>48500</v>
      </c>
      <c r="R12" s="45">
        <f t="shared" si="0"/>
        <v>48500</v>
      </c>
      <c r="S12" s="45">
        <f t="shared" si="0"/>
        <v>0</v>
      </c>
      <c r="T12" s="44">
        <f t="shared" si="0"/>
        <v>434534.76735700003</v>
      </c>
      <c r="U12" s="45">
        <f t="shared" si="0"/>
        <v>328399.94715799997</v>
      </c>
      <c r="V12" s="45">
        <f t="shared" si="0"/>
        <v>106134.82019900001</v>
      </c>
      <c r="W12" s="44">
        <f t="shared" si="0"/>
        <v>240154.62013</v>
      </c>
      <c r="X12" s="45">
        <f t="shared" si="0"/>
        <v>180160.83463299999</v>
      </c>
      <c r="Y12" s="45">
        <f t="shared" si="0"/>
        <v>180160.83463299999</v>
      </c>
      <c r="Z12" s="45">
        <f t="shared" si="0"/>
        <v>0</v>
      </c>
      <c r="AA12" s="45">
        <f t="shared" si="0"/>
        <v>59993.785496999997</v>
      </c>
      <c r="AB12" s="45">
        <f t="shared" si="0"/>
        <v>59993.785496999997</v>
      </c>
      <c r="AC12" s="45">
        <f t="shared" si="0"/>
        <v>0</v>
      </c>
      <c r="AD12" s="44">
        <f t="shared" si="0"/>
        <v>194380.14722700001</v>
      </c>
      <c r="AE12" s="45">
        <f t="shared" si="0"/>
        <v>148239.112525</v>
      </c>
      <c r="AF12" s="45">
        <f t="shared" si="0"/>
        <v>148239.112525</v>
      </c>
      <c r="AG12" s="45">
        <f t="shared" si="0"/>
        <v>0</v>
      </c>
      <c r="AH12" s="45">
        <f t="shared" si="0"/>
        <v>46141.034702000004</v>
      </c>
      <c r="AI12" s="45">
        <f t="shared" si="0"/>
        <v>46141.034702000004</v>
      </c>
      <c r="AJ12" s="45">
        <f t="shared" si="0"/>
        <v>0</v>
      </c>
      <c r="AK12" s="75">
        <f>T12/C12</f>
        <v>0.8753661325930876</v>
      </c>
      <c r="AL12" s="75">
        <f t="shared" ref="AL12:AZ23" si="1">U12/D12</f>
        <v>0.84909987514842722</v>
      </c>
      <c r="AM12" s="75">
        <f t="shared" si="1"/>
        <v>0.96802127123065285</v>
      </c>
      <c r="AN12" s="75">
        <f t="shared" si="1"/>
        <v>0.83299253256592143</v>
      </c>
      <c r="AO12" s="75">
        <f t="shared" si="1"/>
        <v>0.79309250021776267</v>
      </c>
      <c r="AP12" s="75">
        <f t="shared" si="1"/>
        <v>0.79309250021776267</v>
      </c>
      <c r="AQ12" s="75"/>
      <c r="AR12" s="75">
        <f t="shared" si="1"/>
        <v>0.98123657606188963</v>
      </c>
      <c r="AS12" s="75">
        <f t="shared" si="1"/>
        <v>0.98123657606188963</v>
      </c>
      <c r="AT12" s="75"/>
      <c r="AU12" s="75">
        <f t="shared" si="1"/>
        <v>0.93407086605958678</v>
      </c>
      <c r="AV12" s="75">
        <f t="shared" si="1"/>
        <v>0.92881649451754389</v>
      </c>
      <c r="AW12" s="75">
        <f t="shared" si="1"/>
        <v>0.92881649451754389</v>
      </c>
      <c r="AX12" s="75"/>
      <c r="AY12" s="75">
        <f t="shared" si="1"/>
        <v>0.95136154024742281</v>
      </c>
      <c r="AZ12" s="75">
        <f t="shared" si="1"/>
        <v>0.95136154024742281</v>
      </c>
      <c r="BA12" s="75"/>
    </row>
    <row r="13" spans="1:53">
      <c r="A13" s="46" t="s">
        <v>13</v>
      </c>
      <c r="B13" s="47" t="s">
        <v>488</v>
      </c>
      <c r="C13" s="45">
        <f>SUBTOTAL(9,C14:C32)</f>
        <v>122850.44899999999</v>
      </c>
      <c r="D13" s="45">
        <f t="shared" ref="D13:AJ13" si="2">SUBTOTAL(9,D14:D32)</f>
        <v>108602.44899999999</v>
      </c>
      <c r="E13" s="45">
        <f t="shared" si="2"/>
        <v>14248</v>
      </c>
      <c r="F13" s="45">
        <f t="shared" si="2"/>
        <v>95400.448999999993</v>
      </c>
      <c r="G13" s="45">
        <f t="shared" si="2"/>
        <v>86702.448999999993</v>
      </c>
      <c r="H13" s="45">
        <f t="shared" si="2"/>
        <v>86702.448999999993</v>
      </c>
      <c r="I13" s="45">
        <f t="shared" si="2"/>
        <v>0</v>
      </c>
      <c r="J13" s="45">
        <f t="shared" si="2"/>
        <v>8698</v>
      </c>
      <c r="K13" s="45">
        <f t="shared" si="2"/>
        <v>8698</v>
      </c>
      <c r="L13" s="45">
        <f t="shared" si="2"/>
        <v>0</v>
      </c>
      <c r="M13" s="45">
        <f t="shared" si="2"/>
        <v>27450</v>
      </c>
      <c r="N13" s="45">
        <f t="shared" si="2"/>
        <v>21900</v>
      </c>
      <c r="O13" s="45">
        <f t="shared" si="2"/>
        <v>21900</v>
      </c>
      <c r="P13" s="45">
        <f t="shared" si="2"/>
        <v>0</v>
      </c>
      <c r="Q13" s="45">
        <f t="shared" si="2"/>
        <v>5550</v>
      </c>
      <c r="R13" s="45">
        <f t="shared" si="2"/>
        <v>5550</v>
      </c>
      <c r="S13" s="45">
        <f t="shared" si="2"/>
        <v>0</v>
      </c>
      <c r="T13" s="45">
        <f t="shared" si="2"/>
        <v>77795.919204999998</v>
      </c>
      <c r="U13" s="45">
        <f t="shared" si="2"/>
        <v>65207.137127999995</v>
      </c>
      <c r="V13" s="45">
        <f t="shared" si="2"/>
        <v>12588.782077</v>
      </c>
      <c r="W13" s="45">
        <f t="shared" si="2"/>
        <v>73175.703320000001</v>
      </c>
      <c r="X13" s="45">
        <f t="shared" si="2"/>
        <v>65140.866242999997</v>
      </c>
      <c r="Y13" s="45">
        <f t="shared" si="2"/>
        <v>65140.866242999997</v>
      </c>
      <c r="Z13" s="45">
        <f t="shared" si="2"/>
        <v>0</v>
      </c>
      <c r="AA13" s="45">
        <f t="shared" si="2"/>
        <v>8034.8370770000001</v>
      </c>
      <c r="AB13" s="45">
        <f t="shared" si="2"/>
        <v>8034.8370770000001</v>
      </c>
      <c r="AC13" s="45">
        <f t="shared" si="2"/>
        <v>0</v>
      </c>
      <c r="AD13" s="45">
        <f t="shared" si="2"/>
        <v>4620.2158849999996</v>
      </c>
      <c r="AE13" s="45">
        <f t="shared" si="2"/>
        <v>66.270884999999993</v>
      </c>
      <c r="AF13" s="45">
        <f t="shared" si="2"/>
        <v>66.270884999999993</v>
      </c>
      <c r="AG13" s="45">
        <f t="shared" si="2"/>
        <v>0</v>
      </c>
      <c r="AH13" s="45">
        <f t="shared" si="2"/>
        <v>4553.9449999999997</v>
      </c>
      <c r="AI13" s="45">
        <f t="shared" si="2"/>
        <v>4553.9449999999997</v>
      </c>
      <c r="AJ13" s="45">
        <f t="shared" si="2"/>
        <v>0</v>
      </c>
      <c r="AK13" s="75">
        <f>T13/C13</f>
        <v>0.63325710111975253</v>
      </c>
      <c r="AL13" s="75"/>
      <c r="AM13" s="75">
        <f t="shared" si="1"/>
        <v>0.88354731028916333</v>
      </c>
      <c r="AN13" s="75">
        <f t="shared" si="1"/>
        <v>0.76703730524371017</v>
      </c>
      <c r="AO13" s="75"/>
      <c r="AP13" s="75"/>
      <c r="AQ13" s="75"/>
      <c r="AR13" s="75">
        <f t="shared" si="1"/>
        <v>0.92375684950563353</v>
      </c>
      <c r="AS13" s="75">
        <f t="shared" si="1"/>
        <v>0.92375684950563353</v>
      </c>
      <c r="AT13" s="75"/>
      <c r="AU13" s="75">
        <f t="shared" si="1"/>
        <v>0.16831387559198541</v>
      </c>
      <c r="AV13" s="75"/>
      <c r="AW13" s="75"/>
      <c r="AX13" s="75"/>
      <c r="AY13" s="75">
        <f t="shared" si="1"/>
        <v>0.82053063063063059</v>
      </c>
      <c r="AZ13" s="75">
        <f t="shared" si="1"/>
        <v>0.82053063063063059</v>
      </c>
      <c r="BA13" s="75"/>
    </row>
    <row r="14" spans="1:53" ht="26">
      <c r="A14" s="48">
        <v>1</v>
      </c>
      <c r="B14" s="49" t="s">
        <v>489</v>
      </c>
      <c r="C14" s="50">
        <f>D14+E14</f>
        <v>1000</v>
      </c>
      <c r="D14" s="51">
        <f>G14+N14</f>
        <v>0</v>
      </c>
      <c r="E14" s="51">
        <f>J14+Q14</f>
        <v>1000</v>
      </c>
      <c r="F14" s="51">
        <f>G14+J14</f>
        <v>0</v>
      </c>
      <c r="G14" s="51">
        <f>H14+I14</f>
        <v>0</v>
      </c>
      <c r="H14" s="52"/>
      <c r="I14" s="51"/>
      <c r="J14" s="51">
        <f>K14+L14</f>
        <v>0</v>
      </c>
      <c r="K14" s="51"/>
      <c r="L14" s="51"/>
      <c r="M14" s="51">
        <f>N14+Q14</f>
        <v>1000</v>
      </c>
      <c r="N14" s="51">
        <f>O14+P14</f>
        <v>0</v>
      </c>
      <c r="O14" s="51"/>
      <c r="P14" s="51"/>
      <c r="Q14" s="51">
        <f>R14+S14</f>
        <v>1000</v>
      </c>
      <c r="R14" s="51">
        <v>1000</v>
      </c>
      <c r="S14" s="51"/>
      <c r="T14" s="50">
        <f>U14+V14</f>
        <v>941.71600000000001</v>
      </c>
      <c r="U14" s="51">
        <f>X14+AE14</f>
        <v>0</v>
      </c>
      <c r="V14" s="51">
        <f>AA14+AH14</f>
        <v>941.71600000000001</v>
      </c>
      <c r="W14" s="51">
        <f>X14+AA14</f>
        <v>0</v>
      </c>
      <c r="X14" s="51">
        <f>Y14+Z14</f>
        <v>0</v>
      </c>
      <c r="Y14" s="52"/>
      <c r="Z14" s="51"/>
      <c r="AA14" s="51">
        <f>AB14+AC14</f>
        <v>0</v>
      </c>
      <c r="AB14" s="51"/>
      <c r="AC14" s="51"/>
      <c r="AD14" s="51">
        <f>AE14+AH14</f>
        <v>941.71600000000001</v>
      </c>
      <c r="AE14" s="51">
        <f>AF14+AG14</f>
        <v>0</v>
      </c>
      <c r="AF14" s="51"/>
      <c r="AG14" s="51"/>
      <c r="AH14" s="51">
        <f>AI14+AJ14</f>
        <v>941.71600000000001</v>
      </c>
      <c r="AI14" s="51">
        <v>941.71600000000001</v>
      </c>
      <c r="AJ14" s="51"/>
      <c r="AK14" s="76">
        <f>T14/C14</f>
        <v>0.941716</v>
      </c>
      <c r="AL14" s="76"/>
      <c r="AM14" s="76">
        <f t="shared" si="1"/>
        <v>0.941716</v>
      </c>
      <c r="AN14" s="76"/>
      <c r="AO14" s="76"/>
      <c r="AP14" s="76"/>
      <c r="AQ14" s="76"/>
      <c r="AR14" s="76"/>
      <c r="AS14" s="76"/>
      <c r="AT14" s="76"/>
      <c r="AU14" s="76">
        <f t="shared" si="1"/>
        <v>0.941716</v>
      </c>
      <c r="AV14" s="76"/>
      <c r="AW14" s="76"/>
      <c r="AX14" s="76"/>
      <c r="AY14" s="76">
        <f t="shared" si="1"/>
        <v>0.941716</v>
      </c>
      <c r="AZ14" s="76">
        <f t="shared" si="1"/>
        <v>0.941716</v>
      </c>
      <c r="BA14" s="76"/>
    </row>
    <row r="15" spans="1:53">
      <c r="A15" s="48">
        <v>2</v>
      </c>
      <c r="B15" s="49" t="s">
        <v>490</v>
      </c>
      <c r="C15" s="50">
        <f t="shared" ref="C15:C43" si="3">D15+E15</f>
        <v>300</v>
      </c>
      <c r="D15" s="51">
        <f t="shared" ref="D15:D43" si="4">G15+N15</f>
        <v>0</v>
      </c>
      <c r="E15" s="51">
        <f t="shared" ref="E15:E43" si="5">J15+Q15</f>
        <v>300</v>
      </c>
      <c r="F15" s="51">
        <f t="shared" ref="F15:F32" si="6">G15+J15</f>
        <v>0</v>
      </c>
      <c r="G15" s="51">
        <f t="shared" ref="G15:G32" si="7">H15+I15</f>
        <v>0</v>
      </c>
      <c r="H15" s="52"/>
      <c r="I15" s="51"/>
      <c r="J15" s="51">
        <f t="shared" ref="J15:J32" si="8">K15+L15</f>
        <v>0</v>
      </c>
      <c r="K15" s="51"/>
      <c r="L15" s="51"/>
      <c r="M15" s="51">
        <f t="shared" ref="M15:M32" si="9">N15+Q15</f>
        <v>300</v>
      </c>
      <c r="N15" s="51">
        <f t="shared" ref="N15:N32" si="10">O15+P15</f>
        <v>0</v>
      </c>
      <c r="O15" s="51"/>
      <c r="P15" s="51"/>
      <c r="Q15" s="51">
        <f t="shared" ref="Q15:Q32" si="11">R15+S15</f>
        <v>300</v>
      </c>
      <c r="R15" s="51">
        <v>300</v>
      </c>
      <c r="S15" s="51"/>
      <c r="T15" s="50">
        <f t="shared" ref="T15:T32" si="12">U15+V15</f>
        <v>299</v>
      </c>
      <c r="U15" s="51">
        <f t="shared" ref="U15:U32" si="13">X15+AE15</f>
        <v>0</v>
      </c>
      <c r="V15" s="51">
        <f t="shared" ref="V15:V32" si="14">AA15+AH15</f>
        <v>299</v>
      </c>
      <c r="W15" s="51">
        <f t="shared" ref="W15:W32" si="15">X15+AA15</f>
        <v>0</v>
      </c>
      <c r="X15" s="51">
        <f t="shared" ref="X15:X32" si="16">Y15+Z15</f>
        <v>0</v>
      </c>
      <c r="Y15" s="52"/>
      <c r="Z15" s="51"/>
      <c r="AA15" s="51">
        <f t="shared" ref="AA15:AA32" si="17">AB15+AC15</f>
        <v>0</v>
      </c>
      <c r="AB15" s="51"/>
      <c r="AC15" s="51"/>
      <c r="AD15" s="51">
        <f t="shared" ref="AD15:AD32" si="18">AE15+AH15</f>
        <v>299</v>
      </c>
      <c r="AE15" s="51">
        <f t="shared" ref="AE15:AE32" si="19">AF15+AG15</f>
        <v>0</v>
      </c>
      <c r="AF15" s="51"/>
      <c r="AG15" s="51"/>
      <c r="AH15" s="51">
        <f t="shared" ref="AH15:AH32" si="20">AI15+AJ15</f>
        <v>299</v>
      </c>
      <c r="AI15" s="51">
        <v>299</v>
      </c>
      <c r="AJ15" s="51"/>
      <c r="AK15" s="76">
        <f t="shared" ref="AK15:AK23" si="21">T15/C15</f>
        <v>0.9966666666666667</v>
      </c>
      <c r="AL15" s="76"/>
      <c r="AM15" s="76">
        <f t="shared" si="1"/>
        <v>0.9966666666666667</v>
      </c>
      <c r="AN15" s="76"/>
      <c r="AO15" s="76"/>
      <c r="AP15" s="76"/>
      <c r="AQ15" s="76"/>
      <c r="AR15" s="76"/>
      <c r="AS15" s="76"/>
      <c r="AT15" s="76"/>
      <c r="AU15" s="76">
        <f t="shared" si="1"/>
        <v>0.9966666666666667</v>
      </c>
      <c r="AV15" s="76"/>
      <c r="AW15" s="76"/>
      <c r="AX15" s="76"/>
      <c r="AY15" s="76">
        <f t="shared" si="1"/>
        <v>0.9966666666666667</v>
      </c>
      <c r="AZ15" s="76">
        <f t="shared" si="1"/>
        <v>0.9966666666666667</v>
      </c>
      <c r="BA15" s="76"/>
    </row>
    <row r="16" spans="1:53" ht="32.25" customHeight="1">
      <c r="A16" s="48">
        <v>3</v>
      </c>
      <c r="B16" s="53" t="s">
        <v>491</v>
      </c>
      <c r="C16" s="50">
        <f t="shared" si="3"/>
        <v>300</v>
      </c>
      <c r="D16" s="51">
        <f t="shared" si="4"/>
        <v>0</v>
      </c>
      <c r="E16" s="51">
        <f t="shared" si="5"/>
        <v>300</v>
      </c>
      <c r="F16" s="51">
        <f t="shared" si="6"/>
        <v>0</v>
      </c>
      <c r="G16" s="51">
        <f t="shared" si="7"/>
        <v>0</v>
      </c>
      <c r="H16" s="52"/>
      <c r="I16" s="51"/>
      <c r="J16" s="51">
        <f t="shared" si="8"/>
        <v>0</v>
      </c>
      <c r="K16" s="51"/>
      <c r="L16" s="51"/>
      <c r="M16" s="51">
        <f t="shared" si="9"/>
        <v>300</v>
      </c>
      <c r="N16" s="51">
        <f t="shared" si="10"/>
        <v>0</v>
      </c>
      <c r="O16" s="51"/>
      <c r="P16" s="51"/>
      <c r="Q16" s="51">
        <f t="shared" si="11"/>
        <v>300</v>
      </c>
      <c r="R16" s="51">
        <v>300</v>
      </c>
      <c r="S16" s="51"/>
      <c r="T16" s="50">
        <f t="shared" si="12"/>
        <v>300</v>
      </c>
      <c r="U16" s="51">
        <f t="shared" si="13"/>
        <v>0</v>
      </c>
      <c r="V16" s="51">
        <f t="shared" si="14"/>
        <v>300</v>
      </c>
      <c r="W16" s="51">
        <f t="shared" si="15"/>
        <v>0</v>
      </c>
      <c r="X16" s="51">
        <f t="shared" si="16"/>
        <v>0</v>
      </c>
      <c r="Y16" s="52"/>
      <c r="Z16" s="51"/>
      <c r="AA16" s="51">
        <f t="shared" si="17"/>
        <v>0</v>
      </c>
      <c r="AB16" s="51"/>
      <c r="AC16" s="51"/>
      <c r="AD16" s="51">
        <f t="shared" si="18"/>
        <v>300</v>
      </c>
      <c r="AE16" s="51">
        <f t="shared" si="19"/>
        <v>0</v>
      </c>
      <c r="AF16" s="51"/>
      <c r="AG16" s="51"/>
      <c r="AH16" s="51">
        <f t="shared" si="20"/>
        <v>300</v>
      </c>
      <c r="AI16" s="51">
        <v>300</v>
      </c>
      <c r="AJ16" s="51"/>
      <c r="AK16" s="76">
        <f t="shared" si="21"/>
        <v>1</v>
      </c>
      <c r="AL16" s="76"/>
      <c r="AM16" s="76">
        <f t="shared" si="1"/>
        <v>1</v>
      </c>
      <c r="AN16" s="76"/>
      <c r="AO16" s="76"/>
      <c r="AP16" s="76"/>
      <c r="AQ16" s="76"/>
      <c r="AR16" s="76"/>
      <c r="AS16" s="76"/>
      <c r="AT16" s="76"/>
      <c r="AU16" s="76">
        <f t="shared" si="1"/>
        <v>1</v>
      </c>
      <c r="AV16" s="76"/>
      <c r="AW16" s="76"/>
      <c r="AX16" s="76"/>
      <c r="AY16" s="76">
        <f t="shared" si="1"/>
        <v>1</v>
      </c>
      <c r="AZ16" s="76">
        <f t="shared" si="1"/>
        <v>1</v>
      </c>
      <c r="BA16" s="76"/>
    </row>
    <row r="17" spans="1:53">
      <c r="A17" s="48">
        <v>4</v>
      </c>
      <c r="B17" s="53" t="s">
        <v>492</v>
      </c>
      <c r="C17" s="50">
        <f t="shared" si="3"/>
        <v>4784</v>
      </c>
      <c r="D17" s="51">
        <f t="shared" si="4"/>
        <v>0</v>
      </c>
      <c r="E17" s="51">
        <f t="shared" si="5"/>
        <v>4784</v>
      </c>
      <c r="F17" s="51">
        <f t="shared" si="6"/>
        <v>1834</v>
      </c>
      <c r="G17" s="51">
        <f t="shared" si="7"/>
        <v>0</v>
      </c>
      <c r="H17" s="52"/>
      <c r="I17" s="51"/>
      <c r="J17" s="51">
        <f t="shared" si="8"/>
        <v>1834</v>
      </c>
      <c r="K17" s="51">
        <v>1834</v>
      </c>
      <c r="L17" s="51"/>
      <c r="M17" s="51">
        <f t="shared" si="9"/>
        <v>2950</v>
      </c>
      <c r="N17" s="51">
        <f t="shared" si="10"/>
        <v>0</v>
      </c>
      <c r="O17" s="51"/>
      <c r="P17" s="51"/>
      <c r="Q17" s="51">
        <f t="shared" si="11"/>
        <v>2950</v>
      </c>
      <c r="R17" s="51">
        <v>2950</v>
      </c>
      <c r="S17" s="51"/>
      <c r="T17" s="50">
        <f t="shared" si="12"/>
        <v>3815.7890000000002</v>
      </c>
      <c r="U17" s="51">
        <f t="shared" si="13"/>
        <v>0</v>
      </c>
      <c r="V17" s="51">
        <f t="shared" si="14"/>
        <v>3815.7890000000002</v>
      </c>
      <c r="W17" s="51">
        <f t="shared" si="15"/>
        <v>1739.56</v>
      </c>
      <c r="X17" s="51">
        <f t="shared" si="16"/>
        <v>0</v>
      </c>
      <c r="Y17" s="52"/>
      <c r="Z17" s="51"/>
      <c r="AA17" s="51">
        <f t="shared" si="17"/>
        <v>1739.56</v>
      </c>
      <c r="AB17" s="51">
        <v>1739.56</v>
      </c>
      <c r="AC17" s="51"/>
      <c r="AD17" s="51">
        <f t="shared" si="18"/>
        <v>2076.2290000000003</v>
      </c>
      <c r="AE17" s="51">
        <f t="shared" si="19"/>
        <v>0</v>
      </c>
      <c r="AF17" s="51"/>
      <c r="AG17" s="51"/>
      <c r="AH17" s="51">
        <f t="shared" si="20"/>
        <v>2076.2290000000003</v>
      </c>
      <c r="AI17" s="51">
        <v>2076.2290000000003</v>
      </c>
      <c r="AJ17" s="51"/>
      <c r="AK17" s="76">
        <f t="shared" si="21"/>
        <v>0.79761475752508371</v>
      </c>
      <c r="AL17" s="76"/>
      <c r="AM17" s="76">
        <f t="shared" si="1"/>
        <v>0.79761475752508371</v>
      </c>
      <c r="AN17" s="76">
        <f t="shared" si="1"/>
        <v>0.94850599781897493</v>
      </c>
      <c r="AO17" s="76"/>
      <c r="AP17" s="76"/>
      <c r="AQ17" s="76"/>
      <c r="AR17" s="76">
        <f t="shared" ref="AR17:AS34" si="22">AA17/J17</f>
        <v>0.94850599781897493</v>
      </c>
      <c r="AS17" s="76">
        <f t="shared" si="22"/>
        <v>0.94850599781897493</v>
      </c>
      <c r="AT17" s="76"/>
      <c r="AU17" s="76">
        <f t="shared" si="1"/>
        <v>0.70380644067796616</v>
      </c>
      <c r="AV17" s="76"/>
      <c r="AW17" s="76"/>
      <c r="AX17" s="76"/>
      <c r="AY17" s="76">
        <f t="shared" si="1"/>
        <v>0.70380644067796616</v>
      </c>
      <c r="AZ17" s="76">
        <f t="shared" si="1"/>
        <v>0.70380644067796616</v>
      </c>
      <c r="BA17" s="76"/>
    </row>
    <row r="18" spans="1:53">
      <c r="A18" s="48">
        <v>5</v>
      </c>
      <c r="B18" s="49" t="s">
        <v>493</v>
      </c>
      <c r="C18" s="50">
        <f t="shared" si="3"/>
        <v>300</v>
      </c>
      <c r="D18" s="51">
        <f t="shared" si="4"/>
        <v>0</v>
      </c>
      <c r="E18" s="51">
        <f t="shared" si="5"/>
        <v>300</v>
      </c>
      <c r="F18" s="51">
        <f t="shared" si="6"/>
        <v>0</v>
      </c>
      <c r="G18" s="51">
        <f t="shared" si="7"/>
        <v>0</v>
      </c>
      <c r="H18" s="52"/>
      <c r="I18" s="51"/>
      <c r="J18" s="51">
        <f t="shared" si="8"/>
        <v>0</v>
      </c>
      <c r="K18" s="51"/>
      <c r="L18" s="51"/>
      <c r="M18" s="51">
        <f t="shared" si="9"/>
        <v>300</v>
      </c>
      <c r="N18" s="51">
        <f t="shared" si="10"/>
        <v>0</v>
      </c>
      <c r="O18" s="51"/>
      <c r="P18" s="51"/>
      <c r="Q18" s="51">
        <f t="shared" si="11"/>
        <v>300</v>
      </c>
      <c r="R18" s="51">
        <v>300</v>
      </c>
      <c r="S18" s="51"/>
      <c r="T18" s="50">
        <f t="shared" si="12"/>
        <v>300</v>
      </c>
      <c r="U18" s="51">
        <f t="shared" si="13"/>
        <v>0</v>
      </c>
      <c r="V18" s="51">
        <f t="shared" si="14"/>
        <v>300</v>
      </c>
      <c r="W18" s="51">
        <f t="shared" si="15"/>
        <v>0</v>
      </c>
      <c r="X18" s="51">
        <f t="shared" si="16"/>
        <v>0</v>
      </c>
      <c r="Y18" s="52"/>
      <c r="Z18" s="51"/>
      <c r="AA18" s="51">
        <f t="shared" si="17"/>
        <v>0</v>
      </c>
      <c r="AB18" s="51"/>
      <c r="AC18" s="51"/>
      <c r="AD18" s="51">
        <f t="shared" si="18"/>
        <v>300</v>
      </c>
      <c r="AE18" s="51">
        <f t="shared" si="19"/>
        <v>0</v>
      </c>
      <c r="AF18" s="51"/>
      <c r="AG18" s="51"/>
      <c r="AH18" s="51">
        <f t="shared" si="20"/>
        <v>300</v>
      </c>
      <c r="AI18" s="51">
        <v>300</v>
      </c>
      <c r="AJ18" s="51"/>
      <c r="AK18" s="76">
        <f t="shared" si="21"/>
        <v>1</v>
      </c>
      <c r="AL18" s="76"/>
      <c r="AM18" s="76">
        <f t="shared" si="1"/>
        <v>1</v>
      </c>
      <c r="AN18" s="76"/>
      <c r="AO18" s="76"/>
      <c r="AP18" s="76"/>
      <c r="AQ18" s="76"/>
      <c r="AR18" s="76"/>
      <c r="AS18" s="76"/>
      <c r="AT18" s="76"/>
      <c r="AU18" s="76">
        <f t="shared" si="1"/>
        <v>1</v>
      </c>
      <c r="AV18" s="76"/>
      <c r="AW18" s="76"/>
      <c r="AX18" s="76"/>
      <c r="AY18" s="76">
        <f t="shared" si="1"/>
        <v>1</v>
      </c>
      <c r="AZ18" s="76">
        <f t="shared" si="1"/>
        <v>1</v>
      </c>
      <c r="BA18" s="76"/>
    </row>
    <row r="19" spans="1:53">
      <c r="A19" s="48">
        <v>6</v>
      </c>
      <c r="B19" s="49" t="s">
        <v>494</v>
      </c>
      <c r="C19" s="50">
        <f t="shared" si="3"/>
        <v>1231</v>
      </c>
      <c r="D19" s="51">
        <f t="shared" si="4"/>
        <v>0</v>
      </c>
      <c r="E19" s="51">
        <f t="shared" si="5"/>
        <v>1231</v>
      </c>
      <c r="F19" s="51">
        <f t="shared" si="6"/>
        <v>1031</v>
      </c>
      <c r="G19" s="51">
        <f t="shared" si="7"/>
        <v>0</v>
      </c>
      <c r="H19" s="52"/>
      <c r="I19" s="51"/>
      <c r="J19" s="51">
        <f t="shared" si="8"/>
        <v>1031</v>
      </c>
      <c r="K19" s="51">
        <v>1031</v>
      </c>
      <c r="L19" s="51"/>
      <c r="M19" s="51">
        <f t="shared" si="9"/>
        <v>200</v>
      </c>
      <c r="N19" s="51">
        <f t="shared" si="10"/>
        <v>0</v>
      </c>
      <c r="O19" s="51"/>
      <c r="P19" s="51"/>
      <c r="Q19" s="51">
        <f t="shared" si="11"/>
        <v>200</v>
      </c>
      <c r="R19" s="51">
        <v>200</v>
      </c>
      <c r="S19" s="51"/>
      <c r="T19" s="50">
        <f t="shared" si="12"/>
        <v>748</v>
      </c>
      <c r="U19" s="51">
        <f t="shared" si="13"/>
        <v>0</v>
      </c>
      <c r="V19" s="51">
        <f t="shared" si="14"/>
        <v>748</v>
      </c>
      <c r="W19" s="51">
        <f t="shared" si="15"/>
        <v>611</v>
      </c>
      <c r="X19" s="51">
        <f t="shared" si="16"/>
        <v>0</v>
      </c>
      <c r="Y19" s="52"/>
      <c r="Z19" s="51"/>
      <c r="AA19" s="51">
        <f t="shared" si="17"/>
        <v>611</v>
      </c>
      <c r="AB19" s="51">
        <v>611</v>
      </c>
      <c r="AC19" s="51"/>
      <c r="AD19" s="51">
        <f t="shared" si="18"/>
        <v>137</v>
      </c>
      <c r="AE19" s="51">
        <f t="shared" si="19"/>
        <v>0</v>
      </c>
      <c r="AF19" s="51"/>
      <c r="AG19" s="51"/>
      <c r="AH19" s="51">
        <f t="shared" si="20"/>
        <v>137</v>
      </c>
      <c r="AI19" s="51">
        <v>137</v>
      </c>
      <c r="AJ19" s="51"/>
      <c r="AK19" s="76">
        <f t="shared" si="21"/>
        <v>0.60763606823720551</v>
      </c>
      <c r="AL19" s="76"/>
      <c r="AM19" s="76">
        <f t="shared" si="1"/>
        <v>0.60763606823720551</v>
      </c>
      <c r="AN19" s="76">
        <f t="shared" si="1"/>
        <v>0.59262851600387978</v>
      </c>
      <c r="AO19" s="76"/>
      <c r="AP19" s="76"/>
      <c r="AQ19" s="76"/>
      <c r="AR19" s="76">
        <f t="shared" si="22"/>
        <v>0.59262851600387978</v>
      </c>
      <c r="AS19" s="76">
        <f t="shared" si="22"/>
        <v>0.59262851600387978</v>
      </c>
      <c r="AT19" s="76"/>
      <c r="AU19" s="76">
        <f t="shared" si="1"/>
        <v>0.68500000000000005</v>
      </c>
      <c r="AV19" s="76"/>
      <c r="AW19" s="76"/>
      <c r="AX19" s="76"/>
      <c r="AY19" s="76">
        <f t="shared" si="1"/>
        <v>0.68500000000000005</v>
      </c>
      <c r="AZ19" s="76">
        <f t="shared" si="1"/>
        <v>0.68500000000000005</v>
      </c>
      <c r="BA19" s="76"/>
    </row>
    <row r="20" spans="1:53">
      <c r="A20" s="48">
        <v>7</v>
      </c>
      <c r="B20" s="49" t="s">
        <v>495</v>
      </c>
      <c r="C20" s="50">
        <f t="shared" si="3"/>
        <v>200</v>
      </c>
      <c r="D20" s="51">
        <f t="shared" si="4"/>
        <v>0</v>
      </c>
      <c r="E20" s="51">
        <f t="shared" si="5"/>
        <v>200</v>
      </c>
      <c r="F20" s="51">
        <f t="shared" si="6"/>
        <v>0</v>
      </c>
      <c r="G20" s="51">
        <f t="shared" si="7"/>
        <v>0</v>
      </c>
      <c r="H20" s="52"/>
      <c r="I20" s="51"/>
      <c r="J20" s="51">
        <f t="shared" si="8"/>
        <v>0</v>
      </c>
      <c r="K20" s="51"/>
      <c r="L20" s="51"/>
      <c r="M20" s="51">
        <f t="shared" si="9"/>
        <v>200</v>
      </c>
      <c r="N20" s="51">
        <f t="shared" si="10"/>
        <v>0</v>
      </c>
      <c r="O20" s="51"/>
      <c r="P20" s="51"/>
      <c r="Q20" s="51">
        <f t="shared" si="11"/>
        <v>200</v>
      </c>
      <c r="R20" s="51">
        <v>200</v>
      </c>
      <c r="S20" s="51"/>
      <c r="T20" s="50">
        <f t="shared" si="12"/>
        <v>200</v>
      </c>
      <c r="U20" s="51">
        <f t="shared" si="13"/>
        <v>0</v>
      </c>
      <c r="V20" s="51">
        <f t="shared" si="14"/>
        <v>200</v>
      </c>
      <c r="W20" s="51">
        <f t="shared" si="15"/>
        <v>0</v>
      </c>
      <c r="X20" s="51">
        <f t="shared" si="16"/>
        <v>0</v>
      </c>
      <c r="Y20" s="52"/>
      <c r="Z20" s="51"/>
      <c r="AA20" s="51">
        <f t="shared" si="17"/>
        <v>0</v>
      </c>
      <c r="AB20" s="51"/>
      <c r="AC20" s="51"/>
      <c r="AD20" s="51">
        <f t="shared" si="18"/>
        <v>200</v>
      </c>
      <c r="AE20" s="51">
        <f t="shared" si="19"/>
        <v>0</v>
      </c>
      <c r="AF20" s="51"/>
      <c r="AG20" s="51"/>
      <c r="AH20" s="51">
        <f t="shared" si="20"/>
        <v>200</v>
      </c>
      <c r="AI20" s="51">
        <v>200</v>
      </c>
      <c r="AJ20" s="51"/>
      <c r="AK20" s="76">
        <f t="shared" si="21"/>
        <v>1</v>
      </c>
      <c r="AL20" s="76"/>
      <c r="AM20" s="76">
        <f t="shared" si="1"/>
        <v>1</v>
      </c>
      <c r="AN20" s="76"/>
      <c r="AO20" s="76"/>
      <c r="AP20" s="76"/>
      <c r="AQ20" s="76"/>
      <c r="AR20" s="76"/>
      <c r="AS20" s="76"/>
      <c r="AT20" s="76"/>
      <c r="AU20" s="76">
        <f t="shared" si="1"/>
        <v>1</v>
      </c>
      <c r="AV20" s="76"/>
      <c r="AW20" s="76"/>
      <c r="AX20" s="76"/>
      <c r="AY20" s="76">
        <f t="shared" si="1"/>
        <v>1</v>
      </c>
      <c r="AZ20" s="76">
        <f t="shared" si="1"/>
        <v>1</v>
      </c>
      <c r="BA20" s="76"/>
    </row>
    <row r="21" spans="1:53">
      <c r="A21" s="48">
        <v>8</v>
      </c>
      <c r="B21" s="49" t="s">
        <v>496</v>
      </c>
      <c r="C21" s="50">
        <f t="shared" si="3"/>
        <v>300</v>
      </c>
      <c r="D21" s="51">
        <f t="shared" si="4"/>
        <v>0</v>
      </c>
      <c r="E21" s="51">
        <f t="shared" si="5"/>
        <v>300</v>
      </c>
      <c r="F21" s="51">
        <f t="shared" si="6"/>
        <v>0</v>
      </c>
      <c r="G21" s="51">
        <f t="shared" si="7"/>
        <v>0</v>
      </c>
      <c r="H21" s="52"/>
      <c r="I21" s="51"/>
      <c r="J21" s="51">
        <f t="shared" si="8"/>
        <v>0</v>
      </c>
      <c r="K21" s="51"/>
      <c r="L21" s="51"/>
      <c r="M21" s="51">
        <f t="shared" si="9"/>
        <v>300</v>
      </c>
      <c r="N21" s="51">
        <f t="shared" si="10"/>
        <v>0</v>
      </c>
      <c r="O21" s="51"/>
      <c r="P21" s="51"/>
      <c r="Q21" s="51">
        <f t="shared" si="11"/>
        <v>300</v>
      </c>
      <c r="R21" s="51">
        <v>300</v>
      </c>
      <c r="S21" s="51"/>
      <c r="T21" s="50">
        <f t="shared" si="12"/>
        <v>300</v>
      </c>
      <c r="U21" s="51">
        <f t="shared" si="13"/>
        <v>0</v>
      </c>
      <c r="V21" s="51">
        <f t="shared" si="14"/>
        <v>300</v>
      </c>
      <c r="W21" s="51">
        <f t="shared" si="15"/>
        <v>0</v>
      </c>
      <c r="X21" s="51">
        <f t="shared" si="16"/>
        <v>0</v>
      </c>
      <c r="Y21" s="52"/>
      <c r="Z21" s="51"/>
      <c r="AA21" s="51">
        <f t="shared" si="17"/>
        <v>0</v>
      </c>
      <c r="AB21" s="51"/>
      <c r="AC21" s="51"/>
      <c r="AD21" s="51">
        <f t="shared" si="18"/>
        <v>300</v>
      </c>
      <c r="AE21" s="51">
        <f t="shared" si="19"/>
        <v>0</v>
      </c>
      <c r="AF21" s="51"/>
      <c r="AG21" s="51"/>
      <c r="AH21" s="51">
        <f t="shared" si="20"/>
        <v>300</v>
      </c>
      <c r="AI21" s="51">
        <v>300</v>
      </c>
      <c r="AJ21" s="51"/>
      <c r="AK21" s="76">
        <f t="shared" si="21"/>
        <v>1</v>
      </c>
      <c r="AL21" s="76"/>
      <c r="AM21" s="76">
        <f t="shared" si="1"/>
        <v>1</v>
      </c>
      <c r="AN21" s="76"/>
      <c r="AO21" s="76"/>
      <c r="AP21" s="76"/>
      <c r="AQ21" s="76"/>
      <c r="AR21" s="76"/>
      <c r="AS21" s="76"/>
      <c r="AT21" s="76"/>
      <c r="AU21" s="76">
        <f t="shared" si="1"/>
        <v>1</v>
      </c>
      <c r="AV21" s="76"/>
      <c r="AW21" s="76"/>
      <c r="AX21" s="76"/>
      <c r="AY21" s="76">
        <f t="shared" si="1"/>
        <v>1</v>
      </c>
      <c r="AZ21" s="76">
        <f t="shared" si="1"/>
        <v>1</v>
      </c>
      <c r="BA21" s="76"/>
    </row>
    <row r="22" spans="1:53">
      <c r="A22" s="48">
        <v>9</v>
      </c>
      <c r="B22" s="49" t="s">
        <v>497</v>
      </c>
      <c r="C22" s="50">
        <f t="shared" si="3"/>
        <v>3134</v>
      </c>
      <c r="D22" s="51">
        <f t="shared" si="4"/>
        <v>0</v>
      </c>
      <c r="E22" s="51">
        <f t="shared" si="5"/>
        <v>3134</v>
      </c>
      <c r="F22" s="51">
        <f t="shared" si="6"/>
        <v>3134</v>
      </c>
      <c r="G22" s="51">
        <f t="shared" si="7"/>
        <v>0</v>
      </c>
      <c r="H22" s="52"/>
      <c r="I22" s="51"/>
      <c r="J22" s="51">
        <f t="shared" si="8"/>
        <v>3134</v>
      </c>
      <c r="K22" s="51">
        <v>3134</v>
      </c>
      <c r="L22" s="51"/>
      <c r="M22" s="51">
        <f t="shared" si="9"/>
        <v>0</v>
      </c>
      <c r="N22" s="51">
        <f t="shared" si="10"/>
        <v>0</v>
      </c>
      <c r="O22" s="51"/>
      <c r="P22" s="51"/>
      <c r="Q22" s="51">
        <f t="shared" si="11"/>
        <v>0</v>
      </c>
      <c r="R22" s="51"/>
      <c r="S22" s="51"/>
      <c r="T22" s="50">
        <f t="shared" si="12"/>
        <v>2985.2770770000002</v>
      </c>
      <c r="U22" s="51">
        <f t="shared" si="13"/>
        <v>0</v>
      </c>
      <c r="V22" s="51">
        <f t="shared" si="14"/>
        <v>2985.2770770000002</v>
      </c>
      <c r="W22" s="51">
        <f t="shared" si="15"/>
        <v>2985.2770770000002</v>
      </c>
      <c r="X22" s="51">
        <f t="shared" si="16"/>
        <v>0</v>
      </c>
      <c r="Y22" s="52"/>
      <c r="Z22" s="51"/>
      <c r="AA22" s="51">
        <f t="shared" si="17"/>
        <v>2985.2770770000002</v>
      </c>
      <c r="AB22" s="51">
        <v>2985.2770770000002</v>
      </c>
      <c r="AC22" s="51"/>
      <c r="AD22" s="51">
        <f t="shared" si="18"/>
        <v>0</v>
      </c>
      <c r="AE22" s="51">
        <f t="shared" si="19"/>
        <v>0</v>
      </c>
      <c r="AF22" s="51"/>
      <c r="AG22" s="51"/>
      <c r="AH22" s="51">
        <f t="shared" si="20"/>
        <v>0</v>
      </c>
      <c r="AI22" s="51"/>
      <c r="AJ22" s="51"/>
      <c r="AK22" s="76">
        <f t="shared" si="21"/>
        <v>0.9525453340778558</v>
      </c>
      <c r="AL22" s="76"/>
      <c r="AM22" s="76">
        <f t="shared" si="1"/>
        <v>0.9525453340778558</v>
      </c>
      <c r="AN22" s="76">
        <f t="shared" si="1"/>
        <v>0.9525453340778558</v>
      </c>
      <c r="AO22" s="76"/>
      <c r="AP22" s="76"/>
      <c r="AQ22" s="76"/>
      <c r="AR22" s="76">
        <f t="shared" si="22"/>
        <v>0.9525453340778558</v>
      </c>
      <c r="AS22" s="76">
        <f t="shared" si="22"/>
        <v>0.9525453340778558</v>
      </c>
      <c r="AT22" s="76"/>
      <c r="AU22" s="76"/>
      <c r="AV22" s="76"/>
      <c r="AW22" s="76"/>
      <c r="AX22" s="76"/>
      <c r="AY22" s="76"/>
      <c r="AZ22" s="76"/>
      <c r="BA22" s="76"/>
    </row>
    <row r="23" spans="1:53">
      <c r="A23" s="48">
        <v>10</v>
      </c>
      <c r="B23" s="49" t="s">
        <v>498</v>
      </c>
      <c r="C23" s="50">
        <f t="shared" si="3"/>
        <v>2699</v>
      </c>
      <c r="D23" s="51">
        <f t="shared" si="4"/>
        <v>0</v>
      </c>
      <c r="E23" s="51">
        <f t="shared" si="5"/>
        <v>2699</v>
      </c>
      <c r="F23" s="51">
        <f t="shared" si="6"/>
        <v>2699</v>
      </c>
      <c r="G23" s="51">
        <f t="shared" si="7"/>
        <v>0</v>
      </c>
      <c r="H23" s="52"/>
      <c r="I23" s="51"/>
      <c r="J23" s="51">
        <f t="shared" si="8"/>
        <v>2699</v>
      </c>
      <c r="K23" s="51">
        <v>2699</v>
      </c>
      <c r="L23" s="51"/>
      <c r="M23" s="51">
        <f t="shared" si="9"/>
        <v>0</v>
      </c>
      <c r="N23" s="51">
        <f t="shared" si="10"/>
        <v>0</v>
      </c>
      <c r="O23" s="51"/>
      <c r="P23" s="51"/>
      <c r="Q23" s="51">
        <f t="shared" si="11"/>
        <v>0</v>
      </c>
      <c r="R23" s="51"/>
      <c r="S23" s="51"/>
      <c r="T23" s="50">
        <f t="shared" si="12"/>
        <v>2699</v>
      </c>
      <c r="U23" s="51">
        <f t="shared" si="13"/>
        <v>0</v>
      </c>
      <c r="V23" s="51">
        <f t="shared" si="14"/>
        <v>2699</v>
      </c>
      <c r="W23" s="51">
        <f t="shared" si="15"/>
        <v>2699</v>
      </c>
      <c r="X23" s="51">
        <f t="shared" si="16"/>
        <v>0</v>
      </c>
      <c r="Y23" s="52"/>
      <c r="Z23" s="51"/>
      <c r="AA23" s="51">
        <f t="shared" si="17"/>
        <v>2699</v>
      </c>
      <c r="AB23" s="51">
        <v>2699</v>
      </c>
      <c r="AC23" s="51"/>
      <c r="AD23" s="51">
        <f t="shared" si="18"/>
        <v>0</v>
      </c>
      <c r="AE23" s="51">
        <f t="shared" si="19"/>
        <v>0</v>
      </c>
      <c r="AF23" s="51"/>
      <c r="AG23" s="51"/>
      <c r="AH23" s="51">
        <f t="shared" si="20"/>
        <v>0</v>
      </c>
      <c r="AI23" s="51"/>
      <c r="AJ23" s="51"/>
      <c r="AK23" s="76">
        <f t="shared" si="21"/>
        <v>1</v>
      </c>
      <c r="AL23" s="76"/>
      <c r="AM23" s="76">
        <f t="shared" si="1"/>
        <v>1</v>
      </c>
      <c r="AN23" s="76">
        <f t="shared" si="1"/>
        <v>1</v>
      </c>
      <c r="AO23" s="76"/>
      <c r="AP23" s="76"/>
      <c r="AQ23" s="76"/>
      <c r="AR23" s="76">
        <f t="shared" si="22"/>
        <v>1</v>
      </c>
      <c r="AS23" s="76">
        <f t="shared" si="22"/>
        <v>1</v>
      </c>
      <c r="AT23" s="76"/>
      <c r="AU23" s="76"/>
      <c r="AV23" s="76"/>
      <c r="AW23" s="76"/>
      <c r="AX23" s="76"/>
      <c r="AY23" s="76"/>
      <c r="AZ23" s="76"/>
      <c r="BA23" s="76"/>
    </row>
    <row r="24" spans="1:53">
      <c r="A24" s="48">
        <v>11</v>
      </c>
      <c r="B24" s="49" t="s">
        <v>349</v>
      </c>
      <c r="C24" s="50">
        <f t="shared" si="3"/>
        <v>21900</v>
      </c>
      <c r="D24" s="51">
        <f t="shared" si="4"/>
        <v>21900</v>
      </c>
      <c r="E24" s="51">
        <f t="shared" si="5"/>
        <v>0</v>
      </c>
      <c r="F24" s="51">
        <f t="shared" si="6"/>
        <v>0</v>
      </c>
      <c r="G24" s="51">
        <f t="shared" si="7"/>
        <v>0</v>
      </c>
      <c r="H24" s="52"/>
      <c r="I24" s="48"/>
      <c r="J24" s="51">
        <f t="shared" si="8"/>
        <v>0</v>
      </c>
      <c r="K24" s="48"/>
      <c r="L24" s="48"/>
      <c r="M24" s="51">
        <f t="shared" si="9"/>
        <v>21900</v>
      </c>
      <c r="N24" s="51">
        <f t="shared" si="10"/>
        <v>21900</v>
      </c>
      <c r="O24" s="51">
        <f>21900</f>
        <v>21900</v>
      </c>
      <c r="P24" s="48"/>
      <c r="Q24" s="51">
        <f t="shared" si="11"/>
        <v>0</v>
      </c>
      <c r="R24" s="48"/>
      <c r="S24" s="48"/>
      <c r="T24" s="50">
        <f t="shared" si="12"/>
        <v>0</v>
      </c>
      <c r="U24" s="51">
        <f t="shared" si="13"/>
        <v>0</v>
      </c>
      <c r="V24" s="51">
        <f t="shared" si="14"/>
        <v>0</v>
      </c>
      <c r="W24" s="51">
        <f t="shared" si="15"/>
        <v>0</v>
      </c>
      <c r="X24" s="51">
        <f t="shared" si="16"/>
        <v>0</v>
      </c>
      <c r="Y24" s="52"/>
      <c r="Z24" s="48"/>
      <c r="AA24" s="51">
        <f t="shared" si="17"/>
        <v>0</v>
      </c>
      <c r="AB24" s="48"/>
      <c r="AC24" s="48"/>
      <c r="AD24" s="51">
        <f t="shared" si="18"/>
        <v>0</v>
      </c>
      <c r="AE24" s="51">
        <f t="shared" si="19"/>
        <v>0</v>
      </c>
      <c r="AF24" s="51"/>
      <c r="AG24" s="48"/>
      <c r="AH24" s="51">
        <f t="shared" si="20"/>
        <v>0</v>
      </c>
      <c r="AI24" s="48"/>
      <c r="AJ24" s="48"/>
      <c r="AK24" s="76"/>
      <c r="AL24" s="76"/>
      <c r="AM24" s="76"/>
      <c r="AN24" s="76"/>
      <c r="AO24" s="76"/>
      <c r="AP24" s="76"/>
      <c r="AQ24" s="76"/>
      <c r="AR24" s="76"/>
      <c r="AS24" s="76"/>
      <c r="AT24" s="76"/>
      <c r="AU24" s="76"/>
      <c r="AV24" s="76"/>
      <c r="AW24" s="76"/>
      <c r="AX24" s="76"/>
      <c r="AY24" s="76"/>
      <c r="AZ24" s="76"/>
      <c r="BA24" s="76"/>
    </row>
    <row r="25" spans="1:53">
      <c r="A25" s="48">
        <v>12</v>
      </c>
      <c r="B25" s="53" t="s">
        <v>345</v>
      </c>
      <c r="C25" s="55">
        <f t="shared" si="3"/>
        <v>26104</v>
      </c>
      <c r="D25" s="51">
        <f t="shared" si="4"/>
        <v>26104</v>
      </c>
      <c r="E25" s="51">
        <f t="shared" si="5"/>
        <v>0</v>
      </c>
      <c r="F25" s="56">
        <f t="shared" si="6"/>
        <v>26104</v>
      </c>
      <c r="G25" s="56">
        <f t="shared" si="7"/>
        <v>26104</v>
      </c>
      <c r="H25" s="56">
        <f>26104</f>
        <v>26104</v>
      </c>
      <c r="I25" s="58"/>
      <c r="J25" s="56">
        <f t="shared" si="8"/>
        <v>0</v>
      </c>
      <c r="K25" s="58"/>
      <c r="L25" s="58"/>
      <c r="M25" s="56">
        <f t="shared" si="9"/>
        <v>0</v>
      </c>
      <c r="N25" s="56">
        <f t="shared" si="10"/>
        <v>0</v>
      </c>
      <c r="O25" s="56"/>
      <c r="P25" s="58"/>
      <c r="Q25" s="56">
        <f t="shared" si="11"/>
        <v>0</v>
      </c>
      <c r="R25" s="58"/>
      <c r="S25" s="58"/>
      <c r="T25" s="55">
        <f t="shared" si="12"/>
        <v>24119.337</v>
      </c>
      <c r="U25" s="51">
        <f t="shared" si="13"/>
        <v>24119.337</v>
      </c>
      <c r="V25" s="51">
        <f t="shared" si="14"/>
        <v>0</v>
      </c>
      <c r="W25" s="56">
        <f t="shared" si="15"/>
        <v>24119.337</v>
      </c>
      <c r="X25" s="56">
        <f t="shared" si="16"/>
        <v>24119.337</v>
      </c>
      <c r="Y25" s="56">
        <v>24119.337</v>
      </c>
      <c r="Z25" s="58"/>
      <c r="AA25" s="56">
        <f t="shared" si="17"/>
        <v>0</v>
      </c>
      <c r="AB25" s="58"/>
      <c r="AC25" s="58"/>
      <c r="AD25" s="56">
        <f t="shared" si="18"/>
        <v>0</v>
      </c>
      <c r="AE25" s="56">
        <f t="shared" si="19"/>
        <v>0</v>
      </c>
      <c r="AF25" s="57"/>
      <c r="AG25" s="58"/>
      <c r="AH25" s="56">
        <f t="shared" si="20"/>
        <v>0</v>
      </c>
      <c r="AI25" s="58"/>
      <c r="AJ25" s="58"/>
      <c r="AK25" s="76">
        <f t="shared" ref="AK25:AL26" si="23">T25/C25</f>
        <v>0.92397092399632241</v>
      </c>
      <c r="AL25" s="76">
        <f t="shared" si="23"/>
        <v>0.92397092399632241</v>
      </c>
      <c r="AM25" s="76"/>
      <c r="AN25" s="76">
        <f t="shared" ref="AN25:AP26" si="24">W25/F25</f>
        <v>0.92397092399632241</v>
      </c>
      <c r="AO25" s="76">
        <f t="shared" si="24"/>
        <v>0.92397092399632241</v>
      </c>
      <c r="AP25" s="76">
        <f t="shared" si="24"/>
        <v>0.92397092399632241</v>
      </c>
      <c r="AQ25" s="76"/>
      <c r="AR25" s="76"/>
      <c r="AS25" s="76"/>
      <c r="AT25" s="76"/>
      <c r="AU25" s="76"/>
      <c r="AV25" s="76"/>
      <c r="AW25" s="76"/>
      <c r="AX25" s="76"/>
      <c r="AY25" s="76"/>
      <c r="AZ25" s="76"/>
      <c r="BA25" s="76"/>
    </row>
    <row r="26" spans="1:53">
      <c r="A26" s="48">
        <v>13</v>
      </c>
      <c r="B26" s="53" t="s">
        <v>344</v>
      </c>
      <c r="C26" s="55">
        <f t="shared" si="3"/>
        <v>19854</v>
      </c>
      <c r="D26" s="51">
        <f t="shared" si="4"/>
        <v>19854</v>
      </c>
      <c r="E26" s="51">
        <f t="shared" si="5"/>
        <v>0</v>
      </c>
      <c r="F26" s="56">
        <f t="shared" si="6"/>
        <v>19854</v>
      </c>
      <c r="G26" s="56">
        <f t="shared" si="7"/>
        <v>19854</v>
      </c>
      <c r="H26" s="56">
        <f>19854</f>
        <v>19854</v>
      </c>
      <c r="I26" s="58"/>
      <c r="J26" s="56">
        <f t="shared" si="8"/>
        <v>0</v>
      </c>
      <c r="K26" s="58"/>
      <c r="L26" s="58"/>
      <c r="M26" s="56">
        <f t="shared" si="9"/>
        <v>0</v>
      </c>
      <c r="N26" s="56">
        <f t="shared" si="10"/>
        <v>0</v>
      </c>
      <c r="O26" s="56"/>
      <c r="P26" s="58"/>
      <c r="Q26" s="56">
        <f t="shared" si="11"/>
        <v>0</v>
      </c>
      <c r="R26" s="58"/>
      <c r="S26" s="58"/>
      <c r="T26" s="55">
        <f t="shared" si="12"/>
        <v>22254.785</v>
      </c>
      <c r="U26" s="51">
        <f t="shared" si="13"/>
        <v>22254.785</v>
      </c>
      <c r="V26" s="51">
        <f t="shared" si="14"/>
        <v>0</v>
      </c>
      <c r="W26" s="56">
        <f t="shared" si="15"/>
        <v>22254.785</v>
      </c>
      <c r="X26" s="56">
        <f t="shared" si="16"/>
        <v>22254.785</v>
      </c>
      <c r="Y26" s="56">
        <v>22254.785</v>
      </c>
      <c r="Z26" s="58"/>
      <c r="AA26" s="56">
        <f t="shared" si="17"/>
        <v>0</v>
      </c>
      <c r="AB26" s="58"/>
      <c r="AC26" s="58"/>
      <c r="AD26" s="56">
        <f t="shared" si="18"/>
        <v>0</v>
      </c>
      <c r="AE26" s="56">
        <f t="shared" si="19"/>
        <v>0</v>
      </c>
      <c r="AF26" s="57"/>
      <c r="AG26" s="58"/>
      <c r="AH26" s="56">
        <f t="shared" si="20"/>
        <v>0</v>
      </c>
      <c r="AI26" s="58"/>
      <c r="AJ26" s="58"/>
      <c r="AK26" s="76">
        <f t="shared" si="23"/>
        <v>1.1209219804573385</v>
      </c>
      <c r="AL26" s="76">
        <f t="shared" si="23"/>
        <v>1.1209219804573385</v>
      </c>
      <c r="AM26" s="76"/>
      <c r="AN26" s="76">
        <f t="shared" si="24"/>
        <v>1.1209219804573385</v>
      </c>
      <c r="AO26" s="76">
        <f t="shared" si="24"/>
        <v>1.1209219804573385</v>
      </c>
      <c r="AP26" s="76">
        <f t="shared" si="24"/>
        <v>1.1209219804573385</v>
      </c>
      <c r="AQ26" s="76"/>
      <c r="AR26" s="76"/>
      <c r="AS26" s="76"/>
      <c r="AT26" s="76"/>
      <c r="AU26" s="76"/>
      <c r="AV26" s="76"/>
      <c r="AW26" s="76"/>
      <c r="AX26" s="76"/>
      <c r="AY26" s="76"/>
      <c r="AZ26" s="76"/>
      <c r="BA26" s="76"/>
    </row>
    <row r="27" spans="1:53">
      <c r="A27" s="77">
        <v>14</v>
      </c>
      <c r="B27" s="49" t="s">
        <v>343</v>
      </c>
      <c r="C27" s="78">
        <f t="shared" si="3"/>
        <v>0</v>
      </c>
      <c r="D27" s="79">
        <f t="shared" si="4"/>
        <v>0</v>
      </c>
      <c r="E27" s="79">
        <f t="shared" si="5"/>
        <v>0</v>
      </c>
      <c r="F27" s="58">
        <f t="shared" si="6"/>
        <v>0</v>
      </c>
      <c r="G27" s="58">
        <f t="shared" si="7"/>
        <v>0</v>
      </c>
      <c r="H27" s="56">
        <f>32049-32049</f>
        <v>0</v>
      </c>
      <c r="I27" s="58"/>
      <c r="J27" s="58">
        <f t="shared" si="8"/>
        <v>0</v>
      </c>
      <c r="K27" s="58"/>
      <c r="L27" s="58"/>
      <c r="M27" s="58">
        <f t="shared" si="9"/>
        <v>0</v>
      </c>
      <c r="N27" s="58">
        <f t="shared" si="10"/>
        <v>0</v>
      </c>
      <c r="O27" s="58"/>
      <c r="P27" s="58"/>
      <c r="Q27" s="58">
        <f t="shared" si="11"/>
        <v>0</v>
      </c>
      <c r="R27" s="58"/>
      <c r="S27" s="58"/>
      <c r="T27" s="78">
        <f t="shared" si="12"/>
        <v>18418.828243</v>
      </c>
      <c r="U27" s="79">
        <f t="shared" si="13"/>
        <v>18418.828243</v>
      </c>
      <c r="V27" s="79">
        <f t="shared" si="14"/>
        <v>0</v>
      </c>
      <c r="W27" s="58">
        <f t="shared" si="15"/>
        <v>18418.828243</v>
      </c>
      <c r="X27" s="58">
        <f t="shared" si="16"/>
        <v>18418.828243</v>
      </c>
      <c r="Y27" s="58">
        <v>18418.828243</v>
      </c>
      <c r="Z27" s="58"/>
      <c r="AA27" s="58">
        <f t="shared" si="17"/>
        <v>0</v>
      </c>
      <c r="AB27" s="58"/>
      <c r="AC27" s="58"/>
      <c r="AD27" s="58">
        <f t="shared" si="18"/>
        <v>0</v>
      </c>
      <c r="AE27" s="58">
        <f t="shared" si="19"/>
        <v>0</v>
      </c>
      <c r="AF27" s="80"/>
      <c r="AG27" s="58"/>
      <c r="AH27" s="58">
        <f t="shared" si="20"/>
        <v>0</v>
      </c>
      <c r="AI27" s="58"/>
      <c r="AJ27" s="58"/>
      <c r="AK27" s="81"/>
      <c r="AL27" s="81"/>
      <c r="AM27" s="81"/>
      <c r="AN27" s="81"/>
      <c r="AO27" s="81"/>
      <c r="AP27" s="81"/>
      <c r="AQ27" s="81"/>
      <c r="AR27" s="81"/>
      <c r="AS27" s="81"/>
      <c r="AT27" s="81"/>
      <c r="AU27" s="81"/>
      <c r="AV27" s="81"/>
      <c r="AW27" s="81"/>
      <c r="AX27" s="81"/>
      <c r="AY27" s="81"/>
      <c r="AZ27" s="81"/>
      <c r="BA27" s="81"/>
    </row>
    <row r="28" spans="1:53">
      <c r="A28" s="48">
        <v>15</v>
      </c>
      <c r="B28" s="53" t="s">
        <v>504</v>
      </c>
      <c r="C28" s="78">
        <f t="shared" si="3"/>
        <v>13841</v>
      </c>
      <c r="D28" s="79">
        <f t="shared" si="4"/>
        <v>13841</v>
      </c>
      <c r="E28" s="79">
        <f t="shared" si="5"/>
        <v>0</v>
      </c>
      <c r="F28" s="58">
        <f t="shared" si="6"/>
        <v>13841</v>
      </c>
      <c r="G28" s="58">
        <f t="shared" si="7"/>
        <v>13841</v>
      </c>
      <c r="H28" s="58">
        <v>13841</v>
      </c>
      <c r="I28" s="58"/>
      <c r="J28" s="58">
        <f t="shared" si="8"/>
        <v>0</v>
      </c>
      <c r="K28" s="58"/>
      <c r="L28" s="58"/>
      <c r="M28" s="58">
        <f t="shared" si="9"/>
        <v>0</v>
      </c>
      <c r="N28" s="58">
        <f t="shared" si="10"/>
        <v>0</v>
      </c>
      <c r="O28" s="58"/>
      <c r="P28" s="58"/>
      <c r="Q28" s="58">
        <f t="shared" si="11"/>
        <v>0</v>
      </c>
      <c r="R28" s="58"/>
      <c r="S28" s="58"/>
      <c r="T28" s="78">
        <f t="shared" si="12"/>
        <v>124.68300000000001</v>
      </c>
      <c r="U28" s="79">
        <f t="shared" si="13"/>
        <v>124.68300000000001</v>
      </c>
      <c r="V28" s="79">
        <f t="shared" si="14"/>
        <v>0</v>
      </c>
      <c r="W28" s="58">
        <f t="shared" si="15"/>
        <v>124.68300000000001</v>
      </c>
      <c r="X28" s="58">
        <f t="shared" si="16"/>
        <v>124.68300000000001</v>
      </c>
      <c r="Y28" s="58">
        <v>124.68300000000001</v>
      </c>
      <c r="Z28" s="58"/>
      <c r="AA28" s="58">
        <f t="shared" si="17"/>
        <v>0</v>
      </c>
      <c r="AB28" s="58"/>
      <c r="AC28" s="58"/>
      <c r="AD28" s="58">
        <f t="shared" si="18"/>
        <v>0</v>
      </c>
      <c r="AE28" s="58">
        <f t="shared" si="19"/>
        <v>0</v>
      </c>
      <c r="AF28" s="80"/>
      <c r="AG28" s="58"/>
      <c r="AH28" s="58">
        <f t="shared" si="20"/>
        <v>0</v>
      </c>
      <c r="AI28" s="58"/>
      <c r="AJ28" s="58"/>
      <c r="AK28" s="81"/>
      <c r="AL28" s="81"/>
      <c r="AM28" s="81"/>
      <c r="AN28" s="81"/>
      <c r="AO28" s="81"/>
      <c r="AP28" s="81"/>
      <c r="AQ28" s="81"/>
      <c r="AR28" s="81"/>
      <c r="AS28" s="81"/>
      <c r="AT28" s="81"/>
      <c r="AU28" s="81"/>
      <c r="AV28" s="81"/>
      <c r="AW28" s="81"/>
      <c r="AX28" s="81"/>
      <c r="AY28" s="81"/>
      <c r="AZ28" s="81"/>
      <c r="BA28" s="81"/>
    </row>
    <row r="29" spans="1:53">
      <c r="A29" s="48">
        <v>16</v>
      </c>
      <c r="B29" s="53" t="s">
        <v>505</v>
      </c>
      <c r="C29" s="78">
        <f t="shared" si="3"/>
        <v>14400</v>
      </c>
      <c r="D29" s="79">
        <f t="shared" si="4"/>
        <v>14400</v>
      </c>
      <c r="E29" s="79">
        <f t="shared" si="5"/>
        <v>0</v>
      </c>
      <c r="F29" s="58">
        <f t="shared" si="6"/>
        <v>14400</v>
      </c>
      <c r="G29" s="58">
        <f t="shared" si="7"/>
        <v>14400</v>
      </c>
      <c r="H29" s="58">
        <v>14400</v>
      </c>
      <c r="I29" s="58"/>
      <c r="J29" s="58">
        <f t="shared" si="8"/>
        <v>0</v>
      </c>
      <c r="K29" s="58"/>
      <c r="L29" s="58"/>
      <c r="M29" s="58">
        <f t="shared" si="9"/>
        <v>0</v>
      </c>
      <c r="N29" s="58">
        <f t="shared" si="10"/>
        <v>0</v>
      </c>
      <c r="O29" s="58"/>
      <c r="P29" s="58"/>
      <c r="Q29" s="58">
        <f t="shared" si="11"/>
        <v>0</v>
      </c>
      <c r="R29" s="58"/>
      <c r="S29" s="58"/>
      <c r="T29" s="78">
        <f t="shared" si="12"/>
        <v>223.233</v>
      </c>
      <c r="U29" s="79">
        <f t="shared" si="13"/>
        <v>223.233</v>
      </c>
      <c r="V29" s="79">
        <f t="shared" si="14"/>
        <v>0</v>
      </c>
      <c r="W29" s="58">
        <f t="shared" si="15"/>
        <v>223.233</v>
      </c>
      <c r="X29" s="58">
        <f t="shared" si="16"/>
        <v>223.233</v>
      </c>
      <c r="Y29" s="58">
        <v>223.233</v>
      </c>
      <c r="Z29" s="58"/>
      <c r="AA29" s="58">
        <f t="shared" si="17"/>
        <v>0</v>
      </c>
      <c r="AB29" s="58"/>
      <c r="AC29" s="58"/>
      <c r="AD29" s="58">
        <f t="shared" si="18"/>
        <v>0</v>
      </c>
      <c r="AE29" s="58">
        <f t="shared" si="19"/>
        <v>0</v>
      </c>
      <c r="AF29" s="80"/>
      <c r="AG29" s="58"/>
      <c r="AH29" s="58">
        <f t="shared" si="20"/>
        <v>0</v>
      </c>
      <c r="AI29" s="58"/>
      <c r="AJ29" s="58"/>
      <c r="AK29" s="81"/>
      <c r="AL29" s="81"/>
      <c r="AM29" s="81"/>
      <c r="AN29" s="81"/>
      <c r="AO29" s="81"/>
      <c r="AP29" s="81"/>
      <c r="AQ29" s="81"/>
      <c r="AR29" s="81"/>
      <c r="AS29" s="81"/>
      <c r="AT29" s="81"/>
      <c r="AU29" s="81"/>
      <c r="AV29" s="81"/>
      <c r="AW29" s="81"/>
      <c r="AX29" s="81"/>
      <c r="AY29" s="81"/>
      <c r="AZ29" s="81"/>
      <c r="BA29" s="81"/>
    </row>
    <row r="30" spans="1:53">
      <c r="A30" s="48">
        <v>17</v>
      </c>
      <c r="B30" s="53" t="s">
        <v>337</v>
      </c>
      <c r="C30" s="78">
        <f t="shared" si="3"/>
        <v>0</v>
      </c>
      <c r="D30" s="79">
        <f t="shared" si="4"/>
        <v>0</v>
      </c>
      <c r="E30" s="79">
        <f t="shared" si="5"/>
        <v>0</v>
      </c>
      <c r="F30" s="58">
        <f t="shared" si="6"/>
        <v>0</v>
      </c>
      <c r="G30" s="58">
        <f t="shared" si="7"/>
        <v>0</v>
      </c>
      <c r="H30" s="58"/>
      <c r="I30" s="58"/>
      <c r="J30" s="58">
        <f t="shared" si="8"/>
        <v>0</v>
      </c>
      <c r="K30" s="58"/>
      <c r="L30" s="58"/>
      <c r="M30" s="58">
        <f t="shared" si="9"/>
        <v>0</v>
      </c>
      <c r="N30" s="58">
        <f t="shared" si="10"/>
        <v>0</v>
      </c>
      <c r="O30" s="58"/>
      <c r="P30" s="58"/>
      <c r="Q30" s="58">
        <f t="shared" si="11"/>
        <v>0</v>
      </c>
      <c r="R30" s="58"/>
      <c r="S30" s="58"/>
      <c r="T30" s="78">
        <f t="shared" si="12"/>
        <v>32.888196000000001</v>
      </c>
      <c r="U30" s="79">
        <f t="shared" si="13"/>
        <v>32.888196000000001</v>
      </c>
      <c r="V30" s="79">
        <f t="shared" si="14"/>
        <v>0</v>
      </c>
      <c r="W30" s="58">
        <f t="shared" si="15"/>
        <v>0</v>
      </c>
      <c r="X30" s="58">
        <f t="shared" si="16"/>
        <v>0</v>
      </c>
      <c r="Y30" s="58"/>
      <c r="Z30" s="58"/>
      <c r="AA30" s="58">
        <f t="shared" si="17"/>
        <v>0</v>
      </c>
      <c r="AB30" s="58"/>
      <c r="AC30" s="58"/>
      <c r="AD30" s="58">
        <f t="shared" si="18"/>
        <v>32.888196000000001</v>
      </c>
      <c r="AE30" s="58">
        <f t="shared" si="19"/>
        <v>32.888196000000001</v>
      </c>
      <c r="AF30" s="80">
        <v>32.888196000000001</v>
      </c>
      <c r="AG30" s="58"/>
      <c r="AH30" s="58">
        <f t="shared" si="20"/>
        <v>0</v>
      </c>
      <c r="AI30" s="58"/>
      <c r="AJ30" s="58"/>
      <c r="AK30" s="81"/>
      <c r="AL30" s="81"/>
      <c r="AM30" s="81"/>
      <c r="AN30" s="81"/>
      <c r="AO30" s="81"/>
      <c r="AP30" s="81"/>
      <c r="AQ30" s="81"/>
      <c r="AR30" s="81"/>
      <c r="AS30" s="81"/>
      <c r="AT30" s="81"/>
      <c r="AU30" s="81"/>
      <c r="AV30" s="81"/>
      <c r="AW30" s="81"/>
      <c r="AX30" s="81"/>
      <c r="AY30" s="81"/>
      <c r="AZ30" s="81"/>
      <c r="BA30" s="81"/>
    </row>
    <row r="31" spans="1:53">
      <c r="A31" s="48">
        <v>18</v>
      </c>
      <c r="B31" s="53" t="s">
        <v>335</v>
      </c>
      <c r="C31" s="78">
        <f t="shared" ref="C31" si="25">D31+E31</f>
        <v>12503.449000000001</v>
      </c>
      <c r="D31" s="79">
        <f t="shared" ref="D31" si="26">G31+N31</f>
        <v>12503.449000000001</v>
      </c>
      <c r="E31" s="79">
        <f t="shared" ref="E31" si="27">J31+Q31</f>
        <v>0</v>
      </c>
      <c r="F31" s="58">
        <f t="shared" ref="F31" si="28">G31+J31</f>
        <v>12503.449000000001</v>
      </c>
      <c r="G31" s="58">
        <f t="shared" ref="G31" si="29">H31+I31</f>
        <v>12503.449000000001</v>
      </c>
      <c r="H31" s="58">
        <v>12503.449000000001</v>
      </c>
      <c r="I31" s="58"/>
      <c r="J31" s="58">
        <f t="shared" ref="J31" si="30">K31+L31</f>
        <v>0</v>
      </c>
      <c r="K31" s="58"/>
      <c r="L31" s="58"/>
      <c r="M31" s="58">
        <f t="shared" ref="M31" si="31">N31+Q31</f>
        <v>0</v>
      </c>
      <c r="N31" s="58">
        <f t="shared" ref="N31" si="32">O31+P31</f>
        <v>0</v>
      </c>
      <c r="O31" s="58"/>
      <c r="P31" s="58"/>
      <c r="Q31" s="58">
        <f t="shared" ref="Q31" si="33">R31+S31</f>
        <v>0</v>
      </c>
      <c r="R31" s="58"/>
      <c r="S31" s="58"/>
      <c r="T31" s="78">
        <f t="shared" ref="T31" si="34">U31+V31</f>
        <v>0</v>
      </c>
      <c r="U31" s="79"/>
      <c r="V31" s="79">
        <f t="shared" ref="V31" si="35">AA31+AH31</f>
        <v>0</v>
      </c>
      <c r="W31" s="58">
        <f t="shared" ref="W31" si="36">X31+AA31</f>
        <v>0</v>
      </c>
      <c r="X31" s="58">
        <f t="shared" ref="X31" si="37">Y31+Z31</f>
        <v>0</v>
      </c>
      <c r="Y31" s="58"/>
      <c r="Z31" s="58"/>
      <c r="AA31" s="58">
        <f t="shared" ref="AA31" si="38">AB31+AC31</f>
        <v>0</v>
      </c>
      <c r="AB31" s="58"/>
      <c r="AC31" s="58"/>
      <c r="AD31" s="58">
        <f t="shared" ref="AD31" si="39">AE31+AH31</f>
        <v>0</v>
      </c>
      <c r="AE31" s="58">
        <f t="shared" ref="AE31" si="40">AF31+AG31</f>
        <v>0</v>
      </c>
      <c r="AF31" s="80"/>
      <c r="AG31" s="58"/>
      <c r="AH31" s="58">
        <f t="shared" ref="AH31" si="41">AI31+AJ31</f>
        <v>0</v>
      </c>
      <c r="AI31" s="58"/>
      <c r="AJ31" s="58"/>
      <c r="AK31" s="81"/>
      <c r="AL31" s="81"/>
      <c r="AM31" s="81"/>
      <c r="AN31" s="81"/>
      <c r="AO31" s="81"/>
      <c r="AP31" s="81"/>
      <c r="AQ31" s="81"/>
      <c r="AR31" s="81"/>
      <c r="AS31" s="81"/>
      <c r="AT31" s="81"/>
      <c r="AU31" s="81"/>
      <c r="AV31" s="81"/>
      <c r="AW31" s="81"/>
      <c r="AX31" s="81"/>
      <c r="AY31" s="81"/>
      <c r="AZ31" s="81"/>
      <c r="BA31" s="81"/>
    </row>
    <row r="32" spans="1:53">
      <c r="A32" s="48">
        <v>19</v>
      </c>
      <c r="B32" s="53" t="s">
        <v>338</v>
      </c>
      <c r="C32" s="78">
        <f t="shared" si="3"/>
        <v>0</v>
      </c>
      <c r="D32" s="79">
        <f t="shared" si="4"/>
        <v>0</v>
      </c>
      <c r="E32" s="79">
        <f t="shared" si="5"/>
        <v>0</v>
      </c>
      <c r="F32" s="58">
        <f t="shared" si="6"/>
        <v>0</v>
      </c>
      <c r="G32" s="58">
        <f t="shared" si="7"/>
        <v>0</v>
      </c>
      <c r="H32" s="58"/>
      <c r="I32" s="58"/>
      <c r="J32" s="58">
        <f t="shared" si="8"/>
        <v>0</v>
      </c>
      <c r="K32" s="58"/>
      <c r="L32" s="58"/>
      <c r="M32" s="58">
        <f t="shared" si="9"/>
        <v>0</v>
      </c>
      <c r="N32" s="58">
        <f t="shared" si="10"/>
        <v>0</v>
      </c>
      <c r="O32" s="58"/>
      <c r="P32" s="58"/>
      <c r="Q32" s="58">
        <f t="shared" si="11"/>
        <v>0</v>
      </c>
      <c r="R32" s="58"/>
      <c r="S32" s="58"/>
      <c r="T32" s="78">
        <f t="shared" si="12"/>
        <v>33.382688999999999</v>
      </c>
      <c r="U32" s="79">
        <f t="shared" si="13"/>
        <v>33.382688999999999</v>
      </c>
      <c r="V32" s="79">
        <f t="shared" si="14"/>
        <v>0</v>
      </c>
      <c r="W32" s="58">
        <f t="shared" si="15"/>
        <v>0</v>
      </c>
      <c r="X32" s="58">
        <f t="shared" si="16"/>
        <v>0</v>
      </c>
      <c r="Y32" s="58"/>
      <c r="Z32" s="58"/>
      <c r="AA32" s="58">
        <f t="shared" si="17"/>
        <v>0</v>
      </c>
      <c r="AB32" s="58"/>
      <c r="AC32" s="58"/>
      <c r="AD32" s="58">
        <f t="shared" si="18"/>
        <v>33.382688999999999</v>
      </c>
      <c r="AE32" s="58">
        <f t="shared" si="19"/>
        <v>33.382688999999999</v>
      </c>
      <c r="AF32" s="80">
        <v>33.382688999999999</v>
      </c>
      <c r="AG32" s="58"/>
      <c r="AH32" s="58">
        <f t="shared" si="20"/>
        <v>0</v>
      </c>
      <c r="AI32" s="58"/>
      <c r="AJ32" s="58"/>
      <c r="AK32" s="81"/>
      <c r="AL32" s="81"/>
      <c r="AM32" s="81"/>
      <c r="AN32" s="81"/>
      <c r="AO32" s="81"/>
      <c r="AP32" s="81"/>
      <c r="AQ32" s="81"/>
      <c r="AR32" s="81"/>
      <c r="AS32" s="81"/>
      <c r="AT32" s="81"/>
      <c r="AU32" s="81"/>
      <c r="AV32" s="81"/>
      <c r="AW32" s="81"/>
      <c r="AX32" s="81"/>
      <c r="AY32" s="81"/>
      <c r="AZ32" s="81"/>
      <c r="BA32" s="81"/>
    </row>
    <row r="33" spans="1:53" s="54" customFormat="1">
      <c r="A33" s="43" t="s">
        <v>18</v>
      </c>
      <c r="B33" s="82" t="s">
        <v>499</v>
      </c>
      <c r="C33" s="83">
        <f t="shared" ref="C33:AJ33" si="42">SUBTOTAL(9,C34:C44)</f>
        <v>373553</v>
      </c>
      <c r="D33" s="84">
        <f t="shared" si="42"/>
        <v>278160</v>
      </c>
      <c r="E33" s="84">
        <f t="shared" si="42"/>
        <v>95393</v>
      </c>
      <c r="F33" s="84">
        <f t="shared" si="42"/>
        <v>192903</v>
      </c>
      <c r="G33" s="84">
        <f t="shared" si="42"/>
        <v>140460</v>
      </c>
      <c r="H33" s="84">
        <f t="shared" si="42"/>
        <v>140460</v>
      </c>
      <c r="I33" s="84">
        <f t="shared" si="42"/>
        <v>0</v>
      </c>
      <c r="J33" s="84">
        <f t="shared" si="42"/>
        <v>52443</v>
      </c>
      <c r="K33" s="84">
        <f t="shared" si="42"/>
        <v>52443</v>
      </c>
      <c r="L33" s="84">
        <f t="shared" si="42"/>
        <v>0</v>
      </c>
      <c r="M33" s="84">
        <f t="shared" si="42"/>
        <v>180650</v>
      </c>
      <c r="N33" s="84">
        <f t="shared" si="42"/>
        <v>137700</v>
      </c>
      <c r="O33" s="84">
        <f t="shared" si="42"/>
        <v>137700</v>
      </c>
      <c r="P33" s="84">
        <f t="shared" si="42"/>
        <v>0</v>
      </c>
      <c r="Q33" s="84">
        <f t="shared" si="42"/>
        <v>42950</v>
      </c>
      <c r="R33" s="84">
        <f t="shared" si="42"/>
        <v>42950</v>
      </c>
      <c r="S33" s="84">
        <f t="shared" si="42"/>
        <v>0</v>
      </c>
      <c r="T33" s="84">
        <f t="shared" si="42"/>
        <v>356738.84815199999</v>
      </c>
      <c r="U33" s="84">
        <f t="shared" si="42"/>
        <v>263192.81002999999</v>
      </c>
      <c r="V33" s="84">
        <f t="shared" si="42"/>
        <v>93546.038121999998</v>
      </c>
      <c r="W33" s="84">
        <f t="shared" si="42"/>
        <v>166978.91681</v>
      </c>
      <c r="X33" s="84">
        <f t="shared" si="42"/>
        <v>115019.96838999999</v>
      </c>
      <c r="Y33" s="84">
        <f t="shared" si="42"/>
        <v>115019.96838999999</v>
      </c>
      <c r="Z33" s="84">
        <f t="shared" si="42"/>
        <v>0</v>
      </c>
      <c r="AA33" s="84">
        <f t="shared" si="42"/>
        <v>51958.948420000001</v>
      </c>
      <c r="AB33" s="84">
        <f t="shared" si="42"/>
        <v>51958.948420000001</v>
      </c>
      <c r="AC33" s="84">
        <f t="shared" si="42"/>
        <v>0</v>
      </c>
      <c r="AD33" s="84">
        <f t="shared" si="42"/>
        <v>189759.93134200003</v>
      </c>
      <c r="AE33" s="84">
        <f t="shared" si="42"/>
        <v>148172.84164</v>
      </c>
      <c r="AF33" s="84">
        <f t="shared" si="42"/>
        <v>148172.84164</v>
      </c>
      <c r="AG33" s="84">
        <f t="shared" si="42"/>
        <v>0</v>
      </c>
      <c r="AH33" s="84">
        <f t="shared" si="42"/>
        <v>41587.089702000005</v>
      </c>
      <c r="AI33" s="84">
        <f t="shared" si="42"/>
        <v>41587.089702000005</v>
      </c>
      <c r="AJ33" s="84">
        <f t="shared" si="42"/>
        <v>0</v>
      </c>
      <c r="AK33" s="85">
        <f>T33/C33</f>
        <v>0.95498857766367817</v>
      </c>
      <c r="AL33" s="85">
        <f t="shared" ref="AL33:AP43" si="43">U33/D33</f>
        <v>0.94619215570175441</v>
      </c>
      <c r="AM33" s="85">
        <f t="shared" si="43"/>
        <v>0.98063839193651525</v>
      </c>
      <c r="AN33" s="85">
        <f t="shared" si="43"/>
        <v>0.86561078267315694</v>
      </c>
      <c r="AO33" s="85">
        <f t="shared" si="43"/>
        <v>0.81888059511604727</v>
      </c>
      <c r="AP33" s="85">
        <f t="shared" si="43"/>
        <v>0.81888059511604727</v>
      </c>
      <c r="AQ33" s="85"/>
      <c r="AR33" s="85">
        <f t="shared" si="22"/>
        <v>0.99076994870621438</v>
      </c>
      <c r="AS33" s="85">
        <f t="shared" si="22"/>
        <v>0.99076994870621438</v>
      </c>
      <c r="AT33" s="85"/>
      <c r="AU33" s="85">
        <f t="shared" ref="AU33:AW43" si="44">AD33/M33</f>
        <v>1.0504286263050098</v>
      </c>
      <c r="AV33" s="85">
        <f t="shared" si="44"/>
        <v>1.0760554948438634</v>
      </c>
      <c r="AW33" s="85">
        <f t="shared" si="44"/>
        <v>1.0760554948438634</v>
      </c>
      <c r="AX33" s="85"/>
      <c r="AY33" s="85">
        <f t="shared" ref="AY33:AZ43" si="45">AH33/Q33</f>
        <v>0.9682675134342259</v>
      </c>
      <c r="AZ33" s="85">
        <f t="shared" si="45"/>
        <v>0.9682675134342259</v>
      </c>
      <c r="BA33" s="85"/>
    </row>
    <row r="34" spans="1:53">
      <c r="A34" s="48">
        <v>1</v>
      </c>
      <c r="B34" s="53" t="s">
        <v>337</v>
      </c>
      <c r="C34" s="55">
        <f>D34+E34</f>
        <v>8010</v>
      </c>
      <c r="D34" s="51">
        <f>G34+N34</f>
        <v>4167</v>
      </c>
      <c r="E34" s="51">
        <f>J34+Q34</f>
        <v>3843</v>
      </c>
      <c r="F34" s="56">
        <f>G34+J34</f>
        <v>4175</v>
      </c>
      <c r="G34" s="56">
        <f>H34+I34</f>
        <v>2867</v>
      </c>
      <c r="H34" s="56">
        <v>2867</v>
      </c>
      <c r="I34" s="56"/>
      <c r="J34" s="56">
        <f>K34+L34</f>
        <v>1308</v>
      </c>
      <c r="K34" s="56">
        <v>1308</v>
      </c>
      <c r="L34" s="56"/>
      <c r="M34" s="56">
        <f>N34+Q34</f>
        <v>3835</v>
      </c>
      <c r="N34" s="56">
        <f>O34+P34</f>
        <v>1300</v>
      </c>
      <c r="O34" s="56">
        <f>1300</f>
        <v>1300</v>
      </c>
      <c r="P34" s="56"/>
      <c r="Q34" s="56">
        <f>R34+S34</f>
        <v>2535</v>
      </c>
      <c r="R34" s="56">
        <v>2535</v>
      </c>
      <c r="S34" s="56"/>
      <c r="T34" s="55">
        <f>U34+V34</f>
        <v>7804.8542940000007</v>
      </c>
      <c r="U34" s="51">
        <f>X34+AE34</f>
        <v>4122.1797420000003</v>
      </c>
      <c r="V34" s="51">
        <f>AA34+AH34</f>
        <v>3682.6745519999999</v>
      </c>
      <c r="W34" s="56">
        <f>X34+AA34</f>
        <v>4144.6585999999998</v>
      </c>
      <c r="X34" s="56">
        <f>Y34+Z34</f>
        <v>2853.5385999999999</v>
      </c>
      <c r="Y34" s="56">
        <v>2853.5385999999999</v>
      </c>
      <c r="Z34" s="56"/>
      <c r="AA34" s="56">
        <f>AB34+AC34</f>
        <v>1291.1199999999999</v>
      </c>
      <c r="AB34" s="56">
        <v>1291.1199999999999</v>
      </c>
      <c r="AC34" s="56"/>
      <c r="AD34" s="56">
        <f>AE34+AH34</f>
        <v>3660.195694</v>
      </c>
      <c r="AE34" s="56">
        <f>AF34+AG34</f>
        <v>1268.6411419999999</v>
      </c>
      <c r="AF34" s="57">
        <f>1268.641142</f>
        <v>1268.6411419999999</v>
      </c>
      <c r="AG34" s="56"/>
      <c r="AH34" s="56">
        <f>AI34+AJ34</f>
        <v>2391.5545520000001</v>
      </c>
      <c r="AI34" s="56">
        <v>2391.5545520000001</v>
      </c>
      <c r="AJ34" s="56"/>
      <c r="AK34" s="76">
        <f>T34/C34</f>
        <v>0.97438880074906375</v>
      </c>
      <c r="AL34" s="76">
        <f t="shared" si="43"/>
        <v>0.98924399856011525</v>
      </c>
      <c r="AM34" s="76">
        <f t="shared" si="43"/>
        <v>0.95828117408274782</v>
      </c>
      <c r="AN34" s="76">
        <f t="shared" si="43"/>
        <v>0.99273259880239517</v>
      </c>
      <c r="AO34" s="76">
        <f t="shared" si="43"/>
        <v>0.99530470875479593</v>
      </c>
      <c r="AP34" s="76">
        <f t="shared" si="43"/>
        <v>0.99530470875479593</v>
      </c>
      <c r="AQ34" s="76"/>
      <c r="AR34" s="76">
        <f t="shared" si="22"/>
        <v>0.98709480122324156</v>
      </c>
      <c r="AS34" s="76">
        <f t="shared" si="22"/>
        <v>0.98709480122324156</v>
      </c>
      <c r="AT34" s="76"/>
      <c r="AU34" s="76">
        <f t="shared" si="44"/>
        <v>0.95441869465449802</v>
      </c>
      <c r="AV34" s="76">
        <f t="shared" si="44"/>
        <v>0.97587780153846149</v>
      </c>
      <c r="AW34" s="76">
        <f t="shared" si="44"/>
        <v>0.97587780153846149</v>
      </c>
      <c r="AX34" s="76"/>
      <c r="AY34" s="76">
        <f t="shared" si="45"/>
        <v>0.9434140244575937</v>
      </c>
      <c r="AZ34" s="76">
        <f t="shared" si="45"/>
        <v>0.9434140244575937</v>
      </c>
      <c r="BA34" s="76"/>
    </row>
    <row r="35" spans="1:53">
      <c r="A35" s="48">
        <v>2</v>
      </c>
      <c r="B35" s="53" t="s">
        <v>338</v>
      </c>
      <c r="C35" s="55">
        <f t="shared" si="3"/>
        <v>21413</v>
      </c>
      <c r="D35" s="51">
        <f t="shared" si="4"/>
        <v>13780</v>
      </c>
      <c r="E35" s="51">
        <f t="shared" si="5"/>
        <v>7633</v>
      </c>
      <c r="F35" s="56">
        <f t="shared" ref="F35:F43" si="46">G35+J35</f>
        <v>8848</v>
      </c>
      <c r="G35" s="56">
        <f t="shared" ref="G35:G43" si="47">H35+I35</f>
        <v>6310</v>
      </c>
      <c r="H35" s="56">
        <v>6310</v>
      </c>
      <c r="I35" s="56"/>
      <c r="J35" s="56">
        <f t="shared" ref="J35:J43" si="48">K35+L35</f>
        <v>2538</v>
      </c>
      <c r="K35" s="56">
        <v>2538</v>
      </c>
      <c r="L35" s="56"/>
      <c r="M35" s="56">
        <f t="shared" ref="M35:M43" si="49">N35+Q35</f>
        <v>12565</v>
      </c>
      <c r="N35" s="56">
        <f t="shared" ref="N35:N43" si="50">O35+P35</f>
        <v>7470</v>
      </c>
      <c r="O35" s="56">
        <f>7470</f>
        <v>7470</v>
      </c>
      <c r="P35" s="56"/>
      <c r="Q35" s="56">
        <f t="shared" ref="Q35:Q43" si="51">R35+S35</f>
        <v>5095</v>
      </c>
      <c r="R35" s="56">
        <v>5095</v>
      </c>
      <c r="S35" s="56"/>
      <c r="T35" s="55">
        <f t="shared" ref="T35:T43" si="52">U35+V35</f>
        <v>21266.886137000001</v>
      </c>
      <c r="U35" s="51">
        <f t="shared" ref="U35:U43" si="53">X35+AE35</f>
        <v>13681.49</v>
      </c>
      <c r="V35" s="51">
        <f t="shared" ref="V35:V43" si="54">AA35+AH35</f>
        <v>7585.3961369999997</v>
      </c>
      <c r="W35" s="56">
        <f t="shared" ref="W35:W43" si="55">X35+AA35</f>
        <v>8688.196136999999</v>
      </c>
      <c r="X35" s="56">
        <f t="shared" ref="X35:X43" si="56">Y35+Z35</f>
        <v>6194.4</v>
      </c>
      <c r="Y35" s="56">
        <v>6194.4</v>
      </c>
      <c r="Z35" s="56"/>
      <c r="AA35" s="56">
        <f t="shared" ref="AA35:AA43" si="57">AB35+AC35</f>
        <v>2493.7961369999998</v>
      </c>
      <c r="AB35" s="56">
        <v>2493.7961369999998</v>
      </c>
      <c r="AC35" s="56"/>
      <c r="AD35" s="56">
        <f t="shared" ref="AD35:AD43" si="58">AE35+AH35</f>
        <v>12578.69</v>
      </c>
      <c r="AE35" s="56">
        <f t="shared" ref="AE35:AE43" si="59">AF35+AG35</f>
        <v>7487.09</v>
      </c>
      <c r="AF35" s="57">
        <f>7487.09</f>
        <v>7487.09</v>
      </c>
      <c r="AG35" s="56"/>
      <c r="AH35" s="56">
        <f t="shared" ref="AH35:AH43" si="60">AI35+AJ35</f>
        <v>5091.6000000000004</v>
      </c>
      <c r="AI35" s="56">
        <v>5091.6000000000004</v>
      </c>
      <c r="AJ35" s="56"/>
      <c r="AK35" s="76">
        <f t="shared" ref="AK35:AK43" si="61">T35/C35</f>
        <v>0.99317639457339002</v>
      </c>
      <c r="AL35" s="76">
        <f t="shared" si="43"/>
        <v>0.99285123367198835</v>
      </c>
      <c r="AM35" s="76">
        <f t="shared" si="43"/>
        <v>0.99376341372985721</v>
      </c>
      <c r="AN35" s="76">
        <f t="shared" si="43"/>
        <v>0.98193898474231456</v>
      </c>
      <c r="AO35" s="76">
        <f t="shared" si="43"/>
        <v>0.98167987321711558</v>
      </c>
      <c r="AP35" s="76">
        <f t="shared" si="43"/>
        <v>0.98167987321711558</v>
      </c>
      <c r="AQ35" s="76"/>
      <c r="AR35" s="76">
        <f t="shared" ref="AR35:AS43" si="62">AA35/J35</f>
        <v>0.98258319030732855</v>
      </c>
      <c r="AS35" s="76">
        <f t="shared" si="62"/>
        <v>0.98258319030732855</v>
      </c>
      <c r="AT35" s="76"/>
      <c r="AU35" s="76">
        <f t="shared" si="44"/>
        <v>1.0010895344210107</v>
      </c>
      <c r="AV35" s="76">
        <f t="shared" si="44"/>
        <v>1.0022878179384205</v>
      </c>
      <c r="AW35" s="76">
        <f t="shared" si="44"/>
        <v>1.0022878179384205</v>
      </c>
      <c r="AX35" s="76"/>
      <c r="AY35" s="76">
        <f t="shared" si="45"/>
        <v>0.99933267909715418</v>
      </c>
      <c r="AZ35" s="76">
        <f t="shared" si="45"/>
        <v>0.99933267909715418</v>
      </c>
      <c r="BA35" s="76"/>
    </row>
    <row r="36" spans="1:53">
      <c r="A36" s="48">
        <v>3</v>
      </c>
      <c r="B36" s="53" t="s">
        <v>339</v>
      </c>
      <c r="C36" s="55">
        <f t="shared" si="3"/>
        <v>19899</v>
      </c>
      <c r="D36" s="51">
        <f t="shared" si="4"/>
        <v>14166</v>
      </c>
      <c r="E36" s="51">
        <f t="shared" si="5"/>
        <v>5733</v>
      </c>
      <c r="F36" s="56">
        <f t="shared" si="46"/>
        <v>6957</v>
      </c>
      <c r="G36" s="56">
        <f t="shared" si="47"/>
        <v>5056</v>
      </c>
      <c r="H36" s="56">
        <v>5056</v>
      </c>
      <c r="I36" s="56"/>
      <c r="J36" s="56">
        <f t="shared" si="48"/>
        <v>1901</v>
      </c>
      <c r="K36" s="56">
        <v>1901</v>
      </c>
      <c r="L36" s="56"/>
      <c r="M36" s="56">
        <f t="shared" si="49"/>
        <v>12942</v>
      </c>
      <c r="N36" s="56">
        <f t="shared" si="50"/>
        <v>9110</v>
      </c>
      <c r="O36" s="56">
        <f>9110</f>
        <v>9110</v>
      </c>
      <c r="P36" s="56"/>
      <c r="Q36" s="56">
        <f t="shared" si="51"/>
        <v>3832</v>
      </c>
      <c r="R36" s="56">
        <v>3832</v>
      </c>
      <c r="S36" s="56"/>
      <c r="T36" s="55">
        <f t="shared" si="52"/>
        <v>19836.816999999999</v>
      </c>
      <c r="U36" s="51">
        <f t="shared" si="53"/>
        <v>14154.021000000001</v>
      </c>
      <c r="V36" s="51">
        <f t="shared" si="54"/>
        <v>5682.7959999999994</v>
      </c>
      <c r="W36" s="56">
        <f t="shared" si="55"/>
        <v>6894.9859999999999</v>
      </c>
      <c r="X36" s="56">
        <f t="shared" si="56"/>
        <v>5040.7089999999998</v>
      </c>
      <c r="Y36" s="56">
        <v>5040.7089999999998</v>
      </c>
      <c r="Z36" s="56"/>
      <c r="AA36" s="56">
        <f t="shared" si="57"/>
        <v>1854.2769999999998</v>
      </c>
      <c r="AB36" s="56">
        <v>1854.2769999999998</v>
      </c>
      <c r="AC36" s="56"/>
      <c r="AD36" s="56">
        <f t="shared" si="58"/>
        <v>12941.831</v>
      </c>
      <c r="AE36" s="56">
        <f t="shared" si="59"/>
        <v>9113.3119999999999</v>
      </c>
      <c r="AF36" s="57">
        <v>9113.3119999999999</v>
      </c>
      <c r="AG36" s="56"/>
      <c r="AH36" s="56">
        <f t="shared" si="60"/>
        <v>3828.5189999999998</v>
      </c>
      <c r="AI36" s="56">
        <v>3828.5189999999998</v>
      </c>
      <c r="AJ36" s="56"/>
      <c r="AK36" s="76">
        <f t="shared" si="61"/>
        <v>0.99687506909894963</v>
      </c>
      <c r="AL36" s="76">
        <f t="shared" si="43"/>
        <v>0.99915438373570531</v>
      </c>
      <c r="AM36" s="76">
        <f t="shared" si="43"/>
        <v>0.99124297924297911</v>
      </c>
      <c r="AN36" s="76">
        <f t="shared" si="43"/>
        <v>0.99108610033060229</v>
      </c>
      <c r="AO36" s="76">
        <f t="shared" si="43"/>
        <v>0.99697567246835439</v>
      </c>
      <c r="AP36" s="76">
        <f t="shared" si="43"/>
        <v>0.99697567246835439</v>
      </c>
      <c r="AQ36" s="76"/>
      <c r="AR36" s="76">
        <f t="shared" si="62"/>
        <v>0.97542188321935819</v>
      </c>
      <c r="AS36" s="76">
        <f t="shared" si="62"/>
        <v>0.97542188321935819</v>
      </c>
      <c r="AT36" s="76"/>
      <c r="AU36" s="76">
        <f t="shared" si="44"/>
        <v>0.99998694174007108</v>
      </c>
      <c r="AV36" s="76">
        <f t="shared" si="44"/>
        <v>1.0003635565312843</v>
      </c>
      <c r="AW36" s="76">
        <f t="shared" si="44"/>
        <v>1.0003635565312843</v>
      </c>
      <c r="AX36" s="76"/>
      <c r="AY36" s="76">
        <f t="shared" si="45"/>
        <v>0.99909159707724415</v>
      </c>
      <c r="AZ36" s="76">
        <f t="shared" si="45"/>
        <v>0.99909159707724415</v>
      </c>
      <c r="BA36" s="76"/>
    </row>
    <row r="37" spans="1:53">
      <c r="A37" s="48">
        <v>4</v>
      </c>
      <c r="B37" s="53" t="s">
        <v>340</v>
      </c>
      <c r="C37" s="55">
        <f t="shared" si="3"/>
        <v>25017</v>
      </c>
      <c r="D37" s="51">
        <f t="shared" si="4"/>
        <v>19089</v>
      </c>
      <c r="E37" s="51">
        <f t="shared" si="5"/>
        <v>5928</v>
      </c>
      <c r="F37" s="56">
        <f t="shared" si="46"/>
        <v>6436</v>
      </c>
      <c r="G37" s="56">
        <f t="shared" si="47"/>
        <v>4579</v>
      </c>
      <c r="H37" s="56">
        <v>4579</v>
      </c>
      <c r="I37" s="56"/>
      <c r="J37" s="56">
        <f t="shared" si="48"/>
        <v>1857</v>
      </c>
      <c r="K37" s="56">
        <v>1857</v>
      </c>
      <c r="L37" s="56"/>
      <c r="M37" s="56">
        <f t="shared" si="49"/>
        <v>18581</v>
      </c>
      <c r="N37" s="56">
        <f t="shared" si="50"/>
        <v>14510</v>
      </c>
      <c r="O37" s="56">
        <f>14510</f>
        <v>14510</v>
      </c>
      <c r="P37" s="56"/>
      <c r="Q37" s="56">
        <f t="shared" si="51"/>
        <v>4071</v>
      </c>
      <c r="R37" s="56">
        <v>4071</v>
      </c>
      <c r="S37" s="56"/>
      <c r="T37" s="55">
        <f t="shared" si="52"/>
        <v>24758.022999999997</v>
      </c>
      <c r="U37" s="51">
        <f t="shared" si="53"/>
        <v>19161.043999999998</v>
      </c>
      <c r="V37" s="51">
        <f t="shared" si="54"/>
        <v>5596.9790000000003</v>
      </c>
      <c r="W37" s="56">
        <f t="shared" si="55"/>
        <v>6841.473</v>
      </c>
      <c r="X37" s="56">
        <f t="shared" si="56"/>
        <v>5009.5209999999997</v>
      </c>
      <c r="Y37" s="56">
        <v>5009.5209999999997</v>
      </c>
      <c r="Z37" s="56"/>
      <c r="AA37" s="56">
        <f t="shared" si="57"/>
        <v>1831.952</v>
      </c>
      <c r="AB37" s="56">
        <v>1831.952</v>
      </c>
      <c r="AC37" s="56"/>
      <c r="AD37" s="56">
        <f t="shared" si="58"/>
        <v>17916.55</v>
      </c>
      <c r="AE37" s="56">
        <f t="shared" si="59"/>
        <v>14151.522999999999</v>
      </c>
      <c r="AF37" s="57">
        <v>14151.522999999999</v>
      </c>
      <c r="AG37" s="56"/>
      <c r="AH37" s="56">
        <f t="shared" si="60"/>
        <v>3765.027</v>
      </c>
      <c r="AI37" s="56">
        <v>3765.027</v>
      </c>
      <c r="AJ37" s="56"/>
      <c r="AK37" s="76">
        <f t="shared" si="61"/>
        <v>0.98964795938761629</v>
      </c>
      <c r="AL37" s="76">
        <f t="shared" si="43"/>
        <v>1.0037741107444076</v>
      </c>
      <c r="AM37" s="76">
        <f t="shared" si="43"/>
        <v>0.94415975033738198</v>
      </c>
      <c r="AN37" s="76">
        <f t="shared" si="43"/>
        <v>1.0630007768800498</v>
      </c>
      <c r="AO37" s="76">
        <f t="shared" si="43"/>
        <v>1.0940207468879668</v>
      </c>
      <c r="AP37" s="76">
        <f t="shared" si="43"/>
        <v>1.0940207468879668</v>
      </c>
      <c r="AQ37" s="76"/>
      <c r="AR37" s="76">
        <f t="shared" si="62"/>
        <v>0.98651157781367793</v>
      </c>
      <c r="AS37" s="76">
        <f t="shared" si="62"/>
        <v>0.98651157781367793</v>
      </c>
      <c r="AT37" s="76"/>
      <c r="AU37" s="76">
        <f t="shared" si="44"/>
        <v>0.96424035304881328</v>
      </c>
      <c r="AV37" s="76">
        <f t="shared" si="44"/>
        <v>0.97529448656099238</v>
      </c>
      <c r="AW37" s="76">
        <f t="shared" si="44"/>
        <v>0.97529448656099238</v>
      </c>
      <c r="AX37" s="76"/>
      <c r="AY37" s="76">
        <f t="shared" si="45"/>
        <v>0.92484082535003687</v>
      </c>
      <c r="AZ37" s="76">
        <f t="shared" si="45"/>
        <v>0.92484082535003687</v>
      </c>
      <c r="BA37" s="76"/>
    </row>
    <row r="38" spans="1:53">
      <c r="A38" s="48">
        <v>5</v>
      </c>
      <c r="B38" s="53" t="s">
        <v>341</v>
      </c>
      <c r="C38" s="55">
        <f t="shared" si="3"/>
        <v>41722</v>
      </c>
      <c r="D38" s="51">
        <f t="shared" si="4"/>
        <v>31785</v>
      </c>
      <c r="E38" s="51">
        <f t="shared" si="5"/>
        <v>9937</v>
      </c>
      <c r="F38" s="56">
        <f t="shared" si="46"/>
        <v>15148</v>
      </c>
      <c r="G38" s="56">
        <f t="shared" si="47"/>
        <v>10795</v>
      </c>
      <c r="H38" s="56">
        <v>10795</v>
      </c>
      <c r="I38" s="58"/>
      <c r="J38" s="56">
        <f t="shared" si="48"/>
        <v>4353</v>
      </c>
      <c r="K38" s="58">
        <v>4353</v>
      </c>
      <c r="L38" s="58"/>
      <c r="M38" s="56">
        <f t="shared" si="49"/>
        <v>26574</v>
      </c>
      <c r="N38" s="56">
        <f t="shared" si="50"/>
        <v>20990</v>
      </c>
      <c r="O38" s="56">
        <f>20990</f>
        <v>20990</v>
      </c>
      <c r="P38" s="58"/>
      <c r="Q38" s="56">
        <f t="shared" si="51"/>
        <v>5584</v>
      </c>
      <c r="R38" s="58">
        <v>5584</v>
      </c>
      <c r="S38" s="58"/>
      <c r="T38" s="55">
        <f t="shared" si="52"/>
        <v>42368.385000000002</v>
      </c>
      <c r="U38" s="51">
        <f t="shared" si="53"/>
        <v>32567.205000000002</v>
      </c>
      <c r="V38" s="51">
        <f t="shared" si="54"/>
        <v>9801.18</v>
      </c>
      <c r="W38" s="56">
        <f t="shared" si="55"/>
        <v>15932.634999999998</v>
      </c>
      <c r="X38" s="56">
        <f t="shared" si="56"/>
        <v>11619.754999999999</v>
      </c>
      <c r="Y38" s="56">
        <f>11744.438-124.683</f>
        <v>11619.754999999999</v>
      </c>
      <c r="Z38" s="58"/>
      <c r="AA38" s="56">
        <f t="shared" si="57"/>
        <v>4312.88</v>
      </c>
      <c r="AB38" s="58">
        <v>4312.88</v>
      </c>
      <c r="AC38" s="58"/>
      <c r="AD38" s="56">
        <f t="shared" si="58"/>
        <v>26435.75</v>
      </c>
      <c r="AE38" s="56">
        <f t="shared" si="59"/>
        <v>20947.45</v>
      </c>
      <c r="AF38" s="57">
        <v>20947.45</v>
      </c>
      <c r="AG38" s="58"/>
      <c r="AH38" s="56">
        <f t="shared" si="60"/>
        <v>5488.3</v>
      </c>
      <c r="AI38" s="58">
        <v>5488.3</v>
      </c>
      <c r="AJ38" s="58"/>
      <c r="AK38" s="76">
        <f t="shared" si="61"/>
        <v>1.0154926657398975</v>
      </c>
      <c r="AL38" s="76">
        <f t="shared" si="43"/>
        <v>1.0246092496460595</v>
      </c>
      <c r="AM38" s="76">
        <f t="shared" si="43"/>
        <v>0.98633189091275031</v>
      </c>
      <c r="AN38" s="76">
        <f t="shared" si="43"/>
        <v>1.0517979271190916</v>
      </c>
      <c r="AO38" s="76">
        <f t="shared" si="43"/>
        <v>1.0764015748031495</v>
      </c>
      <c r="AP38" s="76">
        <f t="shared" si="43"/>
        <v>1.0764015748031495</v>
      </c>
      <c r="AQ38" s="76"/>
      <c r="AR38" s="76">
        <f t="shared" si="62"/>
        <v>0.99078336779232712</v>
      </c>
      <c r="AS38" s="76">
        <f t="shared" si="62"/>
        <v>0.99078336779232712</v>
      </c>
      <c r="AT38" s="76"/>
      <c r="AU38" s="76">
        <f t="shared" si="44"/>
        <v>0.9947975464739971</v>
      </c>
      <c r="AV38" s="76">
        <f t="shared" si="44"/>
        <v>0.99797284421152932</v>
      </c>
      <c r="AW38" s="76">
        <f t="shared" si="44"/>
        <v>0.99797284421152932</v>
      </c>
      <c r="AX38" s="76"/>
      <c r="AY38" s="76">
        <f t="shared" si="45"/>
        <v>0.98286174785100289</v>
      </c>
      <c r="AZ38" s="76">
        <f t="shared" si="45"/>
        <v>0.98286174785100289</v>
      </c>
      <c r="BA38" s="76"/>
    </row>
    <row r="39" spans="1:53">
      <c r="A39" s="48">
        <v>6</v>
      </c>
      <c r="B39" s="53" t="s">
        <v>342</v>
      </c>
      <c r="C39" s="55">
        <f t="shared" si="3"/>
        <v>35493</v>
      </c>
      <c r="D39" s="51">
        <f t="shared" si="4"/>
        <v>27548</v>
      </c>
      <c r="E39" s="51">
        <f t="shared" si="5"/>
        <v>7945</v>
      </c>
      <c r="F39" s="56">
        <f t="shared" si="46"/>
        <v>11110</v>
      </c>
      <c r="G39" s="56">
        <f t="shared" si="47"/>
        <v>7908</v>
      </c>
      <c r="H39" s="56">
        <v>7908</v>
      </c>
      <c r="I39" s="58"/>
      <c r="J39" s="56">
        <f t="shared" si="48"/>
        <v>3202</v>
      </c>
      <c r="K39" s="58">
        <v>3202</v>
      </c>
      <c r="L39" s="58"/>
      <c r="M39" s="56">
        <f t="shared" si="49"/>
        <v>24383</v>
      </c>
      <c r="N39" s="56">
        <f t="shared" si="50"/>
        <v>19640</v>
      </c>
      <c r="O39" s="56">
        <f>19640</f>
        <v>19640</v>
      </c>
      <c r="P39" s="58"/>
      <c r="Q39" s="56">
        <f t="shared" si="51"/>
        <v>4743</v>
      </c>
      <c r="R39" s="58">
        <v>4743</v>
      </c>
      <c r="S39" s="58"/>
      <c r="T39" s="55">
        <f t="shared" si="52"/>
        <v>40971.088920000002</v>
      </c>
      <c r="U39" s="51">
        <f t="shared" si="53"/>
        <v>33437.038520000002</v>
      </c>
      <c r="V39" s="51">
        <f t="shared" si="54"/>
        <v>7534.0504000000001</v>
      </c>
      <c r="W39" s="56">
        <f t="shared" si="55"/>
        <v>10954.376990000001</v>
      </c>
      <c r="X39" s="56">
        <f t="shared" si="56"/>
        <v>7775.0142900000001</v>
      </c>
      <c r="Y39" s="56">
        <f>7998.24729-223.233</f>
        <v>7775.0142900000001</v>
      </c>
      <c r="Z39" s="58"/>
      <c r="AA39" s="56">
        <f t="shared" si="57"/>
        <v>3179.3626999999997</v>
      </c>
      <c r="AB39" s="58">
        <v>3179.3626999999997</v>
      </c>
      <c r="AC39" s="58"/>
      <c r="AD39" s="56">
        <f t="shared" si="58"/>
        <v>30016.711930000005</v>
      </c>
      <c r="AE39" s="56">
        <f t="shared" si="59"/>
        <v>25662.024230000003</v>
      </c>
      <c r="AF39" s="57">
        <v>25662.024230000003</v>
      </c>
      <c r="AG39" s="58"/>
      <c r="AH39" s="56">
        <f t="shared" si="60"/>
        <v>4354.6877000000004</v>
      </c>
      <c r="AI39" s="58">
        <v>4354.6877000000004</v>
      </c>
      <c r="AJ39" s="58"/>
      <c r="AK39" s="76">
        <f t="shared" si="61"/>
        <v>1.1543427977347647</v>
      </c>
      <c r="AL39" s="76">
        <f t="shared" si="43"/>
        <v>1.2137737229562946</v>
      </c>
      <c r="AM39" s="76">
        <f t="shared" si="43"/>
        <v>0.94827569540591572</v>
      </c>
      <c r="AN39" s="76">
        <f t="shared" si="43"/>
        <v>0.98599252835283535</v>
      </c>
      <c r="AO39" s="76">
        <f t="shared" si="43"/>
        <v>0.98318339529590293</v>
      </c>
      <c r="AP39" s="76">
        <f t="shared" si="43"/>
        <v>0.98318339529590293</v>
      </c>
      <c r="AQ39" s="76"/>
      <c r="AR39" s="76">
        <f t="shared" si="62"/>
        <v>0.99293026233603987</v>
      </c>
      <c r="AS39" s="76">
        <f t="shared" si="62"/>
        <v>0.99293026233603987</v>
      </c>
      <c r="AT39" s="76"/>
      <c r="AU39" s="76">
        <f t="shared" si="44"/>
        <v>1.2310508112209329</v>
      </c>
      <c r="AV39" s="76">
        <f t="shared" si="44"/>
        <v>1.3066203783095724</v>
      </c>
      <c r="AW39" s="76">
        <f t="shared" si="44"/>
        <v>1.3066203783095724</v>
      </c>
      <c r="AX39" s="76"/>
      <c r="AY39" s="76">
        <f t="shared" si="45"/>
        <v>0.91812939068100363</v>
      </c>
      <c r="AZ39" s="76">
        <f t="shared" si="45"/>
        <v>0.91812939068100363</v>
      </c>
      <c r="BA39" s="76"/>
    </row>
    <row r="40" spans="1:53">
      <c r="A40" s="48">
        <v>7</v>
      </c>
      <c r="B40" s="53" t="s">
        <v>343</v>
      </c>
      <c r="C40" s="55">
        <f t="shared" si="3"/>
        <v>54799</v>
      </c>
      <c r="D40" s="51">
        <f t="shared" si="4"/>
        <v>44009</v>
      </c>
      <c r="E40" s="51">
        <f t="shared" si="5"/>
        <v>10790</v>
      </c>
      <c r="F40" s="56">
        <f t="shared" si="46"/>
        <v>43780</v>
      </c>
      <c r="G40" s="56">
        <f t="shared" si="47"/>
        <v>35099</v>
      </c>
      <c r="H40" s="56">
        <f>35099</f>
        <v>35099</v>
      </c>
      <c r="I40" s="58"/>
      <c r="J40" s="56">
        <f t="shared" si="48"/>
        <v>8681</v>
      </c>
      <c r="K40" s="58">
        <v>8681</v>
      </c>
      <c r="L40" s="58"/>
      <c r="M40" s="56">
        <f t="shared" si="49"/>
        <v>11019</v>
      </c>
      <c r="N40" s="56">
        <f t="shared" si="50"/>
        <v>8910</v>
      </c>
      <c r="O40" s="56">
        <f>8910</f>
        <v>8910</v>
      </c>
      <c r="P40" s="58"/>
      <c r="Q40" s="56">
        <f t="shared" si="51"/>
        <v>2109</v>
      </c>
      <c r="R40" s="58">
        <v>2109</v>
      </c>
      <c r="S40" s="58"/>
      <c r="T40" s="55">
        <f t="shared" si="52"/>
        <v>26920.718510999999</v>
      </c>
      <c r="U40" s="51">
        <f t="shared" si="53"/>
        <v>16480.614468</v>
      </c>
      <c r="V40" s="51">
        <f t="shared" si="54"/>
        <v>10440.104042999999</v>
      </c>
      <c r="W40" s="56">
        <f t="shared" si="55"/>
        <v>11425.766093</v>
      </c>
      <c r="X40" s="56">
        <f t="shared" si="56"/>
        <v>2879.4490000000005</v>
      </c>
      <c r="Y40" s="56">
        <f>21298.277243-18418.828243</f>
        <v>2879.4490000000005</v>
      </c>
      <c r="Z40" s="58"/>
      <c r="AA40" s="56">
        <f t="shared" si="57"/>
        <v>8546.3170929999997</v>
      </c>
      <c r="AB40" s="58">
        <v>8546.3170929999997</v>
      </c>
      <c r="AC40" s="58"/>
      <c r="AD40" s="56">
        <f t="shared" si="58"/>
        <v>15494.952417999999</v>
      </c>
      <c r="AE40" s="56">
        <f t="shared" si="59"/>
        <v>13601.165467999999</v>
      </c>
      <c r="AF40" s="57">
        <v>13601.165467999999</v>
      </c>
      <c r="AG40" s="58"/>
      <c r="AH40" s="56">
        <f t="shared" si="60"/>
        <v>1893.7869499999997</v>
      </c>
      <c r="AI40" s="58">
        <v>1893.7869499999997</v>
      </c>
      <c r="AJ40" s="58"/>
      <c r="AK40" s="76">
        <f t="shared" si="61"/>
        <v>0.4912629520794175</v>
      </c>
      <c r="AL40" s="76">
        <f t="shared" si="43"/>
        <v>0.37448282096843827</v>
      </c>
      <c r="AM40" s="76">
        <f t="shared" si="43"/>
        <v>0.96757220046339198</v>
      </c>
      <c r="AN40" s="76">
        <f t="shared" si="43"/>
        <v>0.26098140915943352</v>
      </c>
      <c r="AO40" s="76">
        <f t="shared" si="43"/>
        <v>8.20379213082994E-2</v>
      </c>
      <c r="AP40" s="76">
        <f t="shared" si="43"/>
        <v>8.20379213082994E-2</v>
      </c>
      <c r="AQ40" s="76"/>
      <c r="AR40" s="76">
        <f t="shared" si="62"/>
        <v>0.98448532346503859</v>
      </c>
      <c r="AS40" s="76">
        <f t="shared" si="62"/>
        <v>0.98448532346503859</v>
      </c>
      <c r="AT40" s="76"/>
      <c r="AU40" s="76">
        <f t="shared" si="44"/>
        <v>1.4062031416643979</v>
      </c>
      <c r="AV40" s="76">
        <f t="shared" si="44"/>
        <v>1.5265056641975308</v>
      </c>
      <c r="AW40" s="76">
        <f t="shared" si="44"/>
        <v>1.5265056641975308</v>
      </c>
      <c r="AX40" s="76"/>
      <c r="AY40" s="76">
        <f t="shared" si="45"/>
        <v>0.8979549312470364</v>
      </c>
      <c r="AZ40" s="76">
        <f t="shared" si="45"/>
        <v>0.8979549312470364</v>
      </c>
      <c r="BA40" s="76"/>
    </row>
    <row r="41" spans="1:53">
      <c r="A41" s="48">
        <v>8</v>
      </c>
      <c r="B41" s="53" t="s">
        <v>335</v>
      </c>
      <c r="C41" s="55">
        <f t="shared" si="3"/>
        <v>21433</v>
      </c>
      <c r="D41" s="51">
        <f t="shared" si="4"/>
        <v>15922</v>
      </c>
      <c r="E41" s="51">
        <f t="shared" si="5"/>
        <v>5511</v>
      </c>
      <c r="F41" s="56">
        <f t="shared" si="46"/>
        <v>7611</v>
      </c>
      <c r="G41" s="56">
        <f t="shared" si="47"/>
        <v>5572</v>
      </c>
      <c r="H41" s="56">
        <v>5572</v>
      </c>
      <c r="I41" s="58"/>
      <c r="J41" s="56">
        <f t="shared" si="48"/>
        <v>2039</v>
      </c>
      <c r="K41" s="58">
        <v>2039</v>
      </c>
      <c r="L41" s="58"/>
      <c r="M41" s="56">
        <f t="shared" si="49"/>
        <v>13822</v>
      </c>
      <c r="N41" s="56">
        <f t="shared" si="50"/>
        <v>10350</v>
      </c>
      <c r="O41" s="56">
        <v>10350</v>
      </c>
      <c r="P41" s="58"/>
      <c r="Q41" s="56">
        <f t="shared" si="51"/>
        <v>3472</v>
      </c>
      <c r="R41" s="58">
        <v>3472</v>
      </c>
      <c r="S41" s="58"/>
      <c r="T41" s="55">
        <f t="shared" si="52"/>
        <v>20937.807000000001</v>
      </c>
      <c r="U41" s="51">
        <f t="shared" si="53"/>
        <v>15548.94</v>
      </c>
      <c r="V41" s="51">
        <f t="shared" si="54"/>
        <v>5388.8670000000002</v>
      </c>
      <c r="W41" s="56">
        <f t="shared" si="55"/>
        <v>7333.9489999999996</v>
      </c>
      <c r="X41" s="56">
        <f t="shared" si="56"/>
        <v>5331.24</v>
      </c>
      <c r="Y41" s="56">
        <v>5331.24</v>
      </c>
      <c r="Z41" s="58"/>
      <c r="AA41" s="56">
        <f t="shared" si="57"/>
        <v>2002.7089999999998</v>
      </c>
      <c r="AB41" s="58">
        <v>2002.7089999999998</v>
      </c>
      <c r="AC41" s="58"/>
      <c r="AD41" s="56">
        <f t="shared" si="58"/>
        <v>13603.858</v>
      </c>
      <c r="AE41" s="56">
        <f t="shared" si="59"/>
        <v>10217.700000000001</v>
      </c>
      <c r="AF41" s="57">
        <v>10217.700000000001</v>
      </c>
      <c r="AG41" s="58"/>
      <c r="AH41" s="56">
        <f t="shared" si="60"/>
        <v>3386.1579999999999</v>
      </c>
      <c r="AI41" s="58">
        <v>3386.1579999999999</v>
      </c>
      <c r="AJ41" s="58"/>
      <c r="AK41" s="76">
        <f t="shared" si="61"/>
        <v>0.97689576820790369</v>
      </c>
      <c r="AL41" s="76">
        <f t="shared" si="43"/>
        <v>0.97656952644140183</v>
      </c>
      <c r="AM41" s="76">
        <f t="shared" si="43"/>
        <v>0.97783832335329346</v>
      </c>
      <c r="AN41" s="76">
        <f t="shared" si="43"/>
        <v>0.96359860727893831</v>
      </c>
      <c r="AO41" s="76">
        <f t="shared" si="43"/>
        <v>0.9567910983488872</v>
      </c>
      <c r="AP41" s="76">
        <f t="shared" si="43"/>
        <v>0.9567910983488872</v>
      </c>
      <c r="AQ41" s="76"/>
      <c r="AR41" s="76">
        <f t="shared" si="62"/>
        <v>0.98220156939676306</v>
      </c>
      <c r="AS41" s="76">
        <f t="shared" si="62"/>
        <v>0.98220156939676306</v>
      </c>
      <c r="AT41" s="76"/>
      <c r="AU41" s="76">
        <f t="shared" si="44"/>
        <v>0.98421776877441758</v>
      </c>
      <c r="AV41" s="76">
        <f t="shared" si="44"/>
        <v>0.98721739130434794</v>
      </c>
      <c r="AW41" s="76">
        <f t="shared" si="44"/>
        <v>0.98721739130434794</v>
      </c>
      <c r="AX41" s="76"/>
      <c r="AY41" s="76">
        <f t="shared" si="45"/>
        <v>0.97527592165898613</v>
      </c>
      <c r="AZ41" s="76">
        <f t="shared" si="45"/>
        <v>0.97527592165898613</v>
      </c>
      <c r="BA41" s="76"/>
    </row>
    <row r="42" spans="1:53">
      <c r="A42" s="48">
        <v>9</v>
      </c>
      <c r="B42" s="53" t="s">
        <v>344</v>
      </c>
      <c r="C42" s="55">
        <f t="shared" si="3"/>
        <v>67695</v>
      </c>
      <c r="D42" s="51">
        <f t="shared" si="4"/>
        <v>49691</v>
      </c>
      <c r="E42" s="51">
        <f t="shared" si="5"/>
        <v>18004</v>
      </c>
      <c r="F42" s="56">
        <f t="shared" si="46"/>
        <v>45457</v>
      </c>
      <c r="G42" s="56">
        <f t="shared" si="47"/>
        <v>32661</v>
      </c>
      <c r="H42" s="56">
        <v>32661</v>
      </c>
      <c r="I42" s="58"/>
      <c r="J42" s="56">
        <f t="shared" si="48"/>
        <v>12796</v>
      </c>
      <c r="K42" s="58">
        <v>12796</v>
      </c>
      <c r="L42" s="58"/>
      <c r="M42" s="56">
        <f t="shared" si="49"/>
        <v>22238</v>
      </c>
      <c r="N42" s="56">
        <f t="shared" si="50"/>
        <v>17030</v>
      </c>
      <c r="O42" s="56">
        <f>17030</f>
        <v>17030</v>
      </c>
      <c r="P42" s="58"/>
      <c r="Q42" s="56">
        <f t="shared" si="51"/>
        <v>5208</v>
      </c>
      <c r="R42" s="58">
        <v>5208</v>
      </c>
      <c r="S42" s="58"/>
      <c r="T42" s="55">
        <f t="shared" si="52"/>
        <v>67461.614000000001</v>
      </c>
      <c r="U42" s="51">
        <f t="shared" si="53"/>
        <v>49576.67</v>
      </c>
      <c r="V42" s="51">
        <f t="shared" si="54"/>
        <v>17884.944</v>
      </c>
      <c r="W42" s="56">
        <f t="shared" si="55"/>
        <v>45311.47</v>
      </c>
      <c r="X42" s="56">
        <f t="shared" si="56"/>
        <v>32587.77</v>
      </c>
      <c r="Y42" s="56">
        <f>54842.555-22254.785</f>
        <v>32587.77</v>
      </c>
      <c r="Z42" s="58"/>
      <c r="AA42" s="56">
        <f t="shared" si="57"/>
        <v>12723.699999999999</v>
      </c>
      <c r="AB42" s="58">
        <v>12723.699999999999</v>
      </c>
      <c r="AC42" s="58"/>
      <c r="AD42" s="56">
        <f t="shared" si="58"/>
        <v>22150.144</v>
      </c>
      <c r="AE42" s="56">
        <f t="shared" si="59"/>
        <v>16988.900000000001</v>
      </c>
      <c r="AF42" s="57">
        <v>16988.900000000001</v>
      </c>
      <c r="AG42" s="58"/>
      <c r="AH42" s="56">
        <f t="shared" si="60"/>
        <v>5161.2440000000006</v>
      </c>
      <c r="AI42" s="58">
        <v>5161.2440000000006</v>
      </c>
      <c r="AJ42" s="58"/>
      <c r="AK42" s="76">
        <f t="shared" si="61"/>
        <v>0.99655238939360369</v>
      </c>
      <c r="AL42" s="76">
        <f t="shared" si="43"/>
        <v>0.99769918093819798</v>
      </c>
      <c r="AM42" s="76">
        <f t="shared" si="43"/>
        <v>0.99338724727838257</v>
      </c>
      <c r="AN42" s="76">
        <f t="shared" si="43"/>
        <v>0.99679851288030452</v>
      </c>
      <c r="AO42" s="76">
        <f t="shared" si="43"/>
        <v>0.99775787636630842</v>
      </c>
      <c r="AP42" s="76">
        <f t="shared" si="43"/>
        <v>0.99775787636630842</v>
      </c>
      <c r="AQ42" s="76"/>
      <c r="AR42" s="76">
        <f t="shared" si="62"/>
        <v>0.99434979681150348</v>
      </c>
      <c r="AS42" s="76">
        <f t="shared" si="62"/>
        <v>0.99434979681150348</v>
      </c>
      <c r="AT42" s="76"/>
      <c r="AU42" s="76">
        <f t="shared" si="44"/>
        <v>0.99604928500764456</v>
      </c>
      <c r="AV42" s="76">
        <f t="shared" si="44"/>
        <v>0.99758661186142106</v>
      </c>
      <c r="AW42" s="76">
        <f t="shared" si="44"/>
        <v>0.99758661186142106</v>
      </c>
      <c r="AX42" s="76"/>
      <c r="AY42" s="76">
        <f t="shared" si="45"/>
        <v>0.99102227342549931</v>
      </c>
      <c r="AZ42" s="76">
        <f t="shared" si="45"/>
        <v>0.99102227342549931</v>
      </c>
      <c r="BA42" s="76"/>
    </row>
    <row r="43" spans="1:53">
      <c r="A43" s="48">
        <v>10</v>
      </c>
      <c r="B43" s="53" t="s">
        <v>345</v>
      </c>
      <c r="C43" s="55">
        <f t="shared" si="3"/>
        <v>78072</v>
      </c>
      <c r="D43" s="51">
        <f t="shared" si="4"/>
        <v>58003</v>
      </c>
      <c r="E43" s="51">
        <f t="shared" si="5"/>
        <v>20069</v>
      </c>
      <c r="F43" s="56">
        <f t="shared" si="46"/>
        <v>43381</v>
      </c>
      <c r="G43" s="56">
        <f t="shared" si="47"/>
        <v>29613</v>
      </c>
      <c r="H43" s="56">
        <v>29613</v>
      </c>
      <c r="I43" s="58"/>
      <c r="J43" s="56">
        <f t="shared" si="48"/>
        <v>13768</v>
      </c>
      <c r="K43" s="58">
        <v>13768</v>
      </c>
      <c r="L43" s="58"/>
      <c r="M43" s="56">
        <f t="shared" si="49"/>
        <v>34691</v>
      </c>
      <c r="N43" s="56">
        <f t="shared" si="50"/>
        <v>28390</v>
      </c>
      <c r="O43" s="56">
        <f>28390</f>
        <v>28390</v>
      </c>
      <c r="P43" s="58"/>
      <c r="Q43" s="56">
        <f t="shared" si="51"/>
        <v>6301</v>
      </c>
      <c r="R43" s="58">
        <v>6301</v>
      </c>
      <c r="S43" s="58"/>
      <c r="T43" s="55">
        <f t="shared" si="52"/>
        <v>84412.654290000006</v>
      </c>
      <c r="U43" s="51">
        <f t="shared" si="53"/>
        <v>64463.607299999996</v>
      </c>
      <c r="V43" s="51">
        <f t="shared" si="54"/>
        <v>19949.046990000003</v>
      </c>
      <c r="W43" s="56">
        <f t="shared" si="55"/>
        <v>49451.405989999999</v>
      </c>
      <c r="X43" s="56">
        <f t="shared" si="56"/>
        <v>35728.571499999998</v>
      </c>
      <c r="Y43" s="56">
        <f>59847.9085-24119.337</f>
        <v>35728.571499999998</v>
      </c>
      <c r="Z43" s="58"/>
      <c r="AA43" s="56">
        <f t="shared" si="57"/>
        <v>13722.834490000001</v>
      </c>
      <c r="AB43" s="58">
        <v>13722.834490000001</v>
      </c>
      <c r="AC43" s="58"/>
      <c r="AD43" s="56">
        <f t="shared" si="58"/>
        <v>34961.248299999999</v>
      </c>
      <c r="AE43" s="56">
        <f t="shared" si="59"/>
        <v>28735.035799999998</v>
      </c>
      <c r="AF43" s="57">
        <v>28735.035799999998</v>
      </c>
      <c r="AG43" s="58"/>
      <c r="AH43" s="56">
        <f t="shared" si="60"/>
        <v>6226.2124999999996</v>
      </c>
      <c r="AI43" s="58">
        <v>6226.2124999999996</v>
      </c>
      <c r="AJ43" s="58"/>
      <c r="AK43" s="76">
        <f t="shared" si="61"/>
        <v>1.0812154714878575</v>
      </c>
      <c r="AL43" s="76">
        <f t="shared" si="43"/>
        <v>1.1113840197920797</v>
      </c>
      <c r="AM43" s="76">
        <f t="shared" si="43"/>
        <v>0.99402297025262853</v>
      </c>
      <c r="AN43" s="76">
        <f t="shared" si="43"/>
        <v>1.1399323664738019</v>
      </c>
      <c r="AO43" s="76">
        <f t="shared" si="43"/>
        <v>1.2065164454800257</v>
      </c>
      <c r="AP43" s="76">
        <f t="shared" si="43"/>
        <v>1.2065164454800257</v>
      </c>
      <c r="AQ43" s="76"/>
      <c r="AR43" s="76">
        <f t="shared" si="62"/>
        <v>0.99671953006972702</v>
      </c>
      <c r="AS43" s="76">
        <f t="shared" si="62"/>
        <v>0.99671953006972702</v>
      </c>
      <c r="AT43" s="76"/>
      <c r="AU43" s="76">
        <f t="shared" si="44"/>
        <v>1.0077901559482285</v>
      </c>
      <c r="AV43" s="76">
        <f t="shared" si="44"/>
        <v>1.0121534272631207</v>
      </c>
      <c r="AW43" s="76">
        <f t="shared" si="44"/>
        <v>1.0121534272631207</v>
      </c>
      <c r="AX43" s="76"/>
      <c r="AY43" s="76">
        <f t="shared" si="45"/>
        <v>0.98813085224567521</v>
      </c>
      <c r="AZ43" s="76">
        <f t="shared" si="45"/>
        <v>0.98813085224567521</v>
      </c>
      <c r="BA43" s="76"/>
    </row>
    <row r="44" spans="1:53">
      <c r="A44" s="59"/>
      <c r="B44" s="60" t="s">
        <v>500</v>
      </c>
      <c r="C44" s="61"/>
      <c r="D44" s="62"/>
      <c r="E44" s="62"/>
      <c r="F44" s="62"/>
      <c r="G44" s="62"/>
      <c r="H44" s="62"/>
      <c r="I44" s="62"/>
      <c r="J44" s="62"/>
      <c r="K44" s="62"/>
      <c r="L44" s="62"/>
      <c r="M44" s="62"/>
      <c r="N44" s="62"/>
      <c r="O44" s="62"/>
      <c r="P44" s="62"/>
      <c r="Q44" s="62"/>
      <c r="R44" s="62"/>
      <c r="S44" s="62"/>
      <c r="T44" s="61"/>
      <c r="U44" s="62"/>
      <c r="V44" s="62"/>
      <c r="W44" s="62"/>
      <c r="X44" s="62"/>
      <c r="Y44" s="62"/>
      <c r="Z44" s="62"/>
      <c r="AA44" s="62"/>
      <c r="AB44" s="62"/>
      <c r="AC44" s="62"/>
      <c r="AD44" s="62"/>
      <c r="AE44" s="62"/>
      <c r="AF44" s="62"/>
      <c r="AG44" s="62"/>
      <c r="AH44" s="62"/>
      <c r="AI44" s="62"/>
      <c r="AJ44" s="62"/>
      <c r="AK44" s="61"/>
      <c r="AL44" s="62"/>
      <c r="AM44" s="62"/>
      <c r="AN44" s="62"/>
      <c r="AO44" s="62"/>
      <c r="AP44" s="62"/>
      <c r="AQ44" s="62"/>
      <c r="AR44" s="62"/>
      <c r="AS44" s="62"/>
      <c r="AT44" s="62"/>
      <c r="AU44" s="62"/>
      <c r="AV44" s="62"/>
      <c r="AW44" s="62"/>
      <c r="AX44" s="59"/>
      <c r="AY44" s="59"/>
      <c r="AZ44" s="59"/>
      <c r="BA44" s="59"/>
    </row>
  </sheetData>
  <mergeCells count="46">
    <mergeCell ref="A7:A10"/>
    <mergeCell ref="B7:B10"/>
    <mergeCell ref="C7:S7"/>
    <mergeCell ref="T7:AJ7"/>
    <mergeCell ref="AK7:BA7"/>
    <mergeCell ref="C8:C10"/>
    <mergeCell ref="D8:E8"/>
    <mergeCell ref="F8:L8"/>
    <mergeCell ref="M8:S8"/>
    <mergeCell ref="T8:T10"/>
    <mergeCell ref="D9:D10"/>
    <mergeCell ref="E9:E10"/>
    <mergeCell ref="F9:F10"/>
    <mergeCell ref="G9:I9"/>
    <mergeCell ref="AN8:AT8"/>
    <mergeCell ref="AU8:BA8"/>
    <mergeCell ref="A1:B1"/>
    <mergeCell ref="Q1:S1"/>
    <mergeCell ref="A3:BA3"/>
    <mergeCell ref="A4:BA4"/>
    <mergeCell ref="AZ6:BA6"/>
    <mergeCell ref="W8:AC8"/>
    <mergeCell ref="AD8:AJ8"/>
    <mergeCell ref="AK8:AK10"/>
    <mergeCell ref="AL8:AM8"/>
    <mergeCell ref="U8:V8"/>
    <mergeCell ref="W9:W10"/>
    <mergeCell ref="X9:Z9"/>
    <mergeCell ref="AA9:AC9"/>
    <mergeCell ref="AD9:AD10"/>
    <mergeCell ref="V9:V10"/>
    <mergeCell ref="J9:L9"/>
    <mergeCell ref="M9:M10"/>
    <mergeCell ref="N9:P9"/>
    <mergeCell ref="Q9:S9"/>
    <mergeCell ref="U9:U10"/>
    <mergeCell ref="AR9:AT9"/>
    <mergeCell ref="AU9:AU10"/>
    <mergeCell ref="AV9:AX9"/>
    <mergeCell ref="AY9:BA9"/>
    <mergeCell ref="AE9:AG9"/>
    <mergeCell ref="AH9:AJ9"/>
    <mergeCell ref="AL9:AL10"/>
    <mergeCell ref="AM9:AM10"/>
    <mergeCell ref="AN9:AN10"/>
    <mergeCell ref="AO9:AQ9"/>
  </mergeCells>
  <dataValidations count="5">
    <dataValidation allowBlank="1" showInputMessage="1" showErrorMessage="1" prompt="Điều chỉnh tăng tại Quyết định số 1421/QĐ-UBND ngày 13/12/2019" sqref="H25:H26" xr:uid="{DB4D5B71-5F63-46EF-8B5B-6958D0C18620}"/>
    <dataValidation allowBlank="1" showInputMessage="1" showErrorMessage="1" prompt="Quyết toán số năm trước chuyển sang" sqref="Y28 Y29" xr:uid="{D1870750-B664-4218-A7C1-6277FF1FAAA1}"/>
    <dataValidation allowBlank="1" showInputMessage="1" showErrorMessage="1" prompt="Trong năm, đã Điều chỉnh giảm 13.841 tr.đ tại Quyết định số 1421/QĐ-UBND ngày 13/12/2019" sqref="H28" xr:uid="{D9C0E37F-1DC5-4B5C-A051-66433C7B1AB0}"/>
    <dataValidation allowBlank="1" showInputMessage="1" showErrorMessage="1" prompt="Trong năm, đã Điều chỉnh giảm 14.400 tr.đ tại Quyết định số 1421/QĐ-UBND ngày 13/12/2019" sqref="H29" xr:uid="{077CAF7E-23FD-4B68-8FBB-192592805568}"/>
    <dataValidation allowBlank="1" showInputMessage="1" showErrorMessage="1" prompt="Trong năm, đã Điều chỉnh giảm 12.503 tr.đ tại Quyết định số 1421/QĐ-UBND ngày 13/12/2019" sqref="H31" xr:uid="{B77130C8-EA90-454E-A2F8-00B406A6B188}"/>
  </dataValidations>
  <pageMargins left="0" right="0" top="0" bottom="0" header="0.31496062992125984" footer="0.31496062992125984"/>
  <pageSetup paperSize="9" scale="7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P783"/>
  <sheetViews>
    <sheetView showZeros="0" zoomScale="85" zoomScaleNormal="85" workbookViewId="0">
      <pane xSplit="2" ySplit="12" topLeftCell="C13" activePane="bottomRight" state="frozen"/>
      <selection pane="topRight" activeCell="C1" sqref="C1"/>
      <selection pane="bottomLeft" activeCell="A13" sqref="A13"/>
      <selection pane="bottomRight" activeCell="L14" sqref="L14"/>
    </sheetView>
  </sheetViews>
  <sheetFormatPr defaultRowHeight="15.5" outlineLevelRow="2" outlineLevelCol="2"/>
  <cols>
    <col min="1" max="1" width="6.26953125" style="220" customWidth="1"/>
    <col min="2" max="2" width="45" style="94" customWidth="1"/>
    <col min="3" max="3" width="11.1796875" style="221" customWidth="1"/>
    <col min="4" max="4" width="9.1796875" style="94" customWidth="1"/>
    <col min="5" max="5" width="8.54296875" style="94" customWidth="1"/>
    <col min="6" max="7" width="7.453125" style="94" customWidth="1"/>
    <col min="8" max="8" width="8.81640625" style="222" customWidth="1"/>
    <col min="9" max="9" width="10.453125" style="222" customWidth="1"/>
    <col min="10" max="10" width="9.453125" style="222" customWidth="1"/>
    <col min="11" max="11" width="8.54296875" style="222" customWidth="1"/>
    <col min="12" max="12" width="7.453125" style="222" customWidth="1"/>
    <col min="13" max="13" width="7.7265625" style="222" customWidth="1"/>
    <col min="14" max="14" width="7.453125" style="222" customWidth="1"/>
    <col min="15" max="15" width="8.81640625" style="94" customWidth="1"/>
    <col min="16" max="16" width="8.1796875" style="94" customWidth="1"/>
    <col min="17" max="17" width="10.1796875" style="94" customWidth="1"/>
    <col min="18" max="20" width="7.453125" style="94" customWidth="1"/>
    <col min="21" max="21" width="7.54296875" style="94" customWidth="1"/>
    <col min="22" max="22" width="10" style="94" customWidth="1" outlineLevel="1"/>
    <col min="23" max="23" width="8.26953125" style="94" customWidth="1" outlineLevel="1"/>
    <col min="24" max="24" width="8" style="94" customWidth="1" outlineLevel="1"/>
    <col min="25" max="25" width="7.81640625" style="94" customWidth="1" outlineLevel="1"/>
    <col min="26" max="26" width="8" style="94" customWidth="1" outlineLevel="1"/>
    <col min="27" max="27" width="7.26953125" style="94" customWidth="1" outlineLevel="1"/>
    <col min="28" max="28" width="8.7265625" style="94" customWidth="1" outlineLevel="1"/>
    <col min="29" max="34" width="10" style="94" hidden="1" customWidth="1" outlineLevel="2"/>
    <col min="35" max="35" width="11.453125" style="97" customWidth="1" outlineLevel="1" collapsed="1"/>
    <col min="36" max="36" width="11.7265625" style="97" customWidth="1" outlineLevel="1"/>
    <col min="37" max="38" width="11" style="97" customWidth="1" outlineLevel="1"/>
    <col min="39" max="39" width="10.7265625" style="97" customWidth="1" outlineLevel="1"/>
    <col min="40" max="40" width="10.7265625" style="94" hidden="1" customWidth="1" outlineLevel="1"/>
    <col min="41" max="41" width="9.1796875" style="94" hidden="1" customWidth="1"/>
    <col min="42" max="42" width="36.26953125" style="94" hidden="1" customWidth="1"/>
    <col min="43" max="252" width="9.1796875" style="94"/>
    <col min="253" max="253" width="6.26953125" style="94" customWidth="1"/>
    <col min="254" max="254" width="45" style="94" customWidth="1"/>
    <col min="255" max="257" width="7.453125" style="94" customWidth="1"/>
    <col min="258" max="258" width="6.453125" style="94" customWidth="1"/>
    <col min="259" max="259" width="7.453125" style="94" customWidth="1"/>
    <col min="260" max="260" width="8.81640625" style="94" customWidth="1"/>
    <col min="261" max="262" width="7.453125" style="94" customWidth="1"/>
    <col min="263" max="263" width="8.54296875" style="94" customWidth="1"/>
    <col min="264" max="264" width="7.453125" style="94" customWidth="1"/>
    <col min="265" max="265" width="6.453125" style="94" customWidth="1"/>
    <col min="266" max="266" width="7.453125" style="94" customWidth="1"/>
    <col min="267" max="267" width="8.81640625" style="94" customWidth="1"/>
    <col min="268" max="273" width="7.453125" style="94" customWidth="1"/>
    <col min="274" max="293" width="0" style="94" hidden="1" customWidth="1"/>
    <col min="294" max="294" width="24" style="94" customWidth="1"/>
    <col min="295" max="508" width="9.1796875" style="94"/>
    <col min="509" max="509" width="6.26953125" style="94" customWidth="1"/>
    <col min="510" max="510" width="45" style="94" customWidth="1"/>
    <col min="511" max="513" width="7.453125" style="94" customWidth="1"/>
    <col min="514" max="514" width="6.453125" style="94" customWidth="1"/>
    <col min="515" max="515" width="7.453125" style="94" customWidth="1"/>
    <col min="516" max="516" width="8.81640625" style="94" customWidth="1"/>
    <col min="517" max="518" width="7.453125" style="94" customWidth="1"/>
    <col min="519" max="519" width="8.54296875" style="94" customWidth="1"/>
    <col min="520" max="520" width="7.453125" style="94" customWidth="1"/>
    <col min="521" max="521" width="6.453125" style="94" customWidth="1"/>
    <col min="522" max="522" width="7.453125" style="94" customWidth="1"/>
    <col min="523" max="523" width="8.81640625" style="94" customWidth="1"/>
    <col min="524" max="529" width="7.453125" style="94" customWidth="1"/>
    <col min="530" max="549" width="0" style="94" hidden="1" customWidth="1"/>
    <col min="550" max="550" width="24" style="94" customWidth="1"/>
    <col min="551" max="764" width="9.1796875" style="94"/>
    <col min="765" max="765" width="6.26953125" style="94" customWidth="1"/>
    <col min="766" max="766" width="45" style="94" customWidth="1"/>
    <col min="767" max="769" width="7.453125" style="94" customWidth="1"/>
    <col min="770" max="770" width="6.453125" style="94" customWidth="1"/>
    <col min="771" max="771" width="7.453125" style="94" customWidth="1"/>
    <col min="772" max="772" width="8.81640625" style="94" customWidth="1"/>
    <col min="773" max="774" width="7.453125" style="94" customWidth="1"/>
    <col min="775" max="775" width="8.54296875" style="94" customWidth="1"/>
    <col min="776" max="776" width="7.453125" style="94" customWidth="1"/>
    <col min="777" max="777" width="6.453125" style="94" customWidth="1"/>
    <col min="778" max="778" width="7.453125" style="94" customWidth="1"/>
    <col min="779" max="779" width="8.81640625" style="94" customWidth="1"/>
    <col min="780" max="785" width="7.453125" style="94" customWidth="1"/>
    <col min="786" max="805" width="0" style="94" hidden="1" customWidth="1"/>
    <col min="806" max="806" width="24" style="94" customWidth="1"/>
    <col min="807" max="1020" width="9.1796875" style="94"/>
    <col min="1021" max="1021" width="6.26953125" style="94" customWidth="1"/>
    <col min="1022" max="1022" width="45" style="94" customWidth="1"/>
    <col min="1023" max="1025" width="7.453125" style="94" customWidth="1"/>
    <col min="1026" max="1026" width="6.453125" style="94" customWidth="1"/>
    <col min="1027" max="1027" width="7.453125" style="94" customWidth="1"/>
    <col min="1028" max="1028" width="8.81640625" style="94" customWidth="1"/>
    <col min="1029" max="1030" width="7.453125" style="94" customWidth="1"/>
    <col min="1031" max="1031" width="8.54296875" style="94" customWidth="1"/>
    <col min="1032" max="1032" width="7.453125" style="94" customWidth="1"/>
    <col min="1033" max="1033" width="6.453125" style="94" customWidth="1"/>
    <col min="1034" max="1034" width="7.453125" style="94" customWidth="1"/>
    <col min="1035" max="1035" width="8.81640625" style="94" customWidth="1"/>
    <col min="1036" max="1041" width="7.453125" style="94" customWidth="1"/>
    <col min="1042" max="1061" width="0" style="94" hidden="1" customWidth="1"/>
    <col min="1062" max="1062" width="24" style="94" customWidth="1"/>
    <col min="1063" max="1276" width="9.1796875" style="94"/>
    <col min="1277" max="1277" width="6.26953125" style="94" customWidth="1"/>
    <col min="1278" max="1278" width="45" style="94" customWidth="1"/>
    <col min="1279" max="1281" width="7.453125" style="94" customWidth="1"/>
    <col min="1282" max="1282" width="6.453125" style="94" customWidth="1"/>
    <col min="1283" max="1283" width="7.453125" style="94" customWidth="1"/>
    <col min="1284" max="1284" width="8.81640625" style="94" customWidth="1"/>
    <col min="1285" max="1286" width="7.453125" style="94" customWidth="1"/>
    <col min="1287" max="1287" width="8.54296875" style="94" customWidth="1"/>
    <col min="1288" max="1288" width="7.453125" style="94" customWidth="1"/>
    <col min="1289" max="1289" width="6.453125" style="94" customWidth="1"/>
    <col min="1290" max="1290" width="7.453125" style="94" customWidth="1"/>
    <col min="1291" max="1291" width="8.81640625" style="94" customWidth="1"/>
    <col min="1292" max="1297" width="7.453125" style="94" customWidth="1"/>
    <col min="1298" max="1317" width="0" style="94" hidden="1" customWidth="1"/>
    <col min="1318" max="1318" width="24" style="94" customWidth="1"/>
    <col min="1319" max="1532" width="9.1796875" style="94"/>
    <col min="1533" max="1533" width="6.26953125" style="94" customWidth="1"/>
    <col min="1534" max="1534" width="45" style="94" customWidth="1"/>
    <col min="1535" max="1537" width="7.453125" style="94" customWidth="1"/>
    <col min="1538" max="1538" width="6.453125" style="94" customWidth="1"/>
    <col min="1539" max="1539" width="7.453125" style="94" customWidth="1"/>
    <col min="1540" max="1540" width="8.81640625" style="94" customWidth="1"/>
    <col min="1541" max="1542" width="7.453125" style="94" customWidth="1"/>
    <col min="1543" max="1543" width="8.54296875" style="94" customWidth="1"/>
    <col min="1544" max="1544" width="7.453125" style="94" customWidth="1"/>
    <col min="1545" max="1545" width="6.453125" style="94" customWidth="1"/>
    <col min="1546" max="1546" width="7.453125" style="94" customWidth="1"/>
    <col min="1547" max="1547" width="8.81640625" style="94" customWidth="1"/>
    <col min="1548" max="1553" width="7.453125" style="94" customWidth="1"/>
    <col min="1554" max="1573" width="0" style="94" hidden="1" customWidth="1"/>
    <col min="1574" max="1574" width="24" style="94" customWidth="1"/>
    <col min="1575" max="1788" width="9.1796875" style="94"/>
    <col min="1789" max="1789" width="6.26953125" style="94" customWidth="1"/>
    <col min="1790" max="1790" width="45" style="94" customWidth="1"/>
    <col min="1791" max="1793" width="7.453125" style="94" customWidth="1"/>
    <col min="1794" max="1794" width="6.453125" style="94" customWidth="1"/>
    <col min="1795" max="1795" width="7.453125" style="94" customWidth="1"/>
    <col min="1796" max="1796" width="8.81640625" style="94" customWidth="1"/>
    <col min="1797" max="1798" width="7.453125" style="94" customWidth="1"/>
    <col min="1799" max="1799" width="8.54296875" style="94" customWidth="1"/>
    <col min="1800" max="1800" width="7.453125" style="94" customWidth="1"/>
    <col min="1801" max="1801" width="6.453125" style="94" customWidth="1"/>
    <col min="1802" max="1802" width="7.453125" style="94" customWidth="1"/>
    <col min="1803" max="1803" width="8.81640625" style="94" customWidth="1"/>
    <col min="1804" max="1809" width="7.453125" style="94" customWidth="1"/>
    <col min="1810" max="1829" width="0" style="94" hidden="1" customWidth="1"/>
    <col min="1830" max="1830" width="24" style="94" customWidth="1"/>
    <col min="1831" max="2044" width="9.1796875" style="94"/>
    <col min="2045" max="2045" width="6.26953125" style="94" customWidth="1"/>
    <col min="2046" max="2046" width="45" style="94" customWidth="1"/>
    <col min="2047" max="2049" width="7.453125" style="94" customWidth="1"/>
    <col min="2050" max="2050" width="6.453125" style="94" customWidth="1"/>
    <col min="2051" max="2051" width="7.453125" style="94" customWidth="1"/>
    <col min="2052" max="2052" width="8.81640625" style="94" customWidth="1"/>
    <col min="2053" max="2054" width="7.453125" style="94" customWidth="1"/>
    <col min="2055" max="2055" width="8.54296875" style="94" customWidth="1"/>
    <col min="2056" max="2056" width="7.453125" style="94" customWidth="1"/>
    <col min="2057" max="2057" width="6.453125" style="94" customWidth="1"/>
    <col min="2058" max="2058" width="7.453125" style="94" customWidth="1"/>
    <col min="2059" max="2059" width="8.81640625" style="94" customWidth="1"/>
    <col min="2060" max="2065" width="7.453125" style="94" customWidth="1"/>
    <col min="2066" max="2085" width="0" style="94" hidden="1" customWidth="1"/>
    <col min="2086" max="2086" width="24" style="94" customWidth="1"/>
    <col min="2087" max="2300" width="9.1796875" style="94"/>
    <col min="2301" max="2301" width="6.26953125" style="94" customWidth="1"/>
    <col min="2302" max="2302" width="45" style="94" customWidth="1"/>
    <col min="2303" max="2305" width="7.453125" style="94" customWidth="1"/>
    <col min="2306" max="2306" width="6.453125" style="94" customWidth="1"/>
    <col min="2307" max="2307" width="7.453125" style="94" customWidth="1"/>
    <col min="2308" max="2308" width="8.81640625" style="94" customWidth="1"/>
    <col min="2309" max="2310" width="7.453125" style="94" customWidth="1"/>
    <col min="2311" max="2311" width="8.54296875" style="94" customWidth="1"/>
    <col min="2312" max="2312" width="7.453125" style="94" customWidth="1"/>
    <col min="2313" max="2313" width="6.453125" style="94" customWidth="1"/>
    <col min="2314" max="2314" width="7.453125" style="94" customWidth="1"/>
    <col min="2315" max="2315" width="8.81640625" style="94" customWidth="1"/>
    <col min="2316" max="2321" width="7.453125" style="94" customWidth="1"/>
    <col min="2322" max="2341" width="0" style="94" hidden="1" customWidth="1"/>
    <col min="2342" max="2342" width="24" style="94" customWidth="1"/>
    <col min="2343" max="2556" width="9.1796875" style="94"/>
    <col min="2557" max="2557" width="6.26953125" style="94" customWidth="1"/>
    <col min="2558" max="2558" width="45" style="94" customWidth="1"/>
    <col min="2559" max="2561" width="7.453125" style="94" customWidth="1"/>
    <col min="2562" max="2562" width="6.453125" style="94" customWidth="1"/>
    <col min="2563" max="2563" width="7.453125" style="94" customWidth="1"/>
    <col min="2564" max="2564" width="8.81640625" style="94" customWidth="1"/>
    <col min="2565" max="2566" width="7.453125" style="94" customWidth="1"/>
    <col min="2567" max="2567" width="8.54296875" style="94" customWidth="1"/>
    <col min="2568" max="2568" width="7.453125" style="94" customWidth="1"/>
    <col min="2569" max="2569" width="6.453125" style="94" customWidth="1"/>
    <col min="2570" max="2570" width="7.453125" style="94" customWidth="1"/>
    <col min="2571" max="2571" width="8.81640625" style="94" customWidth="1"/>
    <col min="2572" max="2577" width="7.453125" style="94" customWidth="1"/>
    <col min="2578" max="2597" width="0" style="94" hidden="1" customWidth="1"/>
    <col min="2598" max="2598" width="24" style="94" customWidth="1"/>
    <col min="2599" max="2812" width="9.1796875" style="94"/>
    <col min="2813" max="2813" width="6.26953125" style="94" customWidth="1"/>
    <col min="2814" max="2814" width="45" style="94" customWidth="1"/>
    <col min="2815" max="2817" width="7.453125" style="94" customWidth="1"/>
    <col min="2818" max="2818" width="6.453125" style="94" customWidth="1"/>
    <col min="2819" max="2819" width="7.453125" style="94" customWidth="1"/>
    <col min="2820" max="2820" width="8.81640625" style="94" customWidth="1"/>
    <col min="2821" max="2822" width="7.453125" style="94" customWidth="1"/>
    <col min="2823" max="2823" width="8.54296875" style="94" customWidth="1"/>
    <col min="2824" max="2824" width="7.453125" style="94" customWidth="1"/>
    <col min="2825" max="2825" width="6.453125" style="94" customWidth="1"/>
    <col min="2826" max="2826" width="7.453125" style="94" customWidth="1"/>
    <col min="2827" max="2827" width="8.81640625" style="94" customWidth="1"/>
    <col min="2828" max="2833" width="7.453125" style="94" customWidth="1"/>
    <col min="2834" max="2853" width="0" style="94" hidden="1" customWidth="1"/>
    <col min="2854" max="2854" width="24" style="94" customWidth="1"/>
    <col min="2855" max="3068" width="9.1796875" style="94"/>
    <col min="3069" max="3069" width="6.26953125" style="94" customWidth="1"/>
    <col min="3070" max="3070" width="45" style="94" customWidth="1"/>
    <col min="3071" max="3073" width="7.453125" style="94" customWidth="1"/>
    <col min="3074" max="3074" width="6.453125" style="94" customWidth="1"/>
    <col min="3075" max="3075" width="7.453125" style="94" customWidth="1"/>
    <col min="3076" max="3076" width="8.81640625" style="94" customWidth="1"/>
    <col min="3077" max="3078" width="7.453125" style="94" customWidth="1"/>
    <col min="3079" max="3079" width="8.54296875" style="94" customWidth="1"/>
    <col min="3080" max="3080" width="7.453125" style="94" customWidth="1"/>
    <col min="3081" max="3081" width="6.453125" style="94" customWidth="1"/>
    <col min="3082" max="3082" width="7.453125" style="94" customWidth="1"/>
    <col min="3083" max="3083" width="8.81640625" style="94" customWidth="1"/>
    <col min="3084" max="3089" width="7.453125" style="94" customWidth="1"/>
    <col min="3090" max="3109" width="0" style="94" hidden="1" customWidth="1"/>
    <col min="3110" max="3110" width="24" style="94" customWidth="1"/>
    <col min="3111" max="3324" width="9.1796875" style="94"/>
    <col min="3325" max="3325" width="6.26953125" style="94" customWidth="1"/>
    <col min="3326" max="3326" width="45" style="94" customWidth="1"/>
    <col min="3327" max="3329" width="7.453125" style="94" customWidth="1"/>
    <col min="3330" max="3330" width="6.453125" style="94" customWidth="1"/>
    <col min="3331" max="3331" width="7.453125" style="94" customWidth="1"/>
    <col min="3332" max="3332" width="8.81640625" style="94" customWidth="1"/>
    <col min="3333" max="3334" width="7.453125" style="94" customWidth="1"/>
    <col min="3335" max="3335" width="8.54296875" style="94" customWidth="1"/>
    <col min="3336" max="3336" width="7.453125" style="94" customWidth="1"/>
    <col min="3337" max="3337" width="6.453125" style="94" customWidth="1"/>
    <col min="3338" max="3338" width="7.453125" style="94" customWidth="1"/>
    <col min="3339" max="3339" width="8.81640625" style="94" customWidth="1"/>
    <col min="3340" max="3345" width="7.453125" style="94" customWidth="1"/>
    <col min="3346" max="3365" width="0" style="94" hidden="1" customWidth="1"/>
    <col min="3366" max="3366" width="24" style="94" customWidth="1"/>
    <col min="3367" max="3580" width="9.1796875" style="94"/>
    <col min="3581" max="3581" width="6.26953125" style="94" customWidth="1"/>
    <col min="3582" max="3582" width="45" style="94" customWidth="1"/>
    <col min="3583" max="3585" width="7.453125" style="94" customWidth="1"/>
    <col min="3586" max="3586" width="6.453125" style="94" customWidth="1"/>
    <col min="3587" max="3587" width="7.453125" style="94" customWidth="1"/>
    <col min="3588" max="3588" width="8.81640625" style="94" customWidth="1"/>
    <col min="3589" max="3590" width="7.453125" style="94" customWidth="1"/>
    <col min="3591" max="3591" width="8.54296875" style="94" customWidth="1"/>
    <col min="3592" max="3592" width="7.453125" style="94" customWidth="1"/>
    <col min="3593" max="3593" width="6.453125" style="94" customWidth="1"/>
    <col min="3594" max="3594" width="7.453125" style="94" customWidth="1"/>
    <col min="3595" max="3595" width="8.81640625" style="94" customWidth="1"/>
    <col min="3596" max="3601" width="7.453125" style="94" customWidth="1"/>
    <col min="3602" max="3621" width="0" style="94" hidden="1" customWidth="1"/>
    <col min="3622" max="3622" width="24" style="94" customWidth="1"/>
    <col min="3623" max="3836" width="9.1796875" style="94"/>
    <col min="3837" max="3837" width="6.26953125" style="94" customWidth="1"/>
    <col min="3838" max="3838" width="45" style="94" customWidth="1"/>
    <col min="3839" max="3841" width="7.453125" style="94" customWidth="1"/>
    <col min="3842" max="3842" width="6.453125" style="94" customWidth="1"/>
    <col min="3843" max="3843" width="7.453125" style="94" customWidth="1"/>
    <col min="3844" max="3844" width="8.81640625" style="94" customWidth="1"/>
    <col min="3845" max="3846" width="7.453125" style="94" customWidth="1"/>
    <col min="3847" max="3847" width="8.54296875" style="94" customWidth="1"/>
    <col min="3848" max="3848" width="7.453125" style="94" customWidth="1"/>
    <col min="3849" max="3849" width="6.453125" style="94" customWidth="1"/>
    <col min="3850" max="3850" width="7.453125" style="94" customWidth="1"/>
    <col min="3851" max="3851" width="8.81640625" style="94" customWidth="1"/>
    <col min="3852" max="3857" width="7.453125" style="94" customWidth="1"/>
    <col min="3858" max="3877" width="0" style="94" hidden="1" customWidth="1"/>
    <col min="3878" max="3878" width="24" style="94" customWidth="1"/>
    <col min="3879" max="4092" width="9.1796875" style="94"/>
    <col min="4093" max="4093" width="6.26953125" style="94" customWidth="1"/>
    <col min="4094" max="4094" width="45" style="94" customWidth="1"/>
    <col min="4095" max="4097" width="7.453125" style="94" customWidth="1"/>
    <col min="4098" max="4098" width="6.453125" style="94" customWidth="1"/>
    <col min="4099" max="4099" width="7.453125" style="94" customWidth="1"/>
    <col min="4100" max="4100" width="8.81640625" style="94" customWidth="1"/>
    <col min="4101" max="4102" width="7.453125" style="94" customWidth="1"/>
    <col min="4103" max="4103" width="8.54296875" style="94" customWidth="1"/>
    <col min="4104" max="4104" width="7.453125" style="94" customWidth="1"/>
    <col min="4105" max="4105" width="6.453125" style="94" customWidth="1"/>
    <col min="4106" max="4106" width="7.453125" style="94" customWidth="1"/>
    <col min="4107" max="4107" width="8.81640625" style="94" customWidth="1"/>
    <col min="4108" max="4113" width="7.453125" style="94" customWidth="1"/>
    <col min="4114" max="4133" width="0" style="94" hidden="1" customWidth="1"/>
    <col min="4134" max="4134" width="24" style="94" customWidth="1"/>
    <col min="4135" max="4348" width="9.1796875" style="94"/>
    <col min="4349" max="4349" width="6.26953125" style="94" customWidth="1"/>
    <col min="4350" max="4350" width="45" style="94" customWidth="1"/>
    <col min="4351" max="4353" width="7.453125" style="94" customWidth="1"/>
    <col min="4354" max="4354" width="6.453125" style="94" customWidth="1"/>
    <col min="4355" max="4355" width="7.453125" style="94" customWidth="1"/>
    <col min="4356" max="4356" width="8.81640625" style="94" customWidth="1"/>
    <col min="4357" max="4358" width="7.453125" style="94" customWidth="1"/>
    <col min="4359" max="4359" width="8.54296875" style="94" customWidth="1"/>
    <col min="4360" max="4360" width="7.453125" style="94" customWidth="1"/>
    <col min="4361" max="4361" width="6.453125" style="94" customWidth="1"/>
    <col min="4362" max="4362" width="7.453125" style="94" customWidth="1"/>
    <col min="4363" max="4363" width="8.81640625" style="94" customWidth="1"/>
    <col min="4364" max="4369" width="7.453125" style="94" customWidth="1"/>
    <col min="4370" max="4389" width="0" style="94" hidden="1" customWidth="1"/>
    <col min="4390" max="4390" width="24" style="94" customWidth="1"/>
    <col min="4391" max="4604" width="9.1796875" style="94"/>
    <col min="4605" max="4605" width="6.26953125" style="94" customWidth="1"/>
    <col min="4606" max="4606" width="45" style="94" customWidth="1"/>
    <col min="4607" max="4609" width="7.453125" style="94" customWidth="1"/>
    <col min="4610" max="4610" width="6.453125" style="94" customWidth="1"/>
    <col min="4611" max="4611" width="7.453125" style="94" customWidth="1"/>
    <col min="4612" max="4612" width="8.81640625" style="94" customWidth="1"/>
    <col min="4613" max="4614" width="7.453125" style="94" customWidth="1"/>
    <col min="4615" max="4615" width="8.54296875" style="94" customWidth="1"/>
    <col min="4616" max="4616" width="7.453125" style="94" customWidth="1"/>
    <col min="4617" max="4617" width="6.453125" style="94" customWidth="1"/>
    <col min="4618" max="4618" width="7.453125" style="94" customWidth="1"/>
    <col min="4619" max="4619" width="8.81640625" style="94" customWidth="1"/>
    <col min="4620" max="4625" width="7.453125" style="94" customWidth="1"/>
    <col min="4626" max="4645" width="0" style="94" hidden="1" customWidth="1"/>
    <col min="4646" max="4646" width="24" style="94" customWidth="1"/>
    <col min="4647" max="4860" width="9.1796875" style="94"/>
    <col min="4861" max="4861" width="6.26953125" style="94" customWidth="1"/>
    <col min="4862" max="4862" width="45" style="94" customWidth="1"/>
    <col min="4863" max="4865" width="7.453125" style="94" customWidth="1"/>
    <col min="4866" max="4866" width="6.453125" style="94" customWidth="1"/>
    <col min="4867" max="4867" width="7.453125" style="94" customWidth="1"/>
    <col min="4868" max="4868" width="8.81640625" style="94" customWidth="1"/>
    <col min="4869" max="4870" width="7.453125" style="94" customWidth="1"/>
    <col min="4871" max="4871" width="8.54296875" style="94" customWidth="1"/>
    <col min="4872" max="4872" width="7.453125" style="94" customWidth="1"/>
    <col min="4873" max="4873" width="6.453125" style="94" customWidth="1"/>
    <col min="4874" max="4874" width="7.453125" style="94" customWidth="1"/>
    <col min="4875" max="4875" width="8.81640625" style="94" customWidth="1"/>
    <col min="4876" max="4881" width="7.453125" style="94" customWidth="1"/>
    <col min="4882" max="4901" width="0" style="94" hidden="1" customWidth="1"/>
    <col min="4902" max="4902" width="24" style="94" customWidth="1"/>
    <col min="4903" max="5116" width="9.1796875" style="94"/>
    <col min="5117" max="5117" width="6.26953125" style="94" customWidth="1"/>
    <col min="5118" max="5118" width="45" style="94" customWidth="1"/>
    <col min="5119" max="5121" width="7.453125" style="94" customWidth="1"/>
    <col min="5122" max="5122" width="6.453125" style="94" customWidth="1"/>
    <col min="5123" max="5123" width="7.453125" style="94" customWidth="1"/>
    <col min="5124" max="5124" width="8.81640625" style="94" customWidth="1"/>
    <col min="5125" max="5126" width="7.453125" style="94" customWidth="1"/>
    <col min="5127" max="5127" width="8.54296875" style="94" customWidth="1"/>
    <col min="5128" max="5128" width="7.453125" style="94" customWidth="1"/>
    <col min="5129" max="5129" width="6.453125" style="94" customWidth="1"/>
    <col min="5130" max="5130" width="7.453125" style="94" customWidth="1"/>
    <col min="5131" max="5131" width="8.81640625" style="94" customWidth="1"/>
    <col min="5132" max="5137" width="7.453125" style="94" customWidth="1"/>
    <col min="5138" max="5157" width="0" style="94" hidden="1" customWidth="1"/>
    <col min="5158" max="5158" width="24" style="94" customWidth="1"/>
    <col min="5159" max="5372" width="9.1796875" style="94"/>
    <col min="5373" max="5373" width="6.26953125" style="94" customWidth="1"/>
    <col min="5374" max="5374" width="45" style="94" customWidth="1"/>
    <col min="5375" max="5377" width="7.453125" style="94" customWidth="1"/>
    <col min="5378" max="5378" width="6.453125" style="94" customWidth="1"/>
    <col min="5379" max="5379" width="7.453125" style="94" customWidth="1"/>
    <col min="5380" max="5380" width="8.81640625" style="94" customWidth="1"/>
    <col min="5381" max="5382" width="7.453125" style="94" customWidth="1"/>
    <col min="5383" max="5383" width="8.54296875" style="94" customWidth="1"/>
    <col min="5384" max="5384" width="7.453125" style="94" customWidth="1"/>
    <col min="5385" max="5385" width="6.453125" style="94" customWidth="1"/>
    <col min="5386" max="5386" width="7.453125" style="94" customWidth="1"/>
    <col min="5387" max="5387" width="8.81640625" style="94" customWidth="1"/>
    <col min="5388" max="5393" width="7.453125" style="94" customWidth="1"/>
    <col min="5394" max="5413" width="0" style="94" hidden="1" customWidth="1"/>
    <col min="5414" max="5414" width="24" style="94" customWidth="1"/>
    <col min="5415" max="5628" width="9.1796875" style="94"/>
    <col min="5629" max="5629" width="6.26953125" style="94" customWidth="1"/>
    <col min="5630" max="5630" width="45" style="94" customWidth="1"/>
    <col min="5631" max="5633" width="7.453125" style="94" customWidth="1"/>
    <col min="5634" max="5634" width="6.453125" style="94" customWidth="1"/>
    <col min="5635" max="5635" width="7.453125" style="94" customWidth="1"/>
    <col min="5636" max="5636" width="8.81640625" style="94" customWidth="1"/>
    <col min="5637" max="5638" width="7.453125" style="94" customWidth="1"/>
    <col min="5639" max="5639" width="8.54296875" style="94" customWidth="1"/>
    <col min="5640" max="5640" width="7.453125" style="94" customWidth="1"/>
    <col min="5641" max="5641" width="6.453125" style="94" customWidth="1"/>
    <col min="5642" max="5642" width="7.453125" style="94" customWidth="1"/>
    <col min="5643" max="5643" width="8.81640625" style="94" customWidth="1"/>
    <col min="5644" max="5649" width="7.453125" style="94" customWidth="1"/>
    <col min="5650" max="5669" width="0" style="94" hidden="1" customWidth="1"/>
    <col min="5670" max="5670" width="24" style="94" customWidth="1"/>
    <col min="5671" max="5884" width="9.1796875" style="94"/>
    <col min="5885" max="5885" width="6.26953125" style="94" customWidth="1"/>
    <col min="5886" max="5886" width="45" style="94" customWidth="1"/>
    <col min="5887" max="5889" width="7.453125" style="94" customWidth="1"/>
    <col min="5890" max="5890" width="6.453125" style="94" customWidth="1"/>
    <col min="5891" max="5891" width="7.453125" style="94" customWidth="1"/>
    <col min="5892" max="5892" width="8.81640625" style="94" customWidth="1"/>
    <col min="5893" max="5894" width="7.453125" style="94" customWidth="1"/>
    <col min="5895" max="5895" width="8.54296875" style="94" customWidth="1"/>
    <col min="5896" max="5896" width="7.453125" style="94" customWidth="1"/>
    <col min="5897" max="5897" width="6.453125" style="94" customWidth="1"/>
    <col min="5898" max="5898" width="7.453125" style="94" customWidth="1"/>
    <col min="5899" max="5899" width="8.81640625" style="94" customWidth="1"/>
    <col min="5900" max="5905" width="7.453125" style="94" customWidth="1"/>
    <col min="5906" max="5925" width="0" style="94" hidden="1" customWidth="1"/>
    <col min="5926" max="5926" width="24" style="94" customWidth="1"/>
    <col min="5927" max="6140" width="9.1796875" style="94"/>
    <col min="6141" max="6141" width="6.26953125" style="94" customWidth="1"/>
    <col min="6142" max="6142" width="45" style="94" customWidth="1"/>
    <col min="6143" max="6145" width="7.453125" style="94" customWidth="1"/>
    <col min="6146" max="6146" width="6.453125" style="94" customWidth="1"/>
    <col min="6147" max="6147" width="7.453125" style="94" customWidth="1"/>
    <col min="6148" max="6148" width="8.81640625" style="94" customWidth="1"/>
    <col min="6149" max="6150" width="7.453125" style="94" customWidth="1"/>
    <col min="6151" max="6151" width="8.54296875" style="94" customWidth="1"/>
    <col min="6152" max="6152" width="7.453125" style="94" customWidth="1"/>
    <col min="6153" max="6153" width="6.453125" style="94" customWidth="1"/>
    <col min="6154" max="6154" width="7.453125" style="94" customWidth="1"/>
    <col min="6155" max="6155" width="8.81640625" style="94" customWidth="1"/>
    <col min="6156" max="6161" width="7.453125" style="94" customWidth="1"/>
    <col min="6162" max="6181" width="0" style="94" hidden="1" customWidth="1"/>
    <col min="6182" max="6182" width="24" style="94" customWidth="1"/>
    <col min="6183" max="6396" width="9.1796875" style="94"/>
    <col min="6397" max="6397" width="6.26953125" style="94" customWidth="1"/>
    <col min="6398" max="6398" width="45" style="94" customWidth="1"/>
    <col min="6399" max="6401" width="7.453125" style="94" customWidth="1"/>
    <col min="6402" max="6402" width="6.453125" style="94" customWidth="1"/>
    <col min="6403" max="6403" width="7.453125" style="94" customWidth="1"/>
    <col min="6404" max="6404" width="8.81640625" style="94" customWidth="1"/>
    <col min="6405" max="6406" width="7.453125" style="94" customWidth="1"/>
    <col min="6407" max="6407" width="8.54296875" style="94" customWidth="1"/>
    <col min="6408" max="6408" width="7.453125" style="94" customWidth="1"/>
    <col min="6409" max="6409" width="6.453125" style="94" customWidth="1"/>
    <col min="6410" max="6410" width="7.453125" style="94" customWidth="1"/>
    <col min="6411" max="6411" width="8.81640625" style="94" customWidth="1"/>
    <col min="6412" max="6417" width="7.453125" style="94" customWidth="1"/>
    <col min="6418" max="6437" width="0" style="94" hidden="1" customWidth="1"/>
    <col min="6438" max="6438" width="24" style="94" customWidth="1"/>
    <col min="6439" max="6652" width="9.1796875" style="94"/>
    <col min="6653" max="6653" width="6.26953125" style="94" customWidth="1"/>
    <col min="6654" max="6654" width="45" style="94" customWidth="1"/>
    <col min="6655" max="6657" width="7.453125" style="94" customWidth="1"/>
    <col min="6658" max="6658" width="6.453125" style="94" customWidth="1"/>
    <col min="6659" max="6659" width="7.453125" style="94" customWidth="1"/>
    <col min="6660" max="6660" width="8.81640625" style="94" customWidth="1"/>
    <col min="6661" max="6662" width="7.453125" style="94" customWidth="1"/>
    <col min="6663" max="6663" width="8.54296875" style="94" customWidth="1"/>
    <col min="6664" max="6664" width="7.453125" style="94" customWidth="1"/>
    <col min="6665" max="6665" width="6.453125" style="94" customWidth="1"/>
    <col min="6666" max="6666" width="7.453125" style="94" customWidth="1"/>
    <col min="6667" max="6667" width="8.81640625" style="94" customWidth="1"/>
    <col min="6668" max="6673" width="7.453125" style="94" customWidth="1"/>
    <col min="6674" max="6693" width="0" style="94" hidden="1" customWidth="1"/>
    <col min="6694" max="6694" width="24" style="94" customWidth="1"/>
    <col min="6695" max="6908" width="9.1796875" style="94"/>
    <col min="6909" max="6909" width="6.26953125" style="94" customWidth="1"/>
    <col min="6910" max="6910" width="45" style="94" customWidth="1"/>
    <col min="6911" max="6913" width="7.453125" style="94" customWidth="1"/>
    <col min="6914" max="6914" width="6.453125" style="94" customWidth="1"/>
    <col min="6915" max="6915" width="7.453125" style="94" customWidth="1"/>
    <col min="6916" max="6916" width="8.81640625" style="94" customWidth="1"/>
    <col min="6917" max="6918" width="7.453125" style="94" customWidth="1"/>
    <col min="6919" max="6919" width="8.54296875" style="94" customWidth="1"/>
    <col min="6920" max="6920" width="7.453125" style="94" customWidth="1"/>
    <col min="6921" max="6921" width="6.453125" style="94" customWidth="1"/>
    <col min="6922" max="6922" width="7.453125" style="94" customWidth="1"/>
    <col min="6923" max="6923" width="8.81640625" style="94" customWidth="1"/>
    <col min="6924" max="6929" width="7.453125" style="94" customWidth="1"/>
    <col min="6930" max="6949" width="0" style="94" hidden="1" customWidth="1"/>
    <col min="6950" max="6950" width="24" style="94" customWidth="1"/>
    <col min="6951" max="7164" width="9.1796875" style="94"/>
    <col min="7165" max="7165" width="6.26953125" style="94" customWidth="1"/>
    <col min="7166" max="7166" width="45" style="94" customWidth="1"/>
    <col min="7167" max="7169" width="7.453125" style="94" customWidth="1"/>
    <col min="7170" max="7170" width="6.453125" style="94" customWidth="1"/>
    <col min="7171" max="7171" width="7.453125" style="94" customWidth="1"/>
    <col min="7172" max="7172" width="8.81640625" style="94" customWidth="1"/>
    <col min="7173" max="7174" width="7.453125" style="94" customWidth="1"/>
    <col min="7175" max="7175" width="8.54296875" style="94" customWidth="1"/>
    <col min="7176" max="7176" width="7.453125" style="94" customWidth="1"/>
    <col min="7177" max="7177" width="6.453125" style="94" customWidth="1"/>
    <col min="7178" max="7178" width="7.453125" style="94" customWidth="1"/>
    <col min="7179" max="7179" width="8.81640625" style="94" customWidth="1"/>
    <col min="7180" max="7185" width="7.453125" style="94" customWidth="1"/>
    <col min="7186" max="7205" width="0" style="94" hidden="1" customWidth="1"/>
    <col min="7206" max="7206" width="24" style="94" customWidth="1"/>
    <col min="7207" max="7420" width="9.1796875" style="94"/>
    <col min="7421" max="7421" width="6.26953125" style="94" customWidth="1"/>
    <col min="7422" max="7422" width="45" style="94" customWidth="1"/>
    <col min="7423" max="7425" width="7.453125" style="94" customWidth="1"/>
    <col min="7426" max="7426" width="6.453125" style="94" customWidth="1"/>
    <col min="7427" max="7427" width="7.453125" style="94" customWidth="1"/>
    <col min="7428" max="7428" width="8.81640625" style="94" customWidth="1"/>
    <col min="7429" max="7430" width="7.453125" style="94" customWidth="1"/>
    <col min="7431" max="7431" width="8.54296875" style="94" customWidth="1"/>
    <col min="7432" max="7432" width="7.453125" style="94" customWidth="1"/>
    <col min="7433" max="7433" width="6.453125" style="94" customWidth="1"/>
    <col min="7434" max="7434" width="7.453125" style="94" customWidth="1"/>
    <col min="7435" max="7435" width="8.81640625" style="94" customWidth="1"/>
    <col min="7436" max="7441" width="7.453125" style="94" customWidth="1"/>
    <col min="7442" max="7461" width="0" style="94" hidden="1" customWidth="1"/>
    <col min="7462" max="7462" width="24" style="94" customWidth="1"/>
    <col min="7463" max="7676" width="9.1796875" style="94"/>
    <col min="7677" max="7677" width="6.26953125" style="94" customWidth="1"/>
    <col min="7678" max="7678" width="45" style="94" customWidth="1"/>
    <col min="7679" max="7681" width="7.453125" style="94" customWidth="1"/>
    <col min="7682" max="7682" width="6.453125" style="94" customWidth="1"/>
    <col min="7683" max="7683" width="7.453125" style="94" customWidth="1"/>
    <col min="7684" max="7684" width="8.81640625" style="94" customWidth="1"/>
    <col min="7685" max="7686" width="7.453125" style="94" customWidth="1"/>
    <col min="7687" max="7687" width="8.54296875" style="94" customWidth="1"/>
    <col min="7688" max="7688" width="7.453125" style="94" customWidth="1"/>
    <col min="7689" max="7689" width="6.453125" style="94" customWidth="1"/>
    <col min="7690" max="7690" width="7.453125" style="94" customWidth="1"/>
    <col min="7691" max="7691" width="8.81640625" style="94" customWidth="1"/>
    <col min="7692" max="7697" width="7.453125" style="94" customWidth="1"/>
    <col min="7698" max="7717" width="0" style="94" hidden="1" customWidth="1"/>
    <col min="7718" max="7718" width="24" style="94" customWidth="1"/>
    <col min="7719" max="7932" width="9.1796875" style="94"/>
    <col min="7933" max="7933" width="6.26953125" style="94" customWidth="1"/>
    <col min="7934" max="7934" width="45" style="94" customWidth="1"/>
    <col min="7935" max="7937" width="7.453125" style="94" customWidth="1"/>
    <col min="7938" max="7938" width="6.453125" style="94" customWidth="1"/>
    <col min="7939" max="7939" width="7.453125" style="94" customWidth="1"/>
    <col min="7940" max="7940" width="8.81640625" style="94" customWidth="1"/>
    <col min="7941" max="7942" width="7.453125" style="94" customWidth="1"/>
    <col min="7943" max="7943" width="8.54296875" style="94" customWidth="1"/>
    <col min="7944" max="7944" width="7.453125" style="94" customWidth="1"/>
    <col min="7945" max="7945" width="6.453125" style="94" customWidth="1"/>
    <col min="7946" max="7946" width="7.453125" style="94" customWidth="1"/>
    <col min="7947" max="7947" width="8.81640625" style="94" customWidth="1"/>
    <col min="7948" max="7953" width="7.453125" style="94" customWidth="1"/>
    <col min="7954" max="7973" width="0" style="94" hidden="1" customWidth="1"/>
    <col min="7974" max="7974" width="24" style="94" customWidth="1"/>
    <col min="7975" max="8188" width="9.1796875" style="94"/>
    <col min="8189" max="8189" width="6.26953125" style="94" customWidth="1"/>
    <col min="8190" max="8190" width="45" style="94" customWidth="1"/>
    <col min="8191" max="8193" width="7.453125" style="94" customWidth="1"/>
    <col min="8194" max="8194" width="6.453125" style="94" customWidth="1"/>
    <col min="8195" max="8195" width="7.453125" style="94" customWidth="1"/>
    <col min="8196" max="8196" width="8.81640625" style="94" customWidth="1"/>
    <col min="8197" max="8198" width="7.453125" style="94" customWidth="1"/>
    <col min="8199" max="8199" width="8.54296875" style="94" customWidth="1"/>
    <col min="8200" max="8200" width="7.453125" style="94" customWidth="1"/>
    <col min="8201" max="8201" width="6.453125" style="94" customWidth="1"/>
    <col min="8202" max="8202" width="7.453125" style="94" customWidth="1"/>
    <col min="8203" max="8203" width="8.81640625" style="94" customWidth="1"/>
    <col min="8204" max="8209" width="7.453125" style="94" customWidth="1"/>
    <col min="8210" max="8229" width="0" style="94" hidden="1" customWidth="1"/>
    <col min="8230" max="8230" width="24" style="94" customWidth="1"/>
    <col min="8231" max="8444" width="9.1796875" style="94"/>
    <col min="8445" max="8445" width="6.26953125" style="94" customWidth="1"/>
    <col min="8446" max="8446" width="45" style="94" customWidth="1"/>
    <col min="8447" max="8449" width="7.453125" style="94" customWidth="1"/>
    <col min="8450" max="8450" width="6.453125" style="94" customWidth="1"/>
    <col min="8451" max="8451" width="7.453125" style="94" customWidth="1"/>
    <col min="8452" max="8452" width="8.81640625" style="94" customWidth="1"/>
    <col min="8453" max="8454" width="7.453125" style="94" customWidth="1"/>
    <col min="8455" max="8455" width="8.54296875" style="94" customWidth="1"/>
    <col min="8456" max="8456" width="7.453125" style="94" customWidth="1"/>
    <col min="8457" max="8457" width="6.453125" style="94" customWidth="1"/>
    <col min="8458" max="8458" width="7.453125" style="94" customWidth="1"/>
    <col min="8459" max="8459" width="8.81640625" style="94" customWidth="1"/>
    <col min="8460" max="8465" width="7.453125" style="94" customWidth="1"/>
    <col min="8466" max="8485" width="0" style="94" hidden="1" customWidth="1"/>
    <col min="8486" max="8486" width="24" style="94" customWidth="1"/>
    <col min="8487" max="8700" width="9.1796875" style="94"/>
    <col min="8701" max="8701" width="6.26953125" style="94" customWidth="1"/>
    <col min="8702" max="8702" width="45" style="94" customWidth="1"/>
    <col min="8703" max="8705" width="7.453125" style="94" customWidth="1"/>
    <col min="8706" max="8706" width="6.453125" style="94" customWidth="1"/>
    <col min="8707" max="8707" width="7.453125" style="94" customWidth="1"/>
    <col min="8708" max="8708" width="8.81640625" style="94" customWidth="1"/>
    <col min="8709" max="8710" width="7.453125" style="94" customWidth="1"/>
    <col min="8711" max="8711" width="8.54296875" style="94" customWidth="1"/>
    <col min="8712" max="8712" width="7.453125" style="94" customWidth="1"/>
    <col min="8713" max="8713" width="6.453125" style="94" customWidth="1"/>
    <col min="8714" max="8714" width="7.453125" style="94" customWidth="1"/>
    <col min="8715" max="8715" width="8.81640625" style="94" customWidth="1"/>
    <col min="8716" max="8721" width="7.453125" style="94" customWidth="1"/>
    <col min="8722" max="8741" width="0" style="94" hidden="1" customWidth="1"/>
    <col min="8742" max="8742" width="24" style="94" customWidth="1"/>
    <col min="8743" max="8956" width="9.1796875" style="94"/>
    <col min="8957" max="8957" width="6.26953125" style="94" customWidth="1"/>
    <col min="8958" max="8958" width="45" style="94" customWidth="1"/>
    <col min="8959" max="8961" width="7.453125" style="94" customWidth="1"/>
    <col min="8962" max="8962" width="6.453125" style="94" customWidth="1"/>
    <col min="8963" max="8963" width="7.453125" style="94" customWidth="1"/>
    <col min="8964" max="8964" width="8.81640625" style="94" customWidth="1"/>
    <col min="8965" max="8966" width="7.453125" style="94" customWidth="1"/>
    <col min="8967" max="8967" width="8.54296875" style="94" customWidth="1"/>
    <col min="8968" max="8968" width="7.453125" style="94" customWidth="1"/>
    <col min="8969" max="8969" width="6.453125" style="94" customWidth="1"/>
    <col min="8970" max="8970" width="7.453125" style="94" customWidth="1"/>
    <col min="8971" max="8971" width="8.81640625" style="94" customWidth="1"/>
    <col min="8972" max="8977" width="7.453125" style="94" customWidth="1"/>
    <col min="8978" max="8997" width="0" style="94" hidden="1" customWidth="1"/>
    <col min="8998" max="8998" width="24" style="94" customWidth="1"/>
    <col min="8999" max="9212" width="9.1796875" style="94"/>
    <col min="9213" max="9213" width="6.26953125" style="94" customWidth="1"/>
    <col min="9214" max="9214" width="45" style="94" customWidth="1"/>
    <col min="9215" max="9217" width="7.453125" style="94" customWidth="1"/>
    <col min="9218" max="9218" width="6.453125" style="94" customWidth="1"/>
    <col min="9219" max="9219" width="7.453125" style="94" customWidth="1"/>
    <col min="9220" max="9220" width="8.81640625" style="94" customWidth="1"/>
    <col min="9221" max="9222" width="7.453125" style="94" customWidth="1"/>
    <col min="9223" max="9223" width="8.54296875" style="94" customWidth="1"/>
    <col min="9224" max="9224" width="7.453125" style="94" customWidth="1"/>
    <col min="9225" max="9225" width="6.453125" style="94" customWidth="1"/>
    <col min="9226" max="9226" width="7.453125" style="94" customWidth="1"/>
    <col min="9227" max="9227" width="8.81640625" style="94" customWidth="1"/>
    <col min="9228" max="9233" width="7.453125" style="94" customWidth="1"/>
    <col min="9234" max="9253" width="0" style="94" hidden="1" customWidth="1"/>
    <col min="9254" max="9254" width="24" style="94" customWidth="1"/>
    <col min="9255" max="9468" width="9.1796875" style="94"/>
    <col min="9469" max="9469" width="6.26953125" style="94" customWidth="1"/>
    <col min="9470" max="9470" width="45" style="94" customWidth="1"/>
    <col min="9471" max="9473" width="7.453125" style="94" customWidth="1"/>
    <col min="9474" max="9474" width="6.453125" style="94" customWidth="1"/>
    <col min="9475" max="9475" width="7.453125" style="94" customWidth="1"/>
    <col min="9476" max="9476" width="8.81640625" style="94" customWidth="1"/>
    <col min="9477" max="9478" width="7.453125" style="94" customWidth="1"/>
    <col min="9479" max="9479" width="8.54296875" style="94" customWidth="1"/>
    <col min="9480" max="9480" width="7.453125" style="94" customWidth="1"/>
    <col min="9481" max="9481" width="6.453125" style="94" customWidth="1"/>
    <col min="9482" max="9482" width="7.453125" style="94" customWidth="1"/>
    <col min="9483" max="9483" width="8.81640625" style="94" customWidth="1"/>
    <col min="9484" max="9489" width="7.453125" style="94" customWidth="1"/>
    <col min="9490" max="9509" width="0" style="94" hidden="1" customWidth="1"/>
    <col min="9510" max="9510" width="24" style="94" customWidth="1"/>
    <col min="9511" max="9724" width="9.1796875" style="94"/>
    <col min="9725" max="9725" width="6.26953125" style="94" customWidth="1"/>
    <col min="9726" max="9726" width="45" style="94" customWidth="1"/>
    <col min="9727" max="9729" width="7.453125" style="94" customWidth="1"/>
    <col min="9730" max="9730" width="6.453125" style="94" customWidth="1"/>
    <col min="9731" max="9731" width="7.453125" style="94" customWidth="1"/>
    <col min="9732" max="9732" width="8.81640625" style="94" customWidth="1"/>
    <col min="9733" max="9734" width="7.453125" style="94" customWidth="1"/>
    <col min="9735" max="9735" width="8.54296875" style="94" customWidth="1"/>
    <col min="9736" max="9736" width="7.453125" style="94" customWidth="1"/>
    <col min="9737" max="9737" width="6.453125" style="94" customWidth="1"/>
    <col min="9738" max="9738" width="7.453125" style="94" customWidth="1"/>
    <col min="9739" max="9739" width="8.81640625" style="94" customWidth="1"/>
    <col min="9740" max="9745" width="7.453125" style="94" customWidth="1"/>
    <col min="9746" max="9765" width="0" style="94" hidden="1" customWidth="1"/>
    <col min="9766" max="9766" width="24" style="94" customWidth="1"/>
    <col min="9767" max="9980" width="9.1796875" style="94"/>
    <col min="9981" max="9981" width="6.26953125" style="94" customWidth="1"/>
    <col min="9982" max="9982" width="45" style="94" customWidth="1"/>
    <col min="9983" max="9985" width="7.453125" style="94" customWidth="1"/>
    <col min="9986" max="9986" width="6.453125" style="94" customWidth="1"/>
    <col min="9987" max="9987" width="7.453125" style="94" customWidth="1"/>
    <col min="9988" max="9988" width="8.81640625" style="94" customWidth="1"/>
    <col min="9989" max="9990" width="7.453125" style="94" customWidth="1"/>
    <col min="9991" max="9991" width="8.54296875" style="94" customWidth="1"/>
    <col min="9992" max="9992" width="7.453125" style="94" customWidth="1"/>
    <col min="9993" max="9993" width="6.453125" style="94" customWidth="1"/>
    <col min="9994" max="9994" width="7.453125" style="94" customWidth="1"/>
    <col min="9995" max="9995" width="8.81640625" style="94" customWidth="1"/>
    <col min="9996" max="10001" width="7.453125" style="94" customWidth="1"/>
    <col min="10002" max="10021" width="0" style="94" hidden="1" customWidth="1"/>
    <col min="10022" max="10022" width="24" style="94" customWidth="1"/>
    <col min="10023" max="10236" width="9.1796875" style="94"/>
    <col min="10237" max="10237" width="6.26953125" style="94" customWidth="1"/>
    <col min="10238" max="10238" width="45" style="94" customWidth="1"/>
    <col min="10239" max="10241" width="7.453125" style="94" customWidth="1"/>
    <col min="10242" max="10242" width="6.453125" style="94" customWidth="1"/>
    <col min="10243" max="10243" width="7.453125" style="94" customWidth="1"/>
    <col min="10244" max="10244" width="8.81640625" style="94" customWidth="1"/>
    <col min="10245" max="10246" width="7.453125" style="94" customWidth="1"/>
    <col min="10247" max="10247" width="8.54296875" style="94" customWidth="1"/>
    <col min="10248" max="10248" width="7.453125" style="94" customWidth="1"/>
    <col min="10249" max="10249" width="6.453125" style="94" customWidth="1"/>
    <col min="10250" max="10250" width="7.453125" style="94" customWidth="1"/>
    <col min="10251" max="10251" width="8.81640625" style="94" customWidth="1"/>
    <col min="10252" max="10257" width="7.453125" style="94" customWidth="1"/>
    <col min="10258" max="10277" width="0" style="94" hidden="1" customWidth="1"/>
    <col min="10278" max="10278" width="24" style="94" customWidth="1"/>
    <col min="10279" max="10492" width="9.1796875" style="94"/>
    <col min="10493" max="10493" width="6.26953125" style="94" customWidth="1"/>
    <col min="10494" max="10494" width="45" style="94" customWidth="1"/>
    <col min="10495" max="10497" width="7.453125" style="94" customWidth="1"/>
    <col min="10498" max="10498" width="6.453125" style="94" customWidth="1"/>
    <col min="10499" max="10499" width="7.453125" style="94" customWidth="1"/>
    <col min="10500" max="10500" width="8.81640625" style="94" customWidth="1"/>
    <col min="10501" max="10502" width="7.453125" style="94" customWidth="1"/>
    <col min="10503" max="10503" width="8.54296875" style="94" customWidth="1"/>
    <col min="10504" max="10504" width="7.453125" style="94" customWidth="1"/>
    <col min="10505" max="10505" width="6.453125" style="94" customWidth="1"/>
    <col min="10506" max="10506" width="7.453125" style="94" customWidth="1"/>
    <col min="10507" max="10507" width="8.81640625" style="94" customWidth="1"/>
    <col min="10508" max="10513" width="7.453125" style="94" customWidth="1"/>
    <col min="10514" max="10533" width="0" style="94" hidden="1" customWidth="1"/>
    <col min="10534" max="10534" width="24" style="94" customWidth="1"/>
    <col min="10535" max="10748" width="9.1796875" style="94"/>
    <col min="10749" max="10749" width="6.26953125" style="94" customWidth="1"/>
    <col min="10750" max="10750" width="45" style="94" customWidth="1"/>
    <col min="10751" max="10753" width="7.453125" style="94" customWidth="1"/>
    <col min="10754" max="10754" width="6.453125" style="94" customWidth="1"/>
    <col min="10755" max="10755" width="7.453125" style="94" customWidth="1"/>
    <col min="10756" max="10756" width="8.81640625" style="94" customWidth="1"/>
    <col min="10757" max="10758" width="7.453125" style="94" customWidth="1"/>
    <col min="10759" max="10759" width="8.54296875" style="94" customWidth="1"/>
    <col min="10760" max="10760" width="7.453125" style="94" customWidth="1"/>
    <col min="10761" max="10761" width="6.453125" style="94" customWidth="1"/>
    <col min="10762" max="10762" width="7.453125" style="94" customWidth="1"/>
    <col min="10763" max="10763" width="8.81640625" style="94" customWidth="1"/>
    <col min="10764" max="10769" width="7.453125" style="94" customWidth="1"/>
    <col min="10770" max="10789" width="0" style="94" hidden="1" customWidth="1"/>
    <col min="10790" max="10790" width="24" style="94" customWidth="1"/>
    <col min="10791" max="11004" width="9.1796875" style="94"/>
    <col min="11005" max="11005" width="6.26953125" style="94" customWidth="1"/>
    <col min="11006" max="11006" width="45" style="94" customWidth="1"/>
    <col min="11007" max="11009" width="7.453125" style="94" customWidth="1"/>
    <col min="11010" max="11010" width="6.453125" style="94" customWidth="1"/>
    <col min="11011" max="11011" width="7.453125" style="94" customWidth="1"/>
    <col min="11012" max="11012" width="8.81640625" style="94" customWidth="1"/>
    <col min="11013" max="11014" width="7.453125" style="94" customWidth="1"/>
    <col min="11015" max="11015" width="8.54296875" style="94" customWidth="1"/>
    <col min="11016" max="11016" width="7.453125" style="94" customWidth="1"/>
    <col min="11017" max="11017" width="6.453125" style="94" customWidth="1"/>
    <col min="11018" max="11018" width="7.453125" style="94" customWidth="1"/>
    <col min="11019" max="11019" width="8.81640625" style="94" customWidth="1"/>
    <col min="11020" max="11025" width="7.453125" style="94" customWidth="1"/>
    <col min="11026" max="11045" width="0" style="94" hidden="1" customWidth="1"/>
    <col min="11046" max="11046" width="24" style="94" customWidth="1"/>
    <col min="11047" max="11260" width="9.1796875" style="94"/>
    <col min="11261" max="11261" width="6.26953125" style="94" customWidth="1"/>
    <col min="11262" max="11262" width="45" style="94" customWidth="1"/>
    <col min="11263" max="11265" width="7.453125" style="94" customWidth="1"/>
    <col min="11266" max="11266" width="6.453125" style="94" customWidth="1"/>
    <col min="11267" max="11267" width="7.453125" style="94" customWidth="1"/>
    <col min="11268" max="11268" width="8.81640625" style="94" customWidth="1"/>
    <col min="11269" max="11270" width="7.453125" style="94" customWidth="1"/>
    <col min="11271" max="11271" width="8.54296875" style="94" customWidth="1"/>
    <col min="11272" max="11272" width="7.453125" style="94" customWidth="1"/>
    <col min="11273" max="11273" width="6.453125" style="94" customWidth="1"/>
    <col min="11274" max="11274" width="7.453125" style="94" customWidth="1"/>
    <col min="11275" max="11275" width="8.81640625" style="94" customWidth="1"/>
    <col min="11276" max="11281" width="7.453125" style="94" customWidth="1"/>
    <col min="11282" max="11301" width="0" style="94" hidden="1" customWidth="1"/>
    <col min="11302" max="11302" width="24" style="94" customWidth="1"/>
    <col min="11303" max="11516" width="9.1796875" style="94"/>
    <col min="11517" max="11517" width="6.26953125" style="94" customWidth="1"/>
    <col min="11518" max="11518" width="45" style="94" customWidth="1"/>
    <col min="11519" max="11521" width="7.453125" style="94" customWidth="1"/>
    <col min="11522" max="11522" width="6.453125" style="94" customWidth="1"/>
    <col min="11523" max="11523" width="7.453125" style="94" customWidth="1"/>
    <col min="11524" max="11524" width="8.81640625" style="94" customWidth="1"/>
    <col min="11525" max="11526" width="7.453125" style="94" customWidth="1"/>
    <col min="11527" max="11527" width="8.54296875" style="94" customWidth="1"/>
    <col min="11528" max="11528" width="7.453125" style="94" customWidth="1"/>
    <col min="11529" max="11529" width="6.453125" style="94" customWidth="1"/>
    <col min="11530" max="11530" width="7.453125" style="94" customWidth="1"/>
    <col min="11531" max="11531" width="8.81640625" style="94" customWidth="1"/>
    <col min="11532" max="11537" width="7.453125" style="94" customWidth="1"/>
    <col min="11538" max="11557" width="0" style="94" hidden="1" customWidth="1"/>
    <col min="11558" max="11558" width="24" style="94" customWidth="1"/>
    <col min="11559" max="11772" width="9.1796875" style="94"/>
    <col min="11773" max="11773" width="6.26953125" style="94" customWidth="1"/>
    <col min="11774" max="11774" width="45" style="94" customWidth="1"/>
    <col min="11775" max="11777" width="7.453125" style="94" customWidth="1"/>
    <col min="11778" max="11778" width="6.453125" style="94" customWidth="1"/>
    <col min="11779" max="11779" width="7.453125" style="94" customWidth="1"/>
    <col min="11780" max="11780" width="8.81640625" style="94" customWidth="1"/>
    <col min="11781" max="11782" width="7.453125" style="94" customWidth="1"/>
    <col min="11783" max="11783" width="8.54296875" style="94" customWidth="1"/>
    <col min="11784" max="11784" width="7.453125" style="94" customWidth="1"/>
    <col min="11785" max="11785" width="6.453125" style="94" customWidth="1"/>
    <col min="11786" max="11786" width="7.453125" style="94" customWidth="1"/>
    <col min="11787" max="11787" width="8.81640625" style="94" customWidth="1"/>
    <col min="11788" max="11793" width="7.453125" style="94" customWidth="1"/>
    <col min="11794" max="11813" width="0" style="94" hidden="1" customWidth="1"/>
    <col min="11814" max="11814" width="24" style="94" customWidth="1"/>
    <col min="11815" max="12028" width="9.1796875" style="94"/>
    <col min="12029" max="12029" width="6.26953125" style="94" customWidth="1"/>
    <col min="12030" max="12030" width="45" style="94" customWidth="1"/>
    <col min="12031" max="12033" width="7.453125" style="94" customWidth="1"/>
    <col min="12034" max="12034" width="6.453125" style="94" customWidth="1"/>
    <col min="12035" max="12035" width="7.453125" style="94" customWidth="1"/>
    <col min="12036" max="12036" width="8.81640625" style="94" customWidth="1"/>
    <col min="12037" max="12038" width="7.453125" style="94" customWidth="1"/>
    <col min="12039" max="12039" width="8.54296875" style="94" customWidth="1"/>
    <col min="12040" max="12040" width="7.453125" style="94" customWidth="1"/>
    <col min="12041" max="12041" width="6.453125" style="94" customWidth="1"/>
    <col min="12042" max="12042" width="7.453125" style="94" customWidth="1"/>
    <col min="12043" max="12043" width="8.81640625" style="94" customWidth="1"/>
    <col min="12044" max="12049" width="7.453125" style="94" customWidth="1"/>
    <col min="12050" max="12069" width="0" style="94" hidden="1" customWidth="1"/>
    <col min="12070" max="12070" width="24" style="94" customWidth="1"/>
    <col min="12071" max="12284" width="9.1796875" style="94"/>
    <col min="12285" max="12285" width="6.26953125" style="94" customWidth="1"/>
    <col min="12286" max="12286" width="45" style="94" customWidth="1"/>
    <col min="12287" max="12289" width="7.453125" style="94" customWidth="1"/>
    <col min="12290" max="12290" width="6.453125" style="94" customWidth="1"/>
    <col min="12291" max="12291" width="7.453125" style="94" customWidth="1"/>
    <col min="12292" max="12292" width="8.81640625" style="94" customWidth="1"/>
    <col min="12293" max="12294" width="7.453125" style="94" customWidth="1"/>
    <col min="12295" max="12295" width="8.54296875" style="94" customWidth="1"/>
    <col min="12296" max="12296" width="7.453125" style="94" customWidth="1"/>
    <col min="12297" max="12297" width="6.453125" style="94" customWidth="1"/>
    <col min="12298" max="12298" width="7.453125" style="94" customWidth="1"/>
    <col min="12299" max="12299" width="8.81640625" style="94" customWidth="1"/>
    <col min="12300" max="12305" width="7.453125" style="94" customWidth="1"/>
    <col min="12306" max="12325" width="0" style="94" hidden="1" customWidth="1"/>
    <col min="12326" max="12326" width="24" style="94" customWidth="1"/>
    <col min="12327" max="12540" width="9.1796875" style="94"/>
    <col min="12541" max="12541" width="6.26953125" style="94" customWidth="1"/>
    <col min="12542" max="12542" width="45" style="94" customWidth="1"/>
    <col min="12543" max="12545" width="7.453125" style="94" customWidth="1"/>
    <col min="12546" max="12546" width="6.453125" style="94" customWidth="1"/>
    <col min="12547" max="12547" width="7.453125" style="94" customWidth="1"/>
    <col min="12548" max="12548" width="8.81640625" style="94" customWidth="1"/>
    <col min="12549" max="12550" width="7.453125" style="94" customWidth="1"/>
    <col min="12551" max="12551" width="8.54296875" style="94" customWidth="1"/>
    <col min="12552" max="12552" width="7.453125" style="94" customWidth="1"/>
    <col min="12553" max="12553" width="6.453125" style="94" customWidth="1"/>
    <col min="12554" max="12554" width="7.453125" style="94" customWidth="1"/>
    <col min="12555" max="12555" width="8.81640625" style="94" customWidth="1"/>
    <col min="12556" max="12561" width="7.453125" style="94" customWidth="1"/>
    <col min="12562" max="12581" width="0" style="94" hidden="1" customWidth="1"/>
    <col min="12582" max="12582" width="24" style="94" customWidth="1"/>
    <col min="12583" max="12796" width="9.1796875" style="94"/>
    <col min="12797" max="12797" width="6.26953125" style="94" customWidth="1"/>
    <col min="12798" max="12798" width="45" style="94" customWidth="1"/>
    <col min="12799" max="12801" width="7.453125" style="94" customWidth="1"/>
    <col min="12802" max="12802" width="6.453125" style="94" customWidth="1"/>
    <col min="12803" max="12803" width="7.453125" style="94" customWidth="1"/>
    <col min="12804" max="12804" width="8.81640625" style="94" customWidth="1"/>
    <col min="12805" max="12806" width="7.453125" style="94" customWidth="1"/>
    <col min="12807" max="12807" width="8.54296875" style="94" customWidth="1"/>
    <col min="12808" max="12808" width="7.453125" style="94" customWidth="1"/>
    <col min="12809" max="12809" width="6.453125" style="94" customWidth="1"/>
    <col min="12810" max="12810" width="7.453125" style="94" customWidth="1"/>
    <col min="12811" max="12811" width="8.81640625" style="94" customWidth="1"/>
    <col min="12812" max="12817" width="7.453125" style="94" customWidth="1"/>
    <col min="12818" max="12837" width="0" style="94" hidden="1" customWidth="1"/>
    <col min="12838" max="12838" width="24" style="94" customWidth="1"/>
    <col min="12839" max="13052" width="9.1796875" style="94"/>
    <col min="13053" max="13053" width="6.26953125" style="94" customWidth="1"/>
    <col min="13054" max="13054" width="45" style="94" customWidth="1"/>
    <col min="13055" max="13057" width="7.453125" style="94" customWidth="1"/>
    <col min="13058" max="13058" width="6.453125" style="94" customWidth="1"/>
    <col min="13059" max="13059" width="7.453125" style="94" customWidth="1"/>
    <col min="13060" max="13060" width="8.81640625" style="94" customWidth="1"/>
    <col min="13061" max="13062" width="7.453125" style="94" customWidth="1"/>
    <col min="13063" max="13063" width="8.54296875" style="94" customWidth="1"/>
    <col min="13064" max="13064" width="7.453125" style="94" customWidth="1"/>
    <col min="13065" max="13065" width="6.453125" style="94" customWidth="1"/>
    <col min="13066" max="13066" width="7.453125" style="94" customWidth="1"/>
    <col min="13067" max="13067" width="8.81640625" style="94" customWidth="1"/>
    <col min="13068" max="13073" width="7.453125" style="94" customWidth="1"/>
    <col min="13074" max="13093" width="0" style="94" hidden="1" customWidth="1"/>
    <col min="13094" max="13094" width="24" style="94" customWidth="1"/>
    <col min="13095" max="13308" width="9.1796875" style="94"/>
    <col min="13309" max="13309" width="6.26953125" style="94" customWidth="1"/>
    <col min="13310" max="13310" width="45" style="94" customWidth="1"/>
    <col min="13311" max="13313" width="7.453125" style="94" customWidth="1"/>
    <col min="13314" max="13314" width="6.453125" style="94" customWidth="1"/>
    <col min="13315" max="13315" width="7.453125" style="94" customWidth="1"/>
    <col min="13316" max="13316" width="8.81640625" style="94" customWidth="1"/>
    <col min="13317" max="13318" width="7.453125" style="94" customWidth="1"/>
    <col min="13319" max="13319" width="8.54296875" style="94" customWidth="1"/>
    <col min="13320" max="13320" width="7.453125" style="94" customWidth="1"/>
    <col min="13321" max="13321" width="6.453125" style="94" customWidth="1"/>
    <col min="13322" max="13322" width="7.453125" style="94" customWidth="1"/>
    <col min="13323" max="13323" width="8.81640625" style="94" customWidth="1"/>
    <col min="13324" max="13329" width="7.453125" style="94" customWidth="1"/>
    <col min="13330" max="13349" width="0" style="94" hidden="1" customWidth="1"/>
    <col min="13350" max="13350" width="24" style="94" customWidth="1"/>
    <col min="13351" max="13564" width="9.1796875" style="94"/>
    <col min="13565" max="13565" width="6.26953125" style="94" customWidth="1"/>
    <col min="13566" max="13566" width="45" style="94" customWidth="1"/>
    <col min="13567" max="13569" width="7.453125" style="94" customWidth="1"/>
    <col min="13570" max="13570" width="6.453125" style="94" customWidth="1"/>
    <col min="13571" max="13571" width="7.453125" style="94" customWidth="1"/>
    <col min="13572" max="13572" width="8.81640625" style="94" customWidth="1"/>
    <col min="13573" max="13574" width="7.453125" style="94" customWidth="1"/>
    <col min="13575" max="13575" width="8.54296875" style="94" customWidth="1"/>
    <col min="13576" max="13576" width="7.453125" style="94" customWidth="1"/>
    <col min="13577" max="13577" width="6.453125" style="94" customWidth="1"/>
    <col min="13578" max="13578" width="7.453125" style="94" customWidth="1"/>
    <col min="13579" max="13579" width="8.81640625" style="94" customWidth="1"/>
    <col min="13580" max="13585" width="7.453125" style="94" customWidth="1"/>
    <col min="13586" max="13605" width="0" style="94" hidden="1" customWidth="1"/>
    <col min="13606" max="13606" width="24" style="94" customWidth="1"/>
    <col min="13607" max="13820" width="9.1796875" style="94"/>
    <col min="13821" max="13821" width="6.26953125" style="94" customWidth="1"/>
    <col min="13822" max="13822" width="45" style="94" customWidth="1"/>
    <col min="13823" max="13825" width="7.453125" style="94" customWidth="1"/>
    <col min="13826" max="13826" width="6.453125" style="94" customWidth="1"/>
    <col min="13827" max="13827" width="7.453125" style="94" customWidth="1"/>
    <col min="13828" max="13828" width="8.81640625" style="94" customWidth="1"/>
    <col min="13829" max="13830" width="7.453125" style="94" customWidth="1"/>
    <col min="13831" max="13831" width="8.54296875" style="94" customWidth="1"/>
    <col min="13832" max="13832" width="7.453125" style="94" customWidth="1"/>
    <col min="13833" max="13833" width="6.453125" style="94" customWidth="1"/>
    <col min="13834" max="13834" width="7.453125" style="94" customWidth="1"/>
    <col min="13835" max="13835" width="8.81640625" style="94" customWidth="1"/>
    <col min="13836" max="13841" width="7.453125" style="94" customWidth="1"/>
    <col min="13842" max="13861" width="0" style="94" hidden="1" customWidth="1"/>
    <col min="13862" max="13862" width="24" style="94" customWidth="1"/>
    <col min="13863" max="14076" width="9.1796875" style="94"/>
    <col min="14077" max="14077" width="6.26953125" style="94" customWidth="1"/>
    <col min="14078" max="14078" width="45" style="94" customWidth="1"/>
    <col min="14079" max="14081" width="7.453125" style="94" customWidth="1"/>
    <col min="14082" max="14082" width="6.453125" style="94" customWidth="1"/>
    <col min="14083" max="14083" width="7.453125" style="94" customWidth="1"/>
    <col min="14084" max="14084" width="8.81640625" style="94" customWidth="1"/>
    <col min="14085" max="14086" width="7.453125" style="94" customWidth="1"/>
    <col min="14087" max="14087" width="8.54296875" style="94" customWidth="1"/>
    <col min="14088" max="14088" width="7.453125" style="94" customWidth="1"/>
    <col min="14089" max="14089" width="6.453125" style="94" customWidth="1"/>
    <col min="14090" max="14090" width="7.453125" style="94" customWidth="1"/>
    <col min="14091" max="14091" width="8.81640625" style="94" customWidth="1"/>
    <col min="14092" max="14097" width="7.453125" style="94" customWidth="1"/>
    <col min="14098" max="14117" width="0" style="94" hidden="1" customWidth="1"/>
    <col min="14118" max="14118" width="24" style="94" customWidth="1"/>
    <col min="14119" max="14332" width="9.1796875" style="94"/>
    <col min="14333" max="14333" width="6.26953125" style="94" customWidth="1"/>
    <col min="14334" max="14334" width="45" style="94" customWidth="1"/>
    <col min="14335" max="14337" width="7.453125" style="94" customWidth="1"/>
    <col min="14338" max="14338" width="6.453125" style="94" customWidth="1"/>
    <col min="14339" max="14339" width="7.453125" style="94" customWidth="1"/>
    <col min="14340" max="14340" width="8.81640625" style="94" customWidth="1"/>
    <col min="14341" max="14342" width="7.453125" style="94" customWidth="1"/>
    <col min="14343" max="14343" width="8.54296875" style="94" customWidth="1"/>
    <col min="14344" max="14344" width="7.453125" style="94" customWidth="1"/>
    <col min="14345" max="14345" width="6.453125" style="94" customWidth="1"/>
    <col min="14346" max="14346" width="7.453125" style="94" customWidth="1"/>
    <col min="14347" max="14347" width="8.81640625" style="94" customWidth="1"/>
    <col min="14348" max="14353" width="7.453125" style="94" customWidth="1"/>
    <col min="14354" max="14373" width="0" style="94" hidden="1" customWidth="1"/>
    <col min="14374" max="14374" width="24" style="94" customWidth="1"/>
    <col min="14375" max="14588" width="9.1796875" style="94"/>
    <col min="14589" max="14589" width="6.26953125" style="94" customWidth="1"/>
    <col min="14590" max="14590" width="45" style="94" customWidth="1"/>
    <col min="14591" max="14593" width="7.453125" style="94" customWidth="1"/>
    <col min="14594" max="14594" width="6.453125" style="94" customWidth="1"/>
    <col min="14595" max="14595" width="7.453125" style="94" customWidth="1"/>
    <col min="14596" max="14596" width="8.81640625" style="94" customWidth="1"/>
    <col min="14597" max="14598" width="7.453125" style="94" customWidth="1"/>
    <col min="14599" max="14599" width="8.54296875" style="94" customWidth="1"/>
    <col min="14600" max="14600" width="7.453125" style="94" customWidth="1"/>
    <col min="14601" max="14601" width="6.453125" style="94" customWidth="1"/>
    <col min="14602" max="14602" width="7.453125" style="94" customWidth="1"/>
    <col min="14603" max="14603" width="8.81640625" style="94" customWidth="1"/>
    <col min="14604" max="14609" width="7.453125" style="94" customWidth="1"/>
    <col min="14610" max="14629" width="0" style="94" hidden="1" customWidth="1"/>
    <col min="14630" max="14630" width="24" style="94" customWidth="1"/>
    <col min="14631" max="14844" width="9.1796875" style="94"/>
    <col min="14845" max="14845" width="6.26953125" style="94" customWidth="1"/>
    <col min="14846" max="14846" width="45" style="94" customWidth="1"/>
    <col min="14847" max="14849" width="7.453125" style="94" customWidth="1"/>
    <col min="14850" max="14850" width="6.453125" style="94" customWidth="1"/>
    <col min="14851" max="14851" width="7.453125" style="94" customWidth="1"/>
    <col min="14852" max="14852" width="8.81640625" style="94" customWidth="1"/>
    <col min="14853" max="14854" width="7.453125" style="94" customWidth="1"/>
    <col min="14855" max="14855" width="8.54296875" style="94" customWidth="1"/>
    <col min="14856" max="14856" width="7.453125" style="94" customWidth="1"/>
    <col min="14857" max="14857" width="6.453125" style="94" customWidth="1"/>
    <col min="14858" max="14858" width="7.453125" style="94" customWidth="1"/>
    <col min="14859" max="14859" width="8.81640625" style="94" customWidth="1"/>
    <col min="14860" max="14865" width="7.453125" style="94" customWidth="1"/>
    <col min="14866" max="14885" width="0" style="94" hidden="1" customWidth="1"/>
    <col min="14886" max="14886" width="24" style="94" customWidth="1"/>
    <col min="14887" max="15100" width="9.1796875" style="94"/>
    <col min="15101" max="15101" width="6.26953125" style="94" customWidth="1"/>
    <col min="15102" max="15102" width="45" style="94" customWidth="1"/>
    <col min="15103" max="15105" width="7.453125" style="94" customWidth="1"/>
    <col min="15106" max="15106" width="6.453125" style="94" customWidth="1"/>
    <col min="15107" max="15107" width="7.453125" style="94" customWidth="1"/>
    <col min="15108" max="15108" width="8.81640625" style="94" customWidth="1"/>
    <col min="15109" max="15110" width="7.453125" style="94" customWidth="1"/>
    <col min="15111" max="15111" width="8.54296875" style="94" customWidth="1"/>
    <col min="15112" max="15112" width="7.453125" style="94" customWidth="1"/>
    <col min="15113" max="15113" width="6.453125" style="94" customWidth="1"/>
    <col min="15114" max="15114" width="7.453125" style="94" customWidth="1"/>
    <col min="15115" max="15115" width="8.81640625" style="94" customWidth="1"/>
    <col min="15116" max="15121" width="7.453125" style="94" customWidth="1"/>
    <col min="15122" max="15141" width="0" style="94" hidden="1" customWidth="1"/>
    <col min="15142" max="15142" width="24" style="94" customWidth="1"/>
    <col min="15143" max="15356" width="9.1796875" style="94"/>
    <col min="15357" max="15357" width="6.26953125" style="94" customWidth="1"/>
    <col min="15358" max="15358" width="45" style="94" customWidth="1"/>
    <col min="15359" max="15361" width="7.453125" style="94" customWidth="1"/>
    <col min="15362" max="15362" width="6.453125" style="94" customWidth="1"/>
    <col min="15363" max="15363" width="7.453125" style="94" customWidth="1"/>
    <col min="15364" max="15364" width="8.81640625" style="94" customWidth="1"/>
    <col min="15365" max="15366" width="7.453125" style="94" customWidth="1"/>
    <col min="15367" max="15367" width="8.54296875" style="94" customWidth="1"/>
    <col min="15368" max="15368" width="7.453125" style="94" customWidth="1"/>
    <col min="15369" max="15369" width="6.453125" style="94" customWidth="1"/>
    <col min="15370" max="15370" width="7.453125" style="94" customWidth="1"/>
    <col min="15371" max="15371" width="8.81640625" style="94" customWidth="1"/>
    <col min="15372" max="15377" width="7.453125" style="94" customWidth="1"/>
    <col min="15378" max="15397" width="0" style="94" hidden="1" customWidth="1"/>
    <col min="15398" max="15398" width="24" style="94" customWidth="1"/>
    <col min="15399" max="15612" width="9.1796875" style="94"/>
    <col min="15613" max="15613" width="6.26953125" style="94" customWidth="1"/>
    <col min="15614" max="15614" width="45" style="94" customWidth="1"/>
    <col min="15615" max="15617" width="7.453125" style="94" customWidth="1"/>
    <col min="15618" max="15618" width="6.453125" style="94" customWidth="1"/>
    <col min="15619" max="15619" width="7.453125" style="94" customWidth="1"/>
    <col min="15620" max="15620" width="8.81640625" style="94" customWidth="1"/>
    <col min="15621" max="15622" width="7.453125" style="94" customWidth="1"/>
    <col min="15623" max="15623" width="8.54296875" style="94" customWidth="1"/>
    <col min="15624" max="15624" width="7.453125" style="94" customWidth="1"/>
    <col min="15625" max="15625" width="6.453125" style="94" customWidth="1"/>
    <col min="15626" max="15626" width="7.453125" style="94" customWidth="1"/>
    <col min="15627" max="15627" width="8.81640625" style="94" customWidth="1"/>
    <col min="15628" max="15633" width="7.453125" style="94" customWidth="1"/>
    <col min="15634" max="15653" width="0" style="94" hidden="1" customWidth="1"/>
    <col min="15654" max="15654" width="24" style="94" customWidth="1"/>
    <col min="15655" max="15868" width="9.1796875" style="94"/>
    <col min="15869" max="15869" width="6.26953125" style="94" customWidth="1"/>
    <col min="15870" max="15870" width="45" style="94" customWidth="1"/>
    <col min="15871" max="15873" width="7.453125" style="94" customWidth="1"/>
    <col min="15874" max="15874" width="6.453125" style="94" customWidth="1"/>
    <col min="15875" max="15875" width="7.453125" style="94" customWidth="1"/>
    <col min="15876" max="15876" width="8.81640625" style="94" customWidth="1"/>
    <col min="15877" max="15878" width="7.453125" style="94" customWidth="1"/>
    <col min="15879" max="15879" width="8.54296875" style="94" customWidth="1"/>
    <col min="15880" max="15880" width="7.453125" style="94" customWidth="1"/>
    <col min="15881" max="15881" width="6.453125" style="94" customWidth="1"/>
    <col min="15882" max="15882" width="7.453125" style="94" customWidth="1"/>
    <col min="15883" max="15883" width="8.81640625" style="94" customWidth="1"/>
    <col min="15884" max="15889" width="7.453125" style="94" customWidth="1"/>
    <col min="15890" max="15909" width="0" style="94" hidden="1" customWidth="1"/>
    <col min="15910" max="15910" width="24" style="94" customWidth="1"/>
    <col min="15911" max="16124" width="9.1796875" style="94"/>
    <col min="16125" max="16125" width="6.26953125" style="94" customWidth="1"/>
    <col min="16126" max="16126" width="45" style="94" customWidth="1"/>
    <col min="16127" max="16129" width="7.453125" style="94" customWidth="1"/>
    <col min="16130" max="16130" width="6.453125" style="94" customWidth="1"/>
    <col min="16131" max="16131" width="7.453125" style="94" customWidth="1"/>
    <col min="16132" max="16132" width="8.81640625" style="94" customWidth="1"/>
    <col min="16133" max="16134" width="7.453125" style="94" customWidth="1"/>
    <col min="16135" max="16135" width="8.54296875" style="94" customWidth="1"/>
    <col min="16136" max="16136" width="7.453125" style="94" customWidth="1"/>
    <col min="16137" max="16137" width="6.453125" style="94" customWidth="1"/>
    <col min="16138" max="16138" width="7.453125" style="94" customWidth="1"/>
    <col min="16139" max="16139" width="8.81640625" style="94" customWidth="1"/>
    <col min="16140" max="16145" width="7.453125" style="94" customWidth="1"/>
    <col min="16146" max="16165" width="0" style="94" hidden="1" customWidth="1"/>
    <col min="16166" max="16166" width="24" style="94" customWidth="1"/>
    <col min="16167" max="16384" width="9.1796875" style="94"/>
  </cols>
  <sheetData>
    <row r="1" spans="1:42">
      <c r="A1" s="640" t="s">
        <v>328</v>
      </c>
      <c r="B1" s="640"/>
      <c r="C1" s="640"/>
      <c r="D1" s="640"/>
      <c r="E1" s="91"/>
      <c r="F1" s="92"/>
      <c r="G1" s="93"/>
      <c r="H1" s="94"/>
      <c r="I1" s="94"/>
      <c r="J1" s="94"/>
      <c r="K1" s="94"/>
      <c r="L1" s="94"/>
      <c r="M1" s="94"/>
      <c r="N1" s="94"/>
      <c r="P1" s="95"/>
      <c r="Q1" s="95"/>
      <c r="R1" s="93"/>
      <c r="S1" s="645" t="s">
        <v>519</v>
      </c>
      <c r="T1" s="645"/>
      <c r="U1" s="645"/>
      <c r="V1" s="96"/>
      <c r="W1" s="96"/>
      <c r="X1" s="96"/>
      <c r="Y1" s="96"/>
      <c r="Z1" s="96"/>
      <c r="AA1" s="96"/>
      <c r="AB1" s="96"/>
      <c r="AC1" s="96"/>
      <c r="AD1" s="96"/>
      <c r="AE1" s="96"/>
      <c r="AF1" s="96"/>
      <c r="AG1" s="96"/>
      <c r="AH1" s="96"/>
    </row>
    <row r="2" spans="1:42">
      <c r="A2" s="98" t="s">
        <v>520</v>
      </c>
      <c r="B2" s="99"/>
      <c r="C2" s="100"/>
      <c r="D2" s="100"/>
      <c r="E2" s="100"/>
      <c r="F2" s="100"/>
      <c r="G2" s="93"/>
      <c r="H2" s="94"/>
      <c r="I2" s="94"/>
      <c r="J2" s="97"/>
      <c r="K2" s="97"/>
      <c r="L2" s="97"/>
      <c r="M2" s="97"/>
      <c r="N2" s="97"/>
      <c r="O2" s="97"/>
      <c r="P2" s="97"/>
      <c r="Q2" s="95"/>
      <c r="R2" s="93"/>
      <c r="S2" s="96"/>
      <c r="T2" s="96"/>
      <c r="U2" s="96"/>
      <c r="V2" s="96"/>
      <c r="W2" s="96"/>
      <c r="X2" s="96"/>
      <c r="Y2" s="96"/>
      <c r="Z2" s="96"/>
      <c r="AA2" s="96"/>
      <c r="AB2" s="96"/>
      <c r="AC2" s="96"/>
      <c r="AD2" s="96"/>
      <c r="AE2" s="96"/>
      <c r="AF2" s="96"/>
      <c r="AG2" s="96"/>
      <c r="AH2" s="96"/>
    </row>
    <row r="3" spans="1:42">
      <c r="A3" s="645" t="s">
        <v>521</v>
      </c>
      <c r="B3" s="645"/>
      <c r="C3" s="645"/>
      <c r="D3" s="645"/>
      <c r="E3" s="645"/>
      <c r="F3" s="645"/>
      <c r="G3" s="645"/>
      <c r="H3" s="645"/>
      <c r="I3" s="645"/>
      <c r="J3" s="645"/>
      <c r="K3" s="645"/>
      <c r="L3" s="645"/>
      <c r="M3" s="645"/>
      <c r="N3" s="645"/>
      <c r="O3" s="645"/>
      <c r="P3" s="645"/>
      <c r="Q3" s="645"/>
      <c r="R3" s="645"/>
      <c r="S3" s="645"/>
      <c r="T3" s="645"/>
      <c r="U3" s="645"/>
      <c r="V3" s="96"/>
      <c r="W3" s="96"/>
      <c r="X3" s="96"/>
      <c r="Y3" s="96"/>
      <c r="Z3" s="96"/>
      <c r="AA3" s="96"/>
      <c r="AB3" s="96"/>
      <c r="AC3" s="96"/>
      <c r="AD3" s="96"/>
      <c r="AE3" s="96"/>
      <c r="AF3" s="96"/>
      <c r="AG3" s="96"/>
      <c r="AH3" s="96"/>
      <c r="AI3" s="101"/>
      <c r="AJ3" s="101"/>
      <c r="AK3" s="101"/>
      <c r="AL3" s="101"/>
      <c r="AM3" s="101"/>
      <c r="AN3" s="101"/>
    </row>
    <row r="4" spans="1:42" ht="15.75" customHeight="1">
      <c r="A4" s="645" t="s">
        <v>522</v>
      </c>
      <c r="B4" s="645"/>
      <c r="C4" s="645"/>
      <c r="D4" s="645"/>
      <c r="E4" s="645"/>
      <c r="F4" s="645"/>
      <c r="G4" s="645"/>
      <c r="H4" s="645"/>
      <c r="I4" s="645"/>
      <c r="J4" s="645"/>
      <c r="K4" s="645"/>
      <c r="L4" s="645"/>
      <c r="M4" s="645"/>
      <c r="N4" s="645"/>
      <c r="O4" s="645"/>
      <c r="P4" s="645"/>
      <c r="Q4" s="645"/>
      <c r="R4" s="645"/>
      <c r="S4" s="645"/>
      <c r="T4" s="645"/>
      <c r="U4" s="645"/>
      <c r="V4" s="96"/>
      <c r="W4" s="96"/>
      <c r="X4" s="96"/>
      <c r="Y4" s="96"/>
      <c r="Z4" s="96"/>
      <c r="AA4" s="96"/>
      <c r="AB4" s="96"/>
      <c r="AC4" s="96"/>
      <c r="AD4" s="96"/>
      <c r="AE4" s="96"/>
      <c r="AF4" s="96"/>
      <c r="AG4" s="96"/>
      <c r="AH4" s="96"/>
      <c r="AI4" s="102"/>
      <c r="AJ4" s="101"/>
      <c r="AK4" s="101"/>
      <c r="AL4" s="101"/>
      <c r="AM4" s="101"/>
      <c r="AN4" s="96"/>
    </row>
    <row r="5" spans="1:42" hidden="1" outlineLevel="1">
      <c r="A5" s="96"/>
      <c r="B5" s="96"/>
      <c r="C5" s="103"/>
      <c r="D5" s="104"/>
      <c r="E5" s="104"/>
      <c r="F5" s="104"/>
      <c r="G5" s="104"/>
      <c r="H5" s="104"/>
      <c r="I5" s="104"/>
      <c r="J5" s="104"/>
      <c r="K5" s="104"/>
      <c r="L5" s="104"/>
      <c r="M5" s="104"/>
      <c r="N5" s="104"/>
      <c r="O5" s="101">
        <f>O13-O14</f>
        <v>1423766.2094620001</v>
      </c>
      <c r="P5" s="96"/>
      <c r="Q5" s="101">
        <f>Q13+T13</f>
        <v>1253062.6134489998</v>
      </c>
      <c r="R5" s="101">
        <f>R13+U13</f>
        <v>605238.36337000004</v>
      </c>
      <c r="S5" s="96"/>
      <c r="T5" s="96"/>
      <c r="U5" s="96"/>
      <c r="V5" s="96"/>
      <c r="W5" s="96"/>
      <c r="X5" s="96"/>
      <c r="Y5" s="96"/>
      <c r="Z5" s="96"/>
      <c r="AA5" s="96"/>
      <c r="AB5" s="96"/>
      <c r="AC5" s="96"/>
      <c r="AD5" s="96"/>
      <c r="AE5" s="96"/>
      <c r="AF5" s="96"/>
      <c r="AG5" s="96"/>
      <c r="AH5" s="96"/>
      <c r="AI5" s="101"/>
      <c r="AJ5" s="101"/>
      <c r="AK5" s="101"/>
      <c r="AL5" s="101"/>
      <c r="AM5" s="101"/>
      <c r="AN5" s="96"/>
    </row>
    <row r="6" spans="1:42" hidden="1" outlineLevel="1">
      <c r="A6" s="105"/>
      <c r="B6" s="106"/>
      <c r="C6" s="107"/>
      <c r="D6" s="107"/>
      <c r="E6" s="107"/>
      <c r="F6" s="107"/>
      <c r="G6" s="107"/>
      <c r="H6" s="108"/>
      <c r="I6" s="108"/>
      <c r="J6" s="108"/>
      <c r="K6" s="108"/>
      <c r="L6" s="108"/>
      <c r="M6" s="108"/>
      <c r="N6" s="108"/>
      <c r="O6" s="109"/>
      <c r="P6" s="110"/>
      <c r="Q6" s="110"/>
      <c r="R6" s="109"/>
      <c r="S6" s="109"/>
      <c r="T6" s="646"/>
      <c r="U6" s="646"/>
      <c r="V6" s="111"/>
      <c r="W6" s="111"/>
      <c r="X6" s="111"/>
      <c r="Y6" s="111"/>
      <c r="Z6" s="111"/>
      <c r="AA6" s="111"/>
      <c r="AB6" s="111"/>
      <c r="AC6" s="111"/>
      <c r="AD6" s="111"/>
      <c r="AE6" s="111"/>
      <c r="AF6" s="111"/>
      <c r="AG6" s="111"/>
      <c r="AH6" s="111"/>
      <c r="AI6" s="105"/>
      <c r="AJ6" s="105"/>
      <c r="AK6" s="112"/>
      <c r="AL6" s="647" t="s">
        <v>523</v>
      </c>
      <c r="AM6" s="647"/>
      <c r="AN6" s="113"/>
      <c r="AO6" s="114"/>
      <c r="AP6" s="114"/>
    </row>
    <row r="7" spans="1:42" s="117" customFormat="1" ht="16.5" customHeight="1" collapsed="1">
      <c r="A7" s="617" t="s">
        <v>524</v>
      </c>
      <c r="B7" s="622" t="s">
        <v>525</v>
      </c>
      <c r="C7" s="617" t="s">
        <v>526</v>
      </c>
      <c r="D7" s="642" t="s">
        <v>527</v>
      </c>
      <c r="E7" s="642"/>
      <c r="F7" s="642"/>
      <c r="G7" s="643"/>
      <c r="H7" s="627" t="s">
        <v>312</v>
      </c>
      <c r="I7" s="638" t="s">
        <v>527</v>
      </c>
      <c r="J7" s="638"/>
      <c r="K7" s="638"/>
      <c r="L7" s="638"/>
      <c r="M7" s="638"/>
      <c r="N7" s="639"/>
      <c r="O7" s="622" t="s">
        <v>528</v>
      </c>
      <c r="P7" s="633" t="s">
        <v>529</v>
      </c>
      <c r="Q7" s="633"/>
      <c r="R7" s="633"/>
      <c r="S7" s="633"/>
      <c r="T7" s="633"/>
      <c r="U7" s="633"/>
      <c r="V7" s="622" t="s">
        <v>530</v>
      </c>
      <c r="W7" s="633" t="s">
        <v>531</v>
      </c>
      <c r="X7" s="633"/>
      <c r="Y7" s="633"/>
      <c r="Z7" s="633"/>
      <c r="AA7" s="633"/>
      <c r="AB7" s="633"/>
      <c r="AC7" s="629" t="s">
        <v>532</v>
      </c>
      <c r="AD7" s="630"/>
      <c r="AE7" s="630"/>
      <c r="AF7" s="630"/>
      <c r="AG7" s="630"/>
      <c r="AH7" s="631"/>
      <c r="AI7" s="636" t="s">
        <v>533</v>
      </c>
      <c r="AJ7" s="624" t="s">
        <v>527</v>
      </c>
      <c r="AK7" s="632"/>
      <c r="AL7" s="632"/>
      <c r="AM7" s="625"/>
      <c r="AN7" s="115"/>
      <c r="AO7" s="116"/>
      <c r="AP7" s="116"/>
    </row>
    <row r="8" spans="1:42" s="117" customFormat="1" ht="28.5" customHeight="1">
      <c r="A8" s="641"/>
      <c r="B8" s="635"/>
      <c r="C8" s="641"/>
      <c r="D8" s="633" t="s">
        <v>534</v>
      </c>
      <c r="E8" s="633"/>
      <c r="F8" s="633" t="s">
        <v>535</v>
      </c>
      <c r="G8" s="633"/>
      <c r="H8" s="644"/>
      <c r="I8" s="634" t="s">
        <v>536</v>
      </c>
      <c r="J8" s="634"/>
      <c r="K8" s="634"/>
      <c r="L8" s="634" t="s">
        <v>537</v>
      </c>
      <c r="M8" s="634"/>
      <c r="N8" s="634"/>
      <c r="O8" s="635"/>
      <c r="P8" s="633" t="s">
        <v>538</v>
      </c>
      <c r="Q8" s="633"/>
      <c r="R8" s="633"/>
      <c r="S8" s="633" t="s">
        <v>539</v>
      </c>
      <c r="T8" s="633"/>
      <c r="U8" s="633"/>
      <c r="V8" s="635"/>
      <c r="W8" s="633" t="s">
        <v>534</v>
      </c>
      <c r="X8" s="633"/>
      <c r="Y8" s="633"/>
      <c r="Z8" s="633" t="s">
        <v>535</v>
      </c>
      <c r="AA8" s="633"/>
      <c r="AB8" s="633"/>
      <c r="AC8" s="629" t="s">
        <v>534</v>
      </c>
      <c r="AD8" s="630"/>
      <c r="AE8" s="631"/>
      <c r="AF8" s="629" t="s">
        <v>535</v>
      </c>
      <c r="AG8" s="630"/>
      <c r="AH8" s="631"/>
      <c r="AI8" s="637"/>
      <c r="AJ8" s="624" t="s">
        <v>534</v>
      </c>
      <c r="AK8" s="625"/>
      <c r="AL8" s="624" t="s">
        <v>535</v>
      </c>
      <c r="AM8" s="625"/>
      <c r="AN8" s="626"/>
      <c r="AO8" s="116"/>
      <c r="AP8" s="116"/>
    </row>
    <row r="9" spans="1:42" s="117" customFormat="1" ht="14">
      <c r="A9" s="641"/>
      <c r="B9" s="635"/>
      <c r="C9" s="641"/>
      <c r="D9" s="622" t="s">
        <v>540</v>
      </c>
      <c r="E9" s="622" t="s">
        <v>541</v>
      </c>
      <c r="F9" s="622" t="s">
        <v>540</v>
      </c>
      <c r="G9" s="622" t="s">
        <v>541</v>
      </c>
      <c r="H9" s="644"/>
      <c r="I9" s="627" t="s">
        <v>151</v>
      </c>
      <c r="J9" s="622" t="s">
        <v>540</v>
      </c>
      <c r="K9" s="627" t="s">
        <v>541</v>
      </c>
      <c r="L9" s="627" t="s">
        <v>151</v>
      </c>
      <c r="M9" s="622" t="s">
        <v>540</v>
      </c>
      <c r="N9" s="627" t="s">
        <v>541</v>
      </c>
      <c r="O9" s="635"/>
      <c r="P9" s="622" t="s">
        <v>151</v>
      </c>
      <c r="Q9" s="622" t="s">
        <v>540</v>
      </c>
      <c r="R9" s="622" t="s">
        <v>541</v>
      </c>
      <c r="S9" s="622" t="s">
        <v>151</v>
      </c>
      <c r="T9" s="622" t="s">
        <v>540</v>
      </c>
      <c r="U9" s="622" t="s">
        <v>541</v>
      </c>
      <c r="V9" s="635"/>
      <c r="W9" s="622" t="s">
        <v>542</v>
      </c>
      <c r="X9" s="622" t="s">
        <v>540</v>
      </c>
      <c r="Y9" s="622" t="s">
        <v>541</v>
      </c>
      <c r="Z9" s="622" t="s">
        <v>542</v>
      </c>
      <c r="AA9" s="622" t="s">
        <v>540</v>
      </c>
      <c r="AB9" s="622" t="s">
        <v>541</v>
      </c>
      <c r="AC9" s="622" t="s">
        <v>542</v>
      </c>
      <c r="AD9" s="622" t="s">
        <v>540</v>
      </c>
      <c r="AE9" s="622" t="s">
        <v>541</v>
      </c>
      <c r="AF9" s="622" t="s">
        <v>542</v>
      </c>
      <c r="AG9" s="622" t="s">
        <v>540</v>
      </c>
      <c r="AH9" s="622" t="s">
        <v>541</v>
      </c>
      <c r="AI9" s="637"/>
      <c r="AJ9" s="617" t="s">
        <v>540</v>
      </c>
      <c r="AK9" s="617" t="s">
        <v>541</v>
      </c>
      <c r="AL9" s="617" t="s">
        <v>540</v>
      </c>
      <c r="AM9" s="617" t="s">
        <v>541</v>
      </c>
      <c r="AN9" s="626"/>
      <c r="AO9" s="116"/>
      <c r="AP9" s="116"/>
    </row>
    <row r="10" spans="1:42" s="117" customFormat="1" ht="30.75" customHeight="1">
      <c r="A10" s="618"/>
      <c r="B10" s="623"/>
      <c r="C10" s="618"/>
      <c r="D10" s="623"/>
      <c r="E10" s="623"/>
      <c r="F10" s="623"/>
      <c r="G10" s="623"/>
      <c r="H10" s="644"/>
      <c r="I10" s="628"/>
      <c r="J10" s="623"/>
      <c r="K10" s="628"/>
      <c r="L10" s="628"/>
      <c r="M10" s="623"/>
      <c r="N10" s="628"/>
      <c r="O10" s="635"/>
      <c r="P10" s="623"/>
      <c r="Q10" s="623"/>
      <c r="R10" s="623"/>
      <c r="S10" s="623"/>
      <c r="T10" s="623"/>
      <c r="U10" s="623"/>
      <c r="V10" s="623"/>
      <c r="W10" s="623"/>
      <c r="X10" s="623"/>
      <c r="Y10" s="623"/>
      <c r="Z10" s="623"/>
      <c r="AA10" s="623"/>
      <c r="AB10" s="623"/>
      <c r="AC10" s="623"/>
      <c r="AD10" s="623"/>
      <c r="AE10" s="623"/>
      <c r="AF10" s="623"/>
      <c r="AG10" s="623"/>
      <c r="AH10" s="623"/>
      <c r="AI10" s="637"/>
      <c r="AJ10" s="618"/>
      <c r="AK10" s="618"/>
      <c r="AL10" s="618"/>
      <c r="AM10" s="618"/>
      <c r="AN10" s="118"/>
      <c r="AO10" s="116"/>
      <c r="AP10" s="116"/>
    </row>
    <row r="11" spans="1:42" s="117" customFormat="1" ht="15.75" customHeight="1">
      <c r="A11" s="119" t="s">
        <v>8</v>
      </c>
      <c r="B11" s="115" t="s">
        <v>9</v>
      </c>
      <c r="C11" s="120">
        <v>1</v>
      </c>
      <c r="D11" s="121" t="s">
        <v>543</v>
      </c>
      <c r="E11" s="121" t="s">
        <v>544</v>
      </c>
      <c r="F11" s="121" t="s">
        <v>545</v>
      </c>
      <c r="G11" s="121" t="s">
        <v>546</v>
      </c>
      <c r="H11" s="122">
        <v>1</v>
      </c>
      <c r="I11" s="122" t="s">
        <v>547</v>
      </c>
      <c r="J11" s="122">
        <v>3</v>
      </c>
      <c r="K11" s="122">
        <v>4</v>
      </c>
      <c r="L11" s="122" t="s">
        <v>548</v>
      </c>
      <c r="M11" s="122">
        <v>6</v>
      </c>
      <c r="N11" s="122">
        <v>7</v>
      </c>
      <c r="O11" s="121">
        <v>8</v>
      </c>
      <c r="P11" s="121" t="s">
        <v>549</v>
      </c>
      <c r="Q11" s="121">
        <v>10</v>
      </c>
      <c r="R11" s="121">
        <v>11</v>
      </c>
      <c r="S11" s="121" t="s">
        <v>550</v>
      </c>
      <c r="T11" s="121">
        <v>13</v>
      </c>
      <c r="U11" s="121">
        <v>14</v>
      </c>
      <c r="V11" s="121">
        <v>15</v>
      </c>
      <c r="W11" s="121"/>
      <c r="X11" s="121"/>
      <c r="Y11" s="121"/>
      <c r="Z11" s="121"/>
      <c r="AA11" s="121"/>
      <c r="AB11" s="121"/>
      <c r="AC11" s="121"/>
      <c r="AD11" s="121"/>
      <c r="AE11" s="121"/>
      <c r="AF11" s="121"/>
      <c r="AG11" s="121"/>
      <c r="AH11" s="121"/>
      <c r="AI11" s="119">
        <v>16</v>
      </c>
      <c r="AJ11" s="119" t="s">
        <v>551</v>
      </c>
      <c r="AK11" s="119" t="s">
        <v>552</v>
      </c>
      <c r="AL11" s="119" t="s">
        <v>553</v>
      </c>
      <c r="AM11" s="119" t="s">
        <v>554</v>
      </c>
      <c r="AN11" s="123"/>
      <c r="AO11" s="116"/>
      <c r="AP11" s="116"/>
    </row>
    <row r="12" spans="1:42" s="117" customFormat="1" ht="14" hidden="1" outlineLevel="1">
      <c r="A12" s="124"/>
      <c r="B12" s="115"/>
      <c r="C12" s="125" t="e">
        <f>C13-#REF!</f>
        <v>#REF!</v>
      </c>
      <c r="D12" s="125" t="e">
        <f>D13-#REF!</f>
        <v>#REF!</v>
      </c>
      <c r="E12" s="125" t="e">
        <f>E13-#REF!</f>
        <v>#REF!</v>
      </c>
      <c r="F12" s="125" t="e">
        <f>F13-#REF!</f>
        <v>#REF!</v>
      </c>
      <c r="G12" s="125" t="e">
        <f>G13-#REF!</f>
        <v>#REF!</v>
      </c>
      <c r="H12" s="125" t="e">
        <f>H13-#REF!</f>
        <v>#REF!</v>
      </c>
      <c r="I12" s="125" t="e">
        <f>I13-#REF!</f>
        <v>#REF!</v>
      </c>
      <c r="J12" s="125" t="e">
        <f>J13-#REF!</f>
        <v>#REF!</v>
      </c>
      <c r="K12" s="125" t="e">
        <f>K13-#REF!</f>
        <v>#REF!</v>
      </c>
      <c r="L12" s="125" t="e">
        <f>L13-#REF!</f>
        <v>#REF!</v>
      </c>
      <c r="M12" s="125" t="e">
        <f>M13-#REF!</f>
        <v>#REF!</v>
      </c>
      <c r="N12" s="125" t="e">
        <f>N13-#REF!</f>
        <v>#REF!</v>
      </c>
      <c r="O12" s="125" t="e">
        <f>O13-#REF!</f>
        <v>#REF!</v>
      </c>
      <c r="P12" s="125" t="e">
        <f>P13-#REF!</f>
        <v>#REF!</v>
      </c>
      <c r="Q12" s="125" t="e">
        <f>Q13-#REF!</f>
        <v>#REF!</v>
      </c>
      <c r="R12" s="125" t="e">
        <f>R13-#REF!</f>
        <v>#REF!</v>
      </c>
      <c r="S12" s="125" t="e">
        <f>S13-#REF!</f>
        <v>#REF!</v>
      </c>
      <c r="T12" s="125" t="e">
        <f>T13-#REF!</f>
        <v>#REF!</v>
      </c>
      <c r="U12" s="125" t="e">
        <f>U13-#REF!</f>
        <v>#REF!</v>
      </c>
      <c r="V12" s="125" t="e">
        <f>V13-#REF!</f>
        <v>#REF!</v>
      </c>
      <c r="W12" s="125" t="e">
        <f>W13-#REF!</f>
        <v>#REF!</v>
      </c>
      <c r="X12" s="125" t="e">
        <f>X13-#REF!</f>
        <v>#REF!</v>
      </c>
      <c r="Y12" s="125" t="e">
        <f>Y13-#REF!</f>
        <v>#REF!</v>
      </c>
      <c r="Z12" s="125" t="e">
        <f>Z13-#REF!</f>
        <v>#REF!</v>
      </c>
      <c r="AA12" s="125" t="e">
        <f>AA13-#REF!</f>
        <v>#REF!</v>
      </c>
      <c r="AB12" s="125" t="e">
        <f>AB13-#REF!</f>
        <v>#REF!</v>
      </c>
      <c r="AC12" s="125" t="e">
        <f>AC13-#REF!</f>
        <v>#REF!</v>
      </c>
      <c r="AD12" s="125" t="e">
        <f>AD13-#REF!</f>
        <v>#REF!</v>
      </c>
      <c r="AE12" s="125" t="e">
        <f>AE13-#REF!</f>
        <v>#REF!</v>
      </c>
      <c r="AF12" s="125" t="e">
        <f>AF13-#REF!</f>
        <v>#REF!</v>
      </c>
      <c r="AG12" s="125" t="e">
        <f>AG13-#REF!</f>
        <v>#REF!</v>
      </c>
      <c r="AH12" s="125" t="e">
        <f>AH13-#REF!</f>
        <v>#REF!</v>
      </c>
      <c r="AI12" s="125" t="e">
        <f>AI13-#REF!</f>
        <v>#REF!</v>
      </c>
      <c r="AJ12" s="125" t="e">
        <f>AJ13-#REF!</f>
        <v>#REF!</v>
      </c>
      <c r="AK12" s="125" t="e">
        <f>AK13-#REF!</f>
        <v>#REF!</v>
      </c>
      <c r="AL12" s="125" t="e">
        <f>AL13-#REF!</f>
        <v>#REF!</v>
      </c>
      <c r="AM12" s="125" t="e">
        <f>AM13-#REF!</f>
        <v>#REF!</v>
      </c>
      <c r="AN12" s="126"/>
      <c r="AO12" s="116"/>
      <c r="AP12" s="116"/>
    </row>
    <row r="13" spans="1:42" s="132" customFormat="1" ht="14" collapsed="1">
      <c r="A13" s="127"/>
      <c r="B13" s="128" t="s">
        <v>555</v>
      </c>
      <c r="C13" s="129">
        <f t="shared" ref="C13:AM13" si="0">C14+C160+C214+C641</f>
        <v>976605.51692300022</v>
      </c>
      <c r="D13" s="129">
        <f t="shared" si="0"/>
        <v>806904.14609000005</v>
      </c>
      <c r="E13" s="129">
        <f t="shared" si="0"/>
        <v>144319.15452400001</v>
      </c>
      <c r="F13" s="129">
        <f t="shared" si="0"/>
        <v>4804.8567559999947</v>
      </c>
      <c r="G13" s="129">
        <f t="shared" si="0"/>
        <v>20577.359552999998</v>
      </c>
      <c r="H13" s="129">
        <f t="shared" si="0"/>
        <v>2301137.6991940001</v>
      </c>
      <c r="I13" s="129">
        <f t="shared" si="0"/>
        <v>1818693.3322929998</v>
      </c>
      <c r="J13" s="129">
        <f t="shared" si="0"/>
        <v>1333826.9024959998</v>
      </c>
      <c r="K13" s="129">
        <f t="shared" si="0"/>
        <v>484866.42979699996</v>
      </c>
      <c r="L13" s="129">
        <f t="shared" si="0"/>
        <v>482444.36690100003</v>
      </c>
      <c r="M13" s="129">
        <f t="shared" si="0"/>
        <v>288784.97750400001</v>
      </c>
      <c r="N13" s="129">
        <f t="shared" si="0"/>
        <v>193659.38939700002</v>
      </c>
      <c r="O13" s="129">
        <f t="shared" si="0"/>
        <v>1858300.976819</v>
      </c>
      <c r="P13" s="129">
        <f t="shared" si="0"/>
        <v>1399683.5093669998</v>
      </c>
      <c r="Q13" s="129">
        <f t="shared" si="0"/>
        <v>989706.80341899989</v>
      </c>
      <c r="R13" s="129">
        <f t="shared" si="0"/>
        <v>409976.70594800002</v>
      </c>
      <c r="S13" s="129">
        <f t="shared" si="0"/>
        <v>458617.46745200007</v>
      </c>
      <c r="T13" s="129">
        <f t="shared" si="0"/>
        <v>263355.81002999999</v>
      </c>
      <c r="U13" s="129">
        <f t="shared" si="0"/>
        <v>195261.65742199999</v>
      </c>
      <c r="V13" s="129">
        <f t="shared" si="0"/>
        <v>15296.737515999997</v>
      </c>
      <c r="W13" s="129">
        <f t="shared" si="0"/>
        <v>9149.5810069999989</v>
      </c>
      <c r="X13" s="129">
        <f t="shared" si="0"/>
        <v>211.66394299999942</v>
      </c>
      <c r="Y13" s="129">
        <f t="shared" si="0"/>
        <v>8937.9170639999993</v>
      </c>
      <c r="Z13" s="129">
        <f t="shared" si="0"/>
        <v>6147.1565089999967</v>
      </c>
      <c r="AA13" s="129">
        <f t="shared" si="0"/>
        <v>1282.7876559999995</v>
      </c>
      <c r="AB13" s="129">
        <f t="shared" si="0"/>
        <v>4864.3688529999981</v>
      </c>
      <c r="AC13" s="129">
        <f t="shared" si="0"/>
        <v>0</v>
      </c>
      <c r="AD13" s="129">
        <f t="shared" si="0"/>
        <v>0</v>
      </c>
      <c r="AE13" s="129">
        <f t="shared" si="0"/>
        <v>0</v>
      </c>
      <c r="AF13" s="129">
        <f t="shared" si="0"/>
        <v>0</v>
      </c>
      <c r="AG13" s="129">
        <f t="shared" si="0"/>
        <v>0</v>
      </c>
      <c r="AH13" s="129">
        <f t="shared" si="0"/>
        <v>0</v>
      </c>
      <c r="AI13" s="129">
        <f t="shared" si="0"/>
        <v>1215394.6963679998</v>
      </c>
      <c r="AJ13" s="129">
        <f t="shared" si="0"/>
        <v>1075355.120232</v>
      </c>
      <c r="AK13" s="129">
        <f t="shared" si="0"/>
        <v>96977.616887000011</v>
      </c>
      <c r="AL13" s="129">
        <f t="shared" si="0"/>
        <v>28951.236574000002</v>
      </c>
      <c r="AM13" s="129">
        <f t="shared" si="0"/>
        <v>14110.722675000001</v>
      </c>
      <c r="AN13" s="126"/>
      <c r="AO13" s="130">
        <f>C13+H13-O13-V13-AI13</f>
        <v>188750.80541400053</v>
      </c>
      <c r="AP13" s="131"/>
    </row>
    <row r="14" spans="1:42" s="345" customFormat="1" ht="14">
      <c r="A14" s="340" t="s">
        <v>8</v>
      </c>
      <c r="B14" s="341" t="s">
        <v>556</v>
      </c>
      <c r="C14" s="342">
        <f t="shared" ref="C14:AM14" si="1">C15+C143</f>
        <v>32606.18049699999</v>
      </c>
      <c r="D14" s="342">
        <f t="shared" si="1"/>
        <v>23594.801912999996</v>
      </c>
      <c r="E14" s="342">
        <f t="shared" si="1"/>
        <v>2393.8054149999998</v>
      </c>
      <c r="F14" s="342">
        <f t="shared" si="1"/>
        <v>4641.8567559999947</v>
      </c>
      <c r="G14" s="342">
        <f t="shared" si="1"/>
        <v>1975.7164129999983</v>
      </c>
      <c r="H14" s="342">
        <f t="shared" si="1"/>
        <v>496403</v>
      </c>
      <c r="I14" s="342">
        <f t="shared" si="1"/>
        <v>112972.099099</v>
      </c>
      <c r="J14" s="342">
        <f t="shared" si="1"/>
        <v>97977.02249599999</v>
      </c>
      <c r="K14" s="342">
        <f t="shared" si="1"/>
        <v>14995.076603</v>
      </c>
      <c r="L14" s="342">
        <f t="shared" si="1"/>
        <v>383430.90090100002</v>
      </c>
      <c r="M14" s="342">
        <f t="shared" si="1"/>
        <v>288784.97750400001</v>
      </c>
      <c r="N14" s="342">
        <f t="shared" si="1"/>
        <v>94645.923397000006</v>
      </c>
      <c r="O14" s="342">
        <f t="shared" si="1"/>
        <v>434534.76735700003</v>
      </c>
      <c r="P14" s="342">
        <f t="shared" si="1"/>
        <v>77795.919204999998</v>
      </c>
      <c r="Q14" s="342">
        <f t="shared" si="1"/>
        <v>65207.137127999995</v>
      </c>
      <c r="R14" s="342">
        <f t="shared" si="1"/>
        <v>12588.782077</v>
      </c>
      <c r="S14" s="342">
        <f t="shared" si="1"/>
        <v>356738.84815200005</v>
      </c>
      <c r="T14" s="342">
        <f t="shared" si="1"/>
        <v>263192.81002999999</v>
      </c>
      <c r="U14" s="342">
        <f t="shared" si="1"/>
        <v>93546.038121999998</v>
      </c>
      <c r="V14" s="342">
        <f t="shared" si="1"/>
        <v>3370.0020289999975</v>
      </c>
      <c r="W14" s="342">
        <f t="shared" si="1"/>
        <v>849.20096000000012</v>
      </c>
      <c r="X14" s="342">
        <f t="shared" si="1"/>
        <v>81.373000000000019</v>
      </c>
      <c r="Y14" s="342">
        <f t="shared" si="1"/>
        <v>767.82796000000008</v>
      </c>
      <c r="Z14" s="342">
        <f t="shared" si="1"/>
        <v>2520.8010689999974</v>
      </c>
      <c r="AA14" s="342">
        <f t="shared" si="1"/>
        <v>1282.7876559999995</v>
      </c>
      <c r="AB14" s="342">
        <f t="shared" si="1"/>
        <v>1238.0134129999983</v>
      </c>
      <c r="AC14" s="342">
        <f t="shared" si="1"/>
        <v>0</v>
      </c>
      <c r="AD14" s="342">
        <f t="shared" si="1"/>
        <v>0</v>
      </c>
      <c r="AE14" s="342">
        <f t="shared" si="1"/>
        <v>0</v>
      </c>
      <c r="AF14" s="342">
        <f t="shared" si="1"/>
        <v>0</v>
      </c>
      <c r="AG14" s="342">
        <f t="shared" si="1"/>
        <v>0</v>
      </c>
      <c r="AH14" s="342">
        <f t="shared" si="1"/>
        <v>0</v>
      </c>
      <c r="AI14" s="342">
        <f t="shared" si="1"/>
        <v>91104.411110999994</v>
      </c>
      <c r="AJ14" s="342">
        <f t="shared" si="1"/>
        <v>56283.314280999992</v>
      </c>
      <c r="AK14" s="342">
        <f t="shared" si="1"/>
        <v>4032.2719809999999</v>
      </c>
      <c r="AL14" s="342">
        <f t="shared" si="1"/>
        <v>28951.236574000002</v>
      </c>
      <c r="AM14" s="342">
        <f t="shared" si="1"/>
        <v>1837.588275000001</v>
      </c>
      <c r="AN14" s="343"/>
      <c r="AO14" s="159">
        <f t="shared" ref="AO14:AO77" si="2">C14+H14-O14-V14-AI14</f>
        <v>0</v>
      </c>
      <c r="AP14" s="344"/>
    </row>
    <row r="15" spans="1:42" s="132" customFormat="1" ht="14">
      <c r="A15" s="133" t="s">
        <v>557</v>
      </c>
      <c r="B15" s="134" t="s">
        <v>558</v>
      </c>
      <c r="C15" s="135">
        <f>C16+C36</f>
        <v>31747.647496999991</v>
      </c>
      <c r="D15" s="135">
        <f t="shared" ref="D15:AM15" si="3">D16+D36</f>
        <v>22994.201912999997</v>
      </c>
      <c r="E15" s="135">
        <f t="shared" si="3"/>
        <v>2135.8724149999998</v>
      </c>
      <c r="F15" s="135">
        <f t="shared" si="3"/>
        <v>4641.8567559999947</v>
      </c>
      <c r="G15" s="135">
        <f t="shared" si="3"/>
        <v>1975.7164129999983</v>
      </c>
      <c r="H15" s="135">
        <f t="shared" si="3"/>
        <v>496403</v>
      </c>
      <c r="I15" s="135">
        <f t="shared" si="3"/>
        <v>112972.099099</v>
      </c>
      <c r="J15" s="135">
        <f t="shared" si="3"/>
        <v>97977.02249599999</v>
      </c>
      <c r="K15" s="135">
        <f t="shared" si="3"/>
        <v>14995.076603</v>
      </c>
      <c r="L15" s="135">
        <f t="shared" si="3"/>
        <v>383430.90090100002</v>
      </c>
      <c r="M15" s="135">
        <f t="shared" si="3"/>
        <v>288784.97750400001</v>
      </c>
      <c r="N15" s="135">
        <f t="shared" si="3"/>
        <v>94645.923397000006</v>
      </c>
      <c r="O15" s="135">
        <f t="shared" si="3"/>
        <v>434534.76735700003</v>
      </c>
      <c r="P15" s="135">
        <f t="shared" si="3"/>
        <v>77795.919204999998</v>
      </c>
      <c r="Q15" s="135">
        <f t="shared" si="3"/>
        <v>65207.137127999995</v>
      </c>
      <c r="R15" s="135">
        <f t="shared" si="3"/>
        <v>12588.782077</v>
      </c>
      <c r="S15" s="135">
        <f t="shared" si="3"/>
        <v>356738.84815200005</v>
      </c>
      <c r="T15" s="135">
        <f t="shared" si="3"/>
        <v>263192.81002999999</v>
      </c>
      <c r="U15" s="135">
        <f t="shared" si="3"/>
        <v>93546.038121999998</v>
      </c>
      <c r="V15" s="135">
        <f t="shared" si="3"/>
        <v>3370.0020289999975</v>
      </c>
      <c r="W15" s="135">
        <f t="shared" si="3"/>
        <v>849.20096000000012</v>
      </c>
      <c r="X15" s="135">
        <f t="shared" si="3"/>
        <v>81.373000000000019</v>
      </c>
      <c r="Y15" s="135">
        <f t="shared" si="3"/>
        <v>767.82796000000008</v>
      </c>
      <c r="Z15" s="135">
        <f t="shared" si="3"/>
        <v>2520.8010689999974</v>
      </c>
      <c r="AA15" s="135">
        <f t="shared" si="3"/>
        <v>1282.7876559999995</v>
      </c>
      <c r="AB15" s="135">
        <f t="shared" si="3"/>
        <v>1238.0134129999983</v>
      </c>
      <c r="AC15" s="135">
        <f t="shared" si="3"/>
        <v>0</v>
      </c>
      <c r="AD15" s="135">
        <f t="shared" si="3"/>
        <v>0</v>
      </c>
      <c r="AE15" s="135">
        <f t="shared" si="3"/>
        <v>0</v>
      </c>
      <c r="AF15" s="135">
        <f t="shared" si="3"/>
        <v>0</v>
      </c>
      <c r="AG15" s="135">
        <f t="shared" si="3"/>
        <v>0</v>
      </c>
      <c r="AH15" s="135">
        <f t="shared" si="3"/>
        <v>0</v>
      </c>
      <c r="AI15" s="135">
        <f t="shared" si="3"/>
        <v>90245.878110999998</v>
      </c>
      <c r="AJ15" s="135">
        <f t="shared" si="3"/>
        <v>55682.714280999993</v>
      </c>
      <c r="AK15" s="135">
        <f t="shared" si="3"/>
        <v>3774.3389809999999</v>
      </c>
      <c r="AL15" s="135">
        <f t="shared" si="3"/>
        <v>28951.236574000002</v>
      </c>
      <c r="AM15" s="135">
        <f t="shared" si="3"/>
        <v>1837.588275000001</v>
      </c>
      <c r="AN15" s="135"/>
      <c r="AO15" s="130">
        <f t="shared" si="2"/>
        <v>0</v>
      </c>
      <c r="AP15" s="131"/>
    </row>
    <row r="16" spans="1:42" s="132" customFormat="1" ht="14">
      <c r="A16" s="133" t="s">
        <v>13</v>
      </c>
      <c r="B16" s="134" t="s">
        <v>559</v>
      </c>
      <c r="C16" s="135">
        <f t="shared" ref="C16:AM16" si="4">SUM(C17:C35)</f>
        <v>4898.2459039999994</v>
      </c>
      <c r="D16" s="135">
        <f t="shared" si="4"/>
        <v>501.82590999999991</v>
      </c>
      <c r="E16" s="135">
        <f t="shared" si="4"/>
        <v>1745.1504150000005</v>
      </c>
      <c r="F16" s="135">
        <f t="shared" si="4"/>
        <v>1225.6706659999988</v>
      </c>
      <c r="G16" s="135">
        <f t="shared" si="4"/>
        <v>1425.5989129999996</v>
      </c>
      <c r="H16" s="135">
        <f t="shared" si="4"/>
        <v>208100</v>
      </c>
      <c r="I16" s="135">
        <f t="shared" si="4"/>
        <v>6348.6217990000005</v>
      </c>
      <c r="J16" s="135">
        <f t="shared" si="4"/>
        <v>146.482496</v>
      </c>
      <c r="K16" s="135">
        <f t="shared" si="4"/>
        <v>6202.1393029999999</v>
      </c>
      <c r="L16" s="135">
        <f t="shared" si="4"/>
        <v>201751.37820100001</v>
      </c>
      <c r="M16" s="135">
        <f t="shared" si="4"/>
        <v>159453.51750399999</v>
      </c>
      <c r="N16" s="135">
        <f t="shared" si="4"/>
        <v>42297.860697000004</v>
      </c>
      <c r="O16" s="135">
        <f t="shared" si="4"/>
        <v>194380.14722699998</v>
      </c>
      <c r="P16" s="135">
        <f t="shared" si="4"/>
        <v>4620.2158850000005</v>
      </c>
      <c r="Q16" s="135">
        <f t="shared" si="4"/>
        <v>66.270884999999993</v>
      </c>
      <c r="R16" s="135">
        <f t="shared" si="4"/>
        <v>4553.9449999999997</v>
      </c>
      <c r="S16" s="135">
        <f t="shared" si="4"/>
        <v>189759.931342</v>
      </c>
      <c r="T16" s="135">
        <f t="shared" si="4"/>
        <v>148172.84164</v>
      </c>
      <c r="U16" s="135">
        <f t="shared" si="4"/>
        <v>41587.089702000005</v>
      </c>
      <c r="V16" s="135">
        <f t="shared" si="4"/>
        <v>1761.6329059999994</v>
      </c>
      <c r="W16" s="135">
        <f t="shared" si="4"/>
        <v>635.28396000000009</v>
      </c>
      <c r="X16" s="135">
        <f t="shared" si="4"/>
        <v>0</v>
      </c>
      <c r="Y16" s="135">
        <f t="shared" si="4"/>
        <v>635.28396000000009</v>
      </c>
      <c r="Z16" s="135">
        <f t="shared" si="4"/>
        <v>1126.3489459999994</v>
      </c>
      <c r="AA16" s="135">
        <f t="shared" si="4"/>
        <v>371.28503299999994</v>
      </c>
      <c r="AB16" s="135">
        <f t="shared" si="4"/>
        <v>755.0639129999995</v>
      </c>
      <c r="AC16" s="135">
        <f t="shared" si="4"/>
        <v>0</v>
      </c>
      <c r="AD16" s="135">
        <f t="shared" si="4"/>
        <v>0</v>
      </c>
      <c r="AE16" s="135">
        <f t="shared" si="4"/>
        <v>0</v>
      </c>
      <c r="AF16" s="135">
        <f t="shared" si="4"/>
        <v>0</v>
      </c>
      <c r="AG16" s="135">
        <f t="shared" si="4"/>
        <v>0</v>
      </c>
      <c r="AH16" s="135">
        <f t="shared" si="4"/>
        <v>0</v>
      </c>
      <c r="AI16" s="135">
        <f t="shared" si="4"/>
        <v>16856.465770999999</v>
      </c>
      <c r="AJ16" s="135">
        <f t="shared" si="4"/>
        <v>582.03752099999997</v>
      </c>
      <c r="AK16" s="135">
        <f t="shared" si="4"/>
        <v>2758.0607580000005</v>
      </c>
      <c r="AL16" s="135">
        <f t="shared" si="4"/>
        <v>12135.061497000001</v>
      </c>
      <c r="AM16" s="135">
        <f t="shared" si="4"/>
        <v>1381.3059949999997</v>
      </c>
      <c r="AN16" s="126"/>
      <c r="AO16" s="130">
        <f t="shared" si="2"/>
        <v>3.2741809263825417E-11</v>
      </c>
      <c r="AP16" s="131"/>
    </row>
    <row r="17" spans="1:42" s="117" customFormat="1" ht="14" hidden="1" outlineLevel="1">
      <c r="A17" s="136"/>
      <c r="B17" s="137" t="s">
        <v>337</v>
      </c>
      <c r="C17" s="126">
        <f t="shared" ref="C17:C35" si="5">SUM(D17:G17)</f>
        <v>847.53519599999845</v>
      </c>
      <c r="D17" s="126">
        <f>32.888196</f>
        <v>32.888196000000001</v>
      </c>
      <c r="E17" s="126">
        <v>0</v>
      </c>
      <c r="F17" s="126">
        <v>567.70499999999902</v>
      </c>
      <c r="G17" s="126">
        <v>246.94199999999944</v>
      </c>
      <c r="H17" s="126">
        <f t="shared" ref="H17:H35" si="6">I17+L17</f>
        <v>4585</v>
      </c>
      <c r="I17" s="126">
        <f t="shared" ref="I17:I35" si="7">J17+K17</f>
        <v>0</v>
      </c>
      <c r="J17" s="126"/>
      <c r="K17" s="126">
        <v>0</v>
      </c>
      <c r="L17" s="126">
        <f t="shared" ref="L17:L26" si="8">M17+N17</f>
        <v>4585</v>
      </c>
      <c r="M17" s="126">
        <f>1300+750</f>
        <v>2050</v>
      </c>
      <c r="N17" s="126">
        <v>2535</v>
      </c>
      <c r="O17" s="126">
        <f t="shared" ref="O17:O35" si="9">P17+S17</f>
        <v>3693.0838899999999</v>
      </c>
      <c r="P17" s="126">
        <f>Q17+R17</f>
        <v>32.888196000000001</v>
      </c>
      <c r="Q17" s="126">
        <f>D17</f>
        <v>32.888196000000001</v>
      </c>
      <c r="R17" s="126"/>
      <c r="S17" s="126">
        <f>T17+U17</f>
        <v>3660.195694</v>
      </c>
      <c r="T17" s="126">
        <f>1268.641142</f>
        <v>1268.6411419999999</v>
      </c>
      <c r="U17" s="126">
        <f>2391.554552</f>
        <v>2391.5545520000001</v>
      </c>
      <c r="V17" s="126">
        <f t="shared" ref="V17:V33" si="10">W17+Z17+AC17+AF17</f>
        <v>397.822833</v>
      </c>
      <c r="W17" s="126">
        <f t="shared" ref="W17:W27" si="11">X17+Y17</f>
        <v>0</v>
      </c>
      <c r="X17" s="126"/>
      <c r="Y17" s="126"/>
      <c r="Z17" s="126">
        <f t="shared" ref="Z17:Z26" si="12">AA17+AB17</f>
        <v>397.822833</v>
      </c>
      <c r="AA17" s="126">
        <f>365.405033</f>
        <v>365.405033</v>
      </c>
      <c r="AB17" s="126">
        <f>32.4178</f>
        <v>32.4178</v>
      </c>
      <c r="AC17" s="126">
        <f t="shared" ref="AC17:AC27" si="13">AD17+AE17</f>
        <v>0</v>
      </c>
      <c r="AD17" s="126"/>
      <c r="AE17" s="126"/>
      <c r="AF17" s="126">
        <f t="shared" ref="AF17:AF23" si="14">AG17+AH17</f>
        <v>0</v>
      </c>
      <c r="AG17" s="126"/>
      <c r="AH17" s="126"/>
      <c r="AI17" s="126">
        <f t="shared" ref="AI17:AI35" si="15">SUM(AJ17:AM17)</f>
        <v>1341.6284729999986</v>
      </c>
      <c r="AJ17" s="126">
        <f t="shared" ref="AJ17:AM32" si="16">D17+J17-Q17-X17-AD17</f>
        <v>0</v>
      </c>
      <c r="AK17" s="126">
        <f t="shared" si="16"/>
        <v>0</v>
      </c>
      <c r="AL17" s="126">
        <f t="shared" ref="AL17:AM32" si="17">F17+M17-T17-AA17-AG17</f>
        <v>983.65882499999907</v>
      </c>
      <c r="AM17" s="126">
        <f t="shared" si="17"/>
        <v>357.96964799999949</v>
      </c>
      <c r="AN17" s="126"/>
      <c r="AO17" s="130">
        <f t="shared" si="2"/>
        <v>0</v>
      </c>
      <c r="AP17" s="116"/>
    </row>
    <row r="18" spans="1:42" s="117" customFormat="1" ht="14" hidden="1" outlineLevel="1">
      <c r="A18" s="136"/>
      <c r="B18" s="137" t="s">
        <v>560</v>
      </c>
      <c r="C18" s="126">
        <f t="shared" si="5"/>
        <v>792.2136019999997</v>
      </c>
      <c r="D18" s="126">
        <f>33.382689</f>
        <v>33.382688999999999</v>
      </c>
      <c r="E18" s="126">
        <v>0</v>
      </c>
      <c r="F18" s="126">
        <v>102.6899999999996</v>
      </c>
      <c r="G18" s="126">
        <f>1106.1247-449.983787</f>
        <v>656.14091300000007</v>
      </c>
      <c r="H18" s="126">
        <f t="shared" si="6"/>
        <v>13315</v>
      </c>
      <c r="I18" s="126">
        <f t="shared" si="7"/>
        <v>0</v>
      </c>
      <c r="J18" s="126"/>
      <c r="K18" s="126">
        <v>0</v>
      </c>
      <c r="L18" s="126">
        <f t="shared" si="8"/>
        <v>13315</v>
      </c>
      <c r="M18" s="126">
        <f>7470+750</f>
        <v>8220</v>
      </c>
      <c r="N18" s="126">
        <v>5095</v>
      </c>
      <c r="O18" s="126">
        <f>P18+S18</f>
        <v>12612.072688999999</v>
      </c>
      <c r="P18" s="126">
        <f>Q18+R18</f>
        <v>33.382688999999999</v>
      </c>
      <c r="Q18" s="126">
        <f>D18</f>
        <v>33.382688999999999</v>
      </c>
      <c r="R18" s="126"/>
      <c r="S18" s="126">
        <f>T18+U18</f>
        <v>12578.689999999999</v>
      </c>
      <c r="T18" s="126">
        <f>7384.4+102.69</f>
        <v>7487.0899999999992</v>
      </c>
      <c r="U18" s="126">
        <f>5090.3+1.3</f>
        <v>5091.6000000000004</v>
      </c>
      <c r="V18" s="126">
        <f t="shared" si="10"/>
        <v>541.340913</v>
      </c>
      <c r="W18" s="126">
        <f t="shared" si="11"/>
        <v>0</v>
      </c>
      <c r="X18" s="126"/>
      <c r="Y18" s="126"/>
      <c r="Z18" s="126">
        <f t="shared" si="12"/>
        <v>541.340913</v>
      </c>
      <c r="AA18" s="126"/>
      <c r="AB18" s="126">
        <f>541.340913</f>
        <v>541.340913</v>
      </c>
      <c r="AC18" s="126">
        <f t="shared" si="13"/>
        <v>0</v>
      </c>
      <c r="AD18" s="126"/>
      <c r="AE18" s="126"/>
      <c r="AF18" s="126">
        <f t="shared" si="14"/>
        <v>0</v>
      </c>
      <c r="AG18" s="126"/>
      <c r="AH18" s="126"/>
      <c r="AI18" s="126">
        <f t="shared" si="15"/>
        <v>953.79999999999927</v>
      </c>
      <c r="AJ18" s="126">
        <f t="shared" si="16"/>
        <v>0</v>
      </c>
      <c r="AK18" s="126">
        <f t="shared" si="16"/>
        <v>0</v>
      </c>
      <c r="AL18" s="126">
        <f t="shared" si="17"/>
        <v>835.59999999999945</v>
      </c>
      <c r="AM18" s="126">
        <f t="shared" si="17"/>
        <v>118.19999999999982</v>
      </c>
      <c r="AN18" s="126"/>
      <c r="AO18" s="130">
        <f t="shared" si="2"/>
        <v>1.8189894035458565E-12</v>
      </c>
      <c r="AP18" s="116"/>
    </row>
    <row r="19" spans="1:42" s="117" customFormat="1" ht="14" hidden="1" outlineLevel="1">
      <c r="A19" s="136"/>
      <c r="B19" s="137" t="s">
        <v>561</v>
      </c>
      <c r="C19" s="126">
        <f t="shared" si="5"/>
        <v>13.9599000000008</v>
      </c>
      <c r="D19" s="126"/>
      <c r="E19" s="126">
        <v>0</v>
      </c>
      <c r="F19" s="126">
        <f>19.8100000000008-5.8501</f>
        <v>13.9599000000008</v>
      </c>
      <c r="G19" s="126">
        <f>24.003-24.003</f>
        <v>0</v>
      </c>
      <c r="H19" s="126">
        <f t="shared" si="6"/>
        <v>13192</v>
      </c>
      <c r="I19" s="126">
        <f t="shared" si="7"/>
        <v>0</v>
      </c>
      <c r="J19" s="126"/>
      <c r="K19" s="126">
        <v>0</v>
      </c>
      <c r="L19" s="126">
        <f t="shared" si="8"/>
        <v>13192</v>
      </c>
      <c r="M19" s="126">
        <f>9110+250</f>
        <v>9360</v>
      </c>
      <c r="N19" s="126">
        <v>3832</v>
      </c>
      <c r="O19" s="126">
        <f t="shared" si="9"/>
        <v>12941.831</v>
      </c>
      <c r="P19" s="126"/>
      <c r="Q19" s="126"/>
      <c r="R19" s="126"/>
      <c r="S19" s="126">
        <f>T19+U19</f>
        <v>12941.831</v>
      </c>
      <c r="T19" s="126">
        <f>9103.639+9.673</f>
        <v>9113.3119999999999</v>
      </c>
      <c r="U19" s="126">
        <f>3828.519</f>
        <v>3828.5189999999998</v>
      </c>
      <c r="V19" s="126">
        <f t="shared" si="10"/>
        <v>0</v>
      </c>
      <c r="W19" s="126">
        <f t="shared" si="11"/>
        <v>0</v>
      </c>
      <c r="X19" s="126"/>
      <c r="Y19" s="126"/>
      <c r="Z19" s="126">
        <f t="shared" si="12"/>
        <v>0</v>
      </c>
      <c r="AA19" s="126"/>
      <c r="AB19" s="126"/>
      <c r="AC19" s="126">
        <f t="shared" si="13"/>
        <v>0</v>
      </c>
      <c r="AD19" s="126"/>
      <c r="AE19" s="126"/>
      <c r="AF19" s="126">
        <f t="shared" si="14"/>
        <v>0</v>
      </c>
      <c r="AG19" s="126"/>
      <c r="AH19" s="126"/>
      <c r="AI19" s="126">
        <f t="shared" si="15"/>
        <v>264.12890000000198</v>
      </c>
      <c r="AJ19" s="126">
        <f t="shared" si="16"/>
        <v>0</v>
      </c>
      <c r="AK19" s="126">
        <f t="shared" si="16"/>
        <v>0</v>
      </c>
      <c r="AL19" s="126">
        <f t="shared" si="17"/>
        <v>260.64790000000175</v>
      </c>
      <c r="AM19" s="126">
        <f t="shared" si="17"/>
        <v>3.4810000000002219</v>
      </c>
      <c r="AN19" s="126"/>
      <c r="AO19" s="130">
        <f t="shared" si="2"/>
        <v>-4.5474735088646412E-13</v>
      </c>
      <c r="AP19" s="116"/>
    </row>
    <row r="20" spans="1:42" s="117" customFormat="1" ht="14" hidden="1" outlineLevel="1">
      <c r="A20" s="136"/>
      <c r="B20" s="137" t="s">
        <v>562</v>
      </c>
      <c r="C20" s="126">
        <f t="shared" si="5"/>
        <v>113.13200000000001</v>
      </c>
      <c r="D20" s="126">
        <v>0</v>
      </c>
      <c r="E20" s="126">
        <v>0</v>
      </c>
      <c r="F20" s="126">
        <f>0.0799999999999272-0.0799999999999272</f>
        <v>0</v>
      </c>
      <c r="G20" s="126">
        <f>113.132</f>
        <v>113.13200000000001</v>
      </c>
      <c r="H20" s="126">
        <f t="shared" si="6"/>
        <v>18831</v>
      </c>
      <c r="I20" s="126">
        <f t="shared" si="7"/>
        <v>0</v>
      </c>
      <c r="J20" s="126"/>
      <c r="K20" s="126">
        <v>0</v>
      </c>
      <c r="L20" s="126">
        <f t="shared" si="8"/>
        <v>18831</v>
      </c>
      <c r="M20" s="126">
        <f>14510+250</f>
        <v>14760</v>
      </c>
      <c r="N20" s="126">
        <v>4071</v>
      </c>
      <c r="O20" s="126">
        <f t="shared" si="9"/>
        <v>17916.55</v>
      </c>
      <c r="P20" s="126">
        <f>Q20+R20</f>
        <v>0</v>
      </c>
      <c r="Q20" s="126"/>
      <c r="R20" s="126"/>
      <c r="S20" s="126">
        <f>T20+U20</f>
        <v>17916.55</v>
      </c>
      <c r="T20" s="126">
        <f>14151.523</f>
        <v>14151.522999999999</v>
      </c>
      <c r="U20" s="126">
        <v>3765.027</v>
      </c>
      <c r="V20" s="126">
        <f t="shared" si="10"/>
        <v>0</v>
      </c>
      <c r="W20" s="126">
        <f t="shared" si="11"/>
        <v>0</v>
      </c>
      <c r="X20" s="126"/>
      <c r="Y20" s="126"/>
      <c r="Z20" s="126">
        <f t="shared" si="12"/>
        <v>0</v>
      </c>
      <c r="AA20" s="126">
        <f>F20</f>
        <v>0</v>
      </c>
      <c r="AB20" s="126"/>
      <c r="AC20" s="126">
        <f t="shared" si="13"/>
        <v>0</v>
      </c>
      <c r="AD20" s="126"/>
      <c r="AE20" s="126"/>
      <c r="AF20" s="126">
        <f t="shared" si="14"/>
        <v>0</v>
      </c>
      <c r="AG20" s="126"/>
      <c r="AH20" s="126"/>
      <c r="AI20" s="126">
        <f t="shared" si="15"/>
        <v>1027.5820000000003</v>
      </c>
      <c r="AJ20" s="126">
        <f t="shared" si="16"/>
        <v>0</v>
      </c>
      <c r="AK20" s="126">
        <f t="shared" si="16"/>
        <v>0</v>
      </c>
      <c r="AL20" s="126">
        <f t="shared" si="17"/>
        <v>608.47700000000077</v>
      </c>
      <c r="AM20" s="126">
        <f t="shared" si="17"/>
        <v>419.10499999999956</v>
      </c>
      <c r="AN20" s="126"/>
      <c r="AO20" s="130">
        <f t="shared" si="2"/>
        <v>1.8189894035458565E-12</v>
      </c>
      <c r="AP20" s="116"/>
    </row>
    <row r="21" spans="1:42" s="117" customFormat="1" ht="14" hidden="1" outlineLevel="1">
      <c r="A21" s="136"/>
      <c r="B21" s="137" t="s">
        <v>563</v>
      </c>
      <c r="C21" s="126">
        <f t="shared" si="5"/>
        <v>0</v>
      </c>
      <c r="D21" s="126">
        <v>0</v>
      </c>
      <c r="E21" s="126">
        <v>0</v>
      </c>
      <c r="F21" s="138">
        <f>240.33-240.33</f>
        <v>0</v>
      </c>
      <c r="G21" s="126">
        <f>198.22-198.22</f>
        <v>0</v>
      </c>
      <c r="H21" s="126">
        <f t="shared" si="6"/>
        <v>33794</v>
      </c>
      <c r="I21" s="126">
        <f t="shared" si="7"/>
        <v>0</v>
      </c>
      <c r="J21" s="126"/>
      <c r="K21" s="126">
        <v>0</v>
      </c>
      <c r="L21" s="126">
        <f t="shared" si="8"/>
        <v>33794</v>
      </c>
      <c r="M21" s="126">
        <f>20990+7220</f>
        <v>28210</v>
      </c>
      <c r="N21" s="126">
        <v>5584</v>
      </c>
      <c r="O21" s="126">
        <f t="shared" si="9"/>
        <v>26435.75</v>
      </c>
      <c r="P21" s="126">
        <f>Q21+R21</f>
        <v>0</v>
      </c>
      <c r="Q21" s="126"/>
      <c r="R21" s="126"/>
      <c r="S21" s="126">
        <f>T21+U21</f>
        <v>26435.75</v>
      </c>
      <c r="T21" s="126">
        <f>20947.45</f>
        <v>20947.45</v>
      </c>
      <c r="U21" s="126">
        <f>5488.3</f>
        <v>5488.3</v>
      </c>
      <c r="V21" s="126">
        <f t="shared" si="10"/>
        <v>0</v>
      </c>
      <c r="W21" s="126">
        <f t="shared" si="11"/>
        <v>0</v>
      </c>
      <c r="X21" s="126"/>
      <c r="Y21" s="126"/>
      <c r="Z21" s="126">
        <f t="shared" si="12"/>
        <v>0</v>
      </c>
      <c r="AA21" s="126"/>
      <c r="AB21" s="126"/>
      <c r="AC21" s="126">
        <f t="shared" si="13"/>
        <v>0</v>
      </c>
      <c r="AD21" s="126"/>
      <c r="AE21" s="126"/>
      <c r="AF21" s="126">
        <f t="shared" si="14"/>
        <v>0</v>
      </c>
      <c r="AG21" s="126"/>
      <c r="AH21" s="126"/>
      <c r="AI21" s="126">
        <f t="shared" si="15"/>
        <v>7358.2499999999991</v>
      </c>
      <c r="AJ21" s="126">
        <f t="shared" si="16"/>
        <v>0</v>
      </c>
      <c r="AK21" s="126">
        <f t="shared" si="16"/>
        <v>0</v>
      </c>
      <c r="AL21" s="138">
        <f t="shared" si="17"/>
        <v>7262.5499999999993</v>
      </c>
      <c r="AM21" s="126">
        <f t="shared" si="17"/>
        <v>95.699999999999818</v>
      </c>
      <c r="AN21" s="126"/>
      <c r="AO21" s="130">
        <f t="shared" si="2"/>
        <v>0</v>
      </c>
      <c r="AP21" s="116"/>
    </row>
    <row r="22" spans="1:42" s="117" customFormat="1" ht="14" hidden="1" outlineLevel="1">
      <c r="A22" s="136"/>
      <c r="B22" s="137" t="s">
        <v>564</v>
      </c>
      <c r="C22" s="126">
        <f t="shared" si="5"/>
        <v>216.37900000000053</v>
      </c>
      <c r="D22" s="126">
        <v>0</v>
      </c>
      <c r="E22" s="126">
        <v>0</v>
      </c>
      <c r="F22" s="126">
        <v>62.878000000000611</v>
      </c>
      <c r="G22" s="126">
        <v>153.50099999999992</v>
      </c>
      <c r="H22" s="126">
        <f t="shared" si="6"/>
        <v>30795.864201</v>
      </c>
      <c r="I22" s="126">
        <f t="shared" si="7"/>
        <v>0</v>
      </c>
      <c r="J22" s="126"/>
      <c r="K22" s="126">
        <v>0</v>
      </c>
      <c r="L22" s="126">
        <f t="shared" si="8"/>
        <v>30795.864201</v>
      </c>
      <c r="M22" s="126">
        <f>19640+6840-14.482496</f>
        <v>26465.517503999999</v>
      </c>
      <c r="N22" s="126">
        <f>4743-412.653303</f>
        <v>4330.3466969999999</v>
      </c>
      <c r="O22" s="126">
        <f t="shared" si="9"/>
        <v>30016.711930000005</v>
      </c>
      <c r="P22" s="126"/>
      <c r="Q22" s="126"/>
      <c r="R22" s="126"/>
      <c r="S22" s="126">
        <f>SUM(T22:U22)</f>
        <v>30016.711930000005</v>
      </c>
      <c r="T22" s="126">
        <f>19231.54923+6430.475</f>
        <v>25662.024230000003</v>
      </c>
      <c r="U22" s="126">
        <f>4354.6877</f>
        <v>4354.6877000000004</v>
      </c>
      <c r="V22" s="126">
        <f t="shared" si="10"/>
        <v>129.14519999999999</v>
      </c>
      <c r="W22" s="126">
        <f t="shared" si="11"/>
        <v>0</v>
      </c>
      <c r="X22" s="126"/>
      <c r="Y22" s="126"/>
      <c r="Z22" s="126">
        <f t="shared" si="12"/>
        <v>129.14519999999999</v>
      </c>
      <c r="AA22" s="126"/>
      <c r="AB22" s="126">
        <f>129.1452</f>
        <v>129.14519999999999</v>
      </c>
      <c r="AC22" s="126">
        <f t="shared" si="13"/>
        <v>0</v>
      </c>
      <c r="AD22" s="126"/>
      <c r="AE22" s="126"/>
      <c r="AF22" s="126">
        <f t="shared" si="14"/>
        <v>0</v>
      </c>
      <c r="AG22" s="126"/>
      <c r="AH22" s="126"/>
      <c r="AI22" s="126">
        <f t="shared" si="15"/>
        <v>866.38607099999717</v>
      </c>
      <c r="AJ22" s="126">
        <f t="shared" si="16"/>
        <v>0</v>
      </c>
      <c r="AK22" s="126">
        <f t="shared" si="16"/>
        <v>0</v>
      </c>
      <c r="AL22" s="126">
        <f t="shared" si="17"/>
        <v>866.37127399999736</v>
      </c>
      <c r="AM22" s="126">
        <f t="shared" si="17"/>
        <v>1.4796999999759919E-2</v>
      </c>
      <c r="AN22" s="126"/>
      <c r="AO22" s="130">
        <f t="shared" si="2"/>
        <v>-9.0949470177292824E-13</v>
      </c>
      <c r="AP22" s="116"/>
    </row>
    <row r="23" spans="1:42" s="117" customFormat="1" ht="14" hidden="1" outlineLevel="1">
      <c r="A23" s="136"/>
      <c r="B23" s="137" t="s">
        <v>565</v>
      </c>
      <c r="C23" s="126">
        <f t="shared" si="5"/>
        <v>12.267966000000001</v>
      </c>
      <c r="D23" s="126">
        <v>0</v>
      </c>
      <c r="E23" s="126">
        <v>0</v>
      </c>
      <c r="F23" s="126">
        <f>89.142691-87.867725</f>
        <v>1.2749660000000063</v>
      </c>
      <c r="G23" s="126">
        <f>377.209668-366.216668</f>
        <v>10.992999999999995</v>
      </c>
      <c r="H23" s="126">
        <f t="shared" si="6"/>
        <v>16359</v>
      </c>
      <c r="I23" s="126">
        <f t="shared" si="7"/>
        <v>0</v>
      </c>
      <c r="J23" s="126"/>
      <c r="K23" s="126"/>
      <c r="L23" s="126">
        <f t="shared" si="8"/>
        <v>16359</v>
      </c>
      <c r="M23" s="126">
        <f>8910+5340</f>
        <v>14250</v>
      </c>
      <c r="N23" s="126">
        <v>2109</v>
      </c>
      <c r="O23" s="126">
        <f t="shared" si="9"/>
        <v>15494.952417999999</v>
      </c>
      <c r="P23" s="126"/>
      <c r="Q23" s="126"/>
      <c r="R23" s="126"/>
      <c r="S23" s="126">
        <f>T23+U23</f>
        <v>15494.952417999999</v>
      </c>
      <c r="T23" s="126">
        <v>13601.165467999999</v>
      </c>
      <c r="U23" s="126">
        <v>1893.7869499999997</v>
      </c>
      <c r="V23" s="126">
        <f t="shared" si="10"/>
        <v>0</v>
      </c>
      <c r="W23" s="126">
        <f t="shared" si="11"/>
        <v>0</v>
      </c>
      <c r="X23" s="126"/>
      <c r="Y23" s="126"/>
      <c r="Z23" s="126">
        <f t="shared" si="12"/>
        <v>0</v>
      </c>
      <c r="AA23" s="126"/>
      <c r="AB23" s="126"/>
      <c r="AC23" s="126">
        <f t="shared" si="13"/>
        <v>0</v>
      </c>
      <c r="AD23" s="126"/>
      <c r="AE23" s="126"/>
      <c r="AF23" s="126">
        <f t="shared" si="14"/>
        <v>0</v>
      </c>
      <c r="AG23" s="126"/>
      <c r="AH23" s="126"/>
      <c r="AI23" s="126">
        <f t="shared" si="15"/>
        <v>876.31554800000185</v>
      </c>
      <c r="AJ23" s="126">
        <f t="shared" si="16"/>
        <v>0</v>
      </c>
      <c r="AK23" s="126">
        <f t="shared" si="16"/>
        <v>0</v>
      </c>
      <c r="AL23" s="126">
        <f t="shared" si="17"/>
        <v>650.10949800000162</v>
      </c>
      <c r="AM23" s="126">
        <f t="shared" si="17"/>
        <v>226.20605000000023</v>
      </c>
      <c r="AN23" s="126"/>
      <c r="AO23" s="130">
        <f t="shared" si="2"/>
        <v>-1.3642420526593924E-12</v>
      </c>
      <c r="AP23" s="116"/>
    </row>
    <row r="24" spans="1:42" s="117" customFormat="1" ht="14" hidden="1" outlineLevel="1">
      <c r="A24" s="136"/>
      <c r="B24" s="137" t="s">
        <v>566</v>
      </c>
      <c r="C24" s="126">
        <f t="shared" si="5"/>
        <v>58.039999999999552</v>
      </c>
      <c r="D24" s="126">
        <v>0</v>
      </c>
      <c r="E24" s="126">
        <v>0</v>
      </c>
      <c r="F24" s="126">
        <v>5.879999999999928</v>
      </c>
      <c r="G24" s="126">
        <v>52.159999999999627</v>
      </c>
      <c r="H24" s="126">
        <f t="shared" si="6"/>
        <v>13822</v>
      </c>
      <c r="I24" s="126">
        <f t="shared" si="7"/>
        <v>0</v>
      </c>
      <c r="J24" s="126">
        <v>0</v>
      </c>
      <c r="K24" s="126">
        <v>0</v>
      </c>
      <c r="L24" s="126">
        <f t="shared" si="8"/>
        <v>13822</v>
      </c>
      <c r="M24" s="126">
        <v>10350</v>
      </c>
      <c r="N24" s="126">
        <v>3472</v>
      </c>
      <c r="O24" s="126">
        <f t="shared" si="9"/>
        <v>13603.858</v>
      </c>
      <c r="P24" s="126"/>
      <c r="Q24" s="126"/>
      <c r="R24" s="126"/>
      <c r="S24" s="126">
        <f>T24+U24</f>
        <v>13603.858</v>
      </c>
      <c r="T24" s="126">
        <v>10217.700000000001</v>
      </c>
      <c r="U24" s="126">
        <v>3386.1579999999999</v>
      </c>
      <c r="V24" s="126">
        <f t="shared" si="10"/>
        <v>58.039999999999552</v>
      </c>
      <c r="W24" s="126">
        <f t="shared" si="11"/>
        <v>0</v>
      </c>
      <c r="X24" s="126"/>
      <c r="Y24" s="126"/>
      <c r="Z24" s="126">
        <f t="shared" si="12"/>
        <v>58.039999999999552</v>
      </c>
      <c r="AA24" s="126">
        <v>5.879999999999928</v>
      </c>
      <c r="AB24" s="126">
        <v>52.159999999999627</v>
      </c>
      <c r="AC24" s="126">
        <f t="shared" si="13"/>
        <v>0</v>
      </c>
      <c r="AD24" s="126"/>
      <c r="AE24" s="126"/>
      <c r="AF24" s="126"/>
      <c r="AG24" s="126"/>
      <c r="AH24" s="126"/>
      <c r="AI24" s="126">
        <f t="shared" si="15"/>
        <v>218.14199999999886</v>
      </c>
      <c r="AJ24" s="126">
        <f t="shared" si="16"/>
        <v>0</v>
      </c>
      <c r="AK24" s="126">
        <f t="shared" si="16"/>
        <v>0</v>
      </c>
      <c r="AL24" s="126">
        <f t="shared" si="17"/>
        <v>132.29999999999853</v>
      </c>
      <c r="AM24" s="126">
        <f t="shared" si="17"/>
        <v>85.842000000000326</v>
      </c>
      <c r="AN24" s="126"/>
      <c r="AO24" s="130">
        <f t="shared" si="2"/>
        <v>4.5474735088646412E-13</v>
      </c>
      <c r="AP24" s="116"/>
    </row>
    <row r="25" spans="1:42" s="117" customFormat="1" ht="14" hidden="1" outlineLevel="1">
      <c r="A25" s="136"/>
      <c r="B25" s="137" t="s">
        <v>567</v>
      </c>
      <c r="C25" s="126">
        <f t="shared" si="5"/>
        <v>283.98000000000047</v>
      </c>
      <c r="D25" s="126">
        <v>0</v>
      </c>
      <c r="E25" s="126">
        <v>0</v>
      </c>
      <c r="F25" s="126">
        <v>91.25</v>
      </c>
      <c r="G25" s="126">
        <v>192.73000000000047</v>
      </c>
      <c r="H25" s="126">
        <f t="shared" si="6"/>
        <v>22366.513999999999</v>
      </c>
      <c r="I25" s="126">
        <f t="shared" si="7"/>
        <v>0</v>
      </c>
      <c r="J25" s="126"/>
      <c r="K25" s="126">
        <v>0</v>
      </c>
      <c r="L25" s="126">
        <f t="shared" si="8"/>
        <v>22366.513999999999</v>
      </c>
      <c r="M25" s="126">
        <f>17030+500-132</f>
        <v>17398</v>
      </c>
      <c r="N25" s="126">
        <f>5208-239.486</f>
        <v>4968.5140000000001</v>
      </c>
      <c r="O25" s="126">
        <f t="shared" si="9"/>
        <v>22150.144</v>
      </c>
      <c r="P25" s="126"/>
      <c r="Q25" s="126"/>
      <c r="R25" s="126"/>
      <c r="S25" s="126">
        <f>T25+U25</f>
        <v>22150.144</v>
      </c>
      <c r="T25" s="126">
        <f>16988.9</f>
        <v>16988.900000000001</v>
      </c>
      <c r="U25" s="126">
        <f>G25+N25</f>
        <v>5161.2440000000006</v>
      </c>
      <c r="V25" s="126">
        <f t="shared" si="10"/>
        <v>0</v>
      </c>
      <c r="W25" s="126">
        <f t="shared" si="11"/>
        <v>0</v>
      </c>
      <c r="X25" s="126"/>
      <c r="Y25" s="126"/>
      <c r="Z25" s="126">
        <f t="shared" si="12"/>
        <v>0</v>
      </c>
      <c r="AA25" s="126"/>
      <c r="AB25" s="126"/>
      <c r="AC25" s="126">
        <f t="shared" si="13"/>
        <v>0</v>
      </c>
      <c r="AD25" s="126"/>
      <c r="AE25" s="126"/>
      <c r="AF25" s="126"/>
      <c r="AG25" s="126"/>
      <c r="AH25" s="126"/>
      <c r="AI25" s="126">
        <f t="shared" si="15"/>
        <v>500.34999999999854</v>
      </c>
      <c r="AJ25" s="126">
        <f t="shared" si="16"/>
        <v>0</v>
      </c>
      <c r="AK25" s="126">
        <f t="shared" si="16"/>
        <v>0</v>
      </c>
      <c r="AL25" s="126">
        <f t="shared" si="17"/>
        <v>500.34999999999854</v>
      </c>
      <c r="AM25" s="126">
        <f t="shared" si="17"/>
        <v>0</v>
      </c>
      <c r="AN25" s="126"/>
      <c r="AO25" s="130">
        <f t="shared" si="2"/>
        <v>0</v>
      </c>
      <c r="AP25" s="116"/>
    </row>
    <row r="26" spans="1:42" s="117" customFormat="1" ht="14" hidden="1" outlineLevel="1">
      <c r="A26" s="136"/>
      <c r="B26" s="137" t="s">
        <v>568</v>
      </c>
      <c r="C26" s="126">
        <f t="shared" si="5"/>
        <v>380.03279999999904</v>
      </c>
      <c r="D26" s="126">
        <v>0</v>
      </c>
      <c r="E26" s="126">
        <v>0</v>
      </c>
      <c r="F26" s="126">
        <f>481.459999999999-101.4272</f>
        <v>380.03279999999904</v>
      </c>
      <c r="G26" s="126">
        <f>71.4430000000004-71.4430000000004</f>
        <v>0</v>
      </c>
      <c r="H26" s="126">
        <f t="shared" si="6"/>
        <v>34691</v>
      </c>
      <c r="I26" s="126">
        <f t="shared" si="7"/>
        <v>0</v>
      </c>
      <c r="J26" s="126"/>
      <c r="K26" s="126">
        <v>0</v>
      </c>
      <c r="L26" s="126">
        <f t="shared" si="8"/>
        <v>34691</v>
      </c>
      <c r="M26" s="126">
        <f>28390</f>
        <v>28390</v>
      </c>
      <c r="N26" s="126">
        <f>6301</f>
        <v>6301</v>
      </c>
      <c r="O26" s="126">
        <f t="shared" si="9"/>
        <v>34961.248299999999</v>
      </c>
      <c r="P26" s="126"/>
      <c r="Q26" s="126"/>
      <c r="R26" s="126"/>
      <c r="S26" s="126">
        <f>T26+U26</f>
        <v>34961.248299999999</v>
      </c>
      <c r="T26" s="126">
        <f>28355.003+380.032799999999</f>
        <v>28735.035799999998</v>
      </c>
      <c r="U26" s="126">
        <v>6226.2124999999996</v>
      </c>
      <c r="V26" s="126">
        <f t="shared" si="10"/>
        <v>0</v>
      </c>
      <c r="W26" s="126">
        <f t="shared" si="11"/>
        <v>0</v>
      </c>
      <c r="X26" s="126"/>
      <c r="Y26" s="126"/>
      <c r="Z26" s="126">
        <f t="shared" si="12"/>
        <v>0</v>
      </c>
      <c r="AA26" s="126"/>
      <c r="AB26" s="126"/>
      <c r="AC26" s="126">
        <f t="shared" si="13"/>
        <v>0</v>
      </c>
      <c r="AD26" s="126"/>
      <c r="AE26" s="126"/>
      <c r="AF26" s="126"/>
      <c r="AG26" s="126"/>
      <c r="AH26" s="126"/>
      <c r="AI26" s="126">
        <f t="shared" si="15"/>
        <v>109.78450000000339</v>
      </c>
      <c r="AJ26" s="126">
        <f t="shared" si="16"/>
        <v>0</v>
      </c>
      <c r="AK26" s="126">
        <f t="shared" si="16"/>
        <v>0</v>
      </c>
      <c r="AL26" s="126">
        <f t="shared" si="17"/>
        <v>34.997000000003027</v>
      </c>
      <c r="AM26" s="126">
        <f t="shared" si="17"/>
        <v>74.787500000000364</v>
      </c>
      <c r="AN26" s="126"/>
      <c r="AO26" s="130">
        <f t="shared" si="2"/>
        <v>-1.8189894035458565E-12</v>
      </c>
      <c r="AP26" s="116"/>
    </row>
    <row r="27" spans="1:42" s="117" customFormat="1" ht="14" hidden="1" outlineLevel="1">
      <c r="A27" s="139"/>
      <c r="B27" s="140" t="s">
        <v>569</v>
      </c>
      <c r="C27" s="141">
        <f t="shared" si="5"/>
        <v>25.118000000000052</v>
      </c>
      <c r="D27" s="141">
        <v>0</v>
      </c>
      <c r="E27" s="141">
        <v>25.118000000000052</v>
      </c>
      <c r="F27" s="141">
        <v>0</v>
      </c>
      <c r="G27" s="141">
        <v>0</v>
      </c>
      <c r="H27" s="141">
        <f t="shared" si="6"/>
        <v>941.71600000000001</v>
      </c>
      <c r="I27" s="141">
        <f t="shared" si="7"/>
        <v>941.71600000000001</v>
      </c>
      <c r="J27" s="141"/>
      <c r="K27" s="141">
        <f>1000-58.284</f>
        <v>941.71600000000001</v>
      </c>
      <c r="L27" s="141">
        <v>0</v>
      </c>
      <c r="M27" s="141"/>
      <c r="N27" s="141">
        <v>0</v>
      </c>
      <c r="O27" s="126">
        <f t="shared" si="9"/>
        <v>941.71600000000001</v>
      </c>
      <c r="P27" s="141">
        <f>Q27+R27</f>
        <v>941.71600000000001</v>
      </c>
      <c r="Q27" s="141"/>
      <c r="R27" s="141">
        <v>941.71600000000001</v>
      </c>
      <c r="S27" s="141"/>
      <c r="T27" s="141"/>
      <c r="U27" s="141"/>
      <c r="V27" s="141">
        <f t="shared" si="10"/>
        <v>25.118000000000052</v>
      </c>
      <c r="W27" s="141">
        <f t="shared" si="11"/>
        <v>25.118000000000052</v>
      </c>
      <c r="X27" s="141"/>
      <c r="Y27" s="141">
        <v>25.118000000000052</v>
      </c>
      <c r="Z27" s="141">
        <f>AA27+AB27</f>
        <v>0</v>
      </c>
      <c r="AA27" s="141"/>
      <c r="AB27" s="141"/>
      <c r="AC27" s="141">
        <f t="shared" si="13"/>
        <v>0</v>
      </c>
      <c r="AD27" s="141"/>
      <c r="AE27" s="141"/>
      <c r="AF27" s="141"/>
      <c r="AG27" s="141"/>
      <c r="AH27" s="141"/>
      <c r="AI27" s="141">
        <f t="shared" si="15"/>
        <v>0</v>
      </c>
      <c r="AJ27" s="141">
        <f t="shared" si="16"/>
        <v>0</v>
      </c>
      <c r="AK27" s="141">
        <f t="shared" si="16"/>
        <v>0</v>
      </c>
      <c r="AL27" s="141">
        <f t="shared" si="17"/>
        <v>0</v>
      </c>
      <c r="AM27" s="141">
        <f t="shared" si="17"/>
        <v>0</v>
      </c>
      <c r="AN27" s="126"/>
      <c r="AO27" s="130">
        <f t="shared" si="2"/>
        <v>0</v>
      </c>
      <c r="AP27" s="116"/>
    </row>
    <row r="28" spans="1:42" s="117" customFormat="1" ht="14" hidden="1" outlineLevel="1">
      <c r="A28" s="139"/>
      <c r="B28" s="140" t="s">
        <v>570</v>
      </c>
      <c r="C28" s="141">
        <f t="shared" si="5"/>
        <v>503.36500000000001</v>
      </c>
      <c r="D28" s="141">
        <v>0</v>
      </c>
      <c r="E28" s="141">
        <f>503.365</f>
        <v>503.36500000000001</v>
      </c>
      <c r="F28" s="141">
        <v>0</v>
      </c>
      <c r="G28" s="141">
        <v>0</v>
      </c>
      <c r="H28" s="141">
        <f t="shared" si="6"/>
        <v>2076.2290000000003</v>
      </c>
      <c r="I28" s="141">
        <f t="shared" si="7"/>
        <v>2076.2290000000003</v>
      </c>
      <c r="J28" s="141"/>
      <c r="K28" s="141">
        <f>2950-873.771</f>
        <v>2076.2290000000003</v>
      </c>
      <c r="L28" s="141"/>
      <c r="M28" s="141"/>
      <c r="N28" s="141"/>
      <c r="O28" s="126">
        <f t="shared" si="9"/>
        <v>2076.2290000000003</v>
      </c>
      <c r="P28" s="141">
        <f>Q28+R28</f>
        <v>2076.2290000000003</v>
      </c>
      <c r="Q28" s="141"/>
      <c r="R28" s="141">
        <f>K28</f>
        <v>2076.2290000000003</v>
      </c>
      <c r="S28" s="141"/>
      <c r="T28" s="141"/>
      <c r="U28" s="141"/>
      <c r="V28" s="141">
        <f t="shared" si="10"/>
        <v>503.36500000000001</v>
      </c>
      <c r="W28" s="141">
        <f>X28+Y28</f>
        <v>503.36500000000001</v>
      </c>
      <c r="X28" s="141"/>
      <c r="Y28" s="141">
        <f>E28</f>
        <v>503.36500000000001</v>
      </c>
      <c r="Z28" s="141"/>
      <c r="AA28" s="141"/>
      <c r="AB28" s="141"/>
      <c r="AC28" s="141"/>
      <c r="AD28" s="141"/>
      <c r="AE28" s="141"/>
      <c r="AF28" s="141"/>
      <c r="AG28" s="141"/>
      <c r="AH28" s="141"/>
      <c r="AI28" s="141">
        <f t="shared" si="15"/>
        <v>-2.2737367544323206E-13</v>
      </c>
      <c r="AJ28" s="141">
        <f t="shared" si="16"/>
        <v>0</v>
      </c>
      <c r="AK28" s="141">
        <f t="shared" si="16"/>
        <v>-2.2737367544323206E-13</v>
      </c>
      <c r="AL28" s="141">
        <f t="shared" si="17"/>
        <v>0</v>
      </c>
      <c r="AM28" s="141">
        <f t="shared" si="17"/>
        <v>0</v>
      </c>
      <c r="AN28" s="126"/>
      <c r="AO28" s="130">
        <f t="shared" si="2"/>
        <v>0</v>
      </c>
      <c r="AP28" s="116"/>
    </row>
    <row r="29" spans="1:42" s="117" customFormat="1" ht="14" hidden="1" outlineLevel="1">
      <c r="A29" s="139"/>
      <c r="B29" s="140" t="s">
        <v>571</v>
      </c>
      <c r="C29" s="141">
        <f t="shared" si="5"/>
        <v>0</v>
      </c>
      <c r="D29" s="141">
        <v>0</v>
      </c>
      <c r="E29" s="141">
        <v>0</v>
      </c>
      <c r="F29" s="141">
        <v>0</v>
      </c>
      <c r="G29" s="141"/>
      <c r="H29" s="141">
        <f t="shared" si="6"/>
        <v>300</v>
      </c>
      <c r="I29" s="141">
        <f t="shared" si="7"/>
        <v>300</v>
      </c>
      <c r="J29" s="141"/>
      <c r="K29" s="141">
        <v>300</v>
      </c>
      <c r="L29" s="141"/>
      <c r="M29" s="141"/>
      <c r="N29" s="141"/>
      <c r="O29" s="126">
        <f t="shared" si="9"/>
        <v>300</v>
      </c>
      <c r="P29" s="141">
        <f>Q29+R29</f>
        <v>300</v>
      </c>
      <c r="Q29" s="141"/>
      <c r="R29" s="141">
        <v>300</v>
      </c>
      <c r="S29" s="141"/>
      <c r="T29" s="141"/>
      <c r="U29" s="141"/>
      <c r="V29" s="141">
        <f t="shared" si="10"/>
        <v>0</v>
      </c>
      <c r="W29" s="141">
        <f t="shared" ref="W29:W33" si="18">X29+Y29</f>
        <v>0</v>
      </c>
      <c r="X29" s="141"/>
      <c r="Y29" s="141"/>
      <c r="Z29" s="141"/>
      <c r="AA29" s="141"/>
      <c r="AB29" s="141"/>
      <c r="AC29" s="141"/>
      <c r="AD29" s="141"/>
      <c r="AE29" s="141"/>
      <c r="AF29" s="141"/>
      <c r="AG29" s="141"/>
      <c r="AH29" s="141"/>
      <c r="AI29" s="141">
        <f t="shared" si="15"/>
        <v>0</v>
      </c>
      <c r="AJ29" s="141">
        <f t="shared" si="16"/>
        <v>0</v>
      </c>
      <c r="AK29" s="141">
        <f t="shared" si="16"/>
        <v>0</v>
      </c>
      <c r="AL29" s="141">
        <f t="shared" si="17"/>
        <v>0</v>
      </c>
      <c r="AM29" s="141"/>
      <c r="AN29" s="126"/>
      <c r="AO29" s="130">
        <f t="shared" si="2"/>
        <v>0</v>
      </c>
      <c r="AP29" s="116"/>
    </row>
    <row r="30" spans="1:42" s="117" customFormat="1" ht="14" hidden="1" outlineLevel="1">
      <c r="A30" s="139"/>
      <c r="B30" s="140" t="s">
        <v>572</v>
      </c>
      <c r="C30" s="141">
        <f t="shared" si="5"/>
        <v>99.400959999999998</v>
      </c>
      <c r="D30" s="141">
        <v>0</v>
      </c>
      <c r="E30" s="141">
        <v>99.400959999999998</v>
      </c>
      <c r="F30" s="141">
        <v>0</v>
      </c>
      <c r="G30" s="141"/>
      <c r="H30" s="141">
        <f t="shared" si="6"/>
        <v>200</v>
      </c>
      <c r="I30" s="141">
        <f t="shared" si="7"/>
        <v>200</v>
      </c>
      <c r="J30" s="141"/>
      <c r="K30" s="141">
        <v>200</v>
      </c>
      <c r="L30" s="141"/>
      <c r="M30" s="141"/>
      <c r="N30" s="141"/>
      <c r="O30" s="126">
        <f t="shared" si="9"/>
        <v>200</v>
      </c>
      <c r="P30" s="141">
        <f>Q30+R30</f>
        <v>200</v>
      </c>
      <c r="Q30" s="141"/>
      <c r="R30" s="141">
        <f>K30</f>
        <v>200</v>
      </c>
      <c r="S30" s="141"/>
      <c r="T30" s="141"/>
      <c r="U30" s="141"/>
      <c r="V30" s="141">
        <f t="shared" si="10"/>
        <v>99.400959999999998</v>
      </c>
      <c r="W30" s="141">
        <f t="shared" si="18"/>
        <v>99.400959999999998</v>
      </c>
      <c r="X30" s="141"/>
      <c r="Y30" s="141">
        <v>99.400959999999998</v>
      </c>
      <c r="Z30" s="141"/>
      <c r="AA30" s="141"/>
      <c r="AB30" s="141"/>
      <c r="AC30" s="141"/>
      <c r="AD30" s="141"/>
      <c r="AE30" s="141"/>
      <c r="AF30" s="141"/>
      <c r="AG30" s="141"/>
      <c r="AH30" s="141"/>
      <c r="AI30" s="141">
        <f t="shared" si="15"/>
        <v>0</v>
      </c>
      <c r="AJ30" s="141">
        <f t="shared" si="16"/>
        <v>0</v>
      </c>
      <c r="AK30" s="141">
        <f t="shared" si="16"/>
        <v>0</v>
      </c>
      <c r="AL30" s="141">
        <f t="shared" si="17"/>
        <v>0</v>
      </c>
      <c r="AM30" s="141">
        <f t="shared" si="16"/>
        <v>0</v>
      </c>
      <c r="AN30" s="126"/>
      <c r="AO30" s="130">
        <f t="shared" si="2"/>
        <v>0</v>
      </c>
      <c r="AP30" s="116"/>
    </row>
    <row r="31" spans="1:42" s="117" customFormat="1" ht="15" hidden="1" customHeight="1" outlineLevel="1">
      <c r="A31" s="139"/>
      <c r="B31" s="140" t="s">
        <v>490</v>
      </c>
      <c r="C31" s="141">
        <f t="shared" si="5"/>
        <v>0</v>
      </c>
      <c r="D31" s="141">
        <v>0</v>
      </c>
      <c r="E31" s="141"/>
      <c r="F31" s="141">
        <v>0</v>
      </c>
      <c r="G31" s="141">
        <v>0</v>
      </c>
      <c r="H31" s="141">
        <f t="shared" si="6"/>
        <v>299</v>
      </c>
      <c r="I31" s="141">
        <f t="shared" si="7"/>
        <v>299</v>
      </c>
      <c r="J31" s="141"/>
      <c r="K31" s="141">
        <f>300-1</f>
        <v>299</v>
      </c>
      <c r="L31" s="141"/>
      <c r="M31" s="141"/>
      <c r="N31" s="141"/>
      <c r="O31" s="141">
        <f t="shared" si="9"/>
        <v>299</v>
      </c>
      <c r="P31" s="141">
        <f t="shared" ref="P31:P35" si="19">Q31+R31</f>
        <v>299</v>
      </c>
      <c r="Q31" s="141"/>
      <c r="R31" s="141">
        <f>299</f>
        <v>299</v>
      </c>
      <c r="S31" s="141"/>
      <c r="T31" s="141"/>
      <c r="U31" s="141"/>
      <c r="V31" s="141">
        <f t="shared" si="10"/>
        <v>0</v>
      </c>
      <c r="W31" s="141">
        <f t="shared" si="18"/>
        <v>0</v>
      </c>
      <c r="X31" s="141"/>
      <c r="Y31" s="141"/>
      <c r="Z31" s="141"/>
      <c r="AA31" s="141"/>
      <c r="AB31" s="141"/>
      <c r="AC31" s="141"/>
      <c r="AD31" s="141"/>
      <c r="AE31" s="141"/>
      <c r="AF31" s="141"/>
      <c r="AG31" s="141"/>
      <c r="AH31" s="141"/>
      <c r="AI31" s="141">
        <f t="shared" si="15"/>
        <v>0</v>
      </c>
      <c r="AJ31" s="141">
        <f t="shared" si="16"/>
        <v>0</v>
      </c>
      <c r="AK31" s="141">
        <f t="shared" si="16"/>
        <v>0</v>
      </c>
      <c r="AL31" s="141">
        <f t="shared" si="17"/>
        <v>0</v>
      </c>
      <c r="AM31" s="141">
        <f t="shared" si="17"/>
        <v>0</v>
      </c>
      <c r="AN31" s="126"/>
      <c r="AO31" s="130">
        <f t="shared" si="2"/>
        <v>0</v>
      </c>
      <c r="AP31" s="116"/>
    </row>
    <row r="32" spans="1:42" s="117" customFormat="1" ht="14" hidden="1" outlineLevel="1">
      <c r="A32" s="139"/>
      <c r="B32" s="140" t="s">
        <v>573</v>
      </c>
      <c r="C32" s="141">
        <f t="shared" si="5"/>
        <v>0</v>
      </c>
      <c r="D32" s="141">
        <v>0</v>
      </c>
      <c r="E32" s="141">
        <v>0</v>
      </c>
      <c r="F32" s="141">
        <v>0</v>
      </c>
      <c r="G32" s="141">
        <v>0</v>
      </c>
      <c r="H32" s="141">
        <f t="shared" si="6"/>
        <v>137</v>
      </c>
      <c r="I32" s="141">
        <f t="shared" si="7"/>
        <v>137</v>
      </c>
      <c r="J32" s="141"/>
      <c r="K32" s="141">
        <f>200-63</f>
        <v>137</v>
      </c>
      <c r="L32" s="141"/>
      <c r="M32" s="141"/>
      <c r="N32" s="141"/>
      <c r="O32" s="141">
        <f t="shared" si="9"/>
        <v>137</v>
      </c>
      <c r="P32" s="141">
        <f t="shared" si="19"/>
        <v>137</v>
      </c>
      <c r="Q32" s="141"/>
      <c r="R32" s="141">
        <v>137</v>
      </c>
      <c r="S32" s="141"/>
      <c r="T32" s="141"/>
      <c r="U32" s="141"/>
      <c r="V32" s="141">
        <f t="shared" si="10"/>
        <v>0</v>
      </c>
      <c r="W32" s="141">
        <f t="shared" si="18"/>
        <v>0</v>
      </c>
      <c r="X32" s="141"/>
      <c r="Y32" s="141"/>
      <c r="Z32" s="141"/>
      <c r="AA32" s="141"/>
      <c r="AB32" s="141"/>
      <c r="AC32" s="141"/>
      <c r="AD32" s="141"/>
      <c r="AE32" s="141"/>
      <c r="AF32" s="141"/>
      <c r="AG32" s="141"/>
      <c r="AH32" s="141"/>
      <c r="AI32" s="141">
        <f t="shared" si="15"/>
        <v>0</v>
      </c>
      <c r="AJ32" s="141">
        <f t="shared" si="16"/>
        <v>0</v>
      </c>
      <c r="AK32" s="141">
        <f t="shared" si="16"/>
        <v>0</v>
      </c>
      <c r="AL32" s="141">
        <f t="shared" si="17"/>
        <v>0</v>
      </c>
      <c r="AM32" s="141">
        <f t="shared" si="17"/>
        <v>0</v>
      </c>
      <c r="AN32" s="126"/>
      <c r="AO32" s="130">
        <f t="shared" si="2"/>
        <v>0</v>
      </c>
      <c r="AP32" s="116"/>
    </row>
    <row r="33" spans="1:42" s="117" customFormat="1" ht="14" hidden="1" outlineLevel="1">
      <c r="A33" s="139"/>
      <c r="B33" s="140" t="s">
        <v>574</v>
      </c>
      <c r="C33" s="141">
        <f t="shared" si="5"/>
        <v>7.3999999999999773</v>
      </c>
      <c r="D33" s="141">
        <v>0</v>
      </c>
      <c r="E33" s="141">
        <v>7.3999999999999773</v>
      </c>
      <c r="F33" s="141">
        <v>0</v>
      </c>
      <c r="G33" s="141">
        <v>0</v>
      </c>
      <c r="H33" s="141">
        <f t="shared" si="6"/>
        <v>300</v>
      </c>
      <c r="I33" s="141">
        <f t="shared" si="7"/>
        <v>300</v>
      </c>
      <c r="J33" s="141"/>
      <c r="K33" s="141">
        <v>300</v>
      </c>
      <c r="L33" s="141"/>
      <c r="M33" s="141"/>
      <c r="N33" s="141"/>
      <c r="O33" s="141">
        <f t="shared" si="9"/>
        <v>300</v>
      </c>
      <c r="P33" s="141">
        <f t="shared" si="19"/>
        <v>300</v>
      </c>
      <c r="Q33" s="141"/>
      <c r="R33" s="141">
        <v>300</v>
      </c>
      <c r="S33" s="141"/>
      <c r="T33" s="141"/>
      <c r="U33" s="141"/>
      <c r="V33" s="141">
        <f t="shared" si="10"/>
        <v>7.3999999999999773</v>
      </c>
      <c r="W33" s="141">
        <f t="shared" si="18"/>
        <v>7.3999999999999773</v>
      </c>
      <c r="X33" s="141"/>
      <c r="Y33" s="141">
        <v>7.3999999999999773</v>
      </c>
      <c r="Z33" s="141"/>
      <c r="AA33" s="141"/>
      <c r="AB33" s="141"/>
      <c r="AC33" s="141"/>
      <c r="AD33" s="141"/>
      <c r="AE33" s="141"/>
      <c r="AF33" s="141"/>
      <c r="AG33" s="141"/>
      <c r="AH33" s="141"/>
      <c r="AI33" s="141">
        <f t="shared" si="15"/>
        <v>0</v>
      </c>
      <c r="AJ33" s="141">
        <f t="shared" ref="AJ33:AK35" si="20">D33+J33-Q33-X33-AD33</f>
        <v>0</v>
      </c>
      <c r="AK33" s="141">
        <f t="shared" si="20"/>
        <v>0</v>
      </c>
      <c r="AL33" s="141">
        <f t="shared" ref="AL33:AM35" si="21">F33+M33-T33-AA33-AG33</f>
        <v>0</v>
      </c>
      <c r="AM33" s="141">
        <f t="shared" si="21"/>
        <v>0</v>
      </c>
      <c r="AN33" s="126"/>
      <c r="AO33" s="130">
        <f t="shared" si="2"/>
        <v>0</v>
      </c>
      <c r="AP33" s="116"/>
    </row>
    <row r="34" spans="1:42" s="117" customFormat="1" ht="14" hidden="1" outlineLevel="1">
      <c r="A34" s="139"/>
      <c r="B34" s="140" t="s">
        <v>575</v>
      </c>
      <c r="C34" s="141">
        <f>SUM(D34:G34)</f>
        <v>0</v>
      </c>
      <c r="D34" s="141">
        <v>0</v>
      </c>
      <c r="E34" s="141"/>
      <c r="F34" s="141">
        <v>0</v>
      </c>
      <c r="G34" s="141">
        <v>0</v>
      </c>
      <c r="H34" s="141">
        <f>I34+L34</f>
        <v>300</v>
      </c>
      <c r="I34" s="141">
        <f>J34+K34</f>
        <v>300</v>
      </c>
      <c r="J34" s="141"/>
      <c r="K34" s="141">
        <v>300</v>
      </c>
      <c r="L34" s="141"/>
      <c r="M34" s="141"/>
      <c r="N34" s="141"/>
      <c r="O34" s="141">
        <f t="shared" si="9"/>
        <v>300</v>
      </c>
      <c r="P34" s="141">
        <f>Q34+R34</f>
        <v>300</v>
      </c>
      <c r="Q34" s="141"/>
      <c r="R34" s="141">
        <v>300</v>
      </c>
      <c r="S34" s="141"/>
      <c r="T34" s="141"/>
      <c r="U34" s="141"/>
      <c r="V34" s="141">
        <f>W34+Z34+AC34+AF34</f>
        <v>0</v>
      </c>
      <c r="W34" s="141">
        <f>X34+Y34</f>
        <v>0</v>
      </c>
      <c r="X34" s="141"/>
      <c r="Y34" s="141"/>
      <c r="Z34" s="141"/>
      <c r="AA34" s="141"/>
      <c r="AB34" s="141"/>
      <c r="AC34" s="141"/>
      <c r="AD34" s="141"/>
      <c r="AE34" s="141"/>
      <c r="AF34" s="141"/>
      <c r="AG34" s="141"/>
      <c r="AH34" s="141"/>
      <c r="AI34" s="141">
        <f>SUM(AJ34:AM34)</f>
        <v>0</v>
      </c>
      <c r="AJ34" s="141">
        <f>D34+J34-Q34-X34-AD34</f>
        <v>0</v>
      </c>
      <c r="AK34" s="141">
        <f>E34+K34-R34-Y34-AE34</f>
        <v>0</v>
      </c>
      <c r="AL34" s="141">
        <f>F34+M34-T34-AA34-AG34</f>
        <v>0</v>
      </c>
      <c r="AM34" s="141">
        <f>G34+N34-U34-AB34-AH34</f>
        <v>0</v>
      </c>
      <c r="AN34" s="126"/>
      <c r="AO34" s="130">
        <f t="shared" si="2"/>
        <v>0</v>
      </c>
      <c r="AP34" s="116"/>
    </row>
    <row r="35" spans="1:42" s="117" customFormat="1" ht="17.25" hidden="1" customHeight="1" outlineLevel="1">
      <c r="A35" s="139"/>
      <c r="B35" s="140" t="s">
        <v>576</v>
      </c>
      <c r="C35" s="141">
        <f t="shared" si="5"/>
        <v>1545.4214800000004</v>
      </c>
      <c r="D35" s="126">
        <f>0.0799999999999272+101.4272+240.33+5.8501+87.867725</f>
        <v>435.55502499999994</v>
      </c>
      <c r="E35" s="141">
        <f>449.983787+71.4430000000004+198.22+24.003+366.216668</f>
        <v>1109.8664550000005</v>
      </c>
      <c r="F35" s="126"/>
      <c r="G35" s="141"/>
      <c r="H35" s="141">
        <f t="shared" si="6"/>
        <v>1794.6767990000003</v>
      </c>
      <c r="I35" s="141">
        <f t="shared" si="7"/>
        <v>1794.6767990000003</v>
      </c>
      <c r="J35" s="141">
        <f>(21900-6840-5340-7220-250-500-750-750-250)+132+14.482496</f>
        <v>146.482496</v>
      </c>
      <c r="K35" s="141">
        <f>63+873.771+239.486+412.653303+58.284+1</f>
        <v>1648.1943030000002</v>
      </c>
      <c r="L35" s="141">
        <f>M35+N35</f>
        <v>0</v>
      </c>
      <c r="M35" s="141">
        <f>132+14.482496-132-14.482496</f>
        <v>0</v>
      </c>
      <c r="N35" s="141">
        <f>239.486+412.653303-239.486-412.653303</f>
        <v>0</v>
      </c>
      <c r="O35" s="141">
        <f t="shared" si="9"/>
        <v>0</v>
      </c>
      <c r="P35" s="141">
        <f t="shared" si="19"/>
        <v>0</v>
      </c>
      <c r="Q35" s="141"/>
      <c r="R35" s="141"/>
      <c r="S35" s="141"/>
      <c r="T35" s="141"/>
      <c r="U35" s="141"/>
      <c r="V35" s="141">
        <f>W35+Z35+AC35+AF35</f>
        <v>0</v>
      </c>
      <c r="W35" s="141">
        <f>X35+Y35</f>
        <v>0</v>
      </c>
      <c r="X35" s="141"/>
      <c r="Y35" s="141"/>
      <c r="Z35" s="141">
        <f>AA35+AB35</f>
        <v>0</v>
      </c>
      <c r="AA35" s="141"/>
      <c r="AB35" s="141"/>
      <c r="AC35" s="141">
        <f>AD35+AE35</f>
        <v>0</v>
      </c>
      <c r="AD35" s="141"/>
      <c r="AE35" s="141"/>
      <c r="AF35" s="141">
        <f>AG35+AH35</f>
        <v>0</v>
      </c>
      <c r="AG35" s="141"/>
      <c r="AH35" s="141"/>
      <c r="AI35" s="141">
        <f t="shared" si="15"/>
        <v>3340.0982790000007</v>
      </c>
      <c r="AJ35" s="141">
        <f t="shared" si="20"/>
        <v>582.03752099999997</v>
      </c>
      <c r="AK35" s="141">
        <f t="shared" si="20"/>
        <v>2758.0607580000005</v>
      </c>
      <c r="AL35" s="141">
        <f t="shared" si="21"/>
        <v>0</v>
      </c>
      <c r="AM35" s="141">
        <f t="shared" si="21"/>
        <v>0</v>
      </c>
      <c r="AN35" s="126"/>
      <c r="AO35" s="130">
        <f t="shared" si="2"/>
        <v>0</v>
      </c>
      <c r="AP35" s="116"/>
    </row>
    <row r="36" spans="1:42" s="132" customFormat="1" ht="14" collapsed="1">
      <c r="A36" s="142" t="s">
        <v>18</v>
      </c>
      <c r="B36" s="134" t="s">
        <v>577</v>
      </c>
      <c r="C36" s="143">
        <f t="shared" ref="C36:AH36" si="22">C37+C66+C106+C116+C130</f>
        <v>26849.401592999991</v>
      </c>
      <c r="D36" s="143">
        <f t="shared" si="22"/>
        <v>22492.376002999998</v>
      </c>
      <c r="E36" s="143">
        <f t="shared" si="22"/>
        <v>390.72199999999918</v>
      </c>
      <c r="F36" s="143">
        <f t="shared" si="22"/>
        <v>3416.1860899999961</v>
      </c>
      <c r="G36" s="143">
        <f t="shared" si="22"/>
        <v>550.1174999999987</v>
      </c>
      <c r="H36" s="143">
        <f t="shared" si="22"/>
        <v>288303</v>
      </c>
      <c r="I36" s="143">
        <f t="shared" si="22"/>
        <v>106623.4773</v>
      </c>
      <c r="J36" s="143">
        <f t="shared" si="22"/>
        <v>97830.54</v>
      </c>
      <c r="K36" s="143">
        <f t="shared" si="22"/>
        <v>8792.9372999999996</v>
      </c>
      <c r="L36" s="143">
        <f t="shared" si="22"/>
        <v>181679.52269999997</v>
      </c>
      <c r="M36" s="143">
        <f t="shared" si="22"/>
        <v>129331.46</v>
      </c>
      <c r="N36" s="143">
        <f t="shared" si="22"/>
        <v>52348.062700000002</v>
      </c>
      <c r="O36" s="143">
        <f t="shared" si="22"/>
        <v>240154.62013000002</v>
      </c>
      <c r="P36" s="143">
        <f t="shared" si="22"/>
        <v>73175.703320000001</v>
      </c>
      <c r="Q36" s="143">
        <f t="shared" si="22"/>
        <v>65140.866242999997</v>
      </c>
      <c r="R36" s="143">
        <f t="shared" si="22"/>
        <v>8034.8370770000001</v>
      </c>
      <c r="S36" s="143">
        <f t="shared" si="22"/>
        <v>166978.91681000005</v>
      </c>
      <c r="T36" s="143">
        <f t="shared" si="22"/>
        <v>115019.96838999999</v>
      </c>
      <c r="U36" s="143">
        <f t="shared" si="22"/>
        <v>51958.948419999993</v>
      </c>
      <c r="V36" s="143">
        <f t="shared" si="22"/>
        <v>1608.3691229999984</v>
      </c>
      <c r="W36" s="143">
        <f t="shared" si="22"/>
        <v>213.91700000000003</v>
      </c>
      <c r="X36" s="143">
        <f t="shared" si="22"/>
        <v>81.373000000000019</v>
      </c>
      <c r="Y36" s="143">
        <f t="shared" si="22"/>
        <v>132.54400000000001</v>
      </c>
      <c r="Z36" s="143">
        <f t="shared" si="22"/>
        <v>1394.4521229999982</v>
      </c>
      <c r="AA36" s="143">
        <f t="shared" si="22"/>
        <v>911.50262299999952</v>
      </c>
      <c r="AB36" s="143">
        <f t="shared" si="22"/>
        <v>482.94949999999892</v>
      </c>
      <c r="AC36" s="143">
        <f t="shared" si="22"/>
        <v>0</v>
      </c>
      <c r="AD36" s="143">
        <f t="shared" si="22"/>
        <v>0</v>
      </c>
      <c r="AE36" s="143">
        <f t="shared" si="22"/>
        <v>0</v>
      </c>
      <c r="AF36" s="143">
        <f t="shared" si="22"/>
        <v>0</v>
      </c>
      <c r="AG36" s="143">
        <f t="shared" si="22"/>
        <v>0</v>
      </c>
      <c r="AH36" s="143">
        <f t="shared" si="22"/>
        <v>0</v>
      </c>
      <c r="AI36" s="143">
        <f t="shared" ref="AI36:AI91" si="23">SUM(AJ36:AM36)</f>
        <v>73389.412339999995</v>
      </c>
      <c r="AJ36" s="143">
        <f>AJ37+AJ66+AJ106+AJ116+AJ130</f>
        <v>55100.676759999995</v>
      </c>
      <c r="AK36" s="143">
        <f>AK37+AK66+AK106+AK116+AK130</f>
        <v>1016.2782229999991</v>
      </c>
      <c r="AL36" s="143">
        <f>AL37+AL66+AL106+AL116+AL130</f>
        <v>16816.175077</v>
      </c>
      <c r="AM36" s="143">
        <f>AM37+AM66+AM106+AM116+AM130</f>
        <v>456.28228000000138</v>
      </c>
      <c r="AN36" s="126"/>
      <c r="AO36" s="130">
        <f t="shared" si="2"/>
        <v>0</v>
      </c>
      <c r="AP36" s="131"/>
    </row>
    <row r="37" spans="1:42" s="132" customFormat="1" ht="14">
      <c r="A37" s="144" t="s">
        <v>318</v>
      </c>
      <c r="B37" s="134" t="s">
        <v>578</v>
      </c>
      <c r="C37" s="145">
        <f t="shared" ref="C37:AH37" si="24">C38+C46+C54+C63</f>
        <v>23283.837592999993</v>
      </c>
      <c r="D37" s="145">
        <f t="shared" si="24"/>
        <v>21885.840092999999</v>
      </c>
      <c r="E37" s="145">
        <f t="shared" si="24"/>
        <v>115.7349999999993</v>
      </c>
      <c r="F37" s="145">
        <f t="shared" si="24"/>
        <v>901.46299999999781</v>
      </c>
      <c r="G37" s="145">
        <f t="shared" si="24"/>
        <v>380.79949999999872</v>
      </c>
      <c r="H37" s="143">
        <f t="shared" si="24"/>
        <v>188897</v>
      </c>
      <c r="I37" s="143">
        <f t="shared" si="24"/>
        <v>100109.3</v>
      </c>
      <c r="J37" s="143">
        <f t="shared" si="24"/>
        <v>97552.7</v>
      </c>
      <c r="K37" s="143">
        <f t="shared" si="24"/>
        <v>2556.6</v>
      </c>
      <c r="L37" s="143">
        <f t="shared" si="24"/>
        <v>88787.7</v>
      </c>
      <c r="M37" s="143">
        <f t="shared" si="24"/>
        <v>62407.3</v>
      </c>
      <c r="N37" s="143">
        <f t="shared" si="24"/>
        <v>26380.400000000001</v>
      </c>
      <c r="O37" s="143">
        <f t="shared" si="24"/>
        <v>141370.56986599998</v>
      </c>
      <c r="P37" s="143">
        <f t="shared" si="24"/>
        <v>67134.426242999994</v>
      </c>
      <c r="Q37" s="143">
        <f t="shared" si="24"/>
        <v>65140.866242999997</v>
      </c>
      <c r="R37" s="143">
        <f t="shared" si="24"/>
        <v>1993.56</v>
      </c>
      <c r="S37" s="143">
        <f t="shared" si="24"/>
        <v>74236.143623000011</v>
      </c>
      <c r="T37" s="143">
        <f t="shared" si="24"/>
        <v>47925.495000000003</v>
      </c>
      <c r="U37" s="143">
        <f t="shared" si="24"/>
        <v>26310.648623000001</v>
      </c>
      <c r="V37" s="143">
        <f t="shared" si="24"/>
        <v>559.99949999999853</v>
      </c>
      <c r="W37" s="143">
        <f t="shared" si="24"/>
        <v>92.940000000000026</v>
      </c>
      <c r="X37" s="143">
        <f t="shared" si="24"/>
        <v>81.373000000000019</v>
      </c>
      <c r="Y37" s="143">
        <f t="shared" si="24"/>
        <v>11.567</v>
      </c>
      <c r="Z37" s="143">
        <f t="shared" si="24"/>
        <v>467.05949999999854</v>
      </c>
      <c r="AA37" s="143">
        <f t="shared" si="24"/>
        <v>86.259999999999849</v>
      </c>
      <c r="AB37" s="143">
        <f t="shared" si="24"/>
        <v>380.79949999999872</v>
      </c>
      <c r="AC37" s="143">
        <f t="shared" si="24"/>
        <v>0</v>
      </c>
      <c r="AD37" s="143">
        <f t="shared" si="24"/>
        <v>0</v>
      </c>
      <c r="AE37" s="143">
        <f t="shared" si="24"/>
        <v>0</v>
      </c>
      <c r="AF37" s="143">
        <f t="shared" si="24"/>
        <v>0</v>
      </c>
      <c r="AG37" s="143">
        <f t="shared" si="24"/>
        <v>0</v>
      </c>
      <c r="AH37" s="143">
        <f t="shared" si="24"/>
        <v>0</v>
      </c>
      <c r="AI37" s="145">
        <f t="shared" si="23"/>
        <v>70250.268226999979</v>
      </c>
      <c r="AJ37" s="145">
        <f t="shared" ref="AJ37:AK62" si="25">D37+J37-Q37-X37-AD37</f>
        <v>54216.300849999992</v>
      </c>
      <c r="AK37" s="145">
        <f t="shared" si="25"/>
        <v>667.20799999999917</v>
      </c>
      <c r="AL37" s="143">
        <f t="shared" ref="AL37:AM62" si="26">F37+M37-T37-AA37-AG37</f>
        <v>15297.007999999996</v>
      </c>
      <c r="AM37" s="143">
        <f t="shared" si="26"/>
        <v>69.751376999999138</v>
      </c>
      <c r="AN37" s="126"/>
      <c r="AO37" s="130">
        <f t="shared" si="2"/>
        <v>0</v>
      </c>
      <c r="AP37" s="131"/>
    </row>
    <row r="38" spans="1:42" s="117" customFormat="1" ht="14" hidden="1" outlineLevel="1">
      <c r="A38" s="146" t="s">
        <v>184</v>
      </c>
      <c r="B38" s="147" t="s">
        <v>579</v>
      </c>
      <c r="C38" s="126">
        <f t="shared" ref="C38:I38" si="27">SUM(C39:C45)</f>
        <v>22787.303092999995</v>
      </c>
      <c r="D38" s="126">
        <f t="shared" si="27"/>
        <v>21885.840092999999</v>
      </c>
      <c r="E38" s="126">
        <f t="shared" si="27"/>
        <v>0</v>
      </c>
      <c r="F38" s="126">
        <f t="shared" si="27"/>
        <v>901.46299999999781</v>
      </c>
      <c r="G38" s="126">
        <f t="shared" si="27"/>
        <v>0</v>
      </c>
      <c r="H38" s="126">
        <f t="shared" si="27"/>
        <v>159960</v>
      </c>
      <c r="I38" s="126">
        <f t="shared" si="27"/>
        <v>97552.7</v>
      </c>
      <c r="J38" s="126">
        <f>SUM(J39:J45)</f>
        <v>97552.7</v>
      </c>
      <c r="K38" s="126">
        <f>SUM(K39:K45)</f>
        <v>0</v>
      </c>
      <c r="L38" s="126">
        <f t="shared" ref="L38:AB38" si="28">SUM(L39:L45)</f>
        <v>62407.3</v>
      </c>
      <c r="M38" s="126">
        <f t="shared" si="28"/>
        <v>62407.3</v>
      </c>
      <c r="N38" s="126">
        <f t="shared" si="28"/>
        <v>0</v>
      </c>
      <c r="O38" s="126">
        <f t="shared" si="28"/>
        <v>113066.36124299998</v>
      </c>
      <c r="P38" s="126">
        <f t="shared" si="28"/>
        <v>65140.866242999997</v>
      </c>
      <c r="Q38" s="126">
        <f t="shared" si="28"/>
        <v>65140.866242999997</v>
      </c>
      <c r="R38" s="126">
        <f t="shared" si="28"/>
        <v>0</v>
      </c>
      <c r="S38" s="126">
        <f t="shared" si="28"/>
        <v>47925.495000000003</v>
      </c>
      <c r="T38" s="126">
        <f t="shared" si="28"/>
        <v>47925.495000000003</v>
      </c>
      <c r="U38" s="126">
        <f t="shared" si="28"/>
        <v>0</v>
      </c>
      <c r="V38" s="126">
        <f t="shared" si="28"/>
        <v>167.63299999999987</v>
      </c>
      <c r="W38" s="126">
        <f t="shared" si="28"/>
        <v>81.373000000000019</v>
      </c>
      <c r="X38" s="126">
        <f t="shared" si="28"/>
        <v>81.373000000000019</v>
      </c>
      <c r="Y38" s="126">
        <f t="shared" si="28"/>
        <v>0</v>
      </c>
      <c r="Z38" s="126">
        <f t="shared" si="28"/>
        <v>86.259999999999849</v>
      </c>
      <c r="AA38" s="126">
        <f t="shared" si="28"/>
        <v>86.259999999999849</v>
      </c>
      <c r="AB38" s="126">
        <f t="shared" si="28"/>
        <v>0</v>
      </c>
      <c r="AC38" s="126">
        <f t="shared" ref="AC38:AH38" si="29">SUM(AC39:AC43)</f>
        <v>0</v>
      </c>
      <c r="AD38" s="126">
        <f t="shared" si="29"/>
        <v>0</v>
      </c>
      <c r="AE38" s="126">
        <f t="shared" si="29"/>
        <v>0</v>
      </c>
      <c r="AF38" s="126">
        <f t="shared" si="29"/>
        <v>0</v>
      </c>
      <c r="AG38" s="126">
        <f t="shared" si="29"/>
        <v>0</v>
      </c>
      <c r="AH38" s="126">
        <f t="shared" si="29"/>
        <v>0</v>
      </c>
      <c r="AI38" s="126">
        <f t="shared" si="23"/>
        <v>69513.308849999987</v>
      </c>
      <c r="AJ38" s="126">
        <f t="shared" si="25"/>
        <v>54216.300849999992</v>
      </c>
      <c r="AK38" s="126">
        <f t="shared" si="25"/>
        <v>0</v>
      </c>
      <c r="AL38" s="141">
        <f t="shared" si="26"/>
        <v>15297.007999999996</v>
      </c>
      <c r="AM38" s="141">
        <f t="shared" si="26"/>
        <v>0</v>
      </c>
      <c r="AN38" s="126"/>
      <c r="AO38" s="130">
        <f t="shared" si="2"/>
        <v>0</v>
      </c>
      <c r="AP38" s="116"/>
    </row>
    <row r="39" spans="1:42" s="117" customFormat="1" ht="14" hidden="1" outlineLevel="1">
      <c r="A39" s="146"/>
      <c r="B39" s="147" t="s">
        <v>568</v>
      </c>
      <c r="C39" s="126">
        <f t="shared" ref="C39:C90" si="30">SUM(D39:G39)</f>
        <v>13097.794000000002</v>
      </c>
      <c r="D39" s="126">
        <v>13016.494000000001</v>
      </c>
      <c r="E39" s="126">
        <v>0</v>
      </c>
      <c r="F39" s="141">
        <v>81.300000000000182</v>
      </c>
      <c r="G39" s="141">
        <v>0</v>
      </c>
      <c r="H39" s="126">
        <f t="shared" ref="H39:H64" si="31">I39+L39</f>
        <v>64602</v>
      </c>
      <c r="I39" s="126">
        <f t="shared" ref="I39:I64" si="32">J39+K39</f>
        <v>31342</v>
      </c>
      <c r="J39" s="126">
        <f>26104+5238</f>
        <v>31342</v>
      </c>
      <c r="K39" s="126">
        <v>0</v>
      </c>
      <c r="L39" s="126">
        <f t="shared" ref="L39:L64" si="33">M39+N39</f>
        <v>33260</v>
      </c>
      <c r="M39" s="141">
        <f>17920+15340</f>
        <v>33260</v>
      </c>
      <c r="N39" s="141"/>
      <c r="O39" s="141">
        <f t="shared" ref="O39:O45" si="34">P39+S39</f>
        <v>48167.116999999998</v>
      </c>
      <c r="P39" s="141">
        <f t="shared" ref="P39:P45" si="35">Q39+R39</f>
        <v>24119.337</v>
      </c>
      <c r="Q39" s="141">
        <v>24119.337</v>
      </c>
      <c r="R39" s="141"/>
      <c r="S39" s="141">
        <f t="shared" ref="S39:S45" si="36">T39+U39</f>
        <v>24047.780000000002</v>
      </c>
      <c r="T39" s="141">
        <f>17503.562+6544.218</f>
        <v>24047.780000000002</v>
      </c>
      <c r="U39" s="141"/>
      <c r="V39" s="141">
        <f t="shared" ref="V39:V45" si="37">W39+Z39</f>
        <v>81.300000000000182</v>
      </c>
      <c r="W39" s="141"/>
      <c r="X39" s="141"/>
      <c r="Y39" s="141"/>
      <c r="Z39" s="141">
        <f t="shared" ref="Z39:Z45" si="38">AA39+AB39</f>
        <v>81.300000000000182</v>
      </c>
      <c r="AA39" s="141">
        <v>81.300000000000182</v>
      </c>
      <c r="AB39" s="141"/>
      <c r="AC39" s="141"/>
      <c r="AD39" s="141"/>
      <c r="AE39" s="141"/>
      <c r="AF39" s="141"/>
      <c r="AG39" s="141"/>
      <c r="AH39" s="141"/>
      <c r="AI39" s="126">
        <f t="shared" si="23"/>
        <v>29451.377</v>
      </c>
      <c r="AJ39" s="126">
        <f t="shared" si="25"/>
        <v>20239.156999999999</v>
      </c>
      <c r="AK39" s="126">
        <f t="shared" si="25"/>
        <v>0</v>
      </c>
      <c r="AL39" s="141">
        <f t="shared" si="26"/>
        <v>9212.2200000000012</v>
      </c>
      <c r="AM39" s="141">
        <f t="shared" si="26"/>
        <v>0</v>
      </c>
      <c r="AN39" s="126"/>
      <c r="AO39" s="130">
        <f t="shared" si="2"/>
        <v>0</v>
      </c>
      <c r="AP39" s="116"/>
    </row>
    <row r="40" spans="1:42" s="117" customFormat="1" ht="14" hidden="1" outlineLevel="1">
      <c r="A40" s="146"/>
      <c r="B40" s="147" t="s">
        <v>567</v>
      </c>
      <c r="C40" s="126">
        <f t="shared" si="30"/>
        <v>8074.3849999999984</v>
      </c>
      <c r="D40" s="126">
        <v>8074.3849999999984</v>
      </c>
      <c r="E40" s="126">
        <v>0</v>
      </c>
      <c r="F40" s="141">
        <v>0</v>
      </c>
      <c r="G40" s="141">
        <v>0</v>
      </c>
      <c r="H40" s="126">
        <f t="shared" si="31"/>
        <v>63206.3</v>
      </c>
      <c r="I40" s="126">
        <f t="shared" si="32"/>
        <v>34059</v>
      </c>
      <c r="J40" s="126">
        <f>19854+14205</f>
        <v>34059</v>
      </c>
      <c r="K40" s="126">
        <v>0</v>
      </c>
      <c r="L40" s="126">
        <f t="shared" si="33"/>
        <v>29147.3</v>
      </c>
      <c r="M40" s="141">
        <f>23289+5961-102.7</f>
        <v>29147.3</v>
      </c>
      <c r="N40" s="141"/>
      <c r="O40" s="141">
        <f t="shared" si="34"/>
        <v>45347.084999999999</v>
      </c>
      <c r="P40" s="141">
        <f t="shared" si="35"/>
        <v>22254.785</v>
      </c>
      <c r="Q40" s="141">
        <v>22254.785</v>
      </c>
      <c r="R40" s="141"/>
      <c r="S40" s="141">
        <f t="shared" si="36"/>
        <v>23092.3</v>
      </c>
      <c r="T40" s="141">
        <v>23092.3</v>
      </c>
      <c r="U40" s="141"/>
      <c r="V40" s="141">
        <f t="shared" si="37"/>
        <v>0</v>
      </c>
      <c r="W40" s="141"/>
      <c r="X40" s="141"/>
      <c r="Y40" s="141"/>
      <c r="Z40" s="141">
        <f t="shared" si="38"/>
        <v>0</v>
      </c>
      <c r="AA40" s="141"/>
      <c r="AB40" s="141"/>
      <c r="AC40" s="141"/>
      <c r="AD40" s="141"/>
      <c r="AE40" s="141"/>
      <c r="AF40" s="141"/>
      <c r="AG40" s="141"/>
      <c r="AH40" s="141"/>
      <c r="AI40" s="126">
        <f t="shared" si="23"/>
        <v>25933.599999999995</v>
      </c>
      <c r="AJ40" s="126">
        <f t="shared" si="25"/>
        <v>19878.599999999995</v>
      </c>
      <c r="AK40" s="126">
        <f t="shared" si="25"/>
        <v>0</v>
      </c>
      <c r="AL40" s="141">
        <f t="shared" si="26"/>
        <v>6055</v>
      </c>
      <c r="AM40" s="141">
        <f t="shared" si="26"/>
        <v>0</v>
      </c>
      <c r="AN40" s="126"/>
      <c r="AO40" s="130">
        <f t="shared" si="2"/>
        <v>0</v>
      </c>
      <c r="AP40" s="116"/>
    </row>
    <row r="41" spans="1:42" s="117" customFormat="1" ht="14" hidden="1" outlineLevel="1">
      <c r="A41" s="146"/>
      <c r="B41" s="137" t="s">
        <v>563</v>
      </c>
      <c r="C41" s="126">
        <f t="shared" si="30"/>
        <v>990.03109299999801</v>
      </c>
      <c r="D41" s="126">
        <v>179.79109299999999</v>
      </c>
      <c r="E41" s="126">
        <v>0</v>
      </c>
      <c r="F41" s="141">
        <f>810.239999999998+101.79-101.79</f>
        <v>810.23999999999796</v>
      </c>
      <c r="G41" s="141">
        <v>0</v>
      </c>
      <c r="H41" s="126">
        <f t="shared" si="31"/>
        <v>0</v>
      </c>
      <c r="I41" s="126">
        <f t="shared" si="32"/>
        <v>0</v>
      </c>
      <c r="J41" s="126">
        <f>13841-13841</f>
        <v>0</v>
      </c>
      <c r="K41" s="126">
        <v>0</v>
      </c>
      <c r="L41" s="126">
        <f t="shared" si="33"/>
        <v>0</v>
      </c>
      <c r="M41" s="141"/>
      <c r="N41" s="141"/>
      <c r="O41" s="141">
        <f>P41+S41</f>
        <v>910.09799999999939</v>
      </c>
      <c r="P41" s="141">
        <f t="shared" si="35"/>
        <v>124.68299999999999</v>
      </c>
      <c r="Q41" s="141">
        <v>124.68299999999999</v>
      </c>
      <c r="R41" s="141"/>
      <c r="S41" s="141">
        <f t="shared" si="36"/>
        <v>785.4149999999994</v>
      </c>
      <c r="T41" s="141">
        <v>785.4149999999994</v>
      </c>
      <c r="U41" s="141"/>
      <c r="V41" s="141">
        <f t="shared" si="37"/>
        <v>45.061000000000007</v>
      </c>
      <c r="W41" s="141">
        <f>X41+Y41</f>
        <v>45.061000000000007</v>
      </c>
      <c r="X41" s="141">
        <v>45.061000000000007</v>
      </c>
      <c r="Y41" s="141"/>
      <c r="Z41" s="141">
        <f t="shared" si="38"/>
        <v>0</v>
      </c>
      <c r="AA41" s="141"/>
      <c r="AB41" s="141"/>
      <c r="AC41" s="141"/>
      <c r="AD41" s="141"/>
      <c r="AE41" s="141"/>
      <c r="AF41" s="141"/>
      <c r="AG41" s="141"/>
      <c r="AH41" s="141"/>
      <c r="AI41" s="126">
        <f t="shared" si="23"/>
        <v>34.872092999998557</v>
      </c>
      <c r="AJ41" s="126">
        <f t="shared" si="25"/>
        <v>10.04709299999999</v>
      </c>
      <c r="AK41" s="126">
        <f t="shared" si="25"/>
        <v>0</v>
      </c>
      <c r="AL41" s="141">
        <f t="shared" si="26"/>
        <v>24.824999999998568</v>
      </c>
      <c r="AM41" s="141">
        <f t="shared" si="26"/>
        <v>0</v>
      </c>
      <c r="AN41" s="126"/>
      <c r="AO41" s="130">
        <f t="shared" si="2"/>
        <v>5.6843418860808015E-14</v>
      </c>
      <c r="AP41" s="116"/>
    </row>
    <row r="42" spans="1:42" s="117" customFormat="1" ht="14" hidden="1" outlineLevel="1">
      <c r="A42" s="146"/>
      <c r="B42" s="147" t="s">
        <v>564</v>
      </c>
      <c r="C42" s="126">
        <f t="shared" si="30"/>
        <v>518.27800000000002</v>
      </c>
      <c r="D42" s="126">
        <v>513.31500000000005</v>
      </c>
      <c r="E42" s="126">
        <v>0</v>
      </c>
      <c r="F42" s="141">
        <f>4.963</f>
        <v>4.9630000000000001</v>
      </c>
      <c r="G42" s="141">
        <v>0</v>
      </c>
      <c r="H42" s="126">
        <f t="shared" si="31"/>
        <v>0</v>
      </c>
      <c r="I42" s="126">
        <f t="shared" si="32"/>
        <v>0</v>
      </c>
      <c r="J42" s="126">
        <f>14400-14400</f>
        <v>0</v>
      </c>
      <c r="K42" s="126">
        <v>0</v>
      </c>
      <c r="L42" s="126">
        <f t="shared" si="33"/>
        <v>0</v>
      </c>
      <c r="M42" s="141"/>
      <c r="N42" s="141"/>
      <c r="O42" s="141">
        <f t="shared" si="34"/>
        <v>223.23299999999998</v>
      </c>
      <c r="P42" s="141">
        <f t="shared" si="35"/>
        <v>223.23299999999998</v>
      </c>
      <c r="Q42" s="141">
        <v>223.23299999999998</v>
      </c>
      <c r="R42" s="141"/>
      <c r="S42" s="141">
        <f t="shared" si="36"/>
        <v>0</v>
      </c>
      <c r="T42" s="141"/>
      <c r="U42" s="141"/>
      <c r="V42" s="141">
        <f t="shared" si="37"/>
        <v>36.312000000000012</v>
      </c>
      <c r="W42" s="141">
        <f>X42+Y42</f>
        <v>36.312000000000012</v>
      </c>
      <c r="X42" s="141">
        <v>36.312000000000012</v>
      </c>
      <c r="Y42" s="141"/>
      <c r="Z42" s="141">
        <f t="shared" si="38"/>
        <v>0</v>
      </c>
      <c r="AA42" s="141"/>
      <c r="AB42" s="141"/>
      <c r="AC42" s="141"/>
      <c r="AD42" s="141"/>
      <c r="AE42" s="141"/>
      <c r="AF42" s="141"/>
      <c r="AG42" s="141"/>
      <c r="AH42" s="141"/>
      <c r="AI42" s="126">
        <f t="shared" si="23"/>
        <v>258.73300000000012</v>
      </c>
      <c r="AJ42" s="126">
        <f t="shared" si="25"/>
        <v>253.7700000000001</v>
      </c>
      <c r="AK42" s="126">
        <f t="shared" si="25"/>
        <v>0</v>
      </c>
      <c r="AL42" s="141">
        <f t="shared" si="26"/>
        <v>4.9630000000000001</v>
      </c>
      <c r="AM42" s="141">
        <f t="shared" si="26"/>
        <v>0</v>
      </c>
      <c r="AN42" s="126"/>
      <c r="AO42" s="130">
        <f t="shared" si="2"/>
        <v>0</v>
      </c>
      <c r="AP42" s="116"/>
    </row>
    <row r="43" spans="1:42" s="117" customFormat="1" ht="14" hidden="1" outlineLevel="1">
      <c r="A43" s="146"/>
      <c r="B43" s="147" t="s">
        <v>566</v>
      </c>
      <c r="C43" s="126">
        <f t="shared" si="30"/>
        <v>5.0249999999983608</v>
      </c>
      <c r="D43" s="126">
        <v>6.4999999998690328E-2</v>
      </c>
      <c r="E43" s="126">
        <v>0</v>
      </c>
      <c r="F43" s="141">
        <v>4.9599999999996705</v>
      </c>
      <c r="G43" s="141">
        <v>0</v>
      </c>
      <c r="H43" s="126">
        <f t="shared" si="31"/>
        <v>0</v>
      </c>
      <c r="I43" s="126">
        <f t="shared" si="32"/>
        <v>0</v>
      </c>
      <c r="J43" s="126">
        <f>12503.449-12503.449</f>
        <v>0</v>
      </c>
      <c r="K43" s="126">
        <v>0</v>
      </c>
      <c r="L43" s="126">
        <f t="shared" si="33"/>
        <v>0</v>
      </c>
      <c r="M43" s="141"/>
      <c r="N43" s="141"/>
      <c r="O43" s="141">
        <f t="shared" si="34"/>
        <v>0</v>
      </c>
      <c r="P43" s="141">
        <f t="shared" si="35"/>
        <v>0</v>
      </c>
      <c r="Q43" s="141"/>
      <c r="R43" s="141"/>
      <c r="S43" s="141">
        <f t="shared" si="36"/>
        <v>0</v>
      </c>
      <c r="T43" s="141"/>
      <c r="U43" s="141"/>
      <c r="V43" s="141">
        <f t="shared" si="37"/>
        <v>4.9599999999996705</v>
      </c>
      <c r="W43" s="141"/>
      <c r="X43" s="141"/>
      <c r="Y43" s="141"/>
      <c r="Z43" s="141">
        <f t="shared" si="38"/>
        <v>4.9599999999996705</v>
      </c>
      <c r="AA43" s="141">
        <v>4.9599999999996705</v>
      </c>
      <c r="AB43" s="141"/>
      <c r="AC43" s="141"/>
      <c r="AD43" s="141"/>
      <c r="AE43" s="141"/>
      <c r="AF43" s="141"/>
      <c r="AG43" s="141"/>
      <c r="AH43" s="141"/>
      <c r="AI43" s="126">
        <f t="shared" si="23"/>
        <v>6.4999999998690328E-2</v>
      </c>
      <c r="AJ43" s="126">
        <f t="shared" si="25"/>
        <v>6.4999999998690328E-2</v>
      </c>
      <c r="AK43" s="126">
        <f t="shared" si="25"/>
        <v>0</v>
      </c>
      <c r="AL43" s="141">
        <f t="shared" si="26"/>
        <v>0</v>
      </c>
      <c r="AM43" s="141">
        <f t="shared" si="26"/>
        <v>0</v>
      </c>
      <c r="AN43" s="126"/>
      <c r="AO43" s="130">
        <f t="shared" si="2"/>
        <v>0</v>
      </c>
      <c r="AP43" s="116"/>
    </row>
    <row r="44" spans="1:42" s="117" customFormat="1" ht="14" hidden="1" outlineLevel="1">
      <c r="A44" s="146"/>
      <c r="B44" s="147" t="s">
        <v>565</v>
      </c>
      <c r="C44" s="126">
        <f>SUM(D44:G44)</f>
        <v>0</v>
      </c>
      <c r="D44" s="126"/>
      <c r="E44" s="126">
        <v>0</v>
      </c>
      <c r="F44" s="141"/>
      <c r="G44" s="141">
        <v>0</v>
      </c>
      <c r="H44" s="126">
        <f t="shared" si="31"/>
        <v>32049</v>
      </c>
      <c r="I44" s="126">
        <f t="shared" si="32"/>
        <v>32049</v>
      </c>
      <c r="J44" s="126">
        <v>32049</v>
      </c>
      <c r="K44" s="126">
        <v>0</v>
      </c>
      <c r="L44" s="126">
        <f t="shared" si="33"/>
        <v>0</v>
      </c>
      <c r="M44" s="141"/>
      <c r="N44" s="141"/>
      <c r="O44" s="141">
        <f>P44+S44</f>
        <v>18418.828243</v>
      </c>
      <c r="P44" s="141">
        <f>Q44+R44</f>
        <v>18418.828243</v>
      </c>
      <c r="Q44" s="141">
        <v>18418.828243</v>
      </c>
      <c r="R44" s="141"/>
      <c r="S44" s="141">
        <f>T44+U44</f>
        <v>0</v>
      </c>
      <c r="T44" s="141"/>
      <c r="U44" s="141"/>
      <c r="V44" s="141">
        <f t="shared" si="37"/>
        <v>0</v>
      </c>
      <c r="W44" s="141"/>
      <c r="X44" s="141"/>
      <c r="Y44" s="141"/>
      <c r="Z44" s="141">
        <f t="shared" si="38"/>
        <v>0</v>
      </c>
      <c r="AA44" s="141"/>
      <c r="AB44" s="141"/>
      <c r="AC44" s="141"/>
      <c r="AD44" s="141"/>
      <c r="AE44" s="141"/>
      <c r="AF44" s="141"/>
      <c r="AG44" s="141"/>
      <c r="AH44" s="141"/>
      <c r="AI44" s="126">
        <f>SUM(AJ44:AM44)</f>
        <v>13630.171757</v>
      </c>
      <c r="AJ44" s="126">
        <f t="shared" si="25"/>
        <v>13630.171757</v>
      </c>
      <c r="AK44" s="126">
        <f t="shared" si="25"/>
        <v>0</v>
      </c>
      <c r="AL44" s="141">
        <f t="shared" si="26"/>
        <v>0</v>
      </c>
      <c r="AM44" s="141">
        <f t="shared" si="26"/>
        <v>0</v>
      </c>
      <c r="AN44" s="126"/>
      <c r="AO44" s="130">
        <f t="shared" si="2"/>
        <v>0</v>
      </c>
      <c r="AP44" s="116"/>
    </row>
    <row r="45" spans="1:42" s="117" customFormat="1" ht="14" hidden="1" outlineLevel="1">
      <c r="A45" s="146"/>
      <c r="B45" s="140" t="s">
        <v>580</v>
      </c>
      <c r="C45" s="126">
        <f>SUM(D45:G45)</f>
        <v>101.79</v>
      </c>
      <c r="D45" s="126">
        <f>101.79</f>
        <v>101.79</v>
      </c>
      <c r="E45" s="126">
        <v>0</v>
      </c>
      <c r="F45" s="141">
        <f>101.79-101.79</f>
        <v>0</v>
      </c>
      <c r="G45" s="141">
        <v>0</v>
      </c>
      <c r="H45" s="126">
        <f>I45+L45</f>
        <v>102.7</v>
      </c>
      <c r="I45" s="126">
        <f>J45+K45</f>
        <v>102.7</v>
      </c>
      <c r="J45" s="126">
        <f>102.7</f>
        <v>102.7</v>
      </c>
      <c r="K45" s="126">
        <v>0</v>
      </c>
      <c r="L45" s="126">
        <f>M45+N45</f>
        <v>0</v>
      </c>
      <c r="M45" s="141">
        <f>102.7-102.7</f>
        <v>0</v>
      </c>
      <c r="N45" s="141"/>
      <c r="O45" s="141">
        <f t="shared" si="34"/>
        <v>0</v>
      </c>
      <c r="P45" s="141">
        <f t="shared" si="35"/>
        <v>0</v>
      </c>
      <c r="Q45" s="141"/>
      <c r="R45" s="141"/>
      <c r="S45" s="141">
        <f t="shared" si="36"/>
        <v>0</v>
      </c>
      <c r="T45" s="141"/>
      <c r="U45" s="141"/>
      <c r="V45" s="141">
        <f t="shared" si="37"/>
        <v>0</v>
      </c>
      <c r="W45" s="141"/>
      <c r="X45" s="141"/>
      <c r="Y45" s="141"/>
      <c r="Z45" s="141">
        <f t="shared" si="38"/>
        <v>0</v>
      </c>
      <c r="AA45" s="141"/>
      <c r="AB45" s="141"/>
      <c r="AC45" s="141"/>
      <c r="AD45" s="141"/>
      <c r="AE45" s="141"/>
      <c r="AF45" s="141"/>
      <c r="AG45" s="141"/>
      <c r="AH45" s="141"/>
      <c r="AI45" s="126">
        <f>SUM(AJ45:AM45)</f>
        <v>204.49</v>
      </c>
      <c r="AJ45" s="126">
        <f>D45+J45-Q45-X45-AD45</f>
        <v>204.49</v>
      </c>
      <c r="AK45" s="126">
        <f>E45+K45-R45-Y45-AE45</f>
        <v>0</v>
      </c>
      <c r="AL45" s="141">
        <f>F45+M45-T45-AA45-AG45</f>
        <v>0</v>
      </c>
      <c r="AM45" s="141">
        <f>G45+N45-U45-AB45-AH45</f>
        <v>0</v>
      </c>
      <c r="AN45" s="126"/>
      <c r="AO45" s="130">
        <f t="shared" si="2"/>
        <v>0</v>
      </c>
      <c r="AP45" s="116"/>
    </row>
    <row r="46" spans="1:42" s="117" customFormat="1" ht="14" hidden="1" outlineLevel="1">
      <c r="A46" s="146" t="s">
        <v>185</v>
      </c>
      <c r="B46" s="147" t="s">
        <v>581</v>
      </c>
      <c r="C46" s="126">
        <f t="shared" ref="C46:H46" si="39">SUM(C47:C53)</f>
        <v>42.968999999999816</v>
      </c>
      <c r="D46" s="126">
        <f t="shared" si="39"/>
        <v>0</v>
      </c>
      <c r="E46" s="126">
        <f t="shared" si="39"/>
        <v>19.767999999999919</v>
      </c>
      <c r="F46" s="126">
        <f t="shared" si="39"/>
        <v>0</v>
      </c>
      <c r="G46" s="126">
        <f t="shared" si="39"/>
        <v>23.200999999999897</v>
      </c>
      <c r="H46" s="126">
        <f t="shared" si="39"/>
        <v>7511</v>
      </c>
      <c r="I46" s="126">
        <f t="shared" ref="I46:AH46" si="40">SUM(I47:I53)</f>
        <v>66.599999999999994</v>
      </c>
      <c r="J46" s="126">
        <f t="shared" si="40"/>
        <v>0</v>
      </c>
      <c r="K46" s="126">
        <f t="shared" si="40"/>
        <v>66.599999999999994</v>
      </c>
      <c r="L46" s="126">
        <f t="shared" si="40"/>
        <v>7444.4</v>
      </c>
      <c r="M46" s="126">
        <f t="shared" si="40"/>
        <v>0</v>
      </c>
      <c r="N46" s="126">
        <f t="shared" si="40"/>
        <v>7444.4</v>
      </c>
      <c r="O46" s="126">
        <f t="shared" si="40"/>
        <v>7419.9855809999999</v>
      </c>
      <c r="P46" s="126">
        <f t="shared" si="40"/>
        <v>0</v>
      </c>
      <c r="Q46" s="126">
        <f t="shared" si="40"/>
        <v>0</v>
      </c>
      <c r="R46" s="126">
        <f t="shared" si="40"/>
        <v>0</v>
      </c>
      <c r="S46" s="126">
        <f t="shared" si="40"/>
        <v>7419.9855809999999</v>
      </c>
      <c r="T46" s="126">
        <f t="shared" si="40"/>
        <v>0</v>
      </c>
      <c r="U46" s="126">
        <f t="shared" si="40"/>
        <v>7419.9855809999999</v>
      </c>
      <c r="V46" s="126">
        <f t="shared" si="40"/>
        <v>23.200999999999894</v>
      </c>
      <c r="W46" s="126">
        <f t="shared" si="40"/>
        <v>0</v>
      </c>
      <c r="X46" s="126">
        <f t="shared" si="40"/>
        <v>0</v>
      </c>
      <c r="Y46" s="126">
        <f t="shared" si="40"/>
        <v>0</v>
      </c>
      <c r="Z46" s="126">
        <f t="shared" si="40"/>
        <v>23.200999999999894</v>
      </c>
      <c r="AA46" s="126">
        <f t="shared" si="40"/>
        <v>0</v>
      </c>
      <c r="AB46" s="126">
        <f t="shared" si="40"/>
        <v>23.200999999999894</v>
      </c>
      <c r="AC46" s="126">
        <f t="shared" si="40"/>
        <v>0</v>
      </c>
      <c r="AD46" s="126">
        <f t="shared" si="40"/>
        <v>0</v>
      </c>
      <c r="AE46" s="126">
        <f t="shared" si="40"/>
        <v>0</v>
      </c>
      <c r="AF46" s="126">
        <f t="shared" si="40"/>
        <v>0</v>
      </c>
      <c r="AG46" s="126">
        <f t="shared" si="40"/>
        <v>0</v>
      </c>
      <c r="AH46" s="126">
        <f t="shared" si="40"/>
        <v>0</v>
      </c>
      <c r="AI46" s="126">
        <f t="shared" si="23"/>
        <v>110.78241899999976</v>
      </c>
      <c r="AJ46" s="126">
        <f t="shared" si="25"/>
        <v>0</v>
      </c>
      <c r="AK46" s="126">
        <f t="shared" si="25"/>
        <v>86.36799999999991</v>
      </c>
      <c r="AL46" s="141">
        <f t="shared" si="26"/>
        <v>0</v>
      </c>
      <c r="AM46" s="141">
        <f t="shared" si="26"/>
        <v>24.414418999999853</v>
      </c>
      <c r="AN46" s="126"/>
      <c r="AO46" s="130">
        <f t="shared" si="2"/>
        <v>4.8316906031686813E-13</v>
      </c>
      <c r="AP46" s="116"/>
    </row>
    <row r="47" spans="1:42" s="117" customFormat="1" ht="14" hidden="1" outlineLevel="1">
      <c r="A47" s="146"/>
      <c r="B47" s="147" t="s">
        <v>568</v>
      </c>
      <c r="C47" s="126">
        <f t="shared" si="30"/>
        <v>0</v>
      </c>
      <c r="D47" s="126">
        <v>0</v>
      </c>
      <c r="E47" s="126">
        <v>0</v>
      </c>
      <c r="F47" s="141">
        <v>0</v>
      </c>
      <c r="G47" s="141">
        <v>0</v>
      </c>
      <c r="H47" s="126">
        <f t="shared" si="31"/>
        <v>2774</v>
      </c>
      <c r="I47" s="126">
        <f t="shared" si="32"/>
        <v>0</v>
      </c>
      <c r="J47" s="126"/>
      <c r="K47" s="126">
        <v>0</v>
      </c>
      <c r="L47" s="126">
        <f t="shared" si="33"/>
        <v>2774</v>
      </c>
      <c r="M47" s="141"/>
      <c r="N47" s="141">
        <v>2774</v>
      </c>
      <c r="O47" s="141">
        <f t="shared" ref="O47:O53" si="41">P47+S47</f>
        <v>2750.046488</v>
      </c>
      <c r="P47" s="141">
        <f t="shared" ref="P47:P53" si="42">Q47+R47</f>
        <v>0</v>
      </c>
      <c r="Q47" s="141"/>
      <c r="R47" s="141"/>
      <c r="S47" s="141">
        <f t="shared" ref="S47:S53" si="43">T47+U47</f>
        <v>2750.046488</v>
      </c>
      <c r="T47" s="141"/>
      <c r="U47" s="141">
        <f>2750.046488</f>
        <v>2750.046488</v>
      </c>
      <c r="V47" s="141">
        <f>W47+Z47</f>
        <v>0</v>
      </c>
      <c r="W47" s="141">
        <f>X47+Y47</f>
        <v>0</v>
      </c>
      <c r="X47" s="141"/>
      <c r="Y47" s="141"/>
      <c r="Z47" s="141">
        <f>AA47+AB47</f>
        <v>0</v>
      </c>
      <c r="AA47" s="141"/>
      <c r="AB47" s="141"/>
      <c r="AC47" s="141"/>
      <c r="AD47" s="141"/>
      <c r="AE47" s="141"/>
      <c r="AF47" s="141"/>
      <c r="AG47" s="141"/>
      <c r="AH47" s="141"/>
      <c r="AI47" s="126">
        <f t="shared" si="23"/>
        <v>23.953512000000046</v>
      </c>
      <c r="AJ47" s="126">
        <f t="shared" si="25"/>
        <v>0</v>
      </c>
      <c r="AK47" s="126">
        <f t="shared" si="25"/>
        <v>0</v>
      </c>
      <c r="AL47" s="141">
        <f t="shared" si="26"/>
        <v>0</v>
      </c>
      <c r="AM47" s="141">
        <f t="shared" si="26"/>
        <v>23.953512000000046</v>
      </c>
      <c r="AN47" s="126"/>
      <c r="AO47" s="130">
        <f t="shared" si="2"/>
        <v>0</v>
      </c>
      <c r="AP47" s="116"/>
    </row>
    <row r="48" spans="1:42" s="117" customFormat="1" ht="14" hidden="1" outlineLevel="1">
      <c r="A48" s="146"/>
      <c r="B48" s="147" t="s">
        <v>567</v>
      </c>
      <c r="C48" s="126">
        <f t="shared" si="30"/>
        <v>0</v>
      </c>
      <c r="D48" s="126">
        <v>0</v>
      </c>
      <c r="E48" s="126">
        <v>0</v>
      </c>
      <c r="F48" s="141">
        <v>0</v>
      </c>
      <c r="G48" s="141">
        <v>0</v>
      </c>
      <c r="H48" s="126">
        <f t="shared" si="31"/>
        <v>2651.4</v>
      </c>
      <c r="I48" s="126">
        <f t="shared" si="32"/>
        <v>0</v>
      </c>
      <c r="J48" s="126"/>
      <c r="K48" s="126">
        <v>0</v>
      </c>
      <c r="L48" s="126">
        <f t="shared" si="33"/>
        <v>2651.4</v>
      </c>
      <c r="M48" s="141"/>
      <c r="N48" s="141">
        <f>2718-66.6</f>
        <v>2651.4</v>
      </c>
      <c r="O48" s="141">
        <f t="shared" si="41"/>
        <v>2651.4</v>
      </c>
      <c r="P48" s="141">
        <f t="shared" si="42"/>
        <v>0</v>
      </c>
      <c r="Q48" s="141"/>
      <c r="R48" s="141"/>
      <c r="S48" s="141">
        <f t="shared" si="43"/>
        <v>2651.4</v>
      </c>
      <c r="T48" s="141"/>
      <c r="U48" s="141">
        <f>2651.4</f>
        <v>2651.4</v>
      </c>
      <c r="V48" s="141">
        <f t="shared" ref="V48:V53" si="44">W48+Z48</f>
        <v>0</v>
      </c>
      <c r="W48" s="141">
        <f t="shared" ref="W48:W53" si="45">X48+Y48</f>
        <v>0</v>
      </c>
      <c r="X48" s="141"/>
      <c r="Y48" s="141"/>
      <c r="Z48" s="141">
        <f t="shared" ref="Z48:Z53" si="46">AA48+AB48</f>
        <v>0</v>
      </c>
      <c r="AA48" s="141"/>
      <c r="AB48" s="141">
        <f>N48-U48</f>
        <v>0</v>
      </c>
      <c r="AC48" s="141"/>
      <c r="AD48" s="141"/>
      <c r="AE48" s="141"/>
      <c r="AF48" s="141"/>
      <c r="AG48" s="141"/>
      <c r="AH48" s="141"/>
      <c r="AI48" s="126">
        <f t="shared" si="23"/>
        <v>0</v>
      </c>
      <c r="AJ48" s="126">
        <f t="shared" si="25"/>
        <v>0</v>
      </c>
      <c r="AK48" s="126">
        <f t="shared" si="25"/>
        <v>0</v>
      </c>
      <c r="AL48" s="141">
        <f t="shared" si="26"/>
        <v>0</v>
      </c>
      <c r="AM48" s="141">
        <f t="shared" si="26"/>
        <v>0</v>
      </c>
      <c r="AN48" s="126"/>
      <c r="AO48" s="130">
        <f t="shared" si="2"/>
        <v>0</v>
      </c>
      <c r="AP48" s="116"/>
    </row>
    <row r="49" spans="1:42" s="117" customFormat="1" ht="14" hidden="1" outlineLevel="1">
      <c r="A49" s="146"/>
      <c r="B49" s="137" t="s">
        <v>563</v>
      </c>
      <c r="C49" s="126">
        <f t="shared" si="30"/>
        <v>0</v>
      </c>
      <c r="D49" s="126">
        <v>0</v>
      </c>
      <c r="E49" s="126">
        <v>0</v>
      </c>
      <c r="F49" s="141">
        <v>0</v>
      </c>
      <c r="G49" s="141">
        <f>0.049999999999919-0.049999999999919</f>
        <v>0</v>
      </c>
      <c r="H49" s="126">
        <f t="shared" si="31"/>
        <v>0</v>
      </c>
      <c r="I49" s="126">
        <f t="shared" si="32"/>
        <v>0</v>
      </c>
      <c r="J49" s="126"/>
      <c r="K49" s="126">
        <v>0</v>
      </c>
      <c r="L49" s="126">
        <f t="shared" si="33"/>
        <v>0</v>
      </c>
      <c r="M49" s="141"/>
      <c r="N49" s="141"/>
      <c r="O49" s="141">
        <f t="shared" si="41"/>
        <v>0</v>
      </c>
      <c r="P49" s="141">
        <f t="shared" si="42"/>
        <v>0</v>
      </c>
      <c r="Q49" s="141"/>
      <c r="R49" s="141"/>
      <c r="S49" s="141">
        <f t="shared" si="43"/>
        <v>0</v>
      </c>
      <c r="T49" s="141"/>
      <c r="U49" s="141"/>
      <c r="V49" s="141">
        <f t="shared" si="44"/>
        <v>0</v>
      </c>
      <c r="W49" s="141">
        <f t="shared" si="45"/>
        <v>0</v>
      </c>
      <c r="X49" s="141"/>
      <c r="Y49" s="141"/>
      <c r="Z49" s="141">
        <f t="shared" si="46"/>
        <v>0</v>
      </c>
      <c r="AA49" s="141"/>
      <c r="AB49" s="141"/>
      <c r="AC49" s="141"/>
      <c r="AD49" s="141"/>
      <c r="AE49" s="141"/>
      <c r="AF49" s="141"/>
      <c r="AG49" s="141"/>
      <c r="AH49" s="141"/>
      <c r="AI49" s="126">
        <f t="shared" si="23"/>
        <v>0</v>
      </c>
      <c r="AJ49" s="126">
        <f t="shared" si="25"/>
        <v>0</v>
      </c>
      <c r="AK49" s="126">
        <f t="shared" si="25"/>
        <v>0</v>
      </c>
      <c r="AL49" s="141">
        <f t="shared" si="26"/>
        <v>0</v>
      </c>
      <c r="AM49" s="141">
        <f t="shared" si="26"/>
        <v>0</v>
      </c>
      <c r="AN49" s="126"/>
      <c r="AO49" s="130">
        <f t="shared" si="2"/>
        <v>0</v>
      </c>
      <c r="AP49" s="116"/>
    </row>
    <row r="50" spans="1:42" s="117" customFormat="1" ht="14" hidden="1" outlineLevel="1">
      <c r="A50" s="146"/>
      <c r="B50" s="147" t="s">
        <v>564</v>
      </c>
      <c r="C50" s="126">
        <f t="shared" si="30"/>
        <v>13.961000000000002</v>
      </c>
      <c r="D50" s="126">
        <v>0</v>
      </c>
      <c r="E50" s="126">
        <v>0</v>
      </c>
      <c r="F50" s="141">
        <v>0</v>
      </c>
      <c r="G50" s="141">
        <f>33.679-19.718</f>
        <v>13.961000000000002</v>
      </c>
      <c r="H50" s="126">
        <f t="shared" si="31"/>
        <v>0</v>
      </c>
      <c r="I50" s="126">
        <f t="shared" si="32"/>
        <v>0</v>
      </c>
      <c r="J50" s="126"/>
      <c r="K50" s="126">
        <v>0</v>
      </c>
      <c r="L50" s="126">
        <f t="shared" si="33"/>
        <v>0</v>
      </c>
      <c r="M50" s="141"/>
      <c r="N50" s="141"/>
      <c r="O50" s="141">
        <f t="shared" si="41"/>
        <v>0</v>
      </c>
      <c r="P50" s="141">
        <f t="shared" si="42"/>
        <v>0</v>
      </c>
      <c r="Q50" s="141"/>
      <c r="R50" s="141"/>
      <c r="S50" s="141">
        <f t="shared" si="43"/>
        <v>0</v>
      </c>
      <c r="T50" s="141"/>
      <c r="U50" s="141">
        <f>0</f>
        <v>0</v>
      </c>
      <c r="V50" s="141">
        <f t="shared" si="44"/>
        <v>13.961</v>
      </c>
      <c r="W50" s="141">
        <f t="shared" si="45"/>
        <v>0</v>
      </c>
      <c r="X50" s="141"/>
      <c r="Y50" s="141"/>
      <c r="Z50" s="141">
        <f t="shared" si="46"/>
        <v>13.961</v>
      </c>
      <c r="AA50" s="141"/>
      <c r="AB50" s="141">
        <f>13.961</f>
        <v>13.961</v>
      </c>
      <c r="AC50" s="141"/>
      <c r="AD50" s="141"/>
      <c r="AE50" s="141"/>
      <c r="AF50" s="141"/>
      <c r="AG50" s="141"/>
      <c r="AH50" s="141"/>
      <c r="AI50" s="126">
        <f t="shared" si="23"/>
        <v>1.7763568394002505E-15</v>
      </c>
      <c r="AJ50" s="126">
        <f t="shared" si="25"/>
        <v>0</v>
      </c>
      <c r="AK50" s="126">
        <f t="shared" si="25"/>
        <v>0</v>
      </c>
      <c r="AL50" s="141">
        <f t="shared" si="26"/>
        <v>0</v>
      </c>
      <c r="AM50" s="141">
        <f t="shared" si="26"/>
        <v>1.7763568394002505E-15</v>
      </c>
      <c r="AN50" s="126"/>
      <c r="AO50" s="130">
        <f t="shared" si="2"/>
        <v>0</v>
      </c>
      <c r="AP50" s="116"/>
    </row>
    <row r="51" spans="1:42" s="117" customFormat="1" ht="14" hidden="1" outlineLevel="1">
      <c r="A51" s="146"/>
      <c r="B51" s="147" t="s">
        <v>565</v>
      </c>
      <c r="C51" s="126">
        <f>SUM(D51:G51)</f>
        <v>0</v>
      </c>
      <c r="D51" s="126">
        <v>0</v>
      </c>
      <c r="E51" s="126">
        <v>0</v>
      </c>
      <c r="F51" s="141">
        <v>0</v>
      </c>
      <c r="G51" s="141"/>
      <c r="H51" s="126">
        <f>I51+L51</f>
        <v>2019</v>
      </c>
      <c r="I51" s="126">
        <f>J51+K51</f>
        <v>0</v>
      </c>
      <c r="J51" s="126"/>
      <c r="K51" s="126">
        <v>0</v>
      </c>
      <c r="L51" s="126">
        <f>M51+N51</f>
        <v>2019</v>
      </c>
      <c r="M51" s="141"/>
      <c r="N51" s="141">
        <f>2019</f>
        <v>2019</v>
      </c>
      <c r="O51" s="141">
        <f t="shared" si="41"/>
        <v>2018.5390930000001</v>
      </c>
      <c r="P51" s="141">
        <f t="shared" si="42"/>
        <v>0</v>
      </c>
      <c r="Q51" s="141"/>
      <c r="R51" s="141"/>
      <c r="S51" s="141">
        <f t="shared" si="43"/>
        <v>2018.5390930000001</v>
      </c>
      <c r="T51" s="141"/>
      <c r="U51" s="141">
        <f>2018.539093</f>
        <v>2018.5390930000001</v>
      </c>
      <c r="V51" s="141">
        <f>W51+Z51</f>
        <v>0</v>
      </c>
      <c r="W51" s="141">
        <f>X51+Y51</f>
        <v>0</v>
      </c>
      <c r="X51" s="141"/>
      <c r="Y51" s="141"/>
      <c r="Z51" s="141">
        <f>AA51+AB51</f>
        <v>0</v>
      </c>
      <c r="AA51" s="141"/>
      <c r="AB51" s="141"/>
      <c r="AC51" s="141"/>
      <c r="AD51" s="141"/>
      <c r="AE51" s="141"/>
      <c r="AF51" s="141"/>
      <c r="AG51" s="141"/>
      <c r="AH51" s="141"/>
      <c r="AI51" s="126">
        <f>SUM(AJ51:AM51)</f>
        <v>0.46090699999990647</v>
      </c>
      <c r="AJ51" s="126">
        <f>D51+J51-Q51-X51-AD51</f>
        <v>0</v>
      </c>
      <c r="AK51" s="126">
        <f>E51+K51-R51-Y51-AE51</f>
        <v>0</v>
      </c>
      <c r="AL51" s="141">
        <f>F51+M51-T51-AA51-AG51</f>
        <v>0</v>
      </c>
      <c r="AM51" s="141">
        <f>G51+N51-U51-AB51-AH51</f>
        <v>0.46090699999990647</v>
      </c>
      <c r="AN51" s="126"/>
      <c r="AO51" s="130">
        <f t="shared" si="2"/>
        <v>0</v>
      </c>
      <c r="AP51" s="116"/>
    </row>
    <row r="52" spans="1:42" s="117" customFormat="1" ht="14" hidden="1" outlineLevel="1">
      <c r="A52" s="146"/>
      <c r="B52" s="147" t="s">
        <v>566</v>
      </c>
      <c r="C52" s="126">
        <f>SUM(D52:G52)</f>
        <v>9.2399999999998954</v>
      </c>
      <c r="D52" s="126">
        <v>0</v>
      </c>
      <c r="E52" s="126">
        <v>0</v>
      </c>
      <c r="F52" s="141">
        <v>0</v>
      </c>
      <c r="G52" s="141">
        <v>9.2399999999998954</v>
      </c>
      <c r="H52" s="126">
        <f>I52+L52</f>
        <v>0</v>
      </c>
      <c r="I52" s="126">
        <f>J52+K52</f>
        <v>0</v>
      </c>
      <c r="J52" s="126"/>
      <c r="K52" s="126">
        <v>0</v>
      </c>
      <c r="L52" s="126">
        <f>M52+N52</f>
        <v>0</v>
      </c>
      <c r="M52" s="141"/>
      <c r="N52" s="141"/>
      <c r="O52" s="141">
        <f>P52+S52</f>
        <v>0</v>
      </c>
      <c r="P52" s="141">
        <f>Q52+R52</f>
        <v>0</v>
      </c>
      <c r="Q52" s="141"/>
      <c r="R52" s="141"/>
      <c r="S52" s="141">
        <f>T52+U52</f>
        <v>0</v>
      </c>
      <c r="T52" s="141"/>
      <c r="U52" s="141"/>
      <c r="V52" s="141">
        <f>W52+Z52</f>
        <v>9.2399999999998954</v>
      </c>
      <c r="W52" s="141">
        <f>X52+Y52</f>
        <v>0</v>
      </c>
      <c r="X52" s="141"/>
      <c r="Y52" s="141"/>
      <c r="Z52" s="141">
        <f>AA52+AB52</f>
        <v>9.2399999999998954</v>
      </c>
      <c r="AA52" s="141"/>
      <c r="AB52" s="141">
        <v>9.2399999999998954</v>
      </c>
      <c r="AC52" s="141"/>
      <c r="AD52" s="141"/>
      <c r="AE52" s="141"/>
      <c r="AF52" s="141"/>
      <c r="AG52" s="141"/>
      <c r="AH52" s="141"/>
      <c r="AI52" s="126">
        <f>SUM(AJ52:AM52)</f>
        <v>0</v>
      </c>
      <c r="AJ52" s="126">
        <f>D52+J52-Q52-X52-AD52</f>
        <v>0</v>
      </c>
      <c r="AK52" s="126">
        <f>E52+K52-R52-Y52-AE52</f>
        <v>0</v>
      </c>
      <c r="AL52" s="141">
        <f>F52+M52-T52-AA52-AG52</f>
        <v>0</v>
      </c>
      <c r="AM52" s="141">
        <f>G52+N52-U52-AB52-AH52</f>
        <v>0</v>
      </c>
      <c r="AN52" s="126"/>
      <c r="AO52" s="130">
        <f t="shared" si="2"/>
        <v>0</v>
      </c>
      <c r="AP52" s="116"/>
    </row>
    <row r="53" spans="1:42" s="117" customFormat="1" ht="14" hidden="1" outlineLevel="1">
      <c r="A53" s="146"/>
      <c r="B53" s="140" t="s">
        <v>580</v>
      </c>
      <c r="C53" s="126">
        <f t="shared" si="30"/>
        <v>19.767999999999919</v>
      </c>
      <c r="D53" s="126">
        <v>0</v>
      </c>
      <c r="E53" s="126">
        <f>19.718+0.049999999999919</f>
        <v>19.767999999999919</v>
      </c>
      <c r="F53" s="141">
        <v>0</v>
      </c>
      <c r="G53" s="141">
        <f>19.718-19.718</f>
        <v>0</v>
      </c>
      <c r="H53" s="126">
        <f t="shared" si="31"/>
        <v>66.599999999999994</v>
      </c>
      <c r="I53" s="126">
        <f t="shared" si="32"/>
        <v>66.599999999999994</v>
      </c>
      <c r="J53" s="126"/>
      <c r="K53" s="126">
        <f>66.6</f>
        <v>66.599999999999994</v>
      </c>
      <c r="L53" s="126">
        <f t="shared" si="33"/>
        <v>0</v>
      </c>
      <c r="M53" s="141"/>
      <c r="N53" s="141">
        <f>66.6-(66.6)</f>
        <v>0</v>
      </c>
      <c r="O53" s="141">
        <f t="shared" si="41"/>
        <v>0</v>
      </c>
      <c r="P53" s="141">
        <f t="shared" si="42"/>
        <v>0</v>
      </c>
      <c r="Q53" s="141"/>
      <c r="R53" s="141"/>
      <c r="S53" s="141">
        <f t="shared" si="43"/>
        <v>0</v>
      </c>
      <c r="T53" s="141"/>
      <c r="U53" s="141"/>
      <c r="V53" s="141">
        <f t="shared" si="44"/>
        <v>0</v>
      </c>
      <c r="W53" s="141">
        <f t="shared" si="45"/>
        <v>0</v>
      </c>
      <c r="X53" s="141"/>
      <c r="Y53" s="141"/>
      <c r="Z53" s="141">
        <f t="shared" si="46"/>
        <v>0</v>
      </c>
      <c r="AA53" s="141"/>
      <c r="AB53" s="141"/>
      <c r="AC53" s="141"/>
      <c r="AD53" s="141"/>
      <c r="AE53" s="141"/>
      <c r="AF53" s="141"/>
      <c r="AG53" s="141"/>
      <c r="AH53" s="141"/>
      <c r="AI53" s="126">
        <f t="shared" si="23"/>
        <v>86.36799999999991</v>
      </c>
      <c r="AJ53" s="126">
        <f t="shared" si="25"/>
        <v>0</v>
      </c>
      <c r="AK53" s="126">
        <f t="shared" si="25"/>
        <v>86.36799999999991</v>
      </c>
      <c r="AL53" s="141">
        <f t="shared" si="26"/>
        <v>0</v>
      </c>
      <c r="AM53" s="141">
        <f t="shared" si="26"/>
        <v>0</v>
      </c>
      <c r="AN53" s="126"/>
      <c r="AO53" s="130">
        <f t="shared" si="2"/>
        <v>0</v>
      </c>
      <c r="AP53" s="116"/>
    </row>
    <row r="54" spans="1:42" s="117" customFormat="1" ht="28" hidden="1" outlineLevel="1">
      <c r="A54" s="146" t="s">
        <v>186</v>
      </c>
      <c r="B54" s="147" t="s">
        <v>582</v>
      </c>
      <c r="C54" s="126">
        <f>SUM(C55:C62)</f>
        <v>453.56549999999822</v>
      </c>
      <c r="D54" s="126">
        <f>SUM(D55:D62)</f>
        <v>0</v>
      </c>
      <c r="E54" s="126">
        <f>SUM(E55:E62)</f>
        <v>95.966999999999388</v>
      </c>
      <c r="F54" s="126">
        <f>SUM(F55:F62)</f>
        <v>0</v>
      </c>
      <c r="G54" s="126">
        <f>SUM(G55:G62)</f>
        <v>357.59849999999881</v>
      </c>
      <c r="H54" s="126">
        <f t="shared" si="31"/>
        <v>20773</v>
      </c>
      <c r="I54" s="126">
        <f>SUM(I55:I62)</f>
        <v>1837</v>
      </c>
      <c r="J54" s="126">
        <f t="shared" ref="J54:AH54" si="47">SUM(J55:J62)</f>
        <v>0</v>
      </c>
      <c r="K54" s="126">
        <f t="shared" si="47"/>
        <v>1837</v>
      </c>
      <c r="L54" s="126">
        <f t="shared" si="47"/>
        <v>18936</v>
      </c>
      <c r="M54" s="126">
        <f t="shared" si="47"/>
        <v>0</v>
      </c>
      <c r="N54" s="126">
        <f>SUM(N55:N62)</f>
        <v>18936</v>
      </c>
      <c r="O54" s="126">
        <f t="shared" si="47"/>
        <v>20630.223041999998</v>
      </c>
      <c r="P54" s="126">
        <f t="shared" si="47"/>
        <v>1739.56</v>
      </c>
      <c r="Q54" s="126">
        <f t="shared" si="47"/>
        <v>0</v>
      </c>
      <c r="R54" s="126">
        <f t="shared" si="47"/>
        <v>1739.56</v>
      </c>
      <c r="S54" s="126">
        <f t="shared" si="47"/>
        <v>18890.663042</v>
      </c>
      <c r="T54" s="126">
        <f t="shared" si="47"/>
        <v>0</v>
      </c>
      <c r="U54" s="126">
        <f t="shared" si="47"/>
        <v>18890.663042</v>
      </c>
      <c r="V54" s="126">
        <f t="shared" si="47"/>
        <v>369.16549999999881</v>
      </c>
      <c r="W54" s="126">
        <f t="shared" si="47"/>
        <v>11.567</v>
      </c>
      <c r="X54" s="126">
        <f t="shared" si="47"/>
        <v>0</v>
      </c>
      <c r="Y54" s="126">
        <f t="shared" si="47"/>
        <v>11.567</v>
      </c>
      <c r="Z54" s="126">
        <f t="shared" si="47"/>
        <v>357.59849999999881</v>
      </c>
      <c r="AA54" s="126">
        <f t="shared" si="47"/>
        <v>0</v>
      </c>
      <c r="AB54" s="126">
        <f t="shared" si="47"/>
        <v>357.59849999999881</v>
      </c>
      <c r="AC54" s="126">
        <f t="shared" si="47"/>
        <v>0</v>
      </c>
      <c r="AD54" s="126">
        <f t="shared" si="47"/>
        <v>0</v>
      </c>
      <c r="AE54" s="126">
        <f t="shared" si="47"/>
        <v>0</v>
      </c>
      <c r="AF54" s="126">
        <f t="shared" si="47"/>
        <v>0</v>
      </c>
      <c r="AG54" s="126">
        <f t="shared" si="47"/>
        <v>0</v>
      </c>
      <c r="AH54" s="126">
        <f t="shared" si="47"/>
        <v>0</v>
      </c>
      <c r="AI54" s="126">
        <f t="shared" si="23"/>
        <v>227.17695800000058</v>
      </c>
      <c r="AJ54" s="126">
        <f t="shared" si="25"/>
        <v>0</v>
      </c>
      <c r="AK54" s="126">
        <f t="shared" si="25"/>
        <v>181.83999999999946</v>
      </c>
      <c r="AL54" s="141">
        <f t="shared" si="26"/>
        <v>0</v>
      </c>
      <c r="AM54" s="141">
        <f t="shared" si="26"/>
        <v>45.336958000001118</v>
      </c>
      <c r="AN54" s="126"/>
      <c r="AO54" s="130">
        <f t="shared" si="2"/>
        <v>-2.2737367544323206E-13</v>
      </c>
      <c r="AP54" s="116"/>
    </row>
    <row r="55" spans="1:42" s="117" customFormat="1" ht="14" hidden="1" outlineLevel="1">
      <c r="A55" s="146"/>
      <c r="B55" s="147" t="s">
        <v>570</v>
      </c>
      <c r="C55" s="126">
        <f t="shared" si="30"/>
        <v>11.567</v>
      </c>
      <c r="D55" s="126">
        <v>0</v>
      </c>
      <c r="E55" s="126">
        <f>11.567</f>
        <v>11.567</v>
      </c>
      <c r="F55" s="141">
        <v>0</v>
      </c>
      <c r="G55" s="141">
        <v>0</v>
      </c>
      <c r="H55" s="126">
        <f t="shared" si="31"/>
        <v>1739.56</v>
      </c>
      <c r="I55" s="126">
        <f t="shared" si="32"/>
        <v>1739.56</v>
      </c>
      <c r="J55" s="126"/>
      <c r="K55" s="126">
        <f>1834-94.44</f>
        <v>1739.56</v>
      </c>
      <c r="L55" s="126">
        <f>M55+N55</f>
        <v>0</v>
      </c>
      <c r="M55" s="141"/>
      <c r="N55" s="141"/>
      <c r="O55" s="141">
        <f t="shared" ref="O55:O62" si="48">P55+S55</f>
        <v>1739.56</v>
      </c>
      <c r="P55" s="141">
        <f t="shared" ref="P55:P62" si="49">Q55+R55</f>
        <v>1739.56</v>
      </c>
      <c r="Q55" s="141"/>
      <c r="R55" s="141">
        <v>1739.56</v>
      </c>
      <c r="S55" s="141"/>
      <c r="T55" s="141"/>
      <c r="U55" s="141"/>
      <c r="V55" s="141">
        <f>W55+Z55</f>
        <v>11.567</v>
      </c>
      <c r="W55" s="141">
        <f>X55+Y55</f>
        <v>11.567</v>
      </c>
      <c r="X55" s="141"/>
      <c r="Y55" s="126">
        <f>E55</f>
        <v>11.567</v>
      </c>
      <c r="Z55" s="141"/>
      <c r="AA55" s="141"/>
      <c r="AB55" s="141"/>
      <c r="AC55" s="141"/>
      <c r="AD55" s="141"/>
      <c r="AE55" s="141"/>
      <c r="AF55" s="141"/>
      <c r="AG55" s="141"/>
      <c r="AH55" s="141"/>
      <c r="AI55" s="126">
        <f t="shared" si="23"/>
        <v>7.1054273576010019E-15</v>
      </c>
      <c r="AJ55" s="126">
        <f t="shared" si="25"/>
        <v>0</v>
      </c>
      <c r="AK55" s="126">
        <f t="shared" si="25"/>
        <v>7.1054273576010019E-15</v>
      </c>
      <c r="AL55" s="141">
        <f t="shared" si="26"/>
        <v>0</v>
      </c>
      <c r="AM55" s="141">
        <f>G55+N55-U55-AB55-AH55</f>
        <v>0</v>
      </c>
      <c r="AN55" s="126"/>
      <c r="AO55" s="130">
        <f t="shared" si="2"/>
        <v>0</v>
      </c>
      <c r="AP55" s="116"/>
    </row>
    <row r="56" spans="1:42" s="117" customFormat="1" ht="14" hidden="1" outlineLevel="1">
      <c r="A56" s="146"/>
      <c r="B56" s="147" t="s">
        <v>568</v>
      </c>
      <c r="C56" s="126">
        <f t="shared" si="30"/>
        <v>336.60749999999973</v>
      </c>
      <c r="D56" s="126">
        <v>0</v>
      </c>
      <c r="E56" s="126">
        <v>0</v>
      </c>
      <c r="F56" s="141">
        <v>0</v>
      </c>
      <c r="G56" s="141">
        <v>336.60749999999973</v>
      </c>
      <c r="H56" s="126">
        <f t="shared" si="31"/>
        <v>6994</v>
      </c>
      <c r="I56" s="126">
        <f t="shared" si="32"/>
        <v>0</v>
      </c>
      <c r="J56" s="126"/>
      <c r="K56" s="126">
        <v>0</v>
      </c>
      <c r="L56" s="126">
        <f>M56+N56</f>
        <v>6994</v>
      </c>
      <c r="M56" s="141"/>
      <c r="N56" s="141">
        <v>6994</v>
      </c>
      <c r="O56" s="141">
        <f t="shared" si="48"/>
        <v>6988.6630420000001</v>
      </c>
      <c r="P56" s="141">
        <f t="shared" si="49"/>
        <v>0</v>
      </c>
      <c r="Q56" s="141"/>
      <c r="R56" s="141"/>
      <c r="S56" s="141">
        <f t="shared" ref="S56:S62" si="50">T56+U56</f>
        <v>6988.6630420000001</v>
      </c>
      <c r="T56" s="141"/>
      <c r="U56" s="141">
        <f>6988.663042</f>
        <v>6988.6630420000001</v>
      </c>
      <c r="V56" s="141">
        <f t="shared" ref="V56:V62" si="51">W56+Z56</f>
        <v>336.60749999999973</v>
      </c>
      <c r="W56" s="141">
        <f t="shared" ref="W56:W62" si="52">X56+Y56</f>
        <v>0</v>
      </c>
      <c r="X56" s="141"/>
      <c r="Y56" s="141"/>
      <c r="Z56" s="141">
        <f t="shared" ref="Z56:Z62" si="53">AA56+AB56</f>
        <v>336.60749999999973</v>
      </c>
      <c r="AA56" s="141"/>
      <c r="AB56" s="141">
        <f>G56</f>
        <v>336.60749999999973</v>
      </c>
      <c r="AC56" s="141"/>
      <c r="AD56" s="141"/>
      <c r="AE56" s="141"/>
      <c r="AF56" s="141"/>
      <c r="AG56" s="141"/>
      <c r="AH56" s="141"/>
      <c r="AI56" s="126">
        <f t="shared" si="23"/>
        <v>5.3369580000002088</v>
      </c>
      <c r="AJ56" s="126">
        <f t="shared" si="25"/>
        <v>0</v>
      </c>
      <c r="AK56" s="126">
        <f t="shared" si="25"/>
        <v>0</v>
      </c>
      <c r="AL56" s="141">
        <f t="shared" si="26"/>
        <v>0</v>
      </c>
      <c r="AM56" s="141">
        <f>G56+N56-U56-AB56-AH56</f>
        <v>5.3369580000002088</v>
      </c>
      <c r="AN56" s="126"/>
      <c r="AO56" s="130">
        <f t="shared" si="2"/>
        <v>0</v>
      </c>
      <c r="AP56" s="116"/>
    </row>
    <row r="57" spans="1:42" s="117" customFormat="1" ht="14" hidden="1" outlineLevel="1">
      <c r="A57" s="146"/>
      <c r="B57" s="147" t="s">
        <v>567</v>
      </c>
      <c r="C57" s="126">
        <f t="shared" si="30"/>
        <v>0.8999999999996362</v>
      </c>
      <c r="D57" s="126">
        <v>0</v>
      </c>
      <c r="E57" s="126">
        <v>0</v>
      </c>
      <c r="F57" s="141">
        <v>0</v>
      </c>
      <c r="G57" s="141">
        <v>0.8999999999996362</v>
      </c>
      <c r="H57" s="126">
        <f t="shared" si="31"/>
        <v>6851</v>
      </c>
      <c r="I57" s="126">
        <f t="shared" si="32"/>
        <v>0</v>
      </c>
      <c r="J57" s="126"/>
      <c r="K57" s="126">
        <v>0</v>
      </c>
      <c r="L57" s="126">
        <f>M57+N57</f>
        <v>6851</v>
      </c>
      <c r="M57" s="141"/>
      <c r="N57" s="141">
        <f>6854-3</f>
        <v>6851</v>
      </c>
      <c r="O57" s="141">
        <f t="shared" si="48"/>
        <v>6851</v>
      </c>
      <c r="P57" s="141">
        <f t="shared" si="49"/>
        <v>0</v>
      </c>
      <c r="Q57" s="141"/>
      <c r="R57" s="141"/>
      <c r="S57" s="141">
        <f t="shared" si="50"/>
        <v>6851</v>
      </c>
      <c r="T57" s="141"/>
      <c r="U57" s="141">
        <f>6851</f>
        <v>6851</v>
      </c>
      <c r="V57" s="141">
        <f t="shared" si="51"/>
        <v>0.8999999999996362</v>
      </c>
      <c r="W57" s="141">
        <f t="shared" si="52"/>
        <v>0</v>
      </c>
      <c r="X57" s="141"/>
      <c r="Y57" s="141"/>
      <c r="Z57" s="141">
        <f t="shared" si="53"/>
        <v>0.8999999999996362</v>
      </c>
      <c r="AA57" s="141"/>
      <c r="AB57" s="141">
        <f>G57+N57-U57</f>
        <v>0.8999999999996362</v>
      </c>
      <c r="AC57" s="141"/>
      <c r="AD57" s="141"/>
      <c r="AE57" s="141"/>
      <c r="AF57" s="141"/>
      <c r="AG57" s="141"/>
      <c r="AH57" s="141"/>
      <c r="AI57" s="126">
        <f t="shared" si="23"/>
        <v>0</v>
      </c>
      <c r="AJ57" s="126">
        <f t="shared" si="25"/>
        <v>0</v>
      </c>
      <c r="AK57" s="126">
        <f t="shared" si="25"/>
        <v>0</v>
      </c>
      <c r="AL57" s="141">
        <f t="shared" si="26"/>
        <v>0</v>
      </c>
      <c r="AM57" s="141">
        <f>G57+N57-U57-AB57-AH57</f>
        <v>0</v>
      </c>
      <c r="AN57" s="126"/>
      <c r="AO57" s="130">
        <f t="shared" si="2"/>
        <v>0</v>
      </c>
      <c r="AP57" s="116"/>
    </row>
    <row r="58" spans="1:42" s="117" customFormat="1" ht="14" hidden="1" outlineLevel="1">
      <c r="A58" s="146"/>
      <c r="B58" s="147" t="s">
        <v>565</v>
      </c>
      <c r="C58" s="126">
        <f>SUM(D58:G58)</f>
        <v>0</v>
      </c>
      <c r="D58" s="126">
        <v>0</v>
      </c>
      <c r="E58" s="126">
        <v>0</v>
      </c>
      <c r="F58" s="141">
        <v>0</v>
      </c>
      <c r="G58" s="141"/>
      <c r="H58" s="126">
        <f>I58+L58</f>
        <v>5091</v>
      </c>
      <c r="I58" s="126">
        <f>J58+K58</f>
        <v>0</v>
      </c>
      <c r="J58" s="126"/>
      <c r="K58" s="126">
        <v>0</v>
      </c>
      <c r="L58" s="126">
        <f>M58+N58</f>
        <v>5091</v>
      </c>
      <c r="M58" s="141"/>
      <c r="N58" s="141">
        <f>5091</f>
        <v>5091</v>
      </c>
      <c r="O58" s="141">
        <f>P58+S58</f>
        <v>5051</v>
      </c>
      <c r="P58" s="141">
        <f>Q58+R58</f>
        <v>0</v>
      </c>
      <c r="Q58" s="141"/>
      <c r="R58" s="141"/>
      <c r="S58" s="141">
        <f t="shared" si="50"/>
        <v>5051</v>
      </c>
      <c r="T58" s="141"/>
      <c r="U58" s="141">
        <v>5051</v>
      </c>
      <c r="V58" s="141">
        <f>W58+Z58</f>
        <v>0</v>
      </c>
      <c r="W58" s="141">
        <f>X58+Y58</f>
        <v>0</v>
      </c>
      <c r="X58" s="141"/>
      <c r="Y58" s="141"/>
      <c r="Z58" s="141">
        <f>AA58+AB58</f>
        <v>0</v>
      </c>
      <c r="AA58" s="141"/>
      <c r="AB58" s="141"/>
      <c r="AC58" s="141"/>
      <c r="AD58" s="141"/>
      <c r="AE58" s="141"/>
      <c r="AF58" s="141"/>
      <c r="AG58" s="141"/>
      <c r="AH58" s="141"/>
      <c r="AI58" s="126">
        <f>SUM(AJ58:AM58)</f>
        <v>40</v>
      </c>
      <c r="AJ58" s="126">
        <f>D58+J58-Q58-X58-AD58</f>
        <v>0</v>
      </c>
      <c r="AK58" s="126">
        <f>E58+K58-R58-Y58-AE58</f>
        <v>0</v>
      </c>
      <c r="AL58" s="141">
        <f>F58+M58-T58-AA58-AG58</f>
        <v>0</v>
      </c>
      <c r="AM58" s="141">
        <f>G58+N58-U58-AB58-AH58</f>
        <v>40</v>
      </c>
      <c r="AN58" s="126"/>
      <c r="AO58" s="130">
        <f t="shared" si="2"/>
        <v>0</v>
      </c>
      <c r="AP58" s="116"/>
    </row>
    <row r="59" spans="1:42" s="117" customFormat="1" ht="14" hidden="1" outlineLevel="1">
      <c r="A59" s="146"/>
      <c r="B59" s="137" t="s">
        <v>563</v>
      </c>
      <c r="C59" s="126">
        <f t="shared" si="30"/>
        <v>0</v>
      </c>
      <c r="D59" s="126">
        <v>0</v>
      </c>
      <c r="E59" s="126">
        <v>0</v>
      </c>
      <c r="F59" s="141">
        <v>0</v>
      </c>
      <c r="G59" s="141">
        <f>84.3999999999994-84.3999999999994</f>
        <v>0</v>
      </c>
      <c r="H59" s="126">
        <f t="shared" si="31"/>
        <v>0</v>
      </c>
      <c r="I59" s="126">
        <f t="shared" si="32"/>
        <v>0</v>
      </c>
      <c r="J59" s="126"/>
      <c r="K59" s="126">
        <v>0</v>
      </c>
      <c r="L59" s="126">
        <f>M59+N59</f>
        <v>0</v>
      </c>
      <c r="M59" s="141"/>
      <c r="N59" s="141">
        <v>0</v>
      </c>
      <c r="O59" s="141">
        <f t="shared" si="48"/>
        <v>0</v>
      </c>
      <c r="P59" s="141">
        <f t="shared" si="49"/>
        <v>0</v>
      </c>
      <c r="Q59" s="141"/>
      <c r="R59" s="141"/>
      <c r="S59" s="141">
        <f t="shared" si="50"/>
        <v>0</v>
      </c>
      <c r="T59" s="141"/>
      <c r="U59" s="141"/>
      <c r="V59" s="141">
        <f t="shared" si="51"/>
        <v>0</v>
      </c>
      <c r="W59" s="141">
        <f t="shared" si="52"/>
        <v>0</v>
      </c>
      <c r="X59" s="141"/>
      <c r="Y59" s="141"/>
      <c r="Z59" s="141">
        <f t="shared" si="53"/>
        <v>0</v>
      </c>
      <c r="AA59" s="141"/>
      <c r="AB59" s="141"/>
      <c r="AC59" s="141"/>
      <c r="AD59" s="141"/>
      <c r="AE59" s="141"/>
      <c r="AF59" s="141"/>
      <c r="AG59" s="141"/>
      <c r="AH59" s="141"/>
      <c r="AI59" s="126">
        <f t="shared" si="23"/>
        <v>0</v>
      </c>
      <c r="AJ59" s="126">
        <f t="shared" si="25"/>
        <v>0</v>
      </c>
      <c r="AK59" s="126">
        <f t="shared" si="25"/>
        <v>0</v>
      </c>
      <c r="AL59" s="141">
        <f t="shared" si="26"/>
        <v>0</v>
      </c>
      <c r="AM59" s="141">
        <f>G59+N59-U59-AB59-AH59</f>
        <v>0</v>
      </c>
      <c r="AN59" s="126"/>
      <c r="AO59" s="130">
        <f t="shared" si="2"/>
        <v>0</v>
      </c>
      <c r="AP59" s="116"/>
    </row>
    <row r="60" spans="1:42" s="117" customFormat="1" ht="14" hidden="1" outlineLevel="1">
      <c r="A60" s="146"/>
      <c r="B60" s="147" t="s">
        <v>564</v>
      </c>
      <c r="C60" s="126">
        <f t="shared" si="30"/>
        <v>14.600999999999658</v>
      </c>
      <c r="D60" s="126">
        <v>0</v>
      </c>
      <c r="E60" s="126">
        <v>0</v>
      </c>
      <c r="F60" s="141">
        <v>0</v>
      </c>
      <c r="G60" s="141">
        <v>14.600999999999658</v>
      </c>
      <c r="H60" s="126">
        <f t="shared" si="31"/>
        <v>0</v>
      </c>
      <c r="I60" s="126">
        <f t="shared" si="32"/>
        <v>0</v>
      </c>
      <c r="J60" s="126"/>
      <c r="K60" s="126">
        <v>0</v>
      </c>
      <c r="L60" s="126">
        <f t="shared" si="33"/>
        <v>0</v>
      </c>
      <c r="M60" s="141"/>
      <c r="N60" s="141">
        <v>0</v>
      </c>
      <c r="O60" s="141">
        <f t="shared" si="48"/>
        <v>0</v>
      </c>
      <c r="P60" s="141">
        <f t="shared" si="49"/>
        <v>0</v>
      </c>
      <c r="Q60" s="141"/>
      <c r="R60" s="141"/>
      <c r="S60" s="141">
        <f t="shared" si="50"/>
        <v>0</v>
      </c>
      <c r="T60" s="141"/>
      <c r="U60" s="141"/>
      <c r="V60" s="141">
        <f t="shared" si="51"/>
        <v>14.600999999999658</v>
      </c>
      <c r="W60" s="141">
        <f t="shared" si="52"/>
        <v>0</v>
      </c>
      <c r="X60" s="141"/>
      <c r="Y60" s="141"/>
      <c r="Z60" s="141">
        <f t="shared" si="53"/>
        <v>14.600999999999658</v>
      </c>
      <c r="AA60" s="141"/>
      <c r="AB60" s="141">
        <f>G60</f>
        <v>14.600999999999658</v>
      </c>
      <c r="AC60" s="141"/>
      <c r="AD60" s="141"/>
      <c r="AE60" s="141"/>
      <c r="AF60" s="141"/>
      <c r="AG60" s="141"/>
      <c r="AH60" s="141"/>
      <c r="AI60" s="126">
        <f t="shared" si="23"/>
        <v>0</v>
      </c>
      <c r="AJ60" s="126">
        <f t="shared" si="25"/>
        <v>0</v>
      </c>
      <c r="AK60" s="126">
        <f t="shared" si="25"/>
        <v>0</v>
      </c>
      <c r="AL60" s="141">
        <f t="shared" si="26"/>
        <v>0</v>
      </c>
      <c r="AM60" s="141">
        <f t="shared" si="26"/>
        <v>0</v>
      </c>
      <c r="AN60" s="126"/>
      <c r="AO60" s="130">
        <f t="shared" si="2"/>
        <v>0</v>
      </c>
      <c r="AP60" s="116"/>
    </row>
    <row r="61" spans="1:42" s="117" customFormat="1" ht="17.25" hidden="1" customHeight="1" outlineLevel="1">
      <c r="A61" s="146"/>
      <c r="B61" s="147" t="s">
        <v>566</v>
      </c>
      <c r="C61" s="126">
        <f>SUM(D61:G61)</f>
        <v>5.4899999999997817</v>
      </c>
      <c r="D61" s="126">
        <v>0</v>
      </c>
      <c r="E61" s="126">
        <v>0</v>
      </c>
      <c r="F61" s="141">
        <v>0</v>
      </c>
      <c r="G61" s="141">
        <v>5.4899999999997817</v>
      </c>
      <c r="H61" s="126">
        <f>I61+L61</f>
        <v>0</v>
      </c>
      <c r="I61" s="126">
        <f>J61+K61</f>
        <v>0</v>
      </c>
      <c r="J61" s="126"/>
      <c r="K61" s="126">
        <v>0</v>
      </c>
      <c r="L61" s="126">
        <f>M61+N61</f>
        <v>0</v>
      </c>
      <c r="M61" s="141"/>
      <c r="N61" s="141">
        <v>0</v>
      </c>
      <c r="O61" s="141">
        <f>P61+S61</f>
        <v>0</v>
      </c>
      <c r="P61" s="141">
        <f>Q61+R61</f>
        <v>0</v>
      </c>
      <c r="Q61" s="141"/>
      <c r="R61" s="141"/>
      <c r="S61" s="141">
        <f>T61+U61</f>
        <v>0</v>
      </c>
      <c r="T61" s="141"/>
      <c r="U61" s="141"/>
      <c r="V61" s="141">
        <f>W61+Z61</f>
        <v>5.4899999999997817</v>
      </c>
      <c r="W61" s="141">
        <f>X61+Y61</f>
        <v>0</v>
      </c>
      <c r="X61" s="141"/>
      <c r="Y61" s="141"/>
      <c r="Z61" s="141">
        <f>AA61+AB61</f>
        <v>5.4899999999997817</v>
      </c>
      <c r="AA61" s="141"/>
      <c r="AB61" s="141">
        <v>5.4899999999997817</v>
      </c>
      <c r="AC61" s="141"/>
      <c r="AD61" s="141"/>
      <c r="AE61" s="141"/>
      <c r="AF61" s="141"/>
      <c r="AG61" s="141"/>
      <c r="AH61" s="141"/>
      <c r="AI61" s="126">
        <f>SUM(AJ61:AM61)</f>
        <v>0</v>
      </c>
      <c r="AJ61" s="126">
        <f>D61+J61-Q61-X61-AD61</f>
        <v>0</v>
      </c>
      <c r="AK61" s="126">
        <f>E61+K61-R61-Y61-AE61</f>
        <v>0</v>
      </c>
      <c r="AL61" s="141">
        <f>F61+M61-T61-AA61-AG61</f>
        <v>0</v>
      </c>
      <c r="AM61" s="141">
        <f>G61+N61-U61-AB61-AH61</f>
        <v>0</v>
      </c>
      <c r="AN61" s="126"/>
      <c r="AO61" s="130">
        <f t="shared" si="2"/>
        <v>0</v>
      </c>
      <c r="AP61" s="116"/>
    </row>
    <row r="62" spans="1:42" s="117" customFormat="1" ht="14" hidden="1" outlineLevel="1">
      <c r="A62" s="146"/>
      <c r="B62" s="140" t="s">
        <v>583</v>
      </c>
      <c r="C62" s="126">
        <f t="shared" si="30"/>
        <v>84.399999999999395</v>
      </c>
      <c r="D62" s="126">
        <v>0</v>
      </c>
      <c r="E62" s="126">
        <f>84.3999999999994</f>
        <v>84.399999999999395</v>
      </c>
      <c r="F62" s="141">
        <v>0</v>
      </c>
      <c r="G62" s="141">
        <f>84.3999999999994-84.3999999999994</f>
        <v>0</v>
      </c>
      <c r="H62" s="126">
        <f t="shared" si="31"/>
        <v>97.44</v>
      </c>
      <c r="I62" s="126">
        <f t="shared" si="32"/>
        <v>97.44</v>
      </c>
      <c r="J62" s="126"/>
      <c r="K62" s="126">
        <f>3+94.44</f>
        <v>97.44</v>
      </c>
      <c r="L62" s="126">
        <f t="shared" si="33"/>
        <v>0</v>
      </c>
      <c r="M62" s="141"/>
      <c r="N62" s="141">
        <f>3-(3)</f>
        <v>0</v>
      </c>
      <c r="O62" s="141">
        <f t="shared" si="48"/>
        <v>0</v>
      </c>
      <c r="P62" s="141">
        <f t="shared" si="49"/>
        <v>0</v>
      </c>
      <c r="Q62" s="141"/>
      <c r="R62" s="141"/>
      <c r="S62" s="141">
        <f t="shared" si="50"/>
        <v>0</v>
      </c>
      <c r="T62" s="141"/>
      <c r="U62" s="141"/>
      <c r="V62" s="141">
        <f t="shared" si="51"/>
        <v>0</v>
      </c>
      <c r="W62" s="141">
        <f t="shared" si="52"/>
        <v>0</v>
      </c>
      <c r="X62" s="141"/>
      <c r="Y62" s="126"/>
      <c r="Z62" s="141">
        <f t="shared" si="53"/>
        <v>0</v>
      </c>
      <c r="AA62" s="141"/>
      <c r="AB62" s="141"/>
      <c r="AC62" s="141"/>
      <c r="AD62" s="141"/>
      <c r="AE62" s="141"/>
      <c r="AF62" s="141"/>
      <c r="AG62" s="141"/>
      <c r="AH62" s="141"/>
      <c r="AI62" s="126">
        <f t="shared" si="23"/>
        <v>181.83999999999941</v>
      </c>
      <c r="AJ62" s="126">
        <f t="shared" si="25"/>
        <v>0</v>
      </c>
      <c r="AK62" s="126">
        <f t="shared" si="25"/>
        <v>181.83999999999941</v>
      </c>
      <c r="AL62" s="141">
        <f t="shared" si="26"/>
        <v>0</v>
      </c>
      <c r="AM62" s="141">
        <f t="shared" si="26"/>
        <v>0</v>
      </c>
      <c r="AN62" s="126"/>
      <c r="AO62" s="130">
        <f t="shared" si="2"/>
        <v>0</v>
      </c>
      <c r="AP62" s="116"/>
    </row>
    <row r="63" spans="1:42" s="117" customFormat="1" ht="28" hidden="1" outlineLevel="1">
      <c r="A63" s="146" t="s">
        <v>214</v>
      </c>
      <c r="B63" s="147" t="s">
        <v>584</v>
      </c>
      <c r="C63" s="126">
        <f t="shared" ref="C63:H63" si="54">SUM(C64:C65)</f>
        <v>0</v>
      </c>
      <c r="D63" s="126">
        <f t="shared" si="54"/>
        <v>0</v>
      </c>
      <c r="E63" s="126">
        <f t="shared" si="54"/>
        <v>0</v>
      </c>
      <c r="F63" s="126">
        <f t="shared" si="54"/>
        <v>0</v>
      </c>
      <c r="G63" s="126">
        <f t="shared" si="54"/>
        <v>0</v>
      </c>
      <c r="H63" s="126">
        <f t="shared" si="54"/>
        <v>653</v>
      </c>
      <c r="I63" s="126">
        <f t="shared" ref="I63:AM63" si="55">SUM(I64:I65)</f>
        <v>653</v>
      </c>
      <c r="J63" s="126">
        <f t="shared" si="55"/>
        <v>0</v>
      </c>
      <c r="K63" s="126">
        <f t="shared" si="55"/>
        <v>653</v>
      </c>
      <c r="L63" s="126">
        <f t="shared" si="55"/>
        <v>0</v>
      </c>
      <c r="M63" s="126">
        <f t="shared" si="55"/>
        <v>0</v>
      </c>
      <c r="N63" s="126">
        <f t="shared" si="55"/>
        <v>0</v>
      </c>
      <c r="O63" s="126">
        <f t="shared" si="55"/>
        <v>254</v>
      </c>
      <c r="P63" s="126">
        <f t="shared" si="55"/>
        <v>254</v>
      </c>
      <c r="Q63" s="126">
        <f t="shared" si="55"/>
        <v>0</v>
      </c>
      <c r="R63" s="126">
        <f t="shared" si="55"/>
        <v>254</v>
      </c>
      <c r="S63" s="126">
        <f t="shared" si="55"/>
        <v>0</v>
      </c>
      <c r="T63" s="126">
        <f t="shared" si="55"/>
        <v>0</v>
      </c>
      <c r="U63" s="126">
        <f t="shared" si="55"/>
        <v>0</v>
      </c>
      <c r="V63" s="126">
        <f t="shared" si="55"/>
        <v>0</v>
      </c>
      <c r="W63" s="126">
        <f t="shared" si="55"/>
        <v>0</v>
      </c>
      <c r="X63" s="126">
        <f t="shared" si="55"/>
        <v>0</v>
      </c>
      <c r="Y63" s="126">
        <f t="shared" si="55"/>
        <v>0</v>
      </c>
      <c r="Z63" s="126">
        <f t="shared" si="55"/>
        <v>0</v>
      </c>
      <c r="AA63" s="126">
        <f t="shared" si="55"/>
        <v>0</v>
      </c>
      <c r="AB63" s="126">
        <f t="shared" si="55"/>
        <v>0</v>
      </c>
      <c r="AC63" s="126">
        <f t="shared" si="55"/>
        <v>0</v>
      </c>
      <c r="AD63" s="126">
        <f t="shared" si="55"/>
        <v>0</v>
      </c>
      <c r="AE63" s="126">
        <f t="shared" si="55"/>
        <v>0</v>
      </c>
      <c r="AF63" s="126">
        <f t="shared" si="55"/>
        <v>0</v>
      </c>
      <c r="AG63" s="126">
        <f t="shared" si="55"/>
        <v>0</v>
      </c>
      <c r="AH63" s="126">
        <f t="shared" si="55"/>
        <v>0</v>
      </c>
      <c r="AI63" s="126">
        <f t="shared" si="23"/>
        <v>399</v>
      </c>
      <c r="AJ63" s="126">
        <f t="shared" si="55"/>
        <v>0</v>
      </c>
      <c r="AK63" s="126">
        <f t="shared" si="55"/>
        <v>399</v>
      </c>
      <c r="AL63" s="126">
        <f t="shared" si="55"/>
        <v>0</v>
      </c>
      <c r="AM63" s="126">
        <f t="shared" si="55"/>
        <v>0</v>
      </c>
      <c r="AN63" s="126"/>
      <c r="AO63" s="130">
        <f t="shared" si="2"/>
        <v>0</v>
      </c>
      <c r="AP63" s="116"/>
    </row>
    <row r="64" spans="1:42" s="117" customFormat="1" ht="14" hidden="1" outlineLevel="1">
      <c r="A64" s="146"/>
      <c r="B64" s="140" t="s">
        <v>573</v>
      </c>
      <c r="C64" s="126">
        <f t="shared" si="30"/>
        <v>0</v>
      </c>
      <c r="D64" s="126">
        <v>0</v>
      </c>
      <c r="E64" s="126">
        <v>0</v>
      </c>
      <c r="F64" s="141">
        <v>0</v>
      </c>
      <c r="G64" s="141">
        <v>0</v>
      </c>
      <c r="H64" s="126">
        <f t="shared" si="31"/>
        <v>254</v>
      </c>
      <c r="I64" s="126">
        <f t="shared" si="32"/>
        <v>254</v>
      </c>
      <c r="J64" s="126"/>
      <c r="K64" s="126">
        <f>653-399</f>
        <v>254</v>
      </c>
      <c r="L64" s="126">
        <f t="shared" si="33"/>
        <v>0</v>
      </c>
      <c r="M64" s="141"/>
      <c r="N64" s="141"/>
      <c r="O64" s="141">
        <f>P64+S64</f>
        <v>254</v>
      </c>
      <c r="P64" s="141">
        <f>Q64+R64</f>
        <v>254</v>
      </c>
      <c r="Q64" s="141"/>
      <c r="R64" s="126">
        <v>254</v>
      </c>
      <c r="S64" s="141"/>
      <c r="T64" s="141"/>
      <c r="U64" s="141"/>
      <c r="V64" s="141">
        <f>W64+Z64</f>
        <v>0</v>
      </c>
      <c r="W64" s="141">
        <f>X64+Y64</f>
        <v>0</v>
      </c>
      <c r="X64" s="141"/>
      <c r="Y64" s="141"/>
      <c r="Z64" s="141"/>
      <c r="AA64" s="141"/>
      <c r="AB64" s="141"/>
      <c r="AC64" s="141"/>
      <c r="AD64" s="141"/>
      <c r="AE64" s="141"/>
      <c r="AF64" s="141"/>
      <c r="AG64" s="141"/>
      <c r="AH64" s="141"/>
      <c r="AI64" s="126">
        <f t="shared" si="23"/>
        <v>0</v>
      </c>
      <c r="AJ64" s="126">
        <f t="shared" ref="AJ64:AK105" si="56">D64+J64-Q64-X64-AD64</f>
        <v>0</v>
      </c>
      <c r="AK64" s="126">
        <f t="shared" si="56"/>
        <v>0</v>
      </c>
      <c r="AL64" s="141">
        <f t="shared" ref="AL64:AM105" si="57">F64+M64-T64-AA64-AG64</f>
        <v>0</v>
      </c>
      <c r="AM64" s="141">
        <f t="shared" si="57"/>
        <v>0</v>
      </c>
      <c r="AN64" s="126"/>
      <c r="AO64" s="130">
        <f t="shared" si="2"/>
        <v>0</v>
      </c>
      <c r="AP64" s="116"/>
    </row>
    <row r="65" spans="1:42" s="117" customFormat="1" ht="14" hidden="1" outlineLevel="1">
      <c r="A65" s="146"/>
      <c r="B65" s="140" t="s">
        <v>585</v>
      </c>
      <c r="C65" s="126">
        <f t="shared" si="30"/>
        <v>0</v>
      </c>
      <c r="D65" s="126">
        <v>0</v>
      </c>
      <c r="E65" s="126">
        <v>0</v>
      </c>
      <c r="F65" s="141">
        <v>0</v>
      </c>
      <c r="G65" s="141">
        <v>0</v>
      </c>
      <c r="H65" s="126">
        <f>I65+L65</f>
        <v>399</v>
      </c>
      <c r="I65" s="126">
        <f>J65+K65</f>
        <v>399</v>
      </c>
      <c r="J65" s="126"/>
      <c r="K65" s="126">
        <v>399</v>
      </c>
      <c r="L65" s="126"/>
      <c r="M65" s="141"/>
      <c r="N65" s="141"/>
      <c r="O65" s="141"/>
      <c r="P65" s="141"/>
      <c r="Q65" s="141"/>
      <c r="R65" s="141"/>
      <c r="S65" s="141"/>
      <c r="T65" s="141"/>
      <c r="U65" s="141"/>
      <c r="V65" s="141">
        <f>W65+Z65</f>
        <v>0</v>
      </c>
      <c r="W65" s="141">
        <f>X65+Y65</f>
        <v>0</v>
      </c>
      <c r="X65" s="141"/>
      <c r="Y65" s="141"/>
      <c r="Z65" s="141"/>
      <c r="AA65" s="141"/>
      <c r="AB65" s="141"/>
      <c r="AC65" s="141"/>
      <c r="AD65" s="141"/>
      <c r="AE65" s="141"/>
      <c r="AF65" s="141"/>
      <c r="AG65" s="141"/>
      <c r="AH65" s="141"/>
      <c r="AI65" s="126">
        <f t="shared" si="23"/>
        <v>399</v>
      </c>
      <c r="AJ65" s="126">
        <f t="shared" si="56"/>
        <v>0</v>
      </c>
      <c r="AK65" s="126">
        <f t="shared" si="56"/>
        <v>399</v>
      </c>
      <c r="AL65" s="141">
        <f t="shared" si="57"/>
        <v>0</v>
      </c>
      <c r="AM65" s="141">
        <f t="shared" si="57"/>
        <v>0</v>
      </c>
      <c r="AN65" s="126"/>
      <c r="AO65" s="130">
        <f t="shared" si="2"/>
        <v>0</v>
      </c>
      <c r="AP65" s="116"/>
    </row>
    <row r="66" spans="1:42" s="132" customFormat="1" ht="14" collapsed="1">
      <c r="A66" s="144" t="s">
        <v>319</v>
      </c>
      <c r="B66" s="134" t="s">
        <v>586</v>
      </c>
      <c r="C66" s="143">
        <f t="shared" ref="C66:AH66" si="58">C67+C79+C91+C104</f>
        <v>3451.4149999999981</v>
      </c>
      <c r="D66" s="143">
        <f t="shared" si="58"/>
        <v>606.53591000000006</v>
      </c>
      <c r="E66" s="143">
        <f t="shared" si="58"/>
        <v>249.87099999999992</v>
      </c>
      <c r="F66" s="143">
        <f t="shared" si="58"/>
        <v>2514.7230899999981</v>
      </c>
      <c r="G66" s="143">
        <f t="shared" si="58"/>
        <v>80.284999999999968</v>
      </c>
      <c r="H66" s="143">
        <f t="shared" si="58"/>
        <v>92164</v>
      </c>
      <c r="I66" s="143">
        <f t="shared" si="58"/>
        <v>2996.8559</v>
      </c>
      <c r="J66" s="143">
        <f t="shared" si="58"/>
        <v>277.83999999999997</v>
      </c>
      <c r="K66" s="143">
        <f t="shared" si="58"/>
        <v>2719.0158999999999</v>
      </c>
      <c r="L66" s="143">
        <f t="shared" si="58"/>
        <v>89167.144100000005</v>
      </c>
      <c r="M66" s="143">
        <f t="shared" si="58"/>
        <v>66924.160000000003</v>
      </c>
      <c r="N66" s="143">
        <f t="shared" si="58"/>
        <v>22242.984100000001</v>
      </c>
      <c r="O66" s="143">
        <f t="shared" si="58"/>
        <v>91916.051587000009</v>
      </c>
      <c r="P66" s="143">
        <f t="shared" si="58"/>
        <v>2699</v>
      </c>
      <c r="Q66" s="143">
        <f t="shared" si="58"/>
        <v>0</v>
      </c>
      <c r="R66" s="143">
        <f t="shared" si="58"/>
        <v>2699</v>
      </c>
      <c r="S66" s="143">
        <f t="shared" si="58"/>
        <v>89217.051587000009</v>
      </c>
      <c r="T66" s="143">
        <f t="shared" si="58"/>
        <v>67094.473389999999</v>
      </c>
      <c r="U66" s="143">
        <f t="shared" si="58"/>
        <v>22122.578196999999</v>
      </c>
      <c r="V66" s="143">
        <f t="shared" si="58"/>
        <v>1008.7596229999998</v>
      </c>
      <c r="W66" s="143">
        <f t="shared" si="58"/>
        <v>120.977</v>
      </c>
      <c r="X66" s="143">
        <f t="shared" si="58"/>
        <v>0</v>
      </c>
      <c r="Y66" s="143">
        <f t="shared" si="58"/>
        <v>120.977</v>
      </c>
      <c r="Z66" s="143">
        <f t="shared" si="58"/>
        <v>887.78262299999983</v>
      </c>
      <c r="AA66" s="143">
        <f t="shared" si="58"/>
        <v>825.24262299999964</v>
      </c>
      <c r="AB66" s="143">
        <f t="shared" si="58"/>
        <v>62.540000000000191</v>
      </c>
      <c r="AC66" s="143">
        <f t="shared" si="58"/>
        <v>0</v>
      </c>
      <c r="AD66" s="143">
        <f t="shared" si="58"/>
        <v>0</v>
      </c>
      <c r="AE66" s="143">
        <f t="shared" si="58"/>
        <v>0</v>
      </c>
      <c r="AF66" s="143">
        <f t="shared" si="58"/>
        <v>0</v>
      </c>
      <c r="AG66" s="143">
        <f t="shared" si="58"/>
        <v>0</v>
      </c>
      <c r="AH66" s="143">
        <f t="shared" si="58"/>
        <v>0</v>
      </c>
      <c r="AI66" s="145">
        <f t="shared" si="23"/>
        <v>2690.6037900000065</v>
      </c>
      <c r="AJ66" s="145">
        <f t="shared" si="56"/>
        <v>884.37590999999998</v>
      </c>
      <c r="AK66" s="145">
        <f t="shared" si="56"/>
        <v>148.90989999999996</v>
      </c>
      <c r="AL66" s="143">
        <f t="shared" si="57"/>
        <v>1519.1670770000042</v>
      </c>
      <c r="AM66" s="143">
        <f t="shared" si="57"/>
        <v>138.15090300000224</v>
      </c>
      <c r="AN66" s="126"/>
      <c r="AO66" s="130">
        <f t="shared" si="2"/>
        <v>-2.1827872842550278E-11</v>
      </c>
      <c r="AP66" s="131"/>
    </row>
    <row r="67" spans="1:42" s="117" customFormat="1" ht="14" hidden="1" outlineLevel="1">
      <c r="A67" s="146" t="s">
        <v>193</v>
      </c>
      <c r="B67" s="147" t="s">
        <v>579</v>
      </c>
      <c r="C67" s="126">
        <f t="shared" ref="C67:H67" si="59">SUM(C68:C78)</f>
        <v>3121.2589999999982</v>
      </c>
      <c r="D67" s="126">
        <f t="shared" si="59"/>
        <v>606.53591000000006</v>
      </c>
      <c r="E67" s="126">
        <f t="shared" si="59"/>
        <v>0</v>
      </c>
      <c r="F67" s="126">
        <f t="shared" si="59"/>
        <v>2514.7230899999981</v>
      </c>
      <c r="G67" s="126">
        <f t="shared" si="59"/>
        <v>0</v>
      </c>
      <c r="H67" s="126">
        <f t="shared" si="59"/>
        <v>67202</v>
      </c>
      <c r="I67" s="126">
        <f t="shared" ref="I67:AH67" si="60">SUM(I68:I78)</f>
        <v>277.83999999999997</v>
      </c>
      <c r="J67" s="126">
        <f t="shared" si="60"/>
        <v>277.83999999999997</v>
      </c>
      <c r="K67" s="126">
        <f t="shared" si="60"/>
        <v>0</v>
      </c>
      <c r="L67" s="126">
        <f t="shared" si="60"/>
        <v>66924.160000000003</v>
      </c>
      <c r="M67" s="126">
        <f t="shared" si="60"/>
        <v>66924.160000000003</v>
      </c>
      <c r="N67" s="126">
        <f t="shared" si="60"/>
        <v>0</v>
      </c>
      <c r="O67" s="126">
        <f t="shared" si="60"/>
        <v>67094.473389999999</v>
      </c>
      <c r="P67" s="126">
        <f t="shared" si="60"/>
        <v>0</v>
      </c>
      <c r="Q67" s="126">
        <f t="shared" si="60"/>
        <v>0</v>
      </c>
      <c r="R67" s="126">
        <f t="shared" si="60"/>
        <v>0</v>
      </c>
      <c r="S67" s="126">
        <f t="shared" si="60"/>
        <v>67094.473389999999</v>
      </c>
      <c r="T67" s="126">
        <f t="shared" si="60"/>
        <v>67094.473389999999</v>
      </c>
      <c r="U67" s="126">
        <f t="shared" si="60"/>
        <v>0</v>
      </c>
      <c r="V67" s="126">
        <f t="shared" si="60"/>
        <v>825.24262299999964</v>
      </c>
      <c r="W67" s="126">
        <f t="shared" si="60"/>
        <v>0</v>
      </c>
      <c r="X67" s="126">
        <f t="shared" si="60"/>
        <v>0</v>
      </c>
      <c r="Y67" s="126">
        <f t="shared" si="60"/>
        <v>0</v>
      </c>
      <c r="Z67" s="126">
        <f t="shared" si="60"/>
        <v>825.24262299999964</v>
      </c>
      <c r="AA67" s="126">
        <f t="shared" si="60"/>
        <v>825.24262299999964</v>
      </c>
      <c r="AB67" s="126">
        <f t="shared" si="60"/>
        <v>0</v>
      </c>
      <c r="AC67" s="126">
        <f t="shared" si="60"/>
        <v>0</v>
      </c>
      <c r="AD67" s="126">
        <f t="shared" si="60"/>
        <v>0</v>
      </c>
      <c r="AE67" s="126">
        <f t="shared" si="60"/>
        <v>0</v>
      </c>
      <c r="AF67" s="126">
        <f t="shared" si="60"/>
        <v>0</v>
      </c>
      <c r="AG67" s="126">
        <f t="shared" si="60"/>
        <v>0</v>
      </c>
      <c r="AH67" s="126">
        <f t="shared" si="60"/>
        <v>0</v>
      </c>
      <c r="AI67" s="126">
        <f t="shared" si="23"/>
        <v>2403.5429870000044</v>
      </c>
      <c r="AJ67" s="126">
        <f t="shared" si="56"/>
        <v>884.37590999999998</v>
      </c>
      <c r="AK67" s="126">
        <f t="shared" si="56"/>
        <v>0</v>
      </c>
      <c r="AL67" s="141">
        <f t="shared" si="57"/>
        <v>1519.1670770000042</v>
      </c>
      <c r="AM67" s="141">
        <f t="shared" si="57"/>
        <v>0</v>
      </c>
      <c r="AN67" s="126"/>
      <c r="AO67" s="130">
        <f t="shared" si="2"/>
        <v>-1.2278178473934531E-11</v>
      </c>
      <c r="AP67" s="116"/>
    </row>
    <row r="68" spans="1:42" s="117" customFormat="1" ht="14" hidden="1" outlineLevel="1">
      <c r="A68" s="146"/>
      <c r="B68" s="147" t="s">
        <v>563</v>
      </c>
      <c r="C68" s="126">
        <f t="shared" si="30"/>
        <v>529.76999999999896</v>
      </c>
      <c r="D68" s="126">
        <v>0</v>
      </c>
      <c r="E68" s="126">
        <v>0</v>
      </c>
      <c r="F68" s="141">
        <f>529.769999999999</f>
        <v>529.76999999999896</v>
      </c>
      <c r="G68" s="141">
        <v>0</v>
      </c>
      <c r="H68" s="126">
        <f t="shared" ref="H68:H75" si="61">I68+L68</f>
        <v>10517.16</v>
      </c>
      <c r="I68" s="126">
        <f t="shared" ref="I68:I75" si="62">J68+K68</f>
        <v>0</v>
      </c>
      <c r="J68" s="126"/>
      <c r="K68" s="126">
        <v>0</v>
      </c>
      <c r="L68" s="126">
        <f t="shared" ref="L68:L75" si="63">M68+N68</f>
        <v>10517.16</v>
      </c>
      <c r="M68" s="126">
        <f>10795-277.84</f>
        <v>10517.16</v>
      </c>
      <c r="N68" s="126"/>
      <c r="O68" s="141">
        <f t="shared" ref="O68:O78" si="64">P68+S68</f>
        <v>10834.34</v>
      </c>
      <c r="P68" s="141">
        <f t="shared" ref="P68:P78" si="65">Q68+R68</f>
        <v>0</v>
      </c>
      <c r="Q68" s="141"/>
      <c r="R68" s="141"/>
      <c r="S68" s="141">
        <f t="shared" ref="S68:S78" si="66">T68+U68</f>
        <v>10834.34</v>
      </c>
      <c r="T68" s="141">
        <f>10834.34</f>
        <v>10834.34</v>
      </c>
      <c r="U68" s="141"/>
      <c r="V68" s="141"/>
      <c r="W68" s="141"/>
      <c r="X68" s="141"/>
      <c r="Y68" s="141"/>
      <c r="Z68" s="141">
        <f>AA68+AB68</f>
        <v>0</v>
      </c>
      <c r="AA68" s="141"/>
      <c r="AB68" s="141"/>
      <c r="AC68" s="141"/>
      <c r="AD68" s="141"/>
      <c r="AE68" s="141"/>
      <c r="AF68" s="141"/>
      <c r="AG68" s="141"/>
      <c r="AH68" s="141"/>
      <c r="AI68" s="126">
        <f t="shared" si="23"/>
        <v>212.58999999999833</v>
      </c>
      <c r="AJ68" s="126">
        <f t="shared" si="56"/>
        <v>0</v>
      </c>
      <c r="AK68" s="126">
        <f t="shared" si="56"/>
        <v>0</v>
      </c>
      <c r="AL68" s="141">
        <f t="shared" si="57"/>
        <v>212.58999999999833</v>
      </c>
      <c r="AM68" s="141">
        <f t="shared" si="57"/>
        <v>0</v>
      </c>
      <c r="AN68" s="126"/>
      <c r="AO68" s="130">
        <f t="shared" si="2"/>
        <v>0</v>
      </c>
      <c r="AP68" s="116"/>
    </row>
    <row r="69" spans="1:42" s="117" customFormat="1" ht="14" hidden="1" outlineLevel="1">
      <c r="A69" s="146"/>
      <c r="B69" s="147" t="s">
        <v>561</v>
      </c>
      <c r="C69" s="126">
        <f t="shared" si="30"/>
        <v>0</v>
      </c>
      <c r="D69" s="126">
        <v>0</v>
      </c>
      <c r="E69" s="126">
        <v>0</v>
      </c>
      <c r="F69" s="141">
        <f>8.597-8.597</f>
        <v>0</v>
      </c>
      <c r="G69" s="141">
        <v>0</v>
      </c>
      <c r="H69" s="126">
        <f t="shared" si="61"/>
        <v>5056</v>
      </c>
      <c r="I69" s="126">
        <f t="shared" si="62"/>
        <v>0</v>
      </c>
      <c r="J69" s="126"/>
      <c r="K69" s="126">
        <v>0</v>
      </c>
      <c r="L69" s="126">
        <f t="shared" si="63"/>
        <v>5056</v>
      </c>
      <c r="M69" s="126">
        <v>5056</v>
      </c>
      <c r="N69" s="126"/>
      <c r="O69" s="141">
        <f t="shared" si="64"/>
        <v>5040.7089999999998</v>
      </c>
      <c r="P69" s="141">
        <f t="shared" si="65"/>
        <v>0</v>
      </c>
      <c r="Q69" s="141"/>
      <c r="R69" s="141"/>
      <c r="S69" s="141">
        <f t="shared" si="66"/>
        <v>5040.7089999999998</v>
      </c>
      <c r="T69" s="141">
        <f>5040.709</f>
        <v>5040.7089999999998</v>
      </c>
      <c r="U69" s="141"/>
      <c r="V69" s="141">
        <f>W69+Z69</f>
        <v>0</v>
      </c>
      <c r="W69" s="141">
        <f>X69+Y69</f>
        <v>0</v>
      </c>
      <c r="X69" s="141"/>
      <c r="Y69" s="141"/>
      <c r="Z69" s="141">
        <f>AA69+AB69</f>
        <v>0</v>
      </c>
      <c r="AA69" s="141"/>
      <c r="AB69" s="141"/>
      <c r="AC69" s="141"/>
      <c r="AD69" s="141"/>
      <c r="AE69" s="141"/>
      <c r="AF69" s="141"/>
      <c r="AG69" s="141"/>
      <c r="AH69" s="141"/>
      <c r="AI69" s="126">
        <f t="shared" si="23"/>
        <v>15.291000000000167</v>
      </c>
      <c r="AJ69" s="126">
        <f>D69+J69-Q69-X69-AD69</f>
        <v>0</v>
      </c>
      <c r="AK69" s="126">
        <f>E69+K69-R69-Y69-AE69</f>
        <v>0</v>
      </c>
      <c r="AL69" s="141">
        <f t="shared" si="57"/>
        <v>15.291000000000167</v>
      </c>
      <c r="AM69" s="141">
        <f t="shared" si="57"/>
        <v>0</v>
      </c>
      <c r="AN69" s="126"/>
      <c r="AO69" s="130">
        <f t="shared" si="2"/>
        <v>0</v>
      </c>
      <c r="AP69" s="116"/>
    </row>
    <row r="70" spans="1:42" s="117" customFormat="1" ht="14" hidden="1" outlineLevel="1">
      <c r="A70" s="146"/>
      <c r="B70" s="147" t="s">
        <v>567</v>
      </c>
      <c r="C70" s="126">
        <f t="shared" si="30"/>
        <v>123.469999999999</v>
      </c>
      <c r="D70" s="126">
        <v>0</v>
      </c>
      <c r="E70" s="126">
        <v>0</v>
      </c>
      <c r="F70" s="141">
        <f>229.969999999999-106.5</f>
        <v>123.469999999999</v>
      </c>
      <c r="G70" s="141">
        <v>0</v>
      </c>
      <c r="H70" s="126">
        <f t="shared" si="61"/>
        <v>9372</v>
      </c>
      <c r="I70" s="126">
        <f t="shared" si="62"/>
        <v>0</v>
      </c>
      <c r="J70" s="126"/>
      <c r="K70" s="126">
        <v>0</v>
      </c>
      <c r="L70" s="126">
        <f t="shared" si="63"/>
        <v>9372</v>
      </c>
      <c r="M70" s="126">
        <f>9372</f>
        <v>9372</v>
      </c>
      <c r="N70" s="126"/>
      <c r="O70" s="141">
        <f t="shared" si="64"/>
        <v>9495.4699999999993</v>
      </c>
      <c r="P70" s="141">
        <f t="shared" si="65"/>
        <v>0</v>
      </c>
      <c r="Q70" s="141"/>
      <c r="R70" s="141"/>
      <c r="S70" s="141">
        <f t="shared" si="66"/>
        <v>9495.4699999999993</v>
      </c>
      <c r="T70" s="141">
        <f>F70+M70</f>
        <v>9495.4699999999993</v>
      </c>
      <c r="U70" s="141"/>
      <c r="V70" s="141">
        <f t="shared" ref="V70:V78" si="67">W70+Z70</f>
        <v>0</v>
      </c>
      <c r="W70" s="141">
        <f t="shared" ref="W70:W78" si="68">X70+Y70</f>
        <v>0</v>
      </c>
      <c r="X70" s="141"/>
      <c r="Y70" s="141"/>
      <c r="Z70" s="141">
        <f t="shared" ref="Z70:Z78" si="69">AA70+AB70</f>
        <v>0</v>
      </c>
      <c r="AA70" s="141">
        <f>F70+M70-T70</f>
        <v>0</v>
      </c>
      <c r="AB70" s="141"/>
      <c r="AC70" s="141"/>
      <c r="AD70" s="141"/>
      <c r="AE70" s="141"/>
      <c r="AF70" s="141"/>
      <c r="AG70" s="141"/>
      <c r="AH70" s="141"/>
      <c r="AI70" s="126">
        <f t="shared" si="23"/>
        <v>0</v>
      </c>
      <c r="AJ70" s="126">
        <f t="shared" si="56"/>
        <v>0</v>
      </c>
      <c r="AK70" s="126">
        <f t="shared" si="56"/>
        <v>0</v>
      </c>
      <c r="AL70" s="141">
        <f t="shared" si="57"/>
        <v>0</v>
      </c>
      <c r="AM70" s="141">
        <f t="shared" si="57"/>
        <v>0</v>
      </c>
      <c r="AN70" s="126"/>
      <c r="AO70" s="130">
        <f t="shared" si="2"/>
        <v>0</v>
      </c>
      <c r="AP70" s="116"/>
    </row>
    <row r="71" spans="1:42" s="117" customFormat="1" ht="14" hidden="1" outlineLevel="1">
      <c r="A71" s="146"/>
      <c r="B71" s="147" t="s">
        <v>566</v>
      </c>
      <c r="C71" s="126">
        <f t="shared" si="30"/>
        <v>1.0099999999999909</v>
      </c>
      <c r="D71" s="126">
        <v>0</v>
      </c>
      <c r="E71" s="126">
        <v>0</v>
      </c>
      <c r="F71" s="141">
        <v>1.0099999999999909</v>
      </c>
      <c r="G71" s="141">
        <v>0</v>
      </c>
      <c r="H71" s="126">
        <f t="shared" si="61"/>
        <v>5572</v>
      </c>
      <c r="I71" s="126">
        <f t="shared" si="62"/>
        <v>0</v>
      </c>
      <c r="J71" s="126"/>
      <c r="K71" s="126">
        <v>0</v>
      </c>
      <c r="L71" s="126">
        <f t="shared" si="63"/>
        <v>5572</v>
      </c>
      <c r="M71" s="126">
        <v>5572</v>
      </c>
      <c r="N71" s="126"/>
      <c r="O71" s="141">
        <f t="shared" si="64"/>
        <v>5331.24</v>
      </c>
      <c r="P71" s="141">
        <f t="shared" si="65"/>
        <v>0</v>
      </c>
      <c r="Q71" s="141"/>
      <c r="R71" s="141"/>
      <c r="S71" s="141">
        <f t="shared" si="66"/>
        <v>5331.24</v>
      </c>
      <c r="T71" s="141">
        <v>5331.24</v>
      </c>
      <c r="U71" s="141"/>
      <c r="V71" s="141">
        <f t="shared" si="67"/>
        <v>1.0099999999999909</v>
      </c>
      <c r="W71" s="141">
        <f t="shared" si="68"/>
        <v>0</v>
      </c>
      <c r="X71" s="141"/>
      <c r="Y71" s="141"/>
      <c r="Z71" s="141">
        <f t="shared" si="69"/>
        <v>1.0099999999999909</v>
      </c>
      <c r="AA71" s="141">
        <v>1.0099999999999909</v>
      </c>
      <c r="AB71" s="141"/>
      <c r="AC71" s="141"/>
      <c r="AD71" s="141"/>
      <c r="AE71" s="141"/>
      <c r="AF71" s="141"/>
      <c r="AG71" s="141"/>
      <c r="AH71" s="141"/>
      <c r="AI71" s="126">
        <f t="shared" si="23"/>
        <v>240.76000000000045</v>
      </c>
      <c r="AJ71" s="126">
        <f t="shared" si="56"/>
        <v>0</v>
      </c>
      <c r="AK71" s="126">
        <f t="shared" si="56"/>
        <v>0</v>
      </c>
      <c r="AL71" s="141">
        <f t="shared" si="57"/>
        <v>240.76000000000045</v>
      </c>
      <c r="AM71" s="141">
        <f t="shared" si="57"/>
        <v>0</v>
      </c>
      <c r="AN71" s="126"/>
      <c r="AO71" s="130">
        <f t="shared" si="2"/>
        <v>0</v>
      </c>
      <c r="AP71" s="116"/>
    </row>
    <row r="72" spans="1:42" s="117" customFormat="1" ht="14" hidden="1" outlineLevel="1">
      <c r="A72" s="146"/>
      <c r="B72" s="147" t="s">
        <v>564</v>
      </c>
      <c r="C72" s="126">
        <f t="shared" si="30"/>
        <v>30.955090000000503</v>
      </c>
      <c r="D72" s="126">
        <v>0</v>
      </c>
      <c r="E72" s="126">
        <v>0</v>
      </c>
      <c r="F72" s="141">
        <f>50.1320000000005-19.17691</f>
        <v>30.955090000000503</v>
      </c>
      <c r="G72" s="141">
        <v>0</v>
      </c>
      <c r="H72" s="126">
        <f t="shared" si="61"/>
        <v>7908</v>
      </c>
      <c r="I72" s="126">
        <f t="shared" si="62"/>
        <v>0</v>
      </c>
      <c r="J72" s="126"/>
      <c r="K72" s="126">
        <v>0</v>
      </c>
      <c r="L72" s="126">
        <f t="shared" si="63"/>
        <v>7908</v>
      </c>
      <c r="M72" s="126">
        <f>7908</f>
        <v>7908</v>
      </c>
      <c r="N72" s="126"/>
      <c r="O72" s="141">
        <f t="shared" si="64"/>
        <v>7775.0142900000001</v>
      </c>
      <c r="P72" s="141">
        <f t="shared" si="65"/>
        <v>0</v>
      </c>
      <c r="Q72" s="141"/>
      <c r="R72" s="141"/>
      <c r="S72" s="141">
        <f t="shared" si="66"/>
        <v>7775.0142900000001</v>
      </c>
      <c r="T72" s="141">
        <f>7348.79872+426.21557</f>
        <v>7775.0142900000001</v>
      </c>
      <c r="U72" s="141"/>
      <c r="V72" s="141">
        <f t="shared" si="67"/>
        <v>8.6430000000000007</v>
      </c>
      <c r="W72" s="141">
        <f t="shared" si="68"/>
        <v>0</v>
      </c>
      <c r="X72" s="141"/>
      <c r="Y72" s="141"/>
      <c r="Z72" s="141">
        <f t="shared" si="69"/>
        <v>8.6430000000000007</v>
      </c>
      <c r="AA72" s="141">
        <f>7.373+1.27</f>
        <v>8.6430000000000007</v>
      </c>
      <c r="AB72" s="141"/>
      <c r="AC72" s="141"/>
      <c r="AD72" s="141"/>
      <c r="AE72" s="141"/>
      <c r="AF72" s="141"/>
      <c r="AG72" s="141"/>
      <c r="AH72" s="141"/>
      <c r="AI72" s="126">
        <f t="shared" si="23"/>
        <v>155.29780000000031</v>
      </c>
      <c r="AJ72" s="126">
        <f t="shared" si="56"/>
        <v>0</v>
      </c>
      <c r="AK72" s="126">
        <f t="shared" si="56"/>
        <v>0</v>
      </c>
      <c r="AL72" s="141">
        <f t="shared" si="57"/>
        <v>155.29780000000031</v>
      </c>
      <c r="AM72" s="141">
        <f t="shared" si="57"/>
        <v>0</v>
      </c>
      <c r="AN72" s="126"/>
      <c r="AO72" s="130">
        <f t="shared" si="2"/>
        <v>0</v>
      </c>
      <c r="AP72" s="116"/>
    </row>
    <row r="73" spans="1:42" s="117" customFormat="1" ht="14" hidden="1" outlineLevel="1">
      <c r="A73" s="146"/>
      <c r="B73" s="147" t="s">
        <v>562</v>
      </c>
      <c r="C73" s="126">
        <f t="shared" si="30"/>
        <v>624.25600000000031</v>
      </c>
      <c r="D73" s="126">
        <v>0</v>
      </c>
      <c r="E73" s="126">
        <v>0</v>
      </c>
      <c r="F73" s="141">
        <v>624.25600000000031</v>
      </c>
      <c r="G73" s="141">
        <v>0</v>
      </c>
      <c r="H73" s="126">
        <f t="shared" si="61"/>
        <v>4579</v>
      </c>
      <c r="I73" s="126">
        <f t="shared" si="62"/>
        <v>0</v>
      </c>
      <c r="J73" s="126"/>
      <c r="K73" s="126">
        <v>0</v>
      </c>
      <c r="L73" s="126">
        <f t="shared" si="63"/>
        <v>4579</v>
      </c>
      <c r="M73" s="126">
        <v>4579</v>
      </c>
      <c r="N73" s="126"/>
      <c r="O73" s="141">
        <f t="shared" si="64"/>
        <v>5009.5209999999997</v>
      </c>
      <c r="P73" s="141">
        <f t="shared" si="65"/>
        <v>0</v>
      </c>
      <c r="Q73" s="141"/>
      <c r="R73" s="141"/>
      <c r="S73" s="141">
        <f t="shared" si="66"/>
        <v>5009.5209999999997</v>
      </c>
      <c r="T73" s="141">
        <f>5009.521</f>
        <v>5009.5209999999997</v>
      </c>
      <c r="U73" s="141"/>
      <c r="V73" s="141">
        <f t="shared" si="67"/>
        <v>0</v>
      </c>
      <c r="W73" s="141">
        <f t="shared" si="68"/>
        <v>0</v>
      </c>
      <c r="X73" s="141"/>
      <c r="Y73" s="141"/>
      <c r="Z73" s="141">
        <f t="shared" si="69"/>
        <v>0</v>
      </c>
      <c r="AA73" s="141"/>
      <c r="AB73" s="141"/>
      <c r="AC73" s="141"/>
      <c r="AD73" s="141"/>
      <c r="AE73" s="141"/>
      <c r="AF73" s="141"/>
      <c r="AG73" s="141"/>
      <c r="AH73" s="141"/>
      <c r="AI73" s="126">
        <f t="shared" si="23"/>
        <v>193.73500000000058</v>
      </c>
      <c r="AJ73" s="126">
        <f t="shared" si="56"/>
        <v>0</v>
      </c>
      <c r="AK73" s="126">
        <f t="shared" si="56"/>
        <v>0</v>
      </c>
      <c r="AL73" s="141">
        <f t="shared" si="57"/>
        <v>193.73500000000058</v>
      </c>
      <c r="AM73" s="141">
        <f t="shared" si="57"/>
        <v>0</v>
      </c>
      <c r="AN73" s="126"/>
      <c r="AO73" s="130">
        <f t="shared" si="2"/>
        <v>0</v>
      </c>
      <c r="AP73" s="116"/>
    </row>
    <row r="74" spans="1:42" s="117" customFormat="1" ht="14" hidden="1" outlineLevel="1">
      <c r="A74" s="146"/>
      <c r="B74" s="147" t="s">
        <v>568</v>
      </c>
      <c r="C74" s="126">
        <f t="shared" si="30"/>
        <v>803.5649999999996</v>
      </c>
      <c r="D74" s="126">
        <v>0</v>
      </c>
      <c r="E74" s="126">
        <v>0</v>
      </c>
      <c r="F74" s="141">
        <v>803.5649999999996</v>
      </c>
      <c r="G74" s="141">
        <v>0</v>
      </c>
      <c r="H74" s="126">
        <f t="shared" si="61"/>
        <v>11693</v>
      </c>
      <c r="I74" s="126">
        <f t="shared" si="62"/>
        <v>0</v>
      </c>
      <c r="J74" s="126"/>
      <c r="K74" s="126">
        <v>0</v>
      </c>
      <c r="L74" s="126">
        <f t="shared" si="63"/>
        <v>11693</v>
      </c>
      <c r="M74" s="126">
        <v>11693</v>
      </c>
      <c r="N74" s="126"/>
      <c r="O74" s="141">
        <f t="shared" si="64"/>
        <v>11680.791499999999</v>
      </c>
      <c r="P74" s="141">
        <f t="shared" si="65"/>
        <v>0</v>
      </c>
      <c r="Q74" s="141"/>
      <c r="R74" s="141"/>
      <c r="S74" s="141">
        <f t="shared" si="66"/>
        <v>11680.791499999999</v>
      </c>
      <c r="T74" s="141">
        <f>11680.7915</f>
        <v>11680.791499999999</v>
      </c>
      <c r="U74" s="141"/>
      <c r="V74" s="141">
        <f t="shared" si="67"/>
        <v>803.5649999999996</v>
      </c>
      <c r="W74" s="141">
        <f t="shared" si="68"/>
        <v>0</v>
      </c>
      <c r="X74" s="141"/>
      <c r="Y74" s="141"/>
      <c r="Z74" s="141">
        <f t="shared" si="69"/>
        <v>803.5649999999996</v>
      </c>
      <c r="AA74" s="141">
        <f>F74</f>
        <v>803.5649999999996</v>
      </c>
      <c r="AB74" s="141"/>
      <c r="AC74" s="141"/>
      <c r="AD74" s="141"/>
      <c r="AE74" s="141"/>
      <c r="AF74" s="141"/>
      <c r="AG74" s="141"/>
      <c r="AH74" s="141"/>
      <c r="AI74" s="126">
        <f t="shared" si="23"/>
        <v>12.208499999999731</v>
      </c>
      <c r="AJ74" s="126">
        <f t="shared" si="56"/>
        <v>0</v>
      </c>
      <c r="AK74" s="126">
        <f t="shared" si="56"/>
        <v>0</v>
      </c>
      <c r="AL74" s="141">
        <f t="shared" si="57"/>
        <v>12.208499999999731</v>
      </c>
      <c r="AM74" s="141">
        <f t="shared" si="57"/>
        <v>0</v>
      </c>
      <c r="AN74" s="126"/>
      <c r="AO74" s="130">
        <f t="shared" si="2"/>
        <v>0</v>
      </c>
      <c r="AP74" s="116"/>
    </row>
    <row r="75" spans="1:42" s="117" customFormat="1" ht="14" hidden="1" outlineLevel="1">
      <c r="A75" s="146"/>
      <c r="B75" s="147" t="s">
        <v>565</v>
      </c>
      <c r="C75" s="126">
        <f t="shared" si="30"/>
        <v>320.70699999999999</v>
      </c>
      <c r="D75" s="126">
        <v>0</v>
      </c>
      <c r="E75" s="126">
        <v>0</v>
      </c>
      <c r="F75" s="141">
        <f>945.699-472.262-152.73</f>
        <v>320.70699999999999</v>
      </c>
      <c r="G75" s="141">
        <v>0</v>
      </c>
      <c r="H75" s="126">
        <f t="shared" si="61"/>
        <v>3050</v>
      </c>
      <c r="I75" s="126">
        <f t="shared" si="62"/>
        <v>0</v>
      </c>
      <c r="J75" s="126"/>
      <c r="K75" s="126">
        <v>0</v>
      </c>
      <c r="L75" s="126">
        <f t="shared" si="63"/>
        <v>3050</v>
      </c>
      <c r="M75" s="126">
        <v>3050</v>
      </c>
      <c r="N75" s="126"/>
      <c r="O75" s="141">
        <f t="shared" si="64"/>
        <v>2879.4490000000001</v>
      </c>
      <c r="P75" s="141">
        <f t="shared" si="65"/>
        <v>0</v>
      </c>
      <c r="Q75" s="141"/>
      <c r="R75" s="141"/>
      <c r="S75" s="141">
        <f t="shared" si="66"/>
        <v>2879.4490000000001</v>
      </c>
      <c r="T75" s="141">
        <v>2879.4490000000001</v>
      </c>
      <c r="U75" s="141"/>
      <c r="V75" s="141">
        <f t="shared" si="67"/>
        <v>0</v>
      </c>
      <c r="W75" s="141">
        <f t="shared" si="68"/>
        <v>0</v>
      </c>
      <c r="X75" s="141"/>
      <c r="Y75" s="141"/>
      <c r="Z75" s="141">
        <f t="shared" si="69"/>
        <v>0</v>
      </c>
      <c r="AA75" s="141"/>
      <c r="AB75" s="141"/>
      <c r="AC75" s="141"/>
      <c r="AD75" s="141"/>
      <c r="AE75" s="141"/>
      <c r="AF75" s="141"/>
      <c r="AG75" s="141"/>
      <c r="AH75" s="141"/>
      <c r="AI75" s="126">
        <f t="shared" si="23"/>
        <v>491.25799999999981</v>
      </c>
      <c r="AJ75" s="126">
        <f>D75+J75-Q75-X75-AD75</f>
        <v>0</v>
      </c>
      <c r="AK75" s="126">
        <f t="shared" si="56"/>
        <v>0</v>
      </c>
      <c r="AL75" s="141">
        <f>F75+M75-T75-AA75-AG75</f>
        <v>491.25799999999981</v>
      </c>
      <c r="AM75" s="141">
        <f>G75+N75-U75-AB75-AH75</f>
        <v>0</v>
      </c>
      <c r="AN75" s="126"/>
      <c r="AO75" s="130">
        <f t="shared" si="2"/>
        <v>0</v>
      </c>
      <c r="AP75" s="116"/>
    </row>
    <row r="76" spans="1:42" s="117" customFormat="1" ht="14" hidden="1" outlineLevel="1">
      <c r="A76" s="146"/>
      <c r="B76" s="147" t="s">
        <v>560</v>
      </c>
      <c r="C76" s="126">
        <f t="shared" si="30"/>
        <v>33</v>
      </c>
      <c r="D76" s="126">
        <v>0</v>
      </c>
      <c r="E76" s="126">
        <v>0</v>
      </c>
      <c r="F76" s="141">
        <v>33</v>
      </c>
      <c r="G76" s="141">
        <v>0</v>
      </c>
      <c r="H76" s="126">
        <f>I76+L76</f>
        <v>6310</v>
      </c>
      <c r="I76" s="126">
        <f>J76+K76</f>
        <v>0</v>
      </c>
      <c r="J76" s="126"/>
      <c r="K76" s="126">
        <v>0</v>
      </c>
      <c r="L76" s="126">
        <f>M76+N76</f>
        <v>6310</v>
      </c>
      <c r="M76" s="126">
        <v>6310</v>
      </c>
      <c r="N76" s="126"/>
      <c r="O76" s="141">
        <f t="shared" si="64"/>
        <v>6194.4</v>
      </c>
      <c r="P76" s="141">
        <f t="shared" si="65"/>
        <v>0</v>
      </c>
      <c r="Q76" s="141"/>
      <c r="R76" s="141"/>
      <c r="S76" s="141">
        <f t="shared" si="66"/>
        <v>6194.4</v>
      </c>
      <c r="T76" s="141">
        <f>6161.4+33</f>
        <v>6194.4</v>
      </c>
      <c r="U76" s="141"/>
      <c r="V76" s="141">
        <f t="shared" si="67"/>
        <v>0</v>
      </c>
      <c r="W76" s="141">
        <f t="shared" si="68"/>
        <v>0</v>
      </c>
      <c r="X76" s="141"/>
      <c r="Y76" s="141"/>
      <c r="Z76" s="141">
        <f t="shared" si="69"/>
        <v>0</v>
      </c>
      <c r="AA76" s="141"/>
      <c r="AB76" s="141"/>
      <c r="AC76" s="141"/>
      <c r="AD76" s="141"/>
      <c r="AE76" s="141"/>
      <c r="AF76" s="141"/>
      <c r="AG76" s="141"/>
      <c r="AH76" s="141"/>
      <c r="AI76" s="126">
        <f t="shared" si="23"/>
        <v>148.60000000000036</v>
      </c>
      <c r="AJ76" s="126">
        <f t="shared" si="56"/>
        <v>0</v>
      </c>
      <c r="AK76" s="126">
        <f t="shared" si="56"/>
        <v>0</v>
      </c>
      <c r="AL76" s="141">
        <f t="shared" si="57"/>
        <v>148.60000000000036</v>
      </c>
      <c r="AM76" s="141">
        <f t="shared" si="57"/>
        <v>0</v>
      </c>
      <c r="AN76" s="126"/>
      <c r="AO76" s="130">
        <f t="shared" si="2"/>
        <v>0</v>
      </c>
      <c r="AP76" s="116"/>
    </row>
    <row r="77" spans="1:42" s="117" customFormat="1" ht="14" hidden="1" outlineLevel="1">
      <c r="A77" s="146"/>
      <c r="B77" s="147" t="s">
        <v>337</v>
      </c>
      <c r="C77" s="126">
        <f>SUM(D77:G77)</f>
        <v>47.989999999999782</v>
      </c>
      <c r="D77" s="126">
        <v>0</v>
      </c>
      <c r="E77" s="126">
        <v>0</v>
      </c>
      <c r="F77" s="141">
        <v>47.989999999999782</v>
      </c>
      <c r="G77" s="141">
        <v>0</v>
      </c>
      <c r="H77" s="126">
        <f>I77+L77</f>
        <v>2867</v>
      </c>
      <c r="I77" s="126">
        <f>J77+K77</f>
        <v>0</v>
      </c>
      <c r="J77" s="126"/>
      <c r="K77" s="126">
        <v>0</v>
      </c>
      <c r="L77" s="126">
        <f>M77+N77</f>
        <v>2867</v>
      </c>
      <c r="M77" s="126">
        <v>2867</v>
      </c>
      <c r="N77" s="126"/>
      <c r="O77" s="141">
        <f>P77+S77</f>
        <v>2853.5385999999999</v>
      </c>
      <c r="P77" s="141">
        <f>Q77+R77</f>
        <v>0</v>
      </c>
      <c r="Q77" s="141"/>
      <c r="R77" s="141"/>
      <c r="S77" s="141">
        <f>T77+U77</f>
        <v>2853.5385999999999</v>
      </c>
      <c r="T77" s="141">
        <f>2853.5386</f>
        <v>2853.5385999999999</v>
      </c>
      <c r="U77" s="141"/>
      <c r="V77" s="141">
        <f>W77+Z77</f>
        <v>12.024623</v>
      </c>
      <c r="W77" s="141">
        <f>X77+Y77</f>
        <v>0</v>
      </c>
      <c r="X77" s="141"/>
      <c r="Y77" s="141"/>
      <c r="Z77" s="141">
        <f>AA77+AB77</f>
        <v>12.024623</v>
      </c>
      <c r="AA77" s="141">
        <f>12.024623</f>
        <v>12.024623</v>
      </c>
      <c r="AB77" s="141"/>
      <c r="AC77" s="141"/>
      <c r="AD77" s="141"/>
      <c r="AE77" s="141"/>
      <c r="AF77" s="141"/>
      <c r="AG77" s="141"/>
      <c r="AH77" s="141"/>
      <c r="AI77" s="126">
        <f>SUM(AJ77:AM77)</f>
        <v>49.426776999999923</v>
      </c>
      <c r="AJ77" s="126">
        <f>D77+J77-Q77-X77-AD77</f>
        <v>0</v>
      </c>
      <c r="AK77" s="126">
        <f>E77+K77-R77-Y77-AE77</f>
        <v>0</v>
      </c>
      <c r="AL77" s="141">
        <f>F77+M77-T77-AA77-AG77</f>
        <v>49.426776999999923</v>
      </c>
      <c r="AM77" s="141">
        <f>G77+N77-U77-AB77-AH77</f>
        <v>0</v>
      </c>
      <c r="AN77" s="126"/>
      <c r="AO77" s="130">
        <f t="shared" si="2"/>
        <v>0</v>
      </c>
      <c r="AP77" s="116"/>
    </row>
    <row r="78" spans="1:42" s="117" customFormat="1" ht="14" hidden="1" outlineLevel="1">
      <c r="A78" s="146"/>
      <c r="B78" s="140" t="s">
        <v>583</v>
      </c>
      <c r="C78" s="126">
        <f t="shared" si="30"/>
        <v>606.53591000000006</v>
      </c>
      <c r="D78" s="126">
        <f>8.597+106.5+19.17691+472.262</f>
        <v>606.53591000000006</v>
      </c>
      <c r="E78" s="126">
        <v>0</v>
      </c>
      <c r="F78" s="141">
        <f>8.597-8.597+106.5-106.5+19.17691-19.17691+472.262-472.262</f>
        <v>0</v>
      </c>
      <c r="G78" s="141">
        <v>0</v>
      </c>
      <c r="H78" s="126">
        <f>I78+L78</f>
        <v>277.83999999999997</v>
      </c>
      <c r="I78" s="126">
        <f>J78+K78</f>
        <v>277.83999999999997</v>
      </c>
      <c r="J78" s="126">
        <f>277.84</f>
        <v>277.83999999999997</v>
      </c>
      <c r="K78" s="126"/>
      <c r="L78" s="126">
        <f>M78+N78</f>
        <v>0</v>
      </c>
      <c r="M78" s="126">
        <f>277.84-277.84</f>
        <v>0</v>
      </c>
      <c r="N78" s="126"/>
      <c r="O78" s="141">
        <f t="shared" si="64"/>
        <v>0</v>
      </c>
      <c r="P78" s="141">
        <f t="shared" si="65"/>
        <v>0</v>
      </c>
      <c r="Q78" s="141"/>
      <c r="R78" s="141"/>
      <c r="S78" s="141">
        <f t="shared" si="66"/>
        <v>0</v>
      </c>
      <c r="T78" s="141"/>
      <c r="U78" s="141"/>
      <c r="V78" s="141">
        <f t="shared" si="67"/>
        <v>0</v>
      </c>
      <c r="W78" s="141">
        <f t="shared" si="68"/>
        <v>0</v>
      </c>
      <c r="X78" s="141"/>
      <c r="Y78" s="141"/>
      <c r="Z78" s="141">
        <f t="shared" si="69"/>
        <v>0</v>
      </c>
      <c r="AA78" s="141"/>
      <c r="AB78" s="141"/>
      <c r="AC78" s="141"/>
      <c r="AD78" s="141"/>
      <c r="AE78" s="141"/>
      <c r="AF78" s="141"/>
      <c r="AG78" s="141"/>
      <c r="AH78" s="141"/>
      <c r="AI78" s="126">
        <f t="shared" si="23"/>
        <v>884.37590999999998</v>
      </c>
      <c r="AJ78" s="126">
        <f t="shared" si="56"/>
        <v>884.37590999999998</v>
      </c>
      <c r="AK78" s="126">
        <f t="shared" si="56"/>
        <v>0</v>
      </c>
      <c r="AL78" s="141">
        <f t="shared" si="57"/>
        <v>0</v>
      </c>
      <c r="AM78" s="141">
        <f t="shared" si="57"/>
        <v>0</v>
      </c>
      <c r="AN78" s="126"/>
      <c r="AO78" s="130">
        <f t="shared" ref="AO78:AO141" si="70">C78+H78-O78-V78-AI78</f>
        <v>0</v>
      </c>
      <c r="AP78" s="116"/>
    </row>
    <row r="79" spans="1:42" s="117" customFormat="1" ht="14" hidden="1" outlineLevel="1">
      <c r="A79" s="146" t="s">
        <v>194</v>
      </c>
      <c r="B79" s="147" t="s">
        <v>581</v>
      </c>
      <c r="C79" s="141">
        <f t="shared" ref="C79:F79" si="71">SUM(C80:C90)</f>
        <v>111.89799999999991</v>
      </c>
      <c r="D79" s="141">
        <f t="shared" si="71"/>
        <v>0</v>
      </c>
      <c r="E79" s="141">
        <f t="shared" si="71"/>
        <v>52.212999999999909</v>
      </c>
      <c r="F79" s="141">
        <f t="shared" si="71"/>
        <v>0</v>
      </c>
      <c r="G79" s="141">
        <f>SUM(G80:G90)</f>
        <v>59.685000000000002</v>
      </c>
      <c r="H79" s="126">
        <f t="shared" ref="H79:AH79" si="72">SUM(H80:H90)</f>
        <v>4881</v>
      </c>
      <c r="I79" s="126">
        <f t="shared" si="72"/>
        <v>3.0090000000000003</v>
      </c>
      <c r="J79" s="126">
        <f t="shared" si="72"/>
        <v>0</v>
      </c>
      <c r="K79" s="126">
        <f t="shared" si="72"/>
        <v>3.0090000000000003</v>
      </c>
      <c r="L79" s="126">
        <f t="shared" si="72"/>
        <v>4877.991</v>
      </c>
      <c r="M79" s="126">
        <f t="shared" si="72"/>
        <v>0</v>
      </c>
      <c r="N79" s="126">
        <f t="shared" si="72"/>
        <v>4877.991</v>
      </c>
      <c r="O79" s="126">
        <f t="shared" si="72"/>
        <v>4853.3501759999999</v>
      </c>
      <c r="P79" s="126">
        <f t="shared" si="72"/>
        <v>0</v>
      </c>
      <c r="Q79" s="126">
        <f t="shared" si="72"/>
        <v>0</v>
      </c>
      <c r="R79" s="126">
        <f t="shared" si="72"/>
        <v>0</v>
      </c>
      <c r="S79" s="126">
        <f t="shared" si="72"/>
        <v>4853.3501759999999</v>
      </c>
      <c r="T79" s="126">
        <f t="shared" si="72"/>
        <v>0</v>
      </c>
      <c r="U79" s="126">
        <f t="shared" si="72"/>
        <v>4853.3501759999999</v>
      </c>
      <c r="V79" s="126">
        <f t="shared" si="72"/>
        <v>43.690000000000055</v>
      </c>
      <c r="W79" s="126">
        <f t="shared" si="72"/>
        <v>0</v>
      </c>
      <c r="X79" s="126">
        <f t="shared" si="72"/>
        <v>0</v>
      </c>
      <c r="Y79" s="126">
        <f t="shared" si="72"/>
        <v>0</v>
      </c>
      <c r="Z79" s="126">
        <f t="shared" si="72"/>
        <v>43.690000000000055</v>
      </c>
      <c r="AA79" s="126">
        <f t="shared" si="72"/>
        <v>0</v>
      </c>
      <c r="AB79" s="126">
        <f t="shared" si="72"/>
        <v>43.690000000000055</v>
      </c>
      <c r="AC79" s="126">
        <f t="shared" si="72"/>
        <v>0</v>
      </c>
      <c r="AD79" s="126">
        <f t="shared" si="72"/>
        <v>0</v>
      </c>
      <c r="AE79" s="126">
        <f t="shared" si="72"/>
        <v>0</v>
      </c>
      <c r="AF79" s="126">
        <f t="shared" si="72"/>
        <v>0</v>
      </c>
      <c r="AG79" s="126">
        <f t="shared" si="72"/>
        <v>0</v>
      </c>
      <c r="AH79" s="126">
        <f t="shared" si="72"/>
        <v>0</v>
      </c>
      <c r="AI79" s="126">
        <f t="shared" si="23"/>
        <v>95.857824000000321</v>
      </c>
      <c r="AJ79" s="126">
        <f t="shared" si="56"/>
        <v>0</v>
      </c>
      <c r="AK79" s="126">
        <f t="shared" si="56"/>
        <v>55.221999999999909</v>
      </c>
      <c r="AL79" s="141">
        <f t="shared" si="57"/>
        <v>0</v>
      </c>
      <c r="AM79" s="141">
        <f t="shared" si="57"/>
        <v>40.635824000000412</v>
      </c>
      <c r="AN79" s="126"/>
      <c r="AO79" s="130">
        <f t="shared" si="70"/>
        <v>-1.5631940186722204E-13</v>
      </c>
      <c r="AP79" s="116"/>
    </row>
    <row r="80" spans="1:42" s="117" customFormat="1" ht="14" hidden="1" outlineLevel="1">
      <c r="A80" s="146"/>
      <c r="B80" s="147" t="s">
        <v>563</v>
      </c>
      <c r="C80" s="126">
        <f t="shared" si="30"/>
        <v>0</v>
      </c>
      <c r="D80" s="126">
        <v>0</v>
      </c>
      <c r="E80" s="126">
        <v>0</v>
      </c>
      <c r="F80" s="141">
        <v>0</v>
      </c>
      <c r="G80" s="141">
        <f>0.0499999999998977-0.0499999999998977</f>
        <v>0</v>
      </c>
      <c r="H80" s="126">
        <f t="shared" ref="H80:H90" si="73">I80+L80</f>
        <v>784</v>
      </c>
      <c r="I80" s="126">
        <f t="shared" ref="I80:I103" si="74">J80+K80</f>
        <v>0</v>
      </c>
      <c r="J80" s="126"/>
      <c r="K80" s="126">
        <v>0</v>
      </c>
      <c r="L80" s="126">
        <f t="shared" ref="L80:L90" si="75">M80+N80</f>
        <v>784</v>
      </c>
      <c r="M80" s="141"/>
      <c r="N80" s="141">
        <v>784</v>
      </c>
      <c r="O80" s="141">
        <f t="shared" ref="O80:O90" si="76">P80+S80</f>
        <v>783.5</v>
      </c>
      <c r="P80" s="141">
        <f t="shared" ref="P80:P90" si="77">Q80+R80</f>
        <v>0</v>
      </c>
      <c r="Q80" s="141"/>
      <c r="R80" s="141"/>
      <c r="S80" s="141">
        <f t="shared" ref="S80:S90" si="78">T80+U80</f>
        <v>783.5</v>
      </c>
      <c r="T80" s="141"/>
      <c r="U80" s="141">
        <f>783.5</f>
        <v>783.5</v>
      </c>
      <c r="V80" s="141">
        <f>W80+Z80</f>
        <v>0</v>
      </c>
      <c r="W80" s="141"/>
      <c r="X80" s="141"/>
      <c r="Y80" s="141"/>
      <c r="Z80" s="141">
        <f>AA80+AB80</f>
        <v>0</v>
      </c>
      <c r="AA80" s="141"/>
      <c r="AB80" s="141"/>
      <c r="AC80" s="141"/>
      <c r="AD80" s="141"/>
      <c r="AE80" s="141"/>
      <c r="AF80" s="141"/>
      <c r="AG80" s="141"/>
      <c r="AH80" s="141"/>
      <c r="AI80" s="126">
        <f t="shared" si="23"/>
        <v>0.5</v>
      </c>
      <c r="AJ80" s="126">
        <f t="shared" si="56"/>
        <v>0</v>
      </c>
      <c r="AK80" s="126">
        <f t="shared" si="56"/>
        <v>0</v>
      </c>
      <c r="AL80" s="141">
        <f t="shared" si="57"/>
        <v>0</v>
      </c>
      <c r="AM80" s="141">
        <f t="shared" si="57"/>
        <v>0.5</v>
      </c>
      <c r="AN80" s="126"/>
      <c r="AO80" s="130">
        <f t="shared" si="70"/>
        <v>0</v>
      </c>
      <c r="AP80" s="116"/>
    </row>
    <row r="81" spans="1:42" s="117" customFormat="1" ht="14" hidden="1" outlineLevel="1">
      <c r="A81" s="146"/>
      <c r="B81" s="147" t="s">
        <v>561</v>
      </c>
      <c r="C81" s="126">
        <f t="shared" si="30"/>
        <v>0</v>
      </c>
      <c r="D81" s="126">
        <v>0</v>
      </c>
      <c r="E81" s="126">
        <v>0</v>
      </c>
      <c r="F81" s="141">
        <v>0</v>
      </c>
      <c r="G81" s="141">
        <f>0.0380000000000109-0.0380000000000109</f>
        <v>0</v>
      </c>
      <c r="H81" s="126">
        <f t="shared" si="73"/>
        <v>367</v>
      </c>
      <c r="I81" s="126">
        <f t="shared" si="74"/>
        <v>0</v>
      </c>
      <c r="J81" s="126"/>
      <c r="K81" s="126">
        <v>0</v>
      </c>
      <c r="L81" s="126">
        <f t="shared" si="75"/>
        <v>367</v>
      </c>
      <c r="M81" s="141"/>
      <c r="N81" s="141">
        <v>367</v>
      </c>
      <c r="O81" s="141">
        <f t="shared" si="76"/>
        <v>358.27100000000002</v>
      </c>
      <c r="P81" s="141">
        <f t="shared" si="77"/>
        <v>0</v>
      </c>
      <c r="Q81" s="141"/>
      <c r="R81" s="141"/>
      <c r="S81" s="141">
        <f t="shared" si="78"/>
        <v>358.27100000000002</v>
      </c>
      <c r="T81" s="141"/>
      <c r="U81" s="141">
        <f>358.271</f>
        <v>358.27100000000002</v>
      </c>
      <c r="V81" s="141">
        <f>W81+Z81</f>
        <v>0</v>
      </c>
      <c r="W81" s="141"/>
      <c r="X81" s="141"/>
      <c r="Y81" s="141"/>
      <c r="Z81" s="141">
        <f>AA81+AB81</f>
        <v>0</v>
      </c>
      <c r="AA81" s="141"/>
      <c r="AB81" s="141">
        <f>G81</f>
        <v>0</v>
      </c>
      <c r="AC81" s="141"/>
      <c r="AD81" s="141"/>
      <c r="AE81" s="141"/>
      <c r="AF81" s="141"/>
      <c r="AG81" s="141"/>
      <c r="AH81" s="141"/>
      <c r="AI81" s="126">
        <f t="shared" si="23"/>
        <v>8.728999999999985</v>
      </c>
      <c r="AJ81" s="126">
        <f t="shared" si="56"/>
        <v>0</v>
      </c>
      <c r="AK81" s="126">
        <f t="shared" si="56"/>
        <v>0</v>
      </c>
      <c r="AL81" s="141">
        <f t="shared" si="57"/>
        <v>0</v>
      </c>
      <c r="AM81" s="141">
        <f t="shared" si="57"/>
        <v>8.728999999999985</v>
      </c>
      <c r="AN81" s="126"/>
      <c r="AO81" s="130">
        <f t="shared" si="70"/>
        <v>0</v>
      </c>
      <c r="AP81" s="116"/>
    </row>
    <row r="82" spans="1:42" s="117" customFormat="1" ht="14" hidden="1" outlineLevel="1">
      <c r="A82" s="146"/>
      <c r="B82" s="147" t="s">
        <v>567</v>
      </c>
      <c r="C82" s="126">
        <f t="shared" si="30"/>
        <v>22.930000000000007</v>
      </c>
      <c r="D82" s="126">
        <v>0</v>
      </c>
      <c r="E82" s="126">
        <v>0</v>
      </c>
      <c r="F82" s="141">
        <v>0</v>
      </c>
      <c r="G82" s="141">
        <v>22.930000000000007</v>
      </c>
      <c r="H82" s="126">
        <f t="shared" si="73"/>
        <v>678.3</v>
      </c>
      <c r="I82" s="126">
        <f t="shared" si="74"/>
        <v>0</v>
      </c>
      <c r="J82" s="126"/>
      <c r="K82" s="126">
        <v>0</v>
      </c>
      <c r="L82" s="126">
        <f t="shared" si="75"/>
        <v>678.3</v>
      </c>
      <c r="M82" s="141"/>
      <c r="N82" s="141">
        <f>681-2.7</f>
        <v>678.3</v>
      </c>
      <c r="O82" s="141">
        <f t="shared" si="76"/>
        <v>678.3</v>
      </c>
      <c r="P82" s="141">
        <f t="shared" si="77"/>
        <v>0</v>
      </c>
      <c r="Q82" s="141"/>
      <c r="R82" s="141"/>
      <c r="S82" s="141">
        <f t="shared" si="78"/>
        <v>678.3</v>
      </c>
      <c r="T82" s="141"/>
      <c r="U82" s="141">
        <f>678.3</f>
        <v>678.3</v>
      </c>
      <c r="V82" s="141">
        <f>W82+Z82</f>
        <v>22.930000000000064</v>
      </c>
      <c r="W82" s="141"/>
      <c r="X82" s="141"/>
      <c r="Y82" s="141"/>
      <c r="Z82" s="141">
        <f>AA82+AB82</f>
        <v>22.930000000000064</v>
      </c>
      <c r="AA82" s="141"/>
      <c r="AB82" s="141">
        <f>G82+N82-U82</f>
        <v>22.930000000000064</v>
      </c>
      <c r="AC82" s="141"/>
      <c r="AD82" s="141"/>
      <c r="AE82" s="141"/>
      <c r="AF82" s="141"/>
      <c r="AG82" s="141"/>
      <c r="AH82" s="141"/>
      <c r="AI82" s="126">
        <f t="shared" si="23"/>
        <v>0</v>
      </c>
      <c r="AJ82" s="126">
        <f t="shared" si="56"/>
        <v>0</v>
      </c>
      <c r="AK82" s="126">
        <f t="shared" si="56"/>
        <v>0</v>
      </c>
      <c r="AL82" s="141">
        <f t="shared" si="57"/>
        <v>0</v>
      </c>
      <c r="AM82" s="141">
        <f t="shared" si="57"/>
        <v>0</v>
      </c>
      <c r="AN82" s="126"/>
      <c r="AO82" s="130">
        <f t="shared" si="70"/>
        <v>0</v>
      </c>
      <c r="AP82" s="116"/>
    </row>
    <row r="83" spans="1:42" s="117" customFormat="1" ht="14" hidden="1" outlineLevel="1">
      <c r="A83" s="146"/>
      <c r="B83" s="147" t="s">
        <v>566</v>
      </c>
      <c r="C83" s="126">
        <f t="shared" si="30"/>
        <v>3.8100000000000023</v>
      </c>
      <c r="D83" s="126">
        <v>0</v>
      </c>
      <c r="E83" s="126">
        <v>0</v>
      </c>
      <c r="F83" s="141">
        <v>0</v>
      </c>
      <c r="G83" s="141">
        <v>3.8100000000000023</v>
      </c>
      <c r="H83" s="126">
        <f t="shared" si="73"/>
        <v>405</v>
      </c>
      <c r="I83" s="126">
        <f t="shared" si="74"/>
        <v>0</v>
      </c>
      <c r="J83" s="126"/>
      <c r="K83" s="126">
        <v>0</v>
      </c>
      <c r="L83" s="126">
        <f t="shared" si="75"/>
        <v>405</v>
      </c>
      <c r="M83" s="141"/>
      <c r="N83" s="141">
        <v>405</v>
      </c>
      <c r="O83" s="141">
        <f t="shared" si="76"/>
        <v>404.47199999999998</v>
      </c>
      <c r="P83" s="141">
        <f t="shared" si="77"/>
        <v>0</v>
      </c>
      <c r="Q83" s="141"/>
      <c r="R83" s="141"/>
      <c r="S83" s="141">
        <f t="shared" si="78"/>
        <v>404.47199999999998</v>
      </c>
      <c r="T83" s="141"/>
      <c r="U83" s="141">
        <v>404.47199999999998</v>
      </c>
      <c r="V83" s="141">
        <f>W83+Z83</f>
        <v>3.8100000000000023</v>
      </c>
      <c r="W83" s="141"/>
      <c r="X83" s="141"/>
      <c r="Y83" s="141"/>
      <c r="Z83" s="141">
        <f>AA83+AB83</f>
        <v>3.8100000000000023</v>
      </c>
      <c r="AA83" s="141"/>
      <c r="AB83" s="141">
        <v>3.8100000000000023</v>
      </c>
      <c r="AC83" s="141"/>
      <c r="AD83" s="141"/>
      <c r="AE83" s="141"/>
      <c r="AF83" s="141"/>
      <c r="AG83" s="141"/>
      <c r="AH83" s="141"/>
      <c r="AI83" s="126">
        <f t="shared" si="23"/>
        <v>0.52800000000002001</v>
      </c>
      <c r="AJ83" s="126">
        <f t="shared" si="56"/>
        <v>0</v>
      </c>
      <c r="AK83" s="126">
        <f t="shared" si="56"/>
        <v>0</v>
      </c>
      <c r="AL83" s="141">
        <f t="shared" si="57"/>
        <v>0</v>
      </c>
      <c r="AM83" s="141">
        <f t="shared" si="57"/>
        <v>0.52800000000002001</v>
      </c>
      <c r="AN83" s="126"/>
      <c r="AO83" s="130">
        <f t="shared" si="70"/>
        <v>0</v>
      </c>
      <c r="AP83" s="116"/>
    </row>
    <row r="84" spans="1:42" s="117" customFormat="1" ht="14" hidden="1" outlineLevel="1">
      <c r="A84" s="146"/>
      <c r="B84" s="147" t="s">
        <v>564</v>
      </c>
      <c r="C84" s="126">
        <f t="shared" si="30"/>
        <v>16.949999999999989</v>
      </c>
      <c r="D84" s="126">
        <v>0</v>
      </c>
      <c r="E84" s="126">
        <v>0</v>
      </c>
      <c r="F84" s="141">
        <v>0</v>
      </c>
      <c r="G84" s="141">
        <v>16.949999999999989</v>
      </c>
      <c r="H84" s="126">
        <f t="shared" si="73"/>
        <v>573.69100000000003</v>
      </c>
      <c r="I84" s="126">
        <f t="shared" si="74"/>
        <v>0</v>
      </c>
      <c r="J84" s="126"/>
      <c r="K84" s="126">
        <v>0</v>
      </c>
      <c r="L84" s="126">
        <f t="shared" si="75"/>
        <v>573.69100000000003</v>
      </c>
      <c r="M84" s="141"/>
      <c r="N84" s="141">
        <f>574-0.309</f>
        <v>573.69100000000003</v>
      </c>
      <c r="O84" s="141">
        <f t="shared" si="76"/>
        <v>573.69100000000003</v>
      </c>
      <c r="P84" s="141">
        <f t="shared" si="77"/>
        <v>0</v>
      </c>
      <c r="Q84" s="141"/>
      <c r="R84" s="141"/>
      <c r="S84" s="141">
        <f t="shared" si="78"/>
        <v>573.69100000000003</v>
      </c>
      <c r="T84" s="141"/>
      <c r="U84" s="141">
        <f>N84</f>
        <v>573.69100000000003</v>
      </c>
      <c r="V84" s="141">
        <f>W84+Z84</f>
        <v>16.949999999999989</v>
      </c>
      <c r="W84" s="141"/>
      <c r="X84" s="141"/>
      <c r="Y84" s="141"/>
      <c r="Z84" s="141">
        <f>AA84+AB84</f>
        <v>16.949999999999989</v>
      </c>
      <c r="AA84" s="141"/>
      <c r="AB84" s="141">
        <f>G84</f>
        <v>16.949999999999989</v>
      </c>
      <c r="AC84" s="141"/>
      <c r="AD84" s="141"/>
      <c r="AE84" s="141"/>
      <c r="AF84" s="141"/>
      <c r="AG84" s="141"/>
      <c r="AH84" s="141"/>
      <c r="AI84" s="126">
        <f t="shared" si="23"/>
        <v>5.6843418860808015E-14</v>
      </c>
      <c r="AJ84" s="126">
        <f t="shared" si="56"/>
        <v>0</v>
      </c>
      <c r="AK84" s="126">
        <f t="shared" si="56"/>
        <v>0</v>
      </c>
      <c r="AL84" s="141">
        <f t="shared" si="57"/>
        <v>0</v>
      </c>
      <c r="AM84" s="141">
        <f t="shared" si="57"/>
        <v>5.6843418860808015E-14</v>
      </c>
      <c r="AN84" s="126"/>
      <c r="AO84" s="130">
        <f t="shared" si="70"/>
        <v>0</v>
      </c>
      <c r="AP84" s="116"/>
    </row>
    <row r="85" spans="1:42" s="117" customFormat="1" ht="14" hidden="1" outlineLevel="1">
      <c r="A85" s="146"/>
      <c r="B85" s="147" t="s">
        <v>562</v>
      </c>
      <c r="C85" s="126">
        <f t="shared" si="30"/>
        <v>-1.9984014443252818E-15</v>
      </c>
      <c r="D85" s="126">
        <v>0</v>
      </c>
      <c r="E85" s="126">
        <v>0</v>
      </c>
      <c r="F85" s="141">
        <v>0</v>
      </c>
      <c r="G85" s="141">
        <v>-1.9984014443252818E-15</v>
      </c>
      <c r="H85" s="126">
        <f t="shared" si="73"/>
        <v>333</v>
      </c>
      <c r="I85" s="126">
        <f t="shared" si="74"/>
        <v>0</v>
      </c>
      <c r="J85" s="126"/>
      <c r="K85" s="126">
        <v>0</v>
      </c>
      <c r="L85" s="126">
        <f t="shared" si="75"/>
        <v>333</v>
      </c>
      <c r="M85" s="141"/>
      <c r="N85" s="141">
        <v>333</v>
      </c>
      <c r="O85" s="141">
        <f t="shared" si="76"/>
        <v>332.827</v>
      </c>
      <c r="P85" s="141">
        <f t="shared" si="77"/>
        <v>0</v>
      </c>
      <c r="Q85" s="141"/>
      <c r="R85" s="141"/>
      <c r="S85" s="141">
        <f t="shared" si="78"/>
        <v>332.827</v>
      </c>
      <c r="T85" s="141"/>
      <c r="U85" s="141">
        <f>332.827</f>
        <v>332.827</v>
      </c>
      <c r="V85" s="141">
        <f t="shared" ref="V85:V90" si="79">W85+Z85</f>
        <v>0</v>
      </c>
      <c r="W85" s="141"/>
      <c r="X85" s="141"/>
      <c r="Y85" s="141"/>
      <c r="Z85" s="141">
        <f t="shared" ref="Z85:Z90" si="80">AA85+AB85</f>
        <v>0</v>
      </c>
      <c r="AA85" s="141"/>
      <c r="AB85" s="141"/>
      <c r="AC85" s="141"/>
      <c r="AD85" s="141"/>
      <c r="AE85" s="141"/>
      <c r="AF85" s="141"/>
      <c r="AG85" s="141"/>
      <c r="AH85" s="141"/>
      <c r="AI85" s="126">
        <f t="shared" si="23"/>
        <v>0.17300000000000182</v>
      </c>
      <c r="AJ85" s="126">
        <f t="shared" si="56"/>
        <v>0</v>
      </c>
      <c r="AK85" s="126">
        <f t="shared" si="56"/>
        <v>0</v>
      </c>
      <c r="AL85" s="141">
        <f t="shared" si="57"/>
        <v>0</v>
      </c>
      <c r="AM85" s="141">
        <f t="shared" si="57"/>
        <v>0.17300000000000182</v>
      </c>
      <c r="AN85" s="126"/>
      <c r="AO85" s="130">
        <f t="shared" si="70"/>
        <v>0</v>
      </c>
      <c r="AP85" s="116"/>
    </row>
    <row r="86" spans="1:42" s="117" customFormat="1" ht="14" hidden="1" outlineLevel="1">
      <c r="A86" s="146"/>
      <c r="B86" s="147" t="s">
        <v>568</v>
      </c>
      <c r="C86" s="126">
        <f t="shared" si="30"/>
        <v>0</v>
      </c>
      <c r="D86" s="126">
        <v>0</v>
      </c>
      <c r="E86" s="126">
        <v>0</v>
      </c>
      <c r="F86" s="141">
        <v>0</v>
      </c>
      <c r="G86" s="141">
        <v>0</v>
      </c>
      <c r="H86" s="126">
        <f t="shared" si="73"/>
        <v>849</v>
      </c>
      <c r="I86" s="126">
        <f t="shared" si="74"/>
        <v>0</v>
      </c>
      <c r="J86" s="126"/>
      <c r="K86" s="126">
        <v>0</v>
      </c>
      <c r="L86" s="126">
        <f t="shared" si="75"/>
        <v>849</v>
      </c>
      <c r="M86" s="141"/>
      <c r="N86" s="141">
        <v>849</v>
      </c>
      <c r="O86" s="141">
        <f t="shared" si="76"/>
        <v>848.35199999999998</v>
      </c>
      <c r="P86" s="141">
        <f t="shared" si="77"/>
        <v>0</v>
      </c>
      <c r="Q86" s="141"/>
      <c r="R86" s="141"/>
      <c r="S86" s="141">
        <f t="shared" si="78"/>
        <v>848.35199999999998</v>
      </c>
      <c r="T86" s="141"/>
      <c r="U86" s="141">
        <f>848.352</f>
        <v>848.35199999999998</v>
      </c>
      <c r="V86" s="141">
        <f t="shared" si="79"/>
        <v>0</v>
      </c>
      <c r="W86" s="141"/>
      <c r="X86" s="141"/>
      <c r="Y86" s="141"/>
      <c r="Z86" s="141">
        <f t="shared" si="80"/>
        <v>0</v>
      </c>
      <c r="AA86" s="141"/>
      <c r="AB86" s="141"/>
      <c r="AC86" s="141"/>
      <c r="AD86" s="141"/>
      <c r="AE86" s="141"/>
      <c r="AF86" s="141"/>
      <c r="AG86" s="141"/>
      <c r="AH86" s="141"/>
      <c r="AI86" s="126">
        <f t="shared" si="23"/>
        <v>0.64800000000002456</v>
      </c>
      <c r="AJ86" s="126">
        <f t="shared" si="56"/>
        <v>0</v>
      </c>
      <c r="AK86" s="126">
        <f t="shared" si="56"/>
        <v>0</v>
      </c>
      <c r="AL86" s="141">
        <f t="shared" si="57"/>
        <v>0</v>
      </c>
      <c r="AM86" s="141">
        <f t="shared" si="57"/>
        <v>0.64800000000002456</v>
      </c>
      <c r="AN86" s="126"/>
      <c r="AO86" s="130">
        <f t="shared" si="70"/>
        <v>0</v>
      </c>
      <c r="AP86" s="116"/>
    </row>
    <row r="87" spans="1:42" s="117" customFormat="1" ht="14" hidden="1" outlineLevel="1">
      <c r="A87" s="146"/>
      <c r="B87" s="147" t="s">
        <v>565</v>
      </c>
      <c r="C87" s="126">
        <f t="shared" si="30"/>
        <v>15.995000000000005</v>
      </c>
      <c r="D87" s="126">
        <v>0</v>
      </c>
      <c r="E87" s="126">
        <v>0</v>
      </c>
      <c r="F87" s="141">
        <v>0</v>
      </c>
      <c r="G87" s="141">
        <f>68.12-52.125</f>
        <v>15.995000000000005</v>
      </c>
      <c r="H87" s="126">
        <f t="shared" si="73"/>
        <v>222</v>
      </c>
      <c r="I87" s="126">
        <f t="shared" si="74"/>
        <v>0</v>
      </c>
      <c r="J87" s="126"/>
      <c r="K87" s="126">
        <v>0</v>
      </c>
      <c r="L87" s="126">
        <f t="shared" si="75"/>
        <v>222</v>
      </c>
      <c r="M87" s="141"/>
      <c r="N87" s="141">
        <f>222</f>
        <v>222</v>
      </c>
      <c r="O87" s="141">
        <f t="shared" si="76"/>
        <v>222</v>
      </c>
      <c r="P87" s="141">
        <f t="shared" si="77"/>
        <v>0</v>
      </c>
      <c r="Q87" s="141"/>
      <c r="R87" s="141"/>
      <c r="S87" s="141">
        <f t="shared" si="78"/>
        <v>222</v>
      </c>
      <c r="T87" s="141"/>
      <c r="U87" s="141">
        <f>N87</f>
        <v>222</v>
      </c>
      <c r="V87" s="141">
        <f t="shared" si="79"/>
        <v>0</v>
      </c>
      <c r="W87" s="141"/>
      <c r="X87" s="141"/>
      <c r="Y87" s="141"/>
      <c r="Z87" s="141">
        <f t="shared" si="80"/>
        <v>0</v>
      </c>
      <c r="AA87" s="141"/>
      <c r="AB87" s="141"/>
      <c r="AC87" s="141"/>
      <c r="AD87" s="141"/>
      <c r="AE87" s="141"/>
      <c r="AF87" s="141"/>
      <c r="AG87" s="141"/>
      <c r="AH87" s="141"/>
      <c r="AI87" s="126">
        <f t="shared" si="23"/>
        <v>15.995000000000005</v>
      </c>
      <c r="AJ87" s="126">
        <f t="shared" si="56"/>
        <v>0</v>
      </c>
      <c r="AK87" s="126">
        <f t="shared" si="56"/>
        <v>0</v>
      </c>
      <c r="AL87" s="141">
        <f t="shared" si="57"/>
        <v>0</v>
      </c>
      <c r="AM87" s="141">
        <f t="shared" si="57"/>
        <v>15.995000000000005</v>
      </c>
      <c r="AN87" s="126"/>
      <c r="AO87" s="130">
        <f t="shared" si="70"/>
        <v>0</v>
      </c>
      <c r="AP87" s="116"/>
    </row>
    <row r="88" spans="1:42" s="117" customFormat="1" ht="14" hidden="1" outlineLevel="1">
      <c r="A88" s="146"/>
      <c r="B88" s="147" t="s">
        <v>560</v>
      </c>
      <c r="C88" s="126">
        <f t="shared" si="30"/>
        <v>0</v>
      </c>
      <c r="D88" s="126">
        <v>0</v>
      </c>
      <c r="E88" s="126">
        <v>0</v>
      </c>
      <c r="F88" s="141">
        <v>0</v>
      </c>
      <c r="G88" s="141">
        <v>0</v>
      </c>
      <c r="H88" s="126">
        <f t="shared" si="73"/>
        <v>458</v>
      </c>
      <c r="I88" s="126">
        <f t="shared" si="74"/>
        <v>0</v>
      </c>
      <c r="J88" s="126"/>
      <c r="K88" s="126">
        <v>0</v>
      </c>
      <c r="L88" s="126">
        <f t="shared" si="75"/>
        <v>458</v>
      </c>
      <c r="M88" s="141"/>
      <c r="N88" s="141">
        <v>458</v>
      </c>
      <c r="O88" s="141">
        <f t="shared" si="76"/>
        <v>456.93717600000002</v>
      </c>
      <c r="P88" s="141">
        <f t="shared" si="77"/>
        <v>0</v>
      </c>
      <c r="Q88" s="141"/>
      <c r="R88" s="141"/>
      <c r="S88" s="141">
        <f t="shared" si="78"/>
        <v>456.93717600000002</v>
      </c>
      <c r="T88" s="141"/>
      <c r="U88" s="141">
        <f>458-1.062824</f>
        <v>456.93717600000002</v>
      </c>
      <c r="V88" s="141">
        <f t="shared" si="79"/>
        <v>0</v>
      </c>
      <c r="W88" s="141"/>
      <c r="X88" s="141"/>
      <c r="Y88" s="141"/>
      <c r="Z88" s="141">
        <f t="shared" si="80"/>
        <v>0</v>
      </c>
      <c r="AA88" s="141"/>
      <c r="AB88" s="141"/>
      <c r="AC88" s="141"/>
      <c r="AD88" s="141"/>
      <c r="AE88" s="141"/>
      <c r="AF88" s="141"/>
      <c r="AG88" s="141"/>
      <c r="AH88" s="141"/>
      <c r="AI88" s="126">
        <f t="shared" si="23"/>
        <v>1.0628239999999778</v>
      </c>
      <c r="AJ88" s="126">
        <f t="shared" si="56"/>
        <v>0</v>
      </c>
      <c r="AK88" s="126">
        <f t="shared" si="56"/>
        <v>0</v>
      </c>
      <c r="AL88" s="141">
        <f t="shared" si="57"/>
        <v>0</v>
      </c>
      <c r="AM88" s="141">
        <f t="shared" si="57"/>
        <v>1.0628239999999778</v>
      </c>
      <c r="AN88" s="126"/>
      <c r="AO88" s="130">
        <f t="shared" si="70"/>
        <v>0</v>
      </c>
      <c r="AP88" s="116"/>
    </row>
    <row r="89" spans="1:42" s="117" customFormat="1" ht="14" hidden="1" outlineLevel="1">
      <c r="A89" s="146"/>
      <c r="B89" s="137" t="s">
        <v>337</v>
      </c>
      <c r="C89" s="126">
        <f>SUM(D89:G89)</f>
        <v>0</v>
      </c>
      <c r="D89" s="126">
        <v>0</v>
      </c>
      <c r="E89" s="126">
        <v>0</v>
      </c>
      <c r="F89" s="141">
        <v>0</v>
      </c>
      <c r="G89" s="141">
        <v>0</v>
      </c>
      <c r="H89" s="126">
        <f>I89+L89</f>
        <v>208</v>
      </c>
      <c r="I89" s="126">
        <f>J89+K89</f>
        <v>0</v>
      </c>
      <c r="J89" s="126"/>
      <c r="K89" s="126">
        <v>0</v>
      </c>
      <c r="L89" s="126">
        <f>M89+N89</f>
        <v>208</v>
      </c>
      <c r="M89" s="141"/>
      <c r="N89" s="141">
        <v>208</v>
      </c>
      <c r="O89" s="141">
        <f>P89+S89</f>
        <v>195</v>
      </c>
      <c r="P89" s="141">
        <f>Q89+R89</f>
        <v>0</v>
      </c>
      <c r="Q89" s="141"/>
      <c r="R89" s="141"/>
      <c r="S89" s="141">
        <f>T89+U89</f>
        <v>195</v>
      </c>
      <c r="T89" s="141"/>
      <c r="U89" s="141">
        <f>195</f>
        <v>195</v>
      </c>
      <c r="V89" s="141">
        <f>W89+Z89</f>
        <v>0</v>
      </c>
      <c r="W89" s="141"/>
      <c r="X89" s="141"/>
      <c r="Y89" s="141"/>
      <c r="Z89" s="141">
        <f>AA89+AB89</f>
        <v>0</v>
      </c>
      <c r="AA89" s="141"/>
      <c r="AB89" s="141"/>
      <c r="AC89" s="141"/>
      <c r="AD89" s="141"/>
      <c r="AE89" s="141"/>
      <c r="AF89" s="141"/>
      <c r="AG89" s="141"/>
      <c r="AH89" s="141"/>
      <c r="AI89" s="126">
        <f>SUM(AJ89:AM89)</f>
        <v>13</v>
      </c>
      <c r="AJ89" s="126">
        <f>D89+J89-Q89-X89-AD89</f>
        <v>0</v>
      </c>
      <c r="AK89" s="126">
        <f>E89+K89-R89-Y89-AE89</f>
        <v>0</v>
      </c>
      <c r="AL89" s="141">
        <f>F89+M89-T89-AA89-AG89</f>
        <v>0</v>
      </c>
      <c r="AM89" s="141">
        <f>G89+N89-U89-AB89-AH89</f>
        <v>13</v>
      </c>
      <c r="AN89" s="126"/>
      <c r="AO89" s="130">
        <f t="shared" si="70"/>
        <v>0</v>
      </c>
      <c r="AP89" s="116"/>
    </row>
    <row r="90" spans="1:42" s="148" customFormat="1" ht="14" hidden="1" outlineLevel="1">
      <c r="A90" s="146"/>
      <c r="B90" s="140" t="s">
        <v>583</v>
      </c>
      <c r="C90" s="126">
        <f t="shared" si="30"/>
        <v>52.212999999999909</v>
      </c>
      <c r="D90" s="126">
        <v>0</v>
      </c>
      <c r="E90" s="126">
        <f>0.0380000000000109+0.0499999999998977+52.125</f>
        <v>52.212999999999909</v>
      </c>
      <c r="F90" s="141">
        <v>0</v>
      </c>
      <c r="G90" s="141">
        <f>0.0380000000000109+0.0499999999998977-(0.0380000000000109+0.0499999999998977)</f>
        <v>0</v>
      </c>
      <c r="H90" s="126">
        <f t="shared" si="73"/>
        <v>3.0090000000000003</v>
      </c>
      <c r="I90" s="126">
        <f t="shared" si="74"/>
        <v>3.0090000000000003</v>
      </c>
      <c r="J90" s="126"/>
      <c r="K90" s="126">
        <f>2.7+0.309</f>
        <v>3.0090000000000003</v>
      </c>
      <c r="L90" s="126">
        <f t="shared" si="75"/>
        <v>0</v>
      </c>
      <c r="M90" s="141"/>
      <c r="N90" s="141">
        <f>2.7+0.309-(2.7+0.309)</f>
        <v>0</v>
      </c>
      <c r="O90" s="141">
        <f t="shared" si="76"/>
        <v>0</v>
      </c>
      <c r="P90" s="141">
        <f t="shared" si="77"/>
        <v>0</v>
      </c>
      <c r="Q90" s="141"/>
      <c r="R90" s="141"/>
      <c r="S90" s="141">
        <f t="shared" si="78"/>
        <v>0</v>
      </c>
      <c r="T90" s="141"/>
      <c r="U90" s="141"/>
      <c r="V90" s="141">
        <f t="shared" si="79"/>
        <v>0</v>
      </c>
      <c r="W90" s="141"/>
      <c r="X90" s="141"/>
      <c r="Y90" s="141"/>
      <c r="Z90" s="141">
        <f t="shared" si="80"/>
        <v>0</v>
      </c>
      <c r="AA90" s="141"/>
      <c r="AB90" s="141"/>
      <c r="AC90" s="141"/>
      <c r="AD90" s="141"/>
      <c r="AE90" s="141"/>
      <c r="AF90" s="141"/>
      <c r="AG90" s="141"/>
      <c r="AH90" s="141"/>
      <c r="AI90" s="126">
        <f t="shared" si="23"/>
        <v>55.221999999999909</v>
      </c>
      <c r="AJ90" s="126">
        <f t="shared" si="56"/>
        <v>0</v>
      </c>
      <c r="AK90" s="126">
        <f t="shared" si="56"/>
        <v>55.221999999999909</v>
      </c>
      <c r="AL90" s="141">
        <f t="shared" si="57"/>
        <v>0</v>
      </c>
      <c r="AM90" s="141">
        <f t="shared" si="57"/>
        <v>0</v>
      </c>
      <c r="AN90" s="126"/>
      <c r="AO90" s="130">
        <f t="shared" si="70"/>
        <v>0</v>
      </c>
      <c r="AP90" s="116"/>
    </row>
    <row r="91" spans="1:42" s="117" customFormat="1" ht="28" hidden="1" outlineLevel="1">
      <c r="A91" s="146" t="s">
        <v>195</v>
      </c>
      <c r="B91" s="147" t="s">
        <v>582</v>
      </c>
      <c r="C91" s="126">
        <f t="shared" ref="C91:H91" si="81">SUM(C92:C103)</f>
        <v>218.25799999999998</v>
      </c>
      <c r="D91" s="126">
        <f t="shared" si="81"/>
        <v>0</v>
      </c>
      <c r="E91" s="126">
        <f t="shared" si="81"/>
        <v>197.65800000000002</v>
      </c>
      <c r="F91" s="126">
        <f t="shared" si="81"/>
        <v>0</v>
      </c>
      <c r="G91" s="126">
        <f t="shared" si="81"/>
        <v>20.599999999999959</v>
      </c>
      <c r="H91" s="126">
        <f t="shared" si="81"/>
        <v>17382</v>
      </c>
      <c r="I91" s="126">
        <f t="shared" ref="I91:AH91" si="82">SUM(I92:I103)</f>
        <v>17.006900000000002</v>
      </c>
      <c r="J91" s="126">
        <f t="shared" si="82"/>
        <v>0</v>
      </c>
      <c r="K91" s="126">
        <f t="shared" si="82"/>
        <v>17.006900000000002</v>
      </c>
      <c r="L91" s="126">
        <f t="shared" si="82"/>
        <v>17364.9931</v>
      </c>
      <c r="M91" s="126">
        <f t="shared" si="82"/>
        <v>0</v>
      </c>
      <c r="N91" s="126">
        <f t="shared" si="82"/>
        <v>17364.9931</v>
      </c>
      <c r="O91" s="126">
        <f t="shared" si="82"/>
        <v>17269.228020999999</v>
      </c>
      <c r="P91" s="126">
        <f t="shared" si="82"/>
        <v>0</v>
      </c>
      <c r="Q91" s="126">
        <f t="shared" si="82"/>
        <v>0</v>
      </c>
      <c r="R91" s="126">
        <f t="shared" si="82"/>
        <v>0</v>
      </c>
      <c r="S91" s="126">
        <f t="shared" si="82"/>
        <v>17269.228020999999</v>
      </c>
      <c r="T91" s="126">
        <f t="shared" si="82"/>
        <v>0</v>
      </c>
      <c r="U91" s="126">
        <f t="shared" si="82"/>
        <v>17269.228020999999</v>
      </c>
      <c r="V91" s="126">
        <f t="shared" si="82"/>
        <v>139.82700000000014</v>
      </c>
      <c r="W91" s="126">
        <f t="shared" si="82"/>
        <v>120.977</v>
      </c>
      <c r="X91" s="126">
        <f t="shared" si="82"/>
        <v>0</v>
      </c>
      <c r="Y91" s="126">
        <f t="shared" si="82"/>
        <v>120.977</v>
      </c>
      <c r="Z91" s="126">
        <f t="shared" si="82"/>
        <v>18.850000000000136</v>
      </c>
      <c r="AA91" s="126">
        <f t="shared" si="82"/>
        <v>0</v>
      </c>
      <c r="AB91" s="126">
        <f t="shared" si="82"/>
        <v>18.850000000000136</v>
      </c>
      <c r="AC91" s="126">
        <f t="shared" si="82"/>
        <v>0</v>
      </c>
      <c r="AD91" s="126">
        <f t="shared" si="82"/>
        <v>0</v>
      </c>
      <c r="AE91" s="126">
        <f t="shared" si="82"/>
        <v>0</v>
      </c>
      <c r="AF91" s="126">
        <f t="shared" si="82"/>
        <v>0</v>
      </c>
      <c r="AG91" s="126">
        <f t="shared" si="82"/>
        <v>0</v>
      </c>
      <c r="AH91" s="126">
        <f t="shared" si="82"/>
        <v>0</v>
      </c>
      <c r="AI91" s="126">
        <f t="shared" si="23"/>
        <v>191.20297899999912</v>
      </c>
      <c r="AJ91" s="126">
        <f t="shared" si="56"/>
        <v>0</v>
      </c>
      <c r="AK91" s="126">
        <f t="shared" si="56"/>
        <v>93.687900000000013</v>
      </c>
      <c r="AL91" s="141">
        <f t="shared" si="57"/>
        <v>0</v>
      </c>
      <c r="AM91" s="141">
        <f t="shared" si="57"/>
        <v>97.515078999999105</v>
      </c>
      <c r="AN91" s="126"/>
      <c r="AO91" s="130">
        <f t="shared" si="70"/>
        <v>3.3821834222180769E-12</v>
      </c>
      <c r="AP91" s="116"/>
    </row>
    <row r="92" spans="1:42" s="117" customFormat="1" ht="14" hidden="1" outlineLevel="1">
      <c r="A92" s="146"/>
      <c r="B92" s="147" t="s">
        <v>570</v>
      </c>
      <c r="C92" s="126">
        <f t="shared" ref="C92:C152" si="83">SUM(D92:G92)</f>
        <v>0</v>
      </c>
      <c r="D92" s="126">
        <v>0</v>
      </c>
      <c r="E92" s="126">
        <f>120.977-120.977</f>
        <v>0</v>
      </c>
      <c r="F92" s="141">
        <v>0</v>
      </c>
      <c r="G92" s="141">
        <v>0</v>
      </c>
      <c r="H92" s="126">
        <f t="shared" ref="H92:H103" si="84">I92+L92</f>
        <v>0</v>
      </c>
      <c r="I92" s="126">
        <f t="shared" si="74"/>
        <v>0</v>
      </c>
      <c r="J92" s="126"/>
      <c r="K92" s="126"/>
      <c r="L92" s="126"/>
      <c r="M92" s="141"/>
      <c r="N92" s="141"/>
      <c r="O92" s="141">
        <f t="shared" ref="O92:O103" si="85">P92+S92</f>
        <v>0</v>
      </c>
      <c r="P92" s="141">
        <f>Q92+R92</f>
        <v>0</v>
      </c>
      <c r="Q92" s="141"/>
      <c r="R92" s="141"/>
      <c r="S92" s="141"/>
      <c r="T92" s="141"/>
      <c r="U92" s="141"/>
      <c r="V92" s="141">
        <f>W92+Z92</f>
        <v>0</v>
      </c>
      <c r="W92" s="141">
        <f>X92+Y92</f>
        <v>0</v>
      </c>
      <c r="X92" s="141"/>
      <c r="Y92" s="126"/>
      <c r="Z92" s="141">
        <f>AA92+AB92</f>
        <v>0</v>
      </c>
      <c r="AA92" s="141"/>
      <c r="AB92" s="141"/>
      <c r="AC92" s="141"/>
      <c r="AD92" s="141"/>
      <c r="AE92" s="141"/>
      <c r="AF92" s="141"/>
      <c r="AG92" s="141"/>
      <c r="AH92" s="141"/>
      <c r="AI92" s="126">
        <f t="shared" ref="AI92:AI153" si="86">SUM(AJ92:AM92)</f>
        <v>0</v>
      </c>
      <c r="AJ92" s="126">
        <f t="shared" si="56"/>
        <v>0</v>
      </c>
      <c r="AK92" s="126">
        <f t="shared" si="56"/>
        <v>0</v>
      </c>
      <c r="AL92" s="141">
        <f t="shared" si="57"/>
        <v>0</v>
      </c>
      <c r="AM92" s="141">
        <f t="shared" si="57"/>
        <v>0</v>
      </c>
      <c r="AN92" s="126"/>
      <c r="AO92" s="130">
        <f t="shared" si="70"/>
        <v>0</v>
      </c>
      <c r="AP92" s="116"/>
    </row>
    <row r="93" spans="1:42" s="117" customFormat="1" ht="14" hidden="1" outlineLevel="1">
      <c r="A93" s="146"/>
      <c r="B93" s="147" t="s">
        <v>563</v>
      </c>
      <c r="C93" s="126">
        <f t="shared" si="83"/>
        <v>0</v>
      </c>
      <c r="D93" s="126">
        <v>0</v>
      </c>
      <c r="E93" s="126">
        <v>0</v>
      </c>
      <c r="F93" s="141">
        <v>0</v>
      </c>
      <c r="G93" s="141">
        <f>56.1300000000001-56.1300000000001</f>
        <v>0</v>
      </c>
      <c r="H93" s="126">
        <f t="shared" si="84"/>
        <v>2792</v>
      </c>
      <c r="I93" s="126">
        <f t="shared" si="74"/>
        <v>0</v>
      </c>
      <c r="J93" s="126"/>
      <c r="K93" s="126">
        <v>0</v>
      </c>
      <c r="L93" s="126">
        <f t="shared" ref="L93:L103" si="87">M93+N93</f>
        <v>2792</v>
      </c>
      <c r="M93" s="141"/>
      <c r="N93" s="141">
        <v>2792</v>
      </c>
      <c r="O93" s="141">
        <f t="shared" si="85"/>
        <v>2762.93</v>
      </c>
      <c r="P93" s="141">
        <f t="shared" ref="P93:P103" si="88">Q93+R93</f>
        <v>0</v>
      </c>
      <c r="Q93" s="141"/>
      <c r="R93" s="141"/>
      <c r="S93" s="141">
        <f t="shared" ref="S93:S103" si="89">T93+U93</f>
        <v>2762.93</v>
      </c>
      <c r="T93" s="141"/>
      <c r="U93" s="141">
        <v>2762.93</v>
      </c>
      <c r="V93" s="141">
        <f t="shared" ref="V93:V103" si="90">W93+Z93</f>
        <v>0</v>
      </c>
      <c r="W93" s="141">
        <f t="shared" ref="W93:W103" si="91">X93+Y93</f>
        <v>0</v>
      </c>
      <c r="X93" s="141"/>
      <c r="Y93" s="141"/>
      <c r="Z93" s="141">
        <f t="shared" ref="Z93:Z103" si="92">AA93+AB93</f>
        <v>0</v>
      </c>
      <c r="AA93" s="141"/>
      <c r="AB93" s="141"/>
      <c r="AC93" s="141"/>
      <c r="AD93" s="141"/>
      <c r="AE93" s="141"/>
      <c r="AF93" s="141"/>
      <c r="AG93" s="141"/>
      <c r="AH93" s="141"/>
      <c r="AI93" s="126">
        <f t="shared" si="86"/>
        <v>29.070000000000164</v>
      </c>
      <c r="AJ93" s="126">
        <f t="shared" si="56"/>
        <v>0</v>
      </c>
      <c r="AK93" s="126">
        <f t="shared" si="56"/>
        <v>0</v>
      </c>
      <c r="AL93" s="141">
        <f t="shared" si="57"/>
        <v>0</v>
      </c>
      <c r="AM93" s="141">
        <f t="shared" si="57"/>
        <v>29.070000000000164</v>
      </c>
      <c r="AN93" s="126"/>
      <c r="AO93" s="130">
        <f t="shared" si="70"/>
        <v>0</v>
      </c>
      <c r="AP93" s="116"/>
    </row>
    <row r="94" spans="1:42" s="117" customFormat="1" ht="14" hidden="1" outlineLevel="1">
      <c r="A94" s="146"/>
      <c r="B94" s="147" t="s">
        <v>561</v>
      </c>
      <c r="C94" s="126">
        <f t="shared" si="83"/>
        <v>0</v>
      </c>
      <c r="D94" s="126">
        <v>0</v>
      </c>
      <c r="E94" s="126">
        <v>0</v>
      </c>
      <c r="F94" s="141">
        <v>0</v>
      </c>
      <c r="G94" s="141">
        <f>14.9009999999999-14.9009999999999</f>
        <v>0</v>
      </c>
      <c r="H94" s="126">
        <f t="shared" si="84"/>
        <v>1308</v>
      </c>
      <c r="I94" s="126">
        <f t="shared" si="74"/>
        <v>0</v>
      </c>
      <c r="J94" s="126"/>
      <c r="K94" s="126">
        <v>0</v>
      </c>
      <c r="L94" s="126">
        <f t="shared" si="87"/>
        <v>1308</v>
      </c>
      <c r="M94" s="141"/>
      <c r="N94" s="141">
        <v>1308</v>
      </c>
      <c r="O94" s="141">
        <f t="shared" si="85"/>
        <v>1272.894</v>
      </c>
      <c r="P94" s="141">
        <f t="shared" si="88"/>
        <v>0</v>
      </c>
      <c r="Q94" s="141"/>
      <c r="R94" s="141"/>
      <c r="S94" s="141">
        <f t="shared" si="89"/>
        <v>1272.894</v>
      </c>
      <c r="T94" s="141"/>
      <c r="U94" s="141">
        <f>1272.894</f>
        <v>1272.894</v>
      </c>
      <c r="V94" s="141">
        <f t="shared" si="90"/>
        <v>0</v>
      </c>
      <c r="W94" s="141">
        <f t="shared" si="91"/>
        <v>0</v>
      </c>
      <c r="X94" s="141"/>
      <c r="Y94" s="141"/>
      <c r="Z94" s="141">
        <f t="shared" si="92"/>
        <v>0</v>
      </c>
      <c r="AA94" s="141"/>
      <c r="AB94" s="141">
        <f>G94</f>
        <v>0</v>
      </c>
      <c r="AC94" s="141"/>
      <c r="AD94" s="141"/>
      <c r="AE94" s="141"/>
      <c r="AF94" s="141"/>
      <c r="AG94" s="141"/>
      <c r="AH94" s="141"/>
      <c r="AI94" s="126">
        <f t="shared" si="86"/>
        <v>35.105999999999995</v>
      </c>
      <c r="AJ94" s="126">
        <f t="shared" si="56"/>
        <v>0</v>
      </c>
      <c r="AK94" s="126">
        <f t="shared" si="56"/>
        <v>0</v>
      </c>
      <c r="AL94" s="141">
        <f t="shared" si="57"/>
        <v>0</v>
      </c>
      <c r="AM94" s="141">
        <f t="shared" si="57"/>
        <v>35.105999999999995</v>
      </c>
      <c r="AN94" s="126"/>
      <c r="AO94" s="130">
        <f t="shared" si="70"/>
        <v>0</v>
      </c>
      <c r="AP94" s="116"/>
    </row>
    <row r="95" spans="1:42" s="117" customFormat="1" ht="14" hidden="1" outlineLevel="1">
      <c r="A95" s="146"/>
      <c r="B95" s="147" t="s">
        <v>567</v>
      </c>
      <c r="C95" s="126">
        <f t="shared" si="83"/>
        <v>0</v>
      </c>
      <c r="D95" s="126">
        <v>0</v>
      </c>
      <c r="E95" s="126">
        <v>0</v>
      </c>
      <c r="F95" s="141">
        <v>0</v>
      </c>
      <c r="G95" s="141">
        <v>0</v>
      </c>
      <c r="H95" s="126">
        <f t="shared" si="84"/>
        <v>2424</v>
      </c>
      <c r="I95" s="126">
        <f t="shared" si="74"/>
        <v>0</v>
      </c>
      <c r="J95" s="126"/>
      <c r="K95" s="126">
        <v>0</v>
      </c>
      <c r="L95" s="126">
        <f t="shared" si="87"/>
        <v>2424</v>
      </c>
      <c r="M95" s="141"/>
      <c r="N95" s="141">
        <v>2424</v>
      </c>
      <c r="O95" s="141">
        <f t="shared" si="85"/>
        <v>2424</v>
      </c>
      <c r="P95" s="141">
        <f t="shared" si="88"/>
        <v>0</v>
      </c>
      <c r="Q95" s="141"/>
      <c r="R95" s="141"/>
      <c r="S95" s="141">
        <f t="shared" si="89"/>
        <v>2424</v>
      </c>
      <c r="T95" s="141"/>
      <c r="U95" s="141">
        <f>N95</f>
        <v>2424</v>
      </c>
      <c r="V95" s="141">
        <f t="shared" si="90"/>
        <v>0</v>
      </c>
      <c r="W95" s="141">
        <f t="shared" si="91"/>
        <v>0</v>
      </c>
      <c r="X95" s="141"/>
      <c r="Y95" s="141"/>
      <c r="Z95" s="141">
        <f t="shared" si="92"/>
        <v>0</v>
      </c>
      <c r="AA95" s="141"/>
      <c r="AB95" s="141"/>
      <c r="AC95" s="141"/>
      <c r="AD95" s="141"/>
      <c r="AE95" s="141"/>
      <c r="AF95" s="141"/>
      <c r="AG95" s="141"/>
      <c r="AH95" s="141"/>
      <c r="AI95" s="126">
        <f t="shared" si="86"/>
        <v>0</v>
      </c>
      <c r="AJ95" s="126">
        <f t="shared" si="56"/>
        <v>0</v>
      </c>
      <c r="AK95" s="126">
        <f t="shared" si="56"/>
        <v>0</v>
      </c>
      <c r="AL95" s="141">
        <f t="shared" si="57"/>
        <v>0</v>
      </c>
      <c r="AM95" s="141">
        <f t="shared" si="57"/>
        <v>0</v>
      </c>
      <c r="AN95" s="126"/>
      <c r="AO95" s="130">
        <f t="shared" si="70"/>
        <v>0</v>
      </c>
      <c r="AP95" s="116"/>
    </row>
    <row r="96" spans="1:42" s="117" customFormat="1" ht="14" hidden="1" outlineLevel="1">
      <c r="A96" s="146"/>
      <c r="B96" s="147" t="s">
        <v>566</v>
      </c>
      <c r="C96" s="126">
        <f t="shared" si="83"/>
        <v>9.7000000000000455</v>
      </c>
      <c r="D96" s="126">
        <v>0</v>
      </c>
      <c r="E96" s="126">
        <v>0</v>
      </c>
      <c r="F96" s="141">
        <v>0</v>
      </c>
      <c r="G96" s="141">
        <v>9.7000000000000455</v>
      </c>
      <c r="H96" s="126">
        <f t="shared" si="84"/>
        <v>1441</v>
      </c>
      <c r="I96" s="126">
        <f t="shared" si="74"/>
        <v>0</v>
      </c>
      <c r="J96" s="126"/>
      <c r="K96" s="126">
        <v>0</v>
      </c>
      <c r="L96" s="126">
        <f t="shared" si="87"/>
        <v>1441</v>
      </c>
      <c r="M96" s="141"/>
      <c r="N96" s="141">
        <v>1441</v>
      </c>
      <c r="O96" s="141">
        <f t="shared" si="85"/>
        <v>1425.2539999999999</v>
      </c>
      <c r="P96" s="141">
        <f t="shared" si="88"/>
        <v>0</v>
      </c>
      <c r="Q96" s="141"/>
      <c r="R96" s="141"/>
      <c r="S96" s="141">
        <f t="shared" si="89"/>
        <v>1425.2539999999999</v>
      </c>
      <c r="T96" s="141"/>
      <c r="U96" s="141">
        <v>1425.2539999999999</v>
      </c>
      <c r="V96" s="141">
        <f t="shared" si="90"/>
        <v>9.7000000000000455</v>
      </c>
      <c r="W96" s="141">
        <f t="shared" si="91"/>
        <v>0</v>
      </c>
      <c r="X96" s="141"/>
      <c r="Y96" s="141"/>
      <c r="Z96" s="141">
        <f t="shared" si="92"/>
        <v>9.7000000000000455</v>
      </c>
      <c r="AA96" s="141"/>
      <c r="AB96" s="141">
        <v>9.7000000000000455</v>
      </c>
      <c r="AC96" s="141"/>
      <c r="AD96" s="141"/>
      <c r="AE96" s="141"/>
      <c r="AF96" s="141"/>
      <c r="AG96" s="141"/>
      <c r="AH96" s="141"/>
      <c r="AI96" s="126">
        <f t="shared" si="86"/>
        <v>15.746000000000095</v>
      </c>
      <c r="AJ96" s="126">
        <f t="shared" si="56"/>
        <v>0</v>
      </c>
      <c r="AK96" s="126">
        <f t="shared" si="56"/>
        <v>0</v>
      </c>
      <c r="AL96" s="141">
        <f t="shared" si="57"/>
        <v>0</v>
      </c>
      <c r="AM96" s="141">
        <f t="shared" si="57"/>
        <v>15.746000000000095</v>
      </c>
      <c r="AN96" s="126"/>
      <c r="AO96" s="130">
        <f t="shared" si="70"/>
        <v>0</v>
      </c>
      <c r="AP96" s="116"/>
    </row>
    <row r="97" spans="1:42" s="117" customFormat="1" ht="14" hidden="1" outlineLevel="1">
      <c r="A97" s="146"/>
      <c r="B97" s="147" t="s">
        <v>564</v>
      </c>
      <c r="C97" s="126">
        <f t="shared" si="83"/>
        <v>3.8499999999999091</v>
      </c>
      <c r="D97" s="126">
        <v>0</v>
      </c>
      <c r="E97" s="126">
        <v>0</v>
      </c>
      <c r="F97" s="141">
        <v>0</v>
      </c>
      <c r="G97" s="141">
        <v>3.8499999999999091</v>
      </c>
      <c r="H97" s="126">
        <f t="shared" si="84"/>
        <v>2027.9930999999999</v>
      </c>
      <c r="I97" s="126">
        <f t="shared" si="74"/>
        <v>0</v>
      </c>
      <c r="J97" s="126"/>
      <c r="K97" s="126">
        <v>0</v>
      </c>
      <c r="L97" s="126">
        <f t="shared" si="87"/>
        <v>2027.9930999999999</v>
      </c>
      <c r="M97" s="141"/>
      <c r="N97" s="141">
        <f>2045-17.0069</f>
        <v>2027.9930999999999</v>
      </c>
      <c r="O97" s="141">
        <f t="shared" si="85"/>
        <v>2027.9930999999999</v>
      </c>
      <c r="P97" s="141">
        <f t="shared" si="88"/>
        <v>0</v>
      </c>
      <c r="Q97" s="141"/>
      <c r="R97" s="141"/>
      <c r="S97" s="141">
        <f t="shared" si="89"/>
        <v>2027.9930999999999</v>
      </c>
      <c r="T97" s="141"/>
      <c r="U97" s="141">
        <f>2027.9931</f>
        <v>2027.9930999999999</v>
      </c>
      <c r="V97" s="141">
        <f t="shared" si="90"/>
        <v>3.8499999999999091</v>
      </c>
      <c r="W97" s="141">
        <f t="shared" si="91"/>
        <v>0</v>
      </c>
      <c r="X97" s="141"/>
      <c r="Y97" s="141"/>
      <c r="Z97" s="141">
        <f t="shared" si="92"/>
        <v>3.8499999999999091</v>
      </c>
      <c r="AA97" s="141"/>
      <c r="AB97" s="141">
        <f>G97</f>
        <v>3.8499999999999091</v>
      </c>
      <c r="AC97" s="141"/>
      <c r="AD97" s="141"/>
      <c r="AE97" s="141"/>
      <c r="AF97" s="141"/>
      <c r="AG97" s="141"/>
      <c r="AH97" s="141"/>
      <c r="AI97" s="126">
        <f t="shared" si="86"/>
        <v>0</v>
      </c>
      <c r="AJ97" s="126">
        <f t="shared" si="56"/>
        <v>0</v>
      </c>
      <c r="AK97" s="126">
        <f t="shared" si="56"/>
        <v>0</v>
      </c>
      <c r="AL97" s="141">
        <f t="shared" si="57"/>
        <v>0</v>
      </c>
      <c r="AM97" s="141">
        <f t="shared" si="57"/>
        <v>0</v>
      </c>
      <c r="AN97" s="126"/>
      <c r="AO97" s="130">
        <f t="shared" si="70"/>
        <v>0</v>
      </c>
      <c r="AP97" s="116"/>
    </row>
    <row r="98" spans="1:42" s="117" customFormat="1" ht="14" hidden="1" outlineLevel="1">
      <c r="A98" s="146"/>
      <c r="B98" s="147" t="s">
        <v>562</v>
      </c>
      <c r="C98" s="126">
        <f t="shared" si="83"/>
        <v>1.5599999999999454</v>
      </c>
      <c r="D98" s="126">
        <v>0</v>
      </c>
      <c r="E98" s="126">
        <v>0</v>
      </c>
      <c r="F98" s="141">
        <v>0</v>
      </c>
      <c r="G98" s="141">
        <v>1.5599999999999454</v>
      </c>
      <c r="H98" s="126">
        <f t="shared" si="84"/>
        <v>1184</v>
      </c>
      <c r="I98" s="126">
        <f t="shared" si="74"/>
        <v>0</v>
      </c>
      <c r="J98" s="126"/>
      <c r="K98" s="126">
        <v>0</v>
      </c>
      <c r="L98" s="126">
        <f t="shared" si="87"/>
        <v>1184</v>
      </c>
      <c r="M98" s="141"/>
      <c r="N98" s="141">
        <v>1184</v>
      </c>
      <c r="O98" s="141">
        <f t="shared" si="85"/>
        <v>1183.625</v>
      </c>
      <c r="P98" s="141">
        <f t="shared" si="88"/>
        <v>0</v>
      </c>
      <c r="Q98" s="141"/>
      <c r="R98" s="141"/>
      <c r="S98" s="141">
        <f t="shared" si="89"/>
        <v>1183.625</v>
      </c>
      <c r="T98" s="141"/>
      <c r="U98" s="141">
        <f>1183.625</f>
        <v>1183.625</v>
      </c>
      <c r="V98" s="141">
        <f t="shared" si="90"/>
        <v>0</v>
      </c>
      <c r="W98" s="141">
        <f t="shared" si="91"/>
        <v>0</v>
      </c>
      <c r="X98" s="141"/>
      <c r="Y98" s="141"/>
      <c r="Z98" s="141">
        <f t="shared" si="92"/>
        <v>0</v>
      </c>
      <c r="AA98" s="141"/>
      <c r="AB98" s="141"/>
      <c r="AC98" s="141"/>
      <c r="AD98" s="141"/>
      <c r="AE98" s="141"/>
      <c r="AF98" s="141"/>
      <c r="AG98" s="141"/>
      <c r="AH98" s="141"/>
      <c r="AI98" s="126">
        <f t="shared" si="86"/>
        <v>1.9349999999999454</v>
      </c>
      <c r="AJ98" s="126">
        <f t="shared" si="56"/>
        <v>0</v>
      </c>
      <c r="AK98" s="126">
        <f t="shared" si="56"/>
        <v>0</v>
      </c>
      <c r="AL98" s="141">
        <f t="shared" si="57"/>
        <v>0</v>
      </c>
      <c r="AM98" s="141">
        <f t="shared" si="57"/>
        <v>1.9349999999999454</v>
      </c>
      <c r="AN98" s="126"/>
      <c r="AO98" s="130">
        <f t="shared" si="70"/>
        <v>0</v>
      </c>
      <c r="AP98" s="116"/>
    </row>
    <row r="99" spans="1:42" s="117" customFormat="1" ht="14" hidden="1" outlineLevel="1">
      <c r="A99" s="146"/>
      <c r="B99" s="147" t="s">
        <v>568</v>
      </c>
      <c r="C99" s="126">
        <f t="shared" si="83"/>
        <v>5.3000000000001819</v>
      </c>
      <c r="D99" s="126">
        <v>0</v>
      </c>
      <c r="E99" s="126">
        <v>0</v>
      </c>
      <c r="F99" s="141">
        <v>0</v>
      </c>
      <c r="G99" s="141">
        <v>5.3000000000001819</v>
      </c>
      <c r="H99" s="126">
        <f t="shared" si="84"/>
        <v>3024</v>
      </c>
      <c r="I99" s="126">
        <f t="shared" si="74"/>
        <v>0</v>
      </c>
      <c r="J99" s="126"/>
      <c r="K99" s="126">
        <v>0</v>
      </c>
      <c r="L99" s="126">
        <f t="shared" si="87"/>
        <v>3024</v>
      </c>
      <c r="M99" s="141"/>
      <c r="N99" s="141">
        <v>3024</v>
      </c>
      <c r="O99" s="141">
        <f t="shared" si="85"/>
        <v>3008.7729599999998</v>
      </c>
      <c r="P99" s="141">
        <f t="shared" si="88"/>
        <v>0</v>
      </c>
      <c r="Q99" s="141"/>
      <c r="R99" s="141"/>
      <c r="S99" s="141">
        <f t="shared" si="89"/>
        <v>3008.7729599999998</v>
      </c>
      <c r="T99" s="141"/>
      <c r="U99" s="141">
        <f>3008.77296</f>
        <v>3008.7729599999998</v>
      </c>
      <c r="V99" s="141">
        <f t="shared" si="90"/>
        <v>5.3000000000001819</v>
      </c>
      <c r="W99" s="141">
        <f t="shared" si="91"/>
        <v>0</v>
      </c>
      <c r="X99" s="141"/>
      <c r="Y99" s="141"/>
      <c r="Z99" s="141">
        <f t="shared" si="92"/>
        <v>5.3000000000001819</v>
      </c>
      <c r="AA99" s="141"/>
      <c r="AB99" s="141">
        <f>G99</f>
        <v>5.3000000000001819</v>
      </c>
      <c r="AC99" s="141"/>
      <c r="AD99" s="141"/>
      <c r="AE99" s="141"/>
      <c r="AF99" s="141"/>
      <c r="AG99" s="141"/>
      <c r="AH99" s="141"/>
      <c r="AI99" s="126">
        <f t="shared" si="86"/>
        <v>15.227040000000216</v>
      </c>
      <c r="AJ99" s="126">
        <f t="shared" si="56"/>
        <v>0</v>
      </c>
      <c r="AK99" s="126">
        <f t="shared" si="56"/>
        <v>0</v>
      </c>
      <c r="AL99" s="141">
        <f t="shared" si="57"/>
        <v>0</v>
      </c>
      <c r="AM99" s="141">
        <f t="shared" si="57"/>
        <v>15.227040000000216</v>
      </c>
      <c r="AN99" s="126"/>
      <c r="AO99" s="130">
        <f t="shared" si="70"/>
        <v>0</v>
      </c>
      <c r="AP99" s="116"/>
    </row>
    <row r="100" spans="1:42" s="117" customFormat="1" ht="14" hidden="1" outlineLevel="1">
      <c r="A100" s="146"/>
      <c r="B100" s="147" t="s">
        <v>565</v>
      </c>
      <c r="C100" s="126">
        <f t="shared" si="83"/>
        <v>0.18999999999991957</v>
      </c>
      <c r="D100" s="126">
        <v>0</v>
      </c>
      <c r="E100" s="126">
        <v>0</v>
      </c>
      <c r="F100" s="141">
        <v>0</v>
      </c>
      <c r="G100" s="141">
        <f>5.83999999999992-5.65</f>
        <v>0.18999999999991957</v>
      </c>
      <c r="H100" s="126">
        <f t="shared" si="84"/>
        <v>789</v>
      </c>
      <c r="I100" s="126">
        <f t="shared" si="74"/>
        <v>0</v>
      </c>
      <c r="J100" s="126"/>
      <c r="K100" s="126">
        <v>0</v>
      </c>
      <c r="L100" s="126">
        <f t="shared" si="87"/>
        <v>789</v>
      </c>
      <c r="M100" s="141"/>
      <c r="N100" s="141">
        <f>789</f>
        <v>789</v>
      </c>
      <c r="O100" s="141">
        <f t="shared" si="85"/>
        <v>789</v>
      </c>
      <c r="P100" s="141">
        <f t="shared" si="88"/>
        <v>0</v>
      </c>
      <c r="Q100" s="141"/>
      <c r="R100" s="141"/>
      <c r="S100" s="141">
        <f t="shared" si="89"/>
        <v>789</v>
      </c>
      <c r="T100" s="141"/>
      <c r="U100" s="141">
        <f>N100</f>
        <v>789</v>
      </c>
      <c r="V100" s="141">
        <f t="shared" si="90"/>
        <v>0</v>
      </c>
      <c r="W100" s="141">
        <f t="shared" si="91"/>
        <v>0</v>
      </c>
      <c r="X100" s="141"/>
      <c r="Y100" s="141"/>
      <c r="Z100" s="141">
        <f t="shared" si="92"/>
        <v>0</v>
      </c>
      <c r="AA100" s="141"/>
      <c r="AB100" s="141"/>
      <c r="AC100" s="141"/>
      <c r="AD100" s="141"/>
      <c r="AE100" s="141"/>
      <c r="AF100" s="141"/>
      <c r="AG100" s="141"/>
      <c r="AH100" s="141"/>
      <c r="AI100" s="126">
        <f t="shared" si="86"/>
        <v>0.18999999999994088</v>
      </c>
      <c r="AJ100" s="126">
        <f t="shared" si="56"/>
        <v>0</v>
      </c>
      <c r="AK100" s="126">
        <f t="shared" si="56"/>
        <v>0</v>
      </c>
      <c r="AL100" s="141">
        <f t="shared" si="57"/>
        <v>0</v>
      </c>
      <c r="AM100" s="141">
        <f t="shared" si="57"/>
        <v>0.18999999999994088</v>
      </c>
      <c r="AN100" s="126"/>
      <c r="AO100" s="130">
        <f t="shared" si="70"/>
        <v>0</v>
      </c>
      <c r="AP100" s="116"/>
    </row>
    <row r="101" spans="1:42" s="117" customFormat="1" ht="14" hidden="1" outlineLevel="1">
      <c r="A101" s="146"/>
      <c r="B101" s="147" t="s">
        <v>560</v>
      </c>
      <c r="C101" s="126">
        <f t="shared" si="83"/>
        <v>-4.2632564145606011E-14</v>
      </c>
      <c r="D101" s="126">
        <v>0</v>
      </c>
      <c r="E101" s="126">
        <v>0</v>
      </c>
      <c r="F101" s="141">
        <v>0</v>
      </c>
      <c r="G101" s="141">
        <v>-4.2632564145606011E-14</v>
      </c>
      <c r="H101" s="126">
        <f t="shared" si="84"/>
        <v>1632</v>
      </c>
      <c r="I101" s="126">
        <f t="shared" si="74"/>
        <v>0</v>
      </c>
      <c r="J101" s="126"/>
      <c r="K101" s="126">
        <v>0</v>
      </c>
      <c r="L101" s="126">
        <f t="shared" si="87"/>
        <v>1632</v>
      </c>
      <c r="M101" s="141"/>
      <c r="N101" s="141">
        <v>1632</v>
      </c>
      <c r="O101" s="141">
        <f t="shared" si="85"/>
        <v>1631.758961</v>
      </c>
      <c r="P101" s="141">
        <f t="shared" si="88"/>
        <v>0</v>
      </c>
      <c r="Q101" s="141"/>
      <c r="R101" s="141"/>
      <c r="S101" s="141">
        <f t="shared" si="89"/>
        <v>1631.758961</v>
      </c>
      <c r="T101" s="141"/>
      <c r="U101" s="141">
        <f>N101-0.241039</f>
        <v>1631.758961</v>
      </c>
      <c r="V101" s="141">
        <f t="shared" si="90"/>
        <v>0</v>
      </c>
      <c r="W101" s="141">
        <f t="shared" si="91"/>
        <v>0</v>
      </c>
      <c r="X101" s="141"/>
      <c r="Y101" s="141"/>
      <c r="Z101" s="141">
        <f t="shared" si="92"/>
        <v>0</v>
      </c>
      <c r="AA101" s="141"/>
      <c r="AB101" s="141"/>
      <c r="AC101" s="141"/>
      <c r="AD101" s="141"/>
      <c r="AE101" s="141"/>
      <c r="AF101" s="141"/>
      <c r="AG101" s="141"/>
      <c r="AH101" s="141"/>
      <c r="AI101" s="126">
        <f t="shared" si="86"/>
        <v>0.24103900000000067</v>
      </c>
      <c r="AJ101" s="126">
        <f t="shared" si="56"/>
        <v>0</v>
      </c>
      <c r="AK101" s="126">
        <f t="shared" si="56"/>
        <v>0</v>
      </c>
      <c r="AL101" s="141">
        <f t="shared" si="57"/>
        <v>0</v>
      </c>
      <c r="AM101" s="141">
        <f t="shared" si="57"/>
        <v>0.24103900000000067</v>
      </c>
      <c r="AN101" s="126"/>
      <c r="AO101" s="130">
        <f t="shared" si="70"/>
        <v>0</v>
      </c>
      <c r="AP101" s="116"/>
    </row>
    <row r="102" spans="1:42" s="117" customFormat="1" ht="14" hidden="1" outlineLevel="1">
      <c r="A102" s="146"/>
      <c r="B102" s="137" t="s">
        <v>337</v>
      </c>
      <c r="C102" s="126">
        <f t="shared" ref="C102" si="93">SUM(D102:G102)</f>
        <v>0</v>
      </c>
      <c r="D102" s="126">
        <v>0</v>
      </c>
      <c r="E102" s="126">
        <v>0</v>
      </c>
      <c r="F102" s="141">
        <v>0</v>
      </c>
      <c r="G102" s="141">
        <v>0</v>
      </c>
      <c r="H102" s="126">
        <f t="shared" si="84"/>
        <v>743</v>
      </c>
      <c r="I102" s="126">
        <f t="shared" si="74"/>
        <v>0</v>
      </c>
      <c r="J102" s="126"/>
      <c r="K102" s="126">
        <v>0</v>
      </c>
      <c r="L102" s="126">
        <f t="shared" si="87"/>
        <v>743</v>
      </c>
      <c r="M102" s="141"/>
      <c r="N102" s="141">
        <v>743</v>
      </c>
      <c r="O102" s="141">
        <f t="shared" si="85"/>
        <v>743</v>
      </c>
      <c r="P102" s="141">
        <f t="shared" si="88"/>
        <v>0</v>
      </c>
      <c r="Q102" s="141"/>
      <c r="R102" s="141"/>
      <c r="S102" s="141">
        <f t="shared" si="89"/>
        <v>743</v>
      </c>
      <c r="T102" s="141"/>
      <c r="U102" s="141">
        <f>N102</f>
        <v>743</v>
      </c>
      <c r="V102" s="141">
        <f t="shared" si="90"/>
        <v>0</v>
      </c>
      <c r="W102" s="141">
        <f t="shared" si="91"/>
        <v>0</v>
      </c>
      <c r="X102" s="141"/>
      <c r="Y102" s="141"/>
      <c r="Z102" s="141">
        <f t="shared" si="92"/>
        <v>0</v>
      </c>
      <c r="AA102" s="141"/>
      <c r="AB102" s="141"/>
      <c r="AC102" s="141"/>
      <c r="AD102" s="141"/>
      <c r="AE102" s="141"/>
      <c r="AF102" s="141"/>
      <c r="AG102" s="141"/>
      <c r="AH102" s="141"/>
      <c r="AI102" s="126">
        <f t="shared" ref="AI102" si="94">SUM(AJ102:AM102)</f>
        <v>0</v>
      </c>
      <c r="AJ102" s="126">
        <f t="shared" si="56"/>
        <v>0</v>
      </c>
      <c r="AK102" s="126">
        <f t="shared" si="56"/>
        <v>0</v>
      </c>
      <c r="AL102" s="141">
        <f t="shared" si="57"/>
        <v>0</v>
      </c>
      <c r="AM102" s="141">
        <f t="shared" si="57"/>
        <v>0</v>
      </c>
      <c r="AN102" s="126"/>
      <c r="AO102" s="130">
        <f t="shared" si="70"/>
        <v>0</v>
      </c>
      <c r="AP102" s="116"/>
    </row>
    <row r="103" spans="1:42" s="148" customFormat="1" ht="14" hidden="1" outlineLevel="1">
      <c r="A103" s="146"/>
      <c r="B103" s="140" t="s">
        <v>583</v>
      </c>
      <c r="C103" s="126">
        <f t="shared" si="83"/>
        <v>197.65800000000002</v>
      </c>
      <c r="D103" s="126">
        <v>0</v>
      </c>
      <c r="E103" s="126">
        <f>5.65+14.9009999999999+120.977+56.1300000000001</f>
        <v>197.65800000000002</v>
      </c>
      <c r="F103" s="141">
        <v>0</v>
      </c>
      <c r="G103" s="141">
        <f>5.65+14.9009999999999-(5.65+14.9009999999999)</f>
        <v>0</v>
      </c>
      <c r="H103" s="126">
        <f t="shared" si="84"/>
        <v>17.006900000000002</v>
      </c>
      <c r="I103" s="126">
        <f t="shared" si="74"/>
        <v>17.006900000000002</v>
      </c>
      <c r="J103" s="126"/>
      <c r="K103" s="126">
        <f>17.0069</f>
        <v>17.006900000000002</v>
      </c>
      <c r="L103" s="126">
        <f t="shared" si="87"/>
        <v>0</v>
      </c>
      <c r="M103" s="141"/>
      <c r="N103" s="141">
        <f>17.0069-(17.0069)</f>
        <v>0</v>
      </c>
      <c r="O103" s="141">
        <f t="shared" si="85"/>
        <v>0</v>
      </c>
      <c r="P103" s="141">
        <f t="shared" si="88"/>
        <v>0</v>
      </c>
      <c r="Q103" s="141"/>
      <c r="R103" s="141"/>
      <c r="S103" s="141">
        <f t="shared" si="89"/>
        <v>0</v>
      </c>
      <c r="T103" s="141"/>
      <c r="U103" s="141"/>
      <c r="V103" s="141">
        <f t="shared" si="90"/>
        <v>120.977</v>
      </c>
      <c r="W103" s="141">
        <f t="shared" si="91"/>
        <v>120.977</v>
      </c>
      <c r="X103" s="141"/>
      <c r="Y103" s="141">
        <v>120.977</v>
      </c>
      <c r="Z103" s="141">
        <f t="shared" si="92"/>
        <v>0</v>
      </c>
      <c r="AA103" s="141"/>
      <c r="AB103" s="141"/>
      <c r="AC103" s="141"/>
      <c r="AD103" s="141"/>
      <c r="AE103" s="141"/>
      <c r="AF103" s="141"/>
      <c r="AG103" s="141"/>
      <c r="AH103" s="141"/>
      <c r="AI103" s="126">
        <f t="shared" si="86"/>
        <v>93.687900000000013</v>
      </c>
      <c r="AJ103" s="126">
        <f t="shared" si="56"/>
        <v>0</v>
      </c>
      <c r="AK103" s="126">
        <f t="shared" si="56"/>
        <v>93.687900000000013</v>
      </c>
      <c r="AL103" s="141">
        <f t="shared" si="57"/>
        <v>0</v>
      </c>
      <c r="AM103" s="141">
        <f t="shared" si="57"/>
        <v>0</v>
      </c>
      <c r="AN103" s="126"/>
      <c r="AO103" s="130">
        <f t="shared" si="70"/>
        <v>0</v>
      </c>
      <c r="AP103" s="116"/>
    </row>
    <row r="104" spans="1:42" s="117" customFormat="1" ht="14" hidden="1" outlineLevel="1">
      <c r="A104" s="146" t="s">
        <v>587</v>
      </c>
      <c r="B104" s="147" t="s">
        <v>588</v>
      </c>
      <c r="C104" s="126">
        <f t="shared" ref="C104:AH104" si="95">C105</f>
        <v>0</v>
      </c>
      <c r="D104" s="126">
        <f t="shared" si="95"/>
        <v>0</v>
      </c>
      <c r="E104" s="126">
        <f t="shared" si="95"/>
        <v>0</v>
      </c>
      <c r="F104" s="126">
        <f t="shared" si="95"/>
        <v>0</v>
      </c>
      <c r="G104" s="126">
        <f t="shared" si="95"/>
        <v>0</v>
      </c>
      <c r="H104" s="126">
        <f t="shared" si="95"/>
        <v>2699</v>
      </c>
      <c r="I104" s="126">
        <f t="shared" si="95"/>
        <v>2699</v>
      </c>
      <c r="J104" s="126">
        <f t="shared" si="95"/>
        <v>0</v>
      </c>
      <c r="K104" s="126">
        <f t="shared" si="95"/>
        <v>2699</v>
      </c>
      <c r="L104" s="126">
        <f t="shared" si="95"/>
        <v>0</v>
      </c>
      <c r="M104" s="126">
        <f t="shared" si="95"/>
        <v>0</v>
      </c>
      <c r="N104" s="126">
        <f t="shared" si="95"/>
        <v>0</v>
      </c>
      <c r="O104" s="126">
        <f t="shared" si="95"/>
        <v>2699</v>
      </c>
      <c r="P104" s="126">
        <f t="shared" si="95"/>
        <v>2699</v>
      </c>
      <c r="Q104" s="126">
        <f t="shared" si="95"/>
        <v>0</v>
      </c>
      <c r="R104" s="126">
        <f t="shared" si="95"/>
        <v>2699</v>
      </c>
      <c r="S104" s="126">
        <f t="shared" si="95"/>
        <v>0</v>
      </c>
      <c r="T104" s="126">
        <f t="shared" si="95"/>
        <v>0</v>
      </c>
      <c r="U104" s="126">
        <f t="shared" si="95"/>
        <v>0</v>
      </c>
      <c r="V104" s="126">
        <f t="shared" si="95"/>
        <v>0</v>
      </c>
      <c r="W104" s="126">
        <f t="shared" si="95"/>
        <v>0</v>
      </c>
      <c r="X104" s="126">
        <f t="shared" si="95"/>
        <v>0</v>
      </c>
      <c r="Y104" s="126">
        <f t="shared" si="95"/>
        <v>0</v>
      </c>
      <c r="Z104" s="126">
        <f t="shared" si="95"/>
        <v>0</v>
      </c>
      <c r="AA104" s="126">
        <f t="shared" si="95"/>
        <v>0</v>
      </c>
      <c r="AB104" s="126">
        <f t="shared" si="95"/>
        <v>0</v>
      </c>
      <c r="AC104" s="126">
        <f t="shared" si="95"/>
        <v>0</v>
      </c>
      <c r="AD104" s="126">
        <f t="shared" si="95"/>
        <v>0</v>
      </c>
      <c r="AE104" s="126">
        <f t="shared" si="95"/>
        <v>0</v>
      </c>
      <c r="AF104" s="126">
        <f t="shared" si="95"/>
        <v>0</v>
      </c>
      <c r="AG104" s="126">
        <f t="shared" si="95"/>
        <v>0</v>
      </c>
      <c r="AH104" s="126">
        <f t="shared" si="95"/>
        <v>0</v>
      </c>
      <c r="AI104" s="126">
        <f t="shared" si="86"/>
        <v>0</v>
      </c>
      <c r="AJ104" s="126">
        <f t="shared" si="56"/>
        <v>0</v>
      </c>
      <c r="AK104" s="126">
        <f t="shared" si="56"/>
        <v>0</v>
      </c>
      <c r="AL104" s="141">
        <f t="shared" si="57"/>
        <v>0</v>
      </c>
      <c r="AM104" s="141">
        <f t="shared" si="57"/>
        <v>0</v>
      </c>
      <c r="AN104" s="126"/>
      <c r="AO104" s="130">
        <f t="shared" si="70"/>
        <v>0</v>
      </c>
      <c r="AP104" s="116"/>
    </row>
    <row r="105" spans="1:42" s="117" customFormat="1" ht="14" hidden="1" outlineLevel="1">
      <c r="A105" s="146"/>
      <c r="B105" s="147" t="s">
        <v>589</v>
      </c>
      <c r="C105" s="126">
        <f t="shared" si="83"/>
        <v>0</v>
      </c>
      <c r="D105" s="126">
        <v>0</v>
      </c>
      <c r="E105" s="126">
        <v>0</v>
      </c>
      <c r="F105" s="141">
        <v>0</v>
      </c>
      <c r="G105" s="141">
        <v>0</v>
      </c>
      <c r="H105" s="126">
        <f>I105+L105</f>
        <v>2699</v>
      </c>
      <c r="I105" s="126">
        <f>J105+K105</f>
        <v>2699</v>
      </c>
      <c r="J105" s="126"/>
      <c r="K105" s="126">
        <v>2699</v>
      </c>
      <c r="L105" s="126"/>
      <c r="M105" s="141"/>
      <c r="N105" s="141"/>
      <c r="O105" s="141">
        <f>P105+S105</f>
        <v>2699</v>
      </c>
      <c r="P105" s="141">
        <f>Q105+R105</f>
        <v>2699</v>
      </c>
      <c r="Q105" s="141"/>
      <c r="R105" s="126">
        <v>2699</v>
      </c>
      <c r="S105" s="141"/>
      <c r="T105" s="141"/>
      <c r="U105" s="141"/>
      <c r="V105" s="141">
        <f>W105+Z105</f>
        <v>0</v>
      </c>
      <c r="W105" s="141">
        <f>X105+Y105</f>
        <v>0</v>
      </c>
      <c r="X105" s="141"/>
      <c r="Y105" s="141"/>
      <c r="Z105" s="141"/>
      <c r="AA105" s="141"/>
      <c r="AB105" s="141"/>
      <c r="AC105" s="141"/>
      <c r="AD105" s="141"/>
      <c r="AE105" s="141"/>
      <c r="AF105" s="141"/>
      <c r="AG105" s="141"/>
      <c r="AH105" s="141"/>
      <c r="AI105" s="126">
        <f t="shared" si="86"/>
        <v>0</v>
      </c>
      <c r="AJ105" s="126">
        <f t="shared" si="56"/>
        <v>0</v>
      </c>
      <c r="AK105" s="126">
        <f t="shared" si="56"/>
        <v>0</v>
      </c>
      <c r="AL105" s="141">
        <f t="shared" si="57"/>
        <v>0</v>
      </c>
      <c r="AM105" s="141">
        <f t="shared" si="57"/>
        <v>0</v>
      </c>
      <c r="AN105" s="126"/>
      <c r="AO105" s="130">
        <f t="shared" si="70"/>
        <v>0</v>
      </c>
      <c r="AP105" s="116"/>
    </row>
    <row r="106" spans="1:42" s="132" customFormat="1" ht="42" collapsed="1">
      <c r="A106" s="144" t="s">
        <v>320</v>
      </c>
      <c r="B106" s="134" t="s">
        <v>590</v>
      </c>
      <c r="C106" s="145">
        <f>SUM(C107:C115)</f>
        <v>1.5950000000000017</v>
      </c>
      <c r="D106" s="145">
        <f>SUM(D107:D115)</f>
        <v>0</v>
      </c>
      <c r="E106" s="145">
        <f>SUM(E107:E115)</f>
        <v>0</v>
      </c>
      <c r="F106" s="145">
        <f>SUM(F107:F115)</f>
        <v>0</v>
      </c>
      <c r="G106" s="145">
        <f>SUM(G107:G115)</f>
        <v>1.5950000000000017</v>
      </c>
      <c r="H106" s="145">
        <f t="shared" ref="H106:AM106" si="96">SUM(H107:H115)</f>
        <v>1156</v>
      </c>
      <c r="I106" s="145">
        <f t="shared" si="96"/>
        <v>4.5388999999999999</v>
      </c>
      <c r="J106" s="145">
        <f t="shared" si="96"/>
        <v>0</v>
      </c>
      <c r="K106" s="145">
        <f t="shared" si="96"/>
        <v>4.5388999999999999</v>
      </c>
      <c r="L106" s="145">
        <f t="shared" si="96"/>
        <v>1151.4611</v>
      </c>
      <c r="M106" s="145">
        <f t="shared" si="96"/>
        <v>0</v>
      </c>
      <c r="N106" s="145">
        <f t="shared" si="96"/>
        <v>1151.4611</v>
      </c>
      <c r="O106" s="145">
        <f t="shared" si="96"/>
        <v>1104.0461</v>
      </c>
      <c r="P106" s="145">
        <f t="shared" si="96"/>
        <v>0</v>
      </c>
      <c r="Q106" s="145">
        <f t="shared" si="96"/>
        <v>0</v>
      </c>
      <c r="R106" s="145">
        <f t="shared" si="96"/>
        <v>0</v>
      </c>
      <c r="S106" s="145">
        <f t="shared" si="96"/>
        <v>1104.0461</v>
      </c>
      <c r="T106" s="145">
        <f t="shared" si="96"/>
        <v>0</v>
      </c>
      <c r="U106" s="145">
        <f t="shared" si="96"/>
        <v>1104.0461</v>
      </c>
      <c r="V106" s="145">
        <f t="shared" si="96"/>
        <v>1.5999999999999943</v>
      </c>
      <c r="W106" s="145">
        <f t="shared" si="96"/>
        <v>0</v>
      </c>
      <c r="X106" s="145">
        <f t="shared" si="96"/>
        <v>0</v>
      </c>
      <c r="Y106" s="145">
        <f t="shared" si="96"/>
        <v>0</v>
      </c>
      <c r="Z106" s="145">
        <f t="shared" si="96"/>
        <v>1.5999999999999943</v>
      </c>
      <c r="AA106" s="145">
        <f t="shared" si="96"/>
        <v>0</v>
      </c>
      <c r="AB106" s="145">
        <f t="shared" si="96"/>
        <v>1.5999999999999943</v>
      </c>
      <c r="AC106" s="145">
        <f t="shared" si="96"/>
        <v>0</v>
      </c>
      <c r="AD106" s="145">
        <f t="shared" si="96"/>
        <v>0</v>
      </c>
      <c r="AE106" s="145">
        <f t="shared" si="96"/>
        <v>0</v>
      </c>
      <c r="AF106" s="145">
        <f t="shared" si="96"/>
        <v>0</v>
      </c>
      <c r="AG106" s="145">
        <f t="shared" si="96"/>
        <v>0</v>
      </c>
      <c r="AH106" s="145">
        <f t="shared" si="96"/>
        <v>0</v>
      </c>
      <c r="AI106" s="145">
        <f t="shared" si="86"/>
        <v>51.948899999999966</v>
      </c>
      <c r="AJ106" s="145">
        <f t="shared" si="96"/>
        <v>0</v>
      </c>
      <c r="AK106" s="145">
        <f t="shared" si="96"/>
        <v>4.5388999999999999</v>
      </c>
      <c r="AL106" s="145">
        <f t="shared" si="96"/>
        <v>0</v>
      </c>
      <c r="AM106" s="145">
        <f t="shared" si="96"/>
        <v>47.409999999999968</v>
      </c>
      <c r="AN106" s="126"/>
      <c r="AO106" s="130">
        <f t="shared" si="70"/>
        <v>0</v>
      </c>
      <c r="AP106" s="131"/>
    </row>
    <row r="107" spans="1:42" s="117" customFormat="1" ht="14" hidden="1" outlineLevel="1">
      <c r="A107" s="146"/>
      <c r="B107" s="147" t="s">
        <v>573</v>
      </c>
      <c r="C107" s="126">
        <f t="shared" si="83"/>
        <v>0</v>
      </c>
      <c r="D107" s="126">
        <v>0</v>
      </c>
      <c r="E107" s="126">
        <v>0</v>
      </c>
      <c r="F107" s="141">
        <v>0</v>
      </c>
      <c r="G107" s="141">
        <v>0</v>
      </c>
      <c r="H107" s="126">
        <f t="shared" ref="H107:H115" si="97">I107+L107</f>
        <v>0</v>
      </c>
      <c r="I107" s="126">
        <f t="shared" ref="I107:I115" si="98">J107+K107</f>
        <v>0</v>
      </c>
      <c r="J107" s="126"/>
      <c r="K107" s="126">
        <f>306-306</f>
        <v>0</v>
      </c>
      <c r="L107" s="126">
        <f t="shared" ref="L107:L115" si="99">M107+N107</f>
        <v>0</v>
      </c>
      <c r="M107" s="141"/>
      <c r="N107" s="141"/>
      <c r="O107" s="141">
        <f t="shared" ref="O107:O115" si="100">P107+S107</f>
        <v>0</v>
      </c>
      <c r="P107" s="141">
        <f t="shared" ref="P107:P115" si="101">Q107+R107</f>
        <v>0</v>
      </c>
      <c r="Q107" s="141"/>
      <c r="R107" s="141"/>
      <c r="S107" s="141">
        <f t="shared" ref="S107:S115" si="102">T107+U107</f>
        <v>0</v>
      </c>
      <c r="T107" s="141"/>
      <c r="U107" s="141"/>
      <c r="V107" s="141">
        <f t="shared" ref="V107:V115" si="103">W107+Z107</f>
        <v>0</v>
      </c>
      <c r="W107" s="141">
        <f t="shared" ref="W107:W115" si="104">X107+Y107</f>
        <v>0</v>
      </c>
      <c r="X107" s="141"/>
      <c r="Y107" s="141"/>
      <c r="Z107" s="141">
        <f t="shared" ref="Z107:Z115" si="105">AA107+AB107</f>
        <v>0</v>
      </c>
      <c r="AA107" s="141"/>
      <c r="AB107" s="141"/>
      <c r="AC107" s="141"/>
      <c r="AD107" s="141"/>
      <c r="AE107" s="141"/>
      <c r="AF107" s="141"/>
      <c r="AG107" s="141"/>
      <c r="AH107" s="141"/>
      <c r="AI107" s="126">
        <f t="shared" si="86"/>
        <v>0</v>
      </c>
      <c r="AJ107" s="126">
        <f t="shared" ref="AJ107:AK128" si="106">D107+J107-Q107-X107-AD107</f>
        <v>0</v>
      </c>
      <c r="AK107" s="126">
        <f t="shared" si="106"/>
        <v>0</v>
      </c>
      <c r="AL107" s="141">
        <f t="shared" ref="AL107:AM128" si="107">F107+M107-T107-AA107-AG107</f>
        <v>0</v>
      </c>
      <c r="AM107" s="141">
        <f t="shared" si="107"/>
        <v>0</v>
      </c>
      <c r="AN107" s="126"/>
      <c r="AO107" s="130">
        <f t="shared" si="70"/>
        <v>0</v>
      </c>
      <c r="AP107" s="116"/>
    </row>
    <row r="108" spans="1:42" s="117" customFormat="1" ht="14" hidden="1" outlineLevel="1">
      <c r="A108" s="146"/>
      <c r="B108" s="147" t="s">
        <v>563</v>
      </c>
      <c r="C108" s="126">
        <f t="shared" si="83"/>
        <v>2.8310687127941492E-15</v>
      </c>
      <c r="D108" s="126">
        <v>0</v>
      </c>
      <c r="E108" s="126">
        <v>0</v>
      </c>
      <c r="F108" s="141">
        <v>0</v>
      </c>
      <c r="G108" s="141">
        <v>2.8310687127941492E-15</v>
      </c>
      <c r="H108" s="126">
        <f t="shared" si="97"/>
        <v>245</v>
      </c>
      <c r="I108" s="126">
        <f t="shared" si="98"/>
        <v>0</v>
      </c>
      <c r="J108" s="126"/>
      <c r="K108" s="126"/>
      <c r="L108" s="126">
        <f t="shared" si="99"/>
        <v>245</v>
      </c>
      <c r="M108" s="141"/>
      <c r="N108" s="141">
        <v>245</v>
      </c>
      <c r="O108" s="141">
        <f t="shared" si="100"/>
        <v>240.49</v>
      </c>
      <c r="P108" s="141">
        <f t="shared" si="101"/>
        <v>0</v>
      </c>
      <c r="Q108" s="141"/>
      <c r="R108" s="141"/>
      <c r="S108" s="141">
        <f t="shared" si="102"/>
        <v>240.49</v>
      </c>
      <c r="T108" s="141"/>
      <c r="U108" s="141">
        <v>240.49</v>
      </c>
      <c r="V108" s="141">
        <f t="shared" si="103"/>
        <v>0</v>
      </c>
      <c r="W108" s="141">
        <f t="shared" si="104"/>
        <v>0</v>
      </c>
      <c r="X108" s="141"/>
      <c r="Y108" s="141"/>
      <c r="Z108" s="141">
        <f t="shared" si="105"/>
        <v>0</v>
      </c>
      <c r="AA108" s="141"/>
      <c r="AB108" s="141"/>
      <c r="AC108" s="141"/>
      <c r="AD108" s="141"/>
      <c r="AE108" s="141"/>
      <c r="AF108" s="141"/>
      <c r="AG108" s="141"/>
      <c r="AH108" s="141"/>
      <c r="AI108" s="126">
        <f t="shared" si="86"/>
        <v>4.5099999999999909</v>
      </c>
      <c r="AJ108" s="126">
        <f t="shared" si="106"/>
        <v>0</v>
      </c>
      <c r="AK108" s="126">
        <f t="shared" si="106"/>
        <v>0</v>
      </c>
      <c r="AL108" s="141">
        <f t="shared" si="107"/>
        <v>0</v>
      </c>
      <c r="AM108" s="141">
        <f t="shared" si="107"/>
        <v>4.5099999999999909</v>
      </c>
      <c r="AN108" s="126"/>
      <c r="AO108" s="130">
        <f t="shared" si="70"/>
        <v>0</v>
      </c>
      <c r="AP108" s="116"/>
    </row>
    <row r="109" spans="1:42" s="117" customFormat="1" ht="14" hidden="1" outlineLevel="1">
      <c r="A109" s="146"/>
      <c r="B109" s="147" t="s">
        <v>564</v>
      </c>
      <c r="C109" s="126">
        <f t="shared" si="83"/>
        <v>0.5</v>
      </c>
      <c r="D109" s="126">
        <v>0</v>
      </c>
      <c r="E109" s="126">
        <v>0</v>
      </c>
      <c r="F109" s="141">
        <v>0</v>
      </c>
      <c r="G109" s="141">
        <v>0.5</v>
      </c>
      <c r="H109" s="126">
        <f t="shared" si="97"/>
        <v>81.461100000000002</v>
      </c>
      <c r="I109" s="126">
        <f t="shared" si="98"/>
        <v>0</v>
      </c>
      <c r="J109" s="126"/>
      <c r="K109" s="126"/>
      <c r="L109" s="126">
        <f t="shared" si="99"/>
        <v>81.461100000000002</v>
      </c>
      <c r="M109" s="141"/>
      <c r="N109" s="141">
        <f>86-4.5389</f>
        <v>81.461100000000002</v>
      </c>
      <c r="O109" s="141">
        <f t="shared" si="100"/>
        <v>81.461100000000002</v>
      </c>
      <c r="P109" s="141">
        <f t="shared" si="101"/>
        <v>0</v>
      </c>
      <c r="Q109" s="141"/>
      <c r="R109" s="141"/>
      <c r="S109" s="141">
        <f t="shared" si="102"/>
        <v>81.461100000000002</v>
      </c>
      <c r="T109" s="141"/>
      <c r="U109" s="141">
        <f>81.4611</f>
        <v>81.461100000000002</v>
      </c>
      <c r="V109" s="141">
        <f t="shared" si="103"/>
        <v>0.5</v>
      </c>
      <c r="W109" s="141">
        <f t="shared" si="104"/>
        <v>0</v>
      </c>
      <c r="X109" s="141"/>
      <c r="Y109" s="141"/>
      <c r="Z109" s="141">
        <f t="shared" si="105"/>
        <v>0.5</v>
      </c>
      <c r="AA109" s="141"/>
      <c r="AB109" s="141">
        <f>G109</f>
        <v>0.5</v>
      </c>
      <c r="AC109" s="141"/>
      <c r="AD109" s="141"/>
      <c r="AE109" s="141"/>
      <c r="AF109" s="141"/>
      <c r="AG109" s="141"/>
      <c r="AH109" s="141"/>
      <c r="AI109" s="126">
        <f t="shared" si="86"/>
        <v>0</v>
      </c>
      <c r="AJ109" s="126">
        <f t="shared" si="106"/>
        <v>0</v>
      </c>
      <c r="AK109" s="126">
        <f t="shared" si="106"/>
        <v>0</v>
      </c>
      <c r="AL109" s="141">
        <f t="shared" si="107"/>
        <v>0</v>
      </c>
      <c r="AM109" s="141">
        <f t="shared" si="107"/>
        <v>0</v>
      </c>
      <c r="AN109" s="126"/>
      <c r="AO109" s="130">
        <f t="shared" si="70"/>
        <v>0</v>
      </c>
      <c r="AP109" s="116"/>
    </row>
    <row r="110" spans="1:42" s="117" customFormat="1" ht="14" hidden="1" outlineLevel="1">
      <c r="A110" s="146"/>
      <c r="B110" s="147" t="s">
        <v>566</v>
      </c>
      <c r="C110" s="126">
        <f t="shared" si="83"/>
        <v>1.0999999999999943</v>
      </c>
      <c r="D110" s="126">
        <v>0</v>
      </c>
      <c r="E110" s="126">
        <v>0</v>
      </c>
      <c r="F110" s="141">
        <v>0</v>
      </c>
      <c r="G110" s="141">
        <v>1.0999999999999943</v>
      </c>
      <c r="H110" s="126">
        <f t="shared" si="97"/>
        <v>74</v>
      </c>
      <c r="I110" s="126">
        <f t="shared" si="98"/>
        <v>0</v>
      </c>
      <c r="J110" s="126"/>
      <c r="K110" s="126"/>
      <c r="L110" s="126">
        <f t="shared" si="99"/>
        <v>74</v>
      </c>
      <c r="M110" s="141"/>
      <c r="N110" s="141">
        <v>74</v>
      </c>
      <c r="O110" s="141">
        <f t="shared" si="100"/>
        <v>74</v>
      </c>
      <c r="P110" s="141">
        <f t="shared" si="101"/>
        <v>0</v>
      </c>
      <c r="Q110" s="141"/>
      <c r="R110" s="141"/>
      <c r="S110" s="141">
        <f t="shared" si="102"/>
        <v>74</v>
      </c>
      <c r="T110" s="141"/>
      <c r="U110" s="141">
        <v>74</v>
      </c>
      <c r="V110" s="141">
        <f t="shared" si="103"/>
        <v>1.0999999999999943</v>
      </c>
      <c r="W110" s="141">
        <f t="shared" si="104"/>
        <v>0</v>
      </c>
      <c r="X110" s="141"/>
      <c r="Y110" s="141"/>
      <c r="Z110" s="141">
        <f t="shared" si="105"/>
        <v>1.0999999999999943</v>
      </c>
      <c r="AA110" s="141"/>
      <c r="AB110" s="141">
        <v>1.0999999999999943</v>
      </c>
      <c r="AC110" s="141"/>
      <c r="AD110" s="141"/>
      <c r="AE110" s="141"/>
      <c r="AF110" s="141"/>
      <c r="AG110" s="141"/>
      <c r="AH110" s="141"/>
      <c r="AI110" s="126">
        <f t="shared" si="86"/>
        <v>0</v>
      </c>
      <c r="AJ110" s="126">
        <f t="shared" si="106"/>
        <v>0</v>
      </c>
      <c r="AK110" s="126">
        <f t="shared" si="106"/>
        <v>0</v>
      </c>
      <c r="AL110" s="141">
        <f t="shared" si="107"/>
        <v>0</v>
      </c>
      <c r="AM110" s="141">
        <f t="shared" si="107"/>
        <v>0</v>
      </c>
      <c r="AN110" s="126"/>
      <c r="AO110" s="130">
        <f t="shared" si="70"/>
        <v>0</v>
      </c>
      <c r="AP110" s="116"/>
    </row>
    <row r="111" spans="1:42" s="117" customFormat="1" ht="17.25" hidden="1" customHeight="1" outlineLevel="1">
      <c r="A111" s="146"/>
      <c r="B111" s="147" t="s">
        <v>561</v>
      </c>
      <c r="C111" s="126">
        <f t="shared" si="83"/>
        <v>-4.9999999999954525E-3</v>
      </c>
      <c r="D111" s="126">
        <v>0</v>
      </c>
      <c r="E111" s="126">
        <v>0</v>
      </c>
      <c r="F111" s="141">
        <v>0</v>
      </c>
      <c r="G111" s="141">
        <v>-4.9999999999954525E-3</v>
      </c>
      <c r="H111" s="126">
        <f t="shared" si="97"/>
        <v>113</v>
      </c>
      <c r="I111" s="126">
        <f t="shared" si="98"/>
        <v>0</v>
      </c>
      <c r="J111" s="126"/>
      <c r="K111" s="126"/>
      <c r="L111" s="126">
        <f t="shared" si="99"/>
        <v>113</v>
      </c>
      <c r="M111" s="141"/>
      <c r="N111" s="141">
        <v>113</v>
      </c>
      <c r="O111" s="141">
        <f t="shared" si="100"/>
        <v>112.995</v>
      </c>
      <c r="P111" s="141">
        <f t="shared" si="101"/>
        <v>0</v>
      </c>
      <c r="Q111" s="141"/>
      <c r="R111" s="141"/>
      <c r="S111" s="141">
        <f t="shared" si="102"/>
        <v>112.995</v>
      </c>
      <c r="T111" s="141"/>
      <c r="U111" s="141">
        <f>N111-0.00499999999999545</f>
        <v>112.995</v>
      </c>
      <c r="V111" s="141">
        <f t="shared" si="103"/>
        <v>0</v>
      </c>
      <c r="W111" s="141">
        <f t="shared" si="104"/>
        <v>0</v>
      </c>
      <c r="X111" s="141"/>
      <c r="Y111" s="141"/>
      <c r="Z111" s="141">
        <f t="shared" si="105"/>
        <v>0</v>
      </c>
      <c r="AA111" s="141"/>
      <c r="AB111" s="141"/>
      <c r="AC111" s="141"/>
      <c r="AD111" s="141"/>
      <c r="AE111" s="141"/>
      <c r="AF111" s="141"/>
      <c r="AG111" s="141"/>
      <c r="AH111" s="141"/>
      <c r="AI111" s="126">
        <f t="shared" si="86"/>
        <v>0</v>
      </c>
      <c r="AJ111" s="126">
        <f t="shared" si="106"/>
        <v>0</v>
      </c>
      <c r="AK111" s="126">
        <f t="shared" si="106"/>
        <v>0</v>
      </c>
      <c r="AL111" s="141">
        <f t="shared" si="107"/>
        <v>0</v>
      </c>
      <c r="AM111" s="141">
        <f t="shared" si="107"/>
        <v>0</v>
      </c>
      <c r="AN111" s="126"/>
      <c r="AO111" s="130">
        <f t="shared" si="70"/>
        <v>0</v>
      </c>
      <c r="AP111" s="116"/>
    </row>
    <row r="112" spans="1:42" s="117" customFormat="1" ht="14" hidden="1" outlineLevel="1">
      <c r="A112" s="146"/>
      <c r="B112" s="147" t="s">
        <v>591</v>
      </c>
      <c r="C112" s="126">
        <f t="shared" si="83"/>
        <v>0</v>
      </c>
      <c r="D112" s="126">
        <v>0</v>
      </c>
      <c r="E112" s="126">
        <v>0</v>
      </c>
      <c r="F112" s="141">
        <v>0</v>
      </c>
      <c r="G112" s="141">
        <v>0</v>
      </c>
      <c r="H112" s="126">
        <f t="shared" si="97"/>
        <v>329</v>
      </c>
      <c r="I112" s="126">
        <f t="shared" si="98"/>
        <v>0</v>
      </c>
      <c r="J112" s="126"/>
      <c r="K112" s="126"/>
      <c r="L112" s="126">
        <f t="shared" si="99"/>
        <v>329</v>
      </c>
      <c r="M112" s="141"/>
      <c r="N112" s="141">
        <v>329</v>
      </c>
      <c r="O112" s="141">
        <f t="shared" si="100"/>
        <v>286.10000000000002</v>
      </c>
      <c r="P112" s="141">
        <f t="shared" si="101"/>
        <v>0</v>
      </c>
      <c r="Q112" s="141"/>
      <c r="R112" s="141"/>
      <c r="S112" s="141">
        <f t="shared" si="102"/>
        <v>286.10000000000002</v>
      </c>
      <c r="T112" s="141"/>
      <c r="U112" s="141">
        <v>286.10000000000002</v>
      </c>
      <c r="V112" s="141">
        <f t="shared" si="103"/>
        <v>0</v>
      </c>
      <c r="W112" s="141">
        <f t="shared" si="104"/>
        <v>0</v>
      </c>
      <c r="X112" s="141"/>
      <c r="Y112" s="141"/>
      <c r="Z112" s="141">
        <f t="shared" si="105"/>
        <v>0</v>
      </c>
      <c r="AA112" s="141"/>
      <c r="AB112" s="141"/>
      <c r="AC112" s="141"/>
      <c r="AD112" s="141"/>
      <c r="AE112" s="141"/>
      <c r="AF112" s="141"/>
      <c r="AG112" s="141"/>
      <c r="AH112" s="141"/>
      <c r="AI112" s="126">
        <f t="shared" si="86"/>
        <v>42.899999999999977</v>
      </c>
      <c r="AJ112" s="126">
        <f t="shared" si="106"/>
        <v>0</v>
      </c>
      <c r="AK112" s="126">
        <f t="shared" si="106"/>
        <v>0</v>
      </c>
      <c r="AL112" s="141">
        <f t="shared" si="107"/>
        <v>0</v>
      </c>
      <c r="AM112" s="141">
        <f t="shared" si="107"/>
        <v>42.899999999999977</v>
      </c>
      <c r="AN112" s="126"/>
      <c r="AO112" s="130">
        <f t="shared" si="70"/>
        <v>0</v>
      </c>
      <c r="AP112" s="116"/>
    </row>
    <row r="113" spans="1:42" s="117" customFormat="1" ht="14" hidden="1" outlineLevel="1">
      <c r="A113" s="146"/>
      <c r="B113" s="147" t="s">
        <v>562</v>
      </c>
      <c r="C113" s="126">
        <f t="shared" si="83"/>
        <v>0</v>
      </c>
      <c r="D113" s="126">
        <v>0</v>
      </c>
      <c r="E113" s="126">
        <v>0</v>
      </c>
      <c r="F113" s="141">
        <v>0</v>
      </c>
      <c r="G113" s="141">
        <v>0</v>
      </c>
      <c r="H113" s="126">
        <f t="shared" si="97"/>
        <v>65</v>
      </c>
      <c r="I113" s="126">
        <f t="shared" si="98"/>
        <v>0</v>
      </c>
      <c r="J113" s="126"/>
      <c r="K113" s="126"/>
      <c r="L113" s="126">
        <f t="shared" si="99"/>
        <v>65</v>
      </c>
      <c r="M113" s="141"/>
      <c r="N113" s="141">
        <v>65</v>
      </c>
      <c r="O113" s="141">
        <f t="shared" si="100"/>
        <v>65</v>
      </c>
      <c r="P113" s="141">
        <f t="shared" si="101"/>
        <v>0</v>
      </c>
      <c r="Q113" s="141"/>
      <c r="R113" s="141"/>
      <c r="S113" s="141">
        <f t="shared" si="102"/>
        <v>65</v>
      </c>
      <c r="T113" s="141"/>
      <c r="U113" s="141">
        <f>N113</f>
        <v>65</v>
      </c>
      <c r="V113" s="141">
        <f t="shared" si="103"/>
        <v>0</v>
      </c>
      <c r="W113" s="141">
        <f t="shared" si="104"/>
        <v>0</v>
      </c>
      <c r="X113" s="141"/>
      <c r="Y113" s="141"/>
      <c r="Z113" s="141">
        <f t="shared" si="105"/>
        <v>0</v>
      </c>
      <c r="AA113" s="141"/>
      <c r="AB113" s="141"/>
      <c r="AC113" s="141"/>
      <c r="AD113" s="141"/>
      <c r="AE113" s="141"/>
      <c r="AF113" s="141"/>
      <c r="AG113" s="141"/>
      <c r="AH113" s="141"/>
      <c r="AI113" s="126">
        <f t="shared" si="86"/>
        <v>0</v>
      </c>
      <c r="AJ113" s="126">
        <f t="shared" si="106"/>
        <v>0</v>
      </c>
      <c r="AK113" s="126">
        <f t="shared" si="106"/>
        <v>0</v>
      </c>
      <c r="AL113" s="141">
        <f t="shared" si="107"/>
        <v>0</v>
      </c>
      <c r="AM113" s="141">
        <f t="shared" si="107"/>
        <v>0</v>
      </c>
      <c r="AN113" s="126"/>
      <c r="AO113" s="130">
        <f t="shared" si="70"/>
        <v>0</v>
      </c>
      <c r="AP113" s="116"/>
    </row>
    <row r="114" spans="1:42" s="117" customFormat="1" ht="14" hidden="1" outlineLevel="1">
      <c r="A114" s="146"/>
      <c r="B114" s="147" t="s">
        <v>337</v>
      </c>
      <c r="C114" s="126">
        <f t="shared" ref="C114" si="108">SUM(D114:G114)</f>
        <v>0</v>
      </c>
      <c r="D114" s="126">
        <v>0</v>
      </c>
      <c r="E114" s="126">
        <v>0</v>
      </c>
      <c r="F114" s="141">
        <v>0</v>
      </c>
      <c r="G114" s="141">
        <v>0</v>
      </c>
      <c r="H114" s="126">
        <f t="shared" si="97"/>
        <v>244</v>
      </c>
      <c r="I114" s="126">
        <f t="shared" si="98"/>
        <v>0</v>
      </c>
      <c r="J114" s="126"/>
      <c r="K114" s="126"/>
      <c r="L114" s="126">
        <f t="shared" si="99"/>
        <v>244</v>
      </c>
      <c r="M114" s="141"/>
      <c r="N114" s="141">
        <v>244</v>
      </c>
      <c r="O114" s="141">
        <f t="shared" si="100"/>
        <v>244</v>
      </c>
      <c r="P114" s="141">
        <f t="shared" si="101"/>
        <v>0</v>
      </c>
      <c r="Q114" s="141"/>
      <c r="R114" s="141"/>
      <c r="S114" s="141">
        <f t="shared" si="102"/>
        <v>244</v>
      </c>
      <c r="T114" s="141"/>
      <c r="U114" s="141">
        <f>N114</f>
        <v>244</v>
      </c>
      <c r="V114" s="141">
        <f t="shared" si="103"/>
        <v>0</v>
      </c>
      <c r="W114" s="141">
        <f t="shared" si="104"/>
        <v>0</v>
      </c>
      <c r="X114" s="141"/>
      <c r="Y114" s="141"/>
      <c r="Z114" s="141">
        <f t="shared" si="105"/>
        <v>0</v>
      </c>
      <c r="AA114" s="141"/>
      <c r="AB114" s="141"/>
      <c r="AC114" s="141"/>
      <c r="AD114" s="141"/>
      <c r="AE114" s="141"/>
      <c r="AF114" s="141"/>
      <c r="AG114" s="141"/>
      <c r="AH114" s="141"/>
      <c r="AI114" s="126">
        <f t="shared" ref="AI114" si="109">SUM(AJ114:AM114)</f>
        <v>0</v>
      </c>
      <c r="AJ114" s="126">
        <f t="shared" si="106"/>
        <v>0</v>
      </c>
      <c r="AK114" s="126">
        <f t="shared" si="106"/>
        <v>0</v>
      </c>
      <c r="AL114" s="141">
        <f t="shared" si="107"/>
        <v>0</v>
      </c>
      <c r="AM114" s="141">
        <f t="shared" si="107"/>
        <v>0</v>
      </c>
      <c r="AN114" s="126"/>
      <c r="AO114" s="130">
        <f t="shared" si="70"/>
        <v>0</v>
      </c>
      <c r="AP114" s="116"/>
    </row>
    <row r="115" spans="1:42" s="148" customFormat="1" ht="14" hidden="1" outlineLevel="1">
      <c r="A115" s="146"/>
      <c r="B115" s="140" t="s">
        <v>583</v>
      </c>
      <c r="C115" s="126">
        <f t="shared" si="83"/>
        <v>0</v>
      </c>
      <c r="D115" s="126">
        <v>0</v>
      </c>
      <c r="E115" s="126">
        <v>0</v>
      </c>
      <c r="F115" s="141">
        <v>0</v>
      </c>
      <c r="G115" s="141">
        <v>0</v>
      </c>
      <c r="H115" s="126">
        <f t="shared" si="97"/>
        <v>4.5388999999999999</v>
      </c>
      <c r="I115" s="126">
        <f t="shared" si="98"/>
        <v>4.5388999999999999</v>
      </c>
      <c r="J115" s="126"/>
      <c r="K115" s="126">
        <f>4.5389</f>
        <v>4.5388999999999999</v>
      </c>
      <c r="L115" s="126">
        <f t="shared" si="99"/>
        <v>0</v>
      </c>
      <c r="M115" s="141"/>
      <c r="N115" s="141">
        <f>4.5389-4.5389</f>
        <v>0</v>
      </c>
      <c r="O115" s="141">
        <f t="shared" si="100"/>
        <v>0</v>
      </c>
      <c r="P115" s="141">
        <f t="shared" si="101"/>
        <v>0</v>
      </c>
      <c r="Q115" s="141"/>
      <c r="R115" s="141"/>
      <c r="S115" s="141">
        <f t="shared" si="102"/>
        <v>0</v>
      </c>
      <c r="T115" s="141"/>
      <c r="U115" s="141">
        <f>N115</f>
        <v>0</v>
      </c>
      <c r="V115" s="141">
        <f t="shared" si="103"/>
        <v>0</v>
      </c>
      <c r="W115" s="141">
        <f t="shared" si="104"/>
        <v>0</v>
      </c>
      <c r="X115" s="141"/>
      <c r="Y115" s="141"/>
      <c r="Z115" s="141">
        <f t="shared" si="105"/>
        <v>0</v>
      </c>
      <c r="AA115" s="141"/>
      <c r="AB115" s="141"/>
      <c r="AC115" s="141"/>
      <c r="AD115" s="141"/>
      <c r="AE115" s="141"/>
      <c r="AF115" s="141"/>
      <c r="AG115" s="141"/>
      <c r="AH115" s="141"/>
      <c r="AI115" s="126">
        <f t="shared" si="86"/>
        <v>4.5388999999999999</v>
      </c>
      <c r="AJ115" s="126">
        <f t="shared" si="106"/>
        <v>0</v>
      </c>
      <c r="AK115" s="126">
        <f t="shared" si="106"/>
        <v>4.5388999999999999</v>
      </c>
      <c r="AL115" s="141">
        <f t="shared" si="107"/>
        <v>0</v>
      </c>
      <c r="AM115" s="141">
        <f t="shared" si="107"/>
        <v>0</v>
      </c>
      <c r="AN115" s="126"/>
      <c r="AO115" s="130">
        <f t="shared" si="70"/>
        <v>0</v>
      </c>
      <c r="AP115" s="116"/>
    </row>
    <row r="116" spans="1:42" s="132" customFormat="1" ht="14" collapsed="1">
      <c r="A116" s="144" t="s">
        <v>321</v>
      </c>
      <c r="B116" s="134" t="s">
        <v>592</v>
      </c>
      <c r="C116" s="145">
        <f t="shared" ref="C116:H116" si="110">SUM(C117:C129)</f>
        <v>55.38</v>
      </c>
      <c r="D116" s="145">
        <f t="shared" si="110"/>
        <v>0</v>
      </c>
      <c r="E116" s="145">
        <f t="shared" si="110"/>
        <v>3</v>
      </c>
      <c r="F116" s="145">
        <f t="shared" si="110"/>
        <v>0</v>
      </c>
      <c r="G116" s="145">
        <f t="shared" si="110"/>
        <v>52.38</v>
      </c>
      <c r="H116" s="145">
        <f t="shared" si="110"/>
        <v>5263</v>
      </c>
      <c r="I116" s="145">
        <f t="shared" ref="I116:AM116" si="111">SUM(I117:I129)</f>
        <v>3265.7825000000003</v>
      </c>
      <c r="J116" s="145">
        <f t="shared" si="111"/>
        <v>0</v>
      </c>
      <c r="K116" s="145">
        <f t="shared" si="111"/>
        <v>3265.7825000000003</v>
      </c>
      <c r="L116" s="145">
        <f t="shared" si="111"/>
        <v>1997.2175</v>
      </c>
      <c r="M116" s="145">
        <f t="shared" si="111"/>
        <v>0</v>
      </c>
      <c r="N116" s="145">
        <f t="shared" si="111"/>
        <v>1997.2175</v>
      </c>
      <c r="O116" s="145">
        <f t="shared" si="111"/>
        <v>5049.912577000001</v>
      </c>
      <c r="P116" s="145">
        <f t="shared" si="111"/>
        <v>3116.2770770000002</v>
      </c>
      <c r="Q116" s="145">
        <f t="shared" si="111"/>
        <v>0</v>
      </c>
      <c r="R116" s="145">
        <f t="shared" si="111"/>
        <v>3116.2770770000002</v>
      </c>
      <c r="S116" s="145">
        <f t="shared" si="111"/>
        <v>1933.6354999999999</v>
      </c>
      <c r="T116" s="145">
        <f t="shared" si="111"/>
        <v>0</v>
      </c>
      <c r="U116" s="145">
        <f t="shared" si="111"/>
        <v>1933.6354999999999</v>
      </c>
      <c r="V116" s="145">
        <f t="shared" si="111"/>
        <v>3</v>
      </c>
      <c r="W116" s="145">
        <f t="shared" si="111"/>
        <v>0</v>
      </c>
      <c r="X116" s="145">
        <f t="shared" si="111"/>
        <v>0</v>
      </c>
      <c r="Y116" s="145">
        <f t="shared" si="111"/>
        <v>0</v>
      </c>
      <c r="Z116" s="145">
        <f t="shared" si="111"/>
        <v>3</v>
      </c>
      <c r="AA116" s="145">
        <f t="shared" si="111"/>
        <v>0</v>
      </c>
      <c r="AB116" s="145">
        <f t="shared" si="111"/>
        <v>3</v>
      </c>
      <c r="AC116" s="145">
        <f t="shared" si="111"/>
        <v>0</v>
      </c>
      <c r="AD116" s="145">
        <f t="shared" si="111"/>
        <v>0</v>
      </c>
      <c r="AE116" s="145">
        <f t="shared" si="111"/>
        <v>0</v>
      </c>
      <c r="AF116" s="145">
        <f t="shared" si="111"/>
        <v>0</v>
      </c>
      <c r="AG116" s="145">
        <f t="shared" si="111"/>
        <v>0</v>
      </c>
      <c r="AH116" s="145">
        <f t="shared" si="111"/>
        <v>0</v>
      </c>
      <c r="AI116" s="145">
        <f t="shared" si="86"/>
        <v>265.467423</v>
      </c>
      <c r="AJ116" s="145">
        <f t="shared" si="111"/>
        <v>0</v>
      </c>
      <c r="AK116" s="145">
        <f t="shared" si="111"/>
        <v>152.50542300000001</v>
      </c>
      <c r="AL116" s="145">
        <f t="shared" si="111"/>
        <v>0</v>
      </c>
      <c r="AM116" s="145">
        <f t="shared" si="111"/>
        <v>112.962</v>
      </c>
      <c r="AN116" s="126"/>
      <c r="AO116" s="130">
        <f t="shared" si="70"/>
        <v>-8.5265128291212022E-13</v>
      </c>
      <c r="AP116" s="131"/>
    </row>
    <row r="117" spans="1:42" s="117" customFormat="1" ht="14" hidden="1" outlineLevel="1">
      <c r="A117" s="146"/>
      <c r="B117" s="147" t="s">
        <v>573</v>
      </c>
      <c r="C117" s="126">
        <f t="shared" si="83"/>
        <v>0</v>
      </c>
      <c r="D117" s="126">
        <v>0</v>
      </c>
      <c r="E117" s="126">
        <v>0</v>
      </c>
      <c r="F117" s="141">
        <v>0</v>
      </c>
      <c r="G117" s="141">
        <v>0</v>
      </c>
      <c r="H117" s="126">
        <f t="shared" ref="H117:H129" si="112">I117+L117</f>
        <v>131</v>
      </c>
      <c r="I117" s="126">
        <f t="shared" ref="I117:I129" si="113">J117+K117</f>
        <v>131</v>
      </c>
      <c r="J117" s="126"/>
      <c r="K117" s="126">
        <v>131</v>
      </c>
      <c r="L117" s="126"/>
      <c r="M117" s="141"/>
      <c r="N117" s="141"/>
      <c r="O117" s="141">
        <f t="shared" ref="O117:O128" si="114">P117+S117</f>
        <v>131</v>
      </c>
      <c r="P117" s="141">
        <f t="shared" ref="P117:P128" si="115">Q117+R117</f>
        <v>131</v>
      </c>
      <c r="Q117" s="141"/>
      <c r="R117" s="126">
        <v>131</v>
      </c>
      <c r="S117" s="141">
        <f t="shared" ref="S117:S128" si="116">T117+U117</f>
        <v>0</v>
      </c>
      <c r="T117" s="141"/>
      <c r="U117" s="141"/>
      <c r="V117" s="141">
        <f t="shared" ref="V117:V128" si="117">W117+Z117</f>
        <v>0</v>
      </c>
      <c r="W117" s="141">
        <f t="shared" ref="W117:W128" si="118">X117+Y117</f>
        <v>0</v>
      </c>
      <c r="X117" s="141"/>
      <c r="Y117" s="141"/>
      <c r="Z117" s="141">
        <f t="shared" ref="Z117:Z128" si="119">AA117+AB117</f>
        <v>0</v>
      </c>
      <c r="AA117" s="141"/>
      <c r="AB117" s="141"/>
      <c r="AC117" s="141"/>
      <c r="AD117" s="141"/>
      <c r="AE117" s="141"/>
      <c r="AF117" s="141"/>
      <c r="AG117" s="141"/>
      <c r="AH117" s="141"/>
      <c r="AI117" s="126">
        <f>SUM(AJ117:AM117)</f>
        <v>0</v>
      </c>
      <c r="AJ117" s="126">
        <f>D117+J117-Q117-X117-AD117</f>
        <v>0</v>
      </c>
      <c r="AK117" s="126">
        <f>E117+K117-R117-Y117-AE117</f>
        <v>0</v>
      </c>
      <c r="AL117" s="141">
        <f>F117+M117-T117-AA117-AG117</f>
        <v>0</v>
      </c>
      <c r="AM117" s="141">
        <f>G117+N117-U117-AB117-AH117</f>
        <v>0</v>
      </c>
      <c r="AN117" s="126"/>
      <c r="AO117" s="130">
        <f t="shared" si="70"/>
        <v>0</v>
      </c>
      <c r="AP117" s="116"/>
    </row>
    <row r="118" spans="1:42" s="117" customFormat="1" ht="14" hidden="1" outlineLevel="1">
      <c r="A118" s="146"/>
      <c r="B118" s="147" t="s">
        <v>593</v>
      </c>
      <c r="C118" s="126">
        <f t="shared" si="83"/>
        <v>0</v>
      </c>
      <c r="D118" s="126">
        <v>0</v>
      </c>
      <c r="E118" s="126"/>
      <c r="F118" s="141">
        <v>0</v>
      </c>
      <c r="G118" s="141">
        <v>0</v>
      </c>
      <c r="H118" s="126">
        <f t="shared" si="112"/>
        <v>2985.2770770000002</v>
      </c>
      <c r="I118" s="126">
        <f t="shared" si="113"/>
        <v>2985.2770770000002</v>
      </c>
      <c r="J118" s="126"/>
      <c r="K118" s="126">
        <f>3134-148.722923</f>
        <v>2985.2770770000002</v>
      </c>
      <c r="L118" s="126"/>
      <c r="M118" s="141"/>
      <c r="N118" s="141"/>
      <c r="O118" s="141">
        <f t="shared" si="114"/>
        <v>2985.2770770000002</v>
      </c>
      <c r="P118" s="141">
        <f t="shared" si="115"/>
        <v>2985.2770770000002</v>
      </c>
      <c r="Q118" s="141"/>
      <c r="R118" s="141">
        <v>2985.2770770000002</v>
      </c>
      <c r="S118" s="141">
        <f t="shared" si="116"/>
        <v>0</v>
      </c>
      <c r="T118" s="141"/>
      <c r="U118" s="141"/>
      <c r="V118" s="141">
        <f t="shared" si="117"/>
        <v>0</v>
      </c>
      <c r="W118" s="141">
        <f t="shared" si="118"/>
        <v>0</v>
      </c>
      <c r="X118" s="141"/>
      <c r="Y118" s="141"/>
      <c r="Z118" s="141">
        <f t="shared" si="119"/>
        <v>0</v>
      </c>
      <c r="AA118" s="141"/>
      <c r="AB118" s="141"/>
      <c r="AC118" s="141"/>
      <c r="AD118" s="141"/>
      <c r="AE118" s="141"/>
      <c r="AF118" s="141"/>
      <c r="AG118" s="141"/>
      <c r="AH118" s="141"/>
      <c r="AI118" s="126">
        <f>SUM(AJ118:AM118)</f>
        <v>0</v>
      </c>
      <c r="AJ118" s="126">
        <f>D118+J118-Q118-X118-AD118</f>
        <v>0</v>
      </c>
      <c r="AK118" s="126">
        <f>E118+K118-R118-Y118-AE118</f>
        <v>0</v>
      </c>
      <c r="AL118" s="141">
        <f>F118+M118-T118-AA118-AG118</f>
        <v>0</v>
      </c>
      <c r="AM118" s="141">
        <f>G118+N118-U118-AB118-AH118</f>
        <v>0</v>
      </c>
      <c r="AN118" s="126"/>
      <c r="AO118" s="130">
        <f t="shared" si="70"/>
        <v>0</v>
      </c>
      <c r="AP118" s="116"/>
    </row>
    <row r="119" spans="1:42" s="117" customFormat="1" ht="14" hidden="1" outlineLevel="1">
      <c r="A119" s="146"/>
      <c r="B119" s="147" t="s">
        <v>568</v>
      </c>
      <c r="C119" s="126">
        <f t="shared" si="83"/>
        <v>1.5</v>
      </c>
      <c r="D119" s="126">
        <v>0</v>
      </c>
      <c r="E119" s="126">
        <v>0</v>
      </c>
      <c r="F119" s="141">
        <v>0</v>
      </c>
      <c r="G119" s="141">
        <v>1.5</v>
      </c>
      <c r="H119" s="126">
        <f t="shared" si="112"/>
        <v>64</v>
      </c>
      <c r="I119" s="126">
        <f t="shared" si="113"/>
        <v>0</v>
      </c>
      <c r="J119" s="126"/>
      <c r="K119" s="126"/>
      <c r="L119" s="126">
        <f t="shared" ref="L119:L129" si="120">M119+N119</f>
        <v>64</v>
      </c>
      <c r="M119" s="141"/>
      <c r="N119" s="126">
        <v>64</v>
      </c>
      <c r="O119" s="141">
        <f t="shared" si="114"/>
        <v>64</v>
      </c>
      <c r="P119" s="141">
        <f t="shared" si="115"/>
        <v>0</v>
      </c>
      <c r="Q119" s="141"/>
      <c r="R119" s="141"/>
      <c r="S119" s="141">
        <f t="shared" si="116"/>
        <v>64</v>
      </c>
      <c r="T119" s="141"/>
      <c r="U119" s="141">
        <f>N119</f>
        <v>64</v>
      </c>
      <c r="V119" s="141">
        <f t="shared" si="117"/>
        <v>1.5</v>
      </c>
      <c r="W119" s="141">
        <f t="shared" si="118"/>
        <v>0</v>
      </c>
      <c r="X119" s="141"/>
      <c r="Y119" s="141"/>
      <c r="Z119" s="141">
        <f t="shared" si="119"/>
        <v>1.5</v>
      </c>
      <c r="AA119" s="141"/>
      <c r="AB119" s="141">
        <f>G119</f>
        <v>1.5</v>
      </c>
      <c r="AC119" s="141"/>
      <c r="AD119" s="141"/>
      <c r="AE119" s="141"/>
      <c r="AF119" s="141"/>
      <c r="AG119" s="141"/>
      <c r="AH119" s="141"/>
      <c r="AI119" s="126">
        <f t="shared" si="86"/>
        <v>0</v>
      </c>
      <c r="AJ119" s="126">
        <f t="shared" si="106"/>
        <v>0</v>
      </c>
      <c r="AK119" s="126">
        <f t="shared" si="106"/>
        <v>0</v>
      </c>
      <c r="AL119" s="141">
        <f t="shared" si="107"/>
        <v>0</v>
      </c>
      <c r="AM119" s="141">
        <f t="shared" si="107"/>
        <v>0</v>
      </c>
      <c r="AN119" s="126"/>
      <c r="AO119" s="130">
        <f t="shared" si="70"/>
        <v>0</v>
      </c>
      <c r="AP119" s="116"/>
    </row>
    <row r="120" spans="1:42" s="117" customFormat="1" ht="14" hidden="1" outlineLevel="1">
      <c r="A120" s="146"/>
      <c r="B120" s="147" t="s">
        <v>567</v>
      </c>
      <c r="C120" s="126">
        <f t="shared" si="83"/>
        <v>0</v>
      </c>
      <c r="D120" s="126">
        <v>0</v>
      </c>
      <c r="E120" s="126">
        <v>0</v>
      </c>
      <c r="F120" s="141">
        <v>0</v>
      </c>
      <c r="G120" s="141">
        <v>0</v>
      </c>
      <c r="H120" s="126">
        <f t="shared" si="112"/>
        <v>62</v>
      </c>
      <c r="I120" s="126">
        <f t="shared" si="113"/>
        <v>0</v>
      </c>
      <c r="J120" s="126"/>
      <c r="K120" s="126"/>
      <c r="L120" s="126">
        <f t="shared" si="120"/>
        <v>62</v>
      </c>
      <c r="M120" s="141"/>
      <c r="N120" s="126">
        <v>62</v>
      </c>
      <c r="O120" s="141">
        <f t="shared" si="114"/>
        <v>62</v>
      </c>
      <c r="P120" s="141">
        <f t="shared" si="115"/>
        <v>0</v>
      </c>
      <c r="Q120" s="141"/>
      <c r="R120" s="141"/>
      <c r="S120" s="141">
        <f t="shared" si="116"/>
        <v>62</v>
      </c>
      <c r="T120" s="141"/>
      <c r="U120" s="141">
        <f>N120</f>
        <v>62</v>
      </c>
      <c r="V120" s="141">
        <f t="shared" si="117"/>
        <v>0</v>
      </c>
      <c r="W120" s="141">
        <f t="shared" si="118"/>
        <v>0</v>
      </c>
      <c r="X120" s="141"/>
      <c r="Y120" s="141"/>
      <c r="Z120" s="141">
        <f t="shared" si="119"/>
        <v>0</v>
      </c>
      <c r="AA120" s="141"/>
      <c r="AB120" s="141"/>
      <c r="AC120" s="141"/>
      <c r="AD120" s="141"/>
      <c r="AE120" s="141"/>
      <c r="AF120" s="141"/>
      <c r="AG120" s="141"/>
      <c r="AH120" s="141"/>
      <c r="AI120" s="126">
        <f t="shared" si="86"/>
        <v>0</v>
      </c>
      <c r="AJ120" s="126">
        <f t="shared" si="106"/>
        <v>0</v>
      </c>
      <c r="AK120" s="126">
        <f t="shared" si="106"/>
        <v>0</v>
      </c>
      <c r="AL120" s="141">
        <f t="shared" si="107"/>
        <v>0</v>
      </c>
      <c r="AM120" s="141">
        <f t="shared" si="107"/>
        <v>0</v>
      </c>
      <c r="AN120" s="126"/>
      <c r="AO120" s="130">
        <f t="shared" si="70"/>
        <v>0</v>
      </c>
      <c r="AP120" s="116"/>
    </row>
    <row r="121" spans="1:42" s="117" customFormat="1" ht="14" hidden="1" outlineLevel="1">
      <c r="A121" s="146"/>
      <c r="B121" s="147" t="s">
        <v>563</v>
      </c>
      <c r="C121" s="126">
        <f t="shared" si="83"/>
        <v>0</v>
      </c>
      <c r="D121" s="126">
        <v>0</v>
      </c>
      <c r="E121" s="126">
        <v>0</v>
      </c>
      <c r="F121" s="141">
        <v>0</v>
      </c>
      <c r="G121" s="141">
        <v>0</v>
      </c>
      <c r="H121" s="126">
        <f t="shared" si="112"/>
        <v>472</v>
      </c>
      <c r="I121" s="126">
        <f t="shared" si="113"/>
        <v>0</v>
      </c>
      <c r="J121" s="126"/>
      <c r="K121" s="126"/>
      <c r="L121" s="126">
        <f t="shared" si="120"/>
        <v>472</v>
      </c>
      <c r="M121" s="141"/>
      <c r="N121" s="126">
        <v>472</v>
      </c>
      <c r="O121" s="141">
        <f t="shared" si="114"/>
        <v>465.96</v>
      </c>
      <c r="P121" s="141">
        <f t="shared" si="115"/>
        <v>0</v>
      </c>
      <c r="Q121" s="141"/>
      <c r="R121" s="141"/>
      <c r="S121" s="141">
        <f t="shared" si="116"/>
        <v>465.96</v>
      </c>
      <c r="T121" s="141"/>
      <c r="U121" s="141">
        <f>465.96</f>
        <v>465.96</v>
      </c>
      <c r="V121" s="141">
        <f t="shared" si="117"/>
        <v>0</v>
      </c>
      <c r="W121" s="141">
        <f t="shared" si="118"/>
        <v>0</v>
      </c>
      <c r="X121" s="141"/>
      <c r="Y121" s="141"/>
      <c r="Z121" s="141">
        <f t="shared" si="119"/>
        <v>0</v>
      </c>
      <c r="AA121" s="141"/>
      <c r="AB121" s="141"/>
      <c r="AC121" s="141"/>
      <c r="AD121" s="141"/>
      <c r="AE121" s="141"/>
      <c r="AF121" s="141"/>
      <c r="AG121" s="141"/>
      <c r="AH121" s="141"/>
      <c r="AI121" s="126">
        <f t="shared" si="86"/>
        <v>6.0400000000000205</v>
      </c>
      <c r="AJ121" s="126">
        <f t="shared" si="106"/>
        <v>0</v>
      </c>
      <c r="AK121" s="126">
        <f t="shared" si="106"/>
        <v>0</v>
      </c>
      <c r="AL121" s="141">
        <f t="shared" si="107"/>
        <v>0</v>
      </c>
      <c r="AM121" s="141">
        <f t="shared" si="107"/>
        <v>6.0400000000000205</v>
      </c>
      <c r="AN121" s="126"/>
      <c r="AO121" s="130">
        <f t="shared" si="70"/>
        <v>0</v>
      </c>
      <c r="AP121" s="116"/>
    </row>
    <row r="122" spans="1:42" s="117" customFormat="1" ht="14" hidden="1" outlineLevel="1">
      <c r="A122" s="146"/>
      <c r="B122" s="147" t="s">
        <v>564</v>
      </c>
      <c r="C122" s="126">
        <f t="shared" si="83"/>
        <v>50</v>
      </c>
      <c r="D122" s="126">
        <v>0</v>
      </c>
      <c r="E122" s="126">
        <v>0</v>
      </c>
      <c r="F122" s="141">
        <v>0</v>
      </c>
      <c r="G122" s="141">
        <v>50</v>
      </c>
      <c r="H122" s="126">
        <f t="shared" si="112"/>
        <v>436.21749999999997</v>
      </c>
      <c r="I122" s="126">
        <f t="shared" si="113"/>
        <v>0</v>
      </c>
      <c r="J122" s="126"/>
      <c r="K122" s="126"/>
      <c r="L122" s="126">
        <f t="shared" si="120"/>
        <v>436.21749999999997</v>
      </c>
      <c r="M122" s="141"/>
      <c r="N122" s="126">
        <f>437-0.7825</f>
        <v>436.21749999999997</v>
      </c>
      <c r="O122" s="141">
        <f t="shared" si="114"/>
        <v>436.21749999999997</v>
      </c>
      <c r="P122" s="141">
        <f t="shared" si="115"/>
        <v>0</v>
      </c>
      <c r="Q122" s="141"/>
      <c r="R122" s="141"/>
      <c r="S122" s="141">
        <f t="shared" si="116"/>
        <v>436.21749999999997</v>
      </c>
      <c r="T122" s="141"/>
      <c r="U122" s="141">
        <f>436.2175</f>
        <v>436.21749999999997</v>
      </c>
      <c r="V122" s="141">
        <f t="shared" si="117"/>
        <v>1.5</v>
      </c>
      <c r="W122" s="141">
        <f t="shared" si="118"/>
        <v>0</v>
      </c>
      <c r="X122" s="141"/>
      <c r="Y122" s="141"/>
      <c r="Z122" s="141">
        <f t="shared" si="119"/>
        <v>1.5</v>
      </c>
      <c r="AA122" s="141"/>
      <c r="AB122" s="141">
        <f>1.5</f>
        <v>1.5</v>
      </c>
      <c r="AC122" s="141"/>
      <c r="AD122" s="141"/>
      <c r="AE122" s="141"/>
      <c r="AF122" s="141"/>
      <c r="AG122" s="141"/>
      <c r="AH122" s="141"/>
      <c r="AI122" s="126">
        <f t="shared" si="86"/>
        <v>48.5</v>
      </c>
      <c r="AJ122" s="126">
        <f t="shared" si="106"/>
        <v>0</v>
      </c>
      <c r="AK122" s="126">
        <f t="shared" si="106"/>
        <v>0</v>
      </c>
      <c r="AL122" s="141">
        <f t="shared" si="107"/>
        <v>0</v>
      </c>
      <c r="AM122" s="141">
        <f t="shared" si="107"/>
        <v>48.5</v>
      </c>
      <c r="AN122" s="126"/>
      <c r="AO122" s="130">
        <f t="shared" si="70"/>
        <v>0</v>
      </c>
      <c r="AP122" s="116"/>
    </row>
    <row r="123" spans="1:42" s="117" customFormat="1" ht="14" hidden="1" outlineLevel="1">
      <c r="A123" s="146"/>
      <c r="B123" s="147" t="s">
        <v>566</v>
      </c>
      <c r="C123" s="126">
        <f t="shared" si="83"/>
        <v>0</v>
      </c>
      <c r="D123" s="126">
        <v>0</v>
      </c>
      <c r="E123" s="126">
        <v>0</v>
      </c>
      <c r="F123" s="141">
        <v>0</v>
      </c>
      <c r="G123" s="141">
        <v>0</v>
      </c>
      <c r="H123" s="126">
        <f t="shared" si="112"/>
        <v>62</v>
      </c>
      <c r="I123" s="126">
        <f t="shared" si="113"/>
        <v>0</v>
      </c>
      <c r="J123" s="126"/>
      <c r="K123" s="126"/>
      <c r="L123" s="126">
        <f t="shared" si="120"/>
        <v>62</v>
      </c>
      <c r="M123" s="141"/>
      <c r="N123" s="126">
        <v>62</v>
      </c>
      <c r="O123" s="141">
        <f t="shared" si="114"/>
        <v>59.56</v>
      </c>
      <c r="P123" s="141">
        <f t="shared" si="115"/>
        <v>0</v>
      </c>
      <c r="Q123" s="141"/>
      <c r="R123" s="141"/>
      <c r="S123" s="141">
        <f t="shared" si="116"/>
        <v>59.56</v>
      </c>
      <c r="T123" s="141"/>
      <c r="U123" s="141">
        <v>59.56</v>
      </c>
      <c r="V123" s="141">
        <f t="shared" si="117"/>
        <v>0</v>
      </c>
      <c r="W123" s="141">
        <f t="shared" si="118"/>
        <v>0</v>
      </c>
      <c r="X123" s="141"/>
      <c r="Y123" s="141"/>
      <c r="Z123" s="141">
        <f t="shared" si="119"/>
        <v>0</v>
      </c>
      <c r="AA123" s="141"/>
      <c r="AB123" s="141"/>
      <c r="AC123" s="141"/>
      <c r="AD123" s="141"/>
      <c r="AE123" s="141"/>
      <c r="AF123" s="141"/>
      <c r="AG123" s="141"/>
      <c r="AH123" s="141"/>
      <c r="AI123" s="126">
        <f t="shared" si="86"/>
        <v>2.4399999999999977</v>
      </c>
      <c r="AJ123" s="126">
        <f t="shared" si="106"/>
        <v>0</v>
      </c>
      <c r="AK123" s="126">
        <f t="shared" si="106"/>
        <v>0</v>
      </c>
      <c r="AL123" s="141">
        <f t="shared" si="107"/>
        <v>0</v>
      </c>
      <c r="AM123" s="141">
        <f t="shared" si="107"/>
        <v>2.4399999999999977</v>
      </c>
      <c r="AN123" s="126"/>
      <c r="AO123" s="130">
        <f t="shared" si="70"/>
        <v>0</v>
      </c>
      <c r="AP123" s="116"/>
    </row>
    <row r="124" spans="1:42" s="117" customFormat="1" ht="14" hidden="1" outlineLevel="1">
      <c r="A124" s="146"/>
      <c r="B124" s="147" t="s">
        <v>565</v>
      </c>
      <c r="C124" s="126">
        <f t="shared" si="83"/>
        <v>0</v>
      </c>
      <c r="D124" s="126">
        <v>0</v>
      </c>
      <c r="E124" s="126">
        <v>0</v>
      </c>
      <c r="F124" s="141">
        <v>0</v>
      </c>
      <c r="G124" s="141">
        <f>3-3</f>
        <v>0</v>
      </c>
      <c r="H124" s="126">
        <f t="shared" si="112"/>
        <v>503</v>
      </c>
      <c r="I124" s="126">
        <f t="shared" si="113"/>
        <v>0</v>
      </c>
      <c r="J124" s="126"/>
      <c r="K124" s="126"/>
      <c r="L124" s="126">
        <f t="shared" si="120"/>
        <v>503</v>
      </c>
      <c r="M124" s="141"/>
      <c r="N124" s="126">
        <f>503</f>
        <v>503</v>
      </c>
      <c r="O124" s="141">
        <f t="shared" si="114"/>
        <v>460.77800000000002</v>
      </c>
      <c r="P124" s="141">
        <f t="shared" si="115"/>
        <v>0</v>
      </c>
      <c r="Q124" s="141"/>
      <c r="R124" s="141"/>
      <c r="S124" s="141">
        <f t="shared" si="116"/>
        <v>460.77800000000002</v>
      </c>
      <c r="T124" s="141"/>
      <c r="U124" s="141">
        <v>460.77800000000002</v>
      </c>
      <c r="V124" s="141">
        <f t="shared" si="117"/>
        <v>0</v>
      </c>
      <c r="W124" s="141">
        <f t="shared" si="118"/>
        <v>0</v>
      </c>
      <c r="X124" s="141"/>
      <c r="Y124" s="141"/>
      <c r="Z124" s="141">
        <f t="shared" si="119"/>
        <v>0</v>
      </c>
      <c r="AA124" s="141"/>
      <c r="AB124" s="141"/>
      <c r="AC124" s="141"/>
      <c r="AD124" s="141"/>
      <c r="AE124" s="141"/>
      <c r="AF124" s="141"/>
      <c r="AG124" s="141"/>
      <c r="AH124" s="141"/>
      <c r="AI124" s="126">
        <f t="shared" si="86"/>
        <v>42.22199999999998</v>
      </c>
      <c r="AJ124" s="126">
        <f t="shared" si="106"/>
        <v>0</v>
      </c>
      <c r="AK124" s="126">
        <f t="shared" si="106"/>
        <v>0</v>
      </c>
      <c r="AL124" s="141">
        <f t="shared" si="107"/>
        <v>0</v>
      </c>
      <c r="AM124" s="141">
        <f t="shared" si="107"/>
        <v>42.22199999999998</v>
      </c>
      <c r="AN124" s="126"/>
      <c r="AO124" s="130">
        <f t="shared" si="70"/>
        <v>0</v>
      </c>
      <c r="AP124" s="116"/>
    </row>
    <row r="125" spans="1:42" s="117" customFormat="1" ht="14" hidden="1" outlineLevel="1">
      <c r="A125" s="146"/>
      <c r="B125" s="147" t="s">
        <v>561</v>
      </c>
      <c r="C125" s="126">
        <f t="shared" si="83"/>
        <v>0</v>
      </c>
      <c r="D125" s="126">
        <v>0</v>
      </c>
      <c r="E125" s="126">
        <v>0</v>
      </c>
      <c r="F125" s="141">
        <v>0</v>
      </c>
      <c r="G125" s="141">
        <v>0</v>
      </c>
      <c r="H125" s="126">
        <f t="shared" si="112"/>
        <v>58</v>
      </c>
      <c r="I125" s="126">
        <f t="shared" si="113"/>
        <v>0</v>
      </c>
      <c r="J125" s="126"/>
      <c r="K125" s="126"/>
      <c r="L125" s="126">
        <f t="shared" si="120"/>
        <v>58</v>
      </c>
      <c r="M125" s="141"/>
      <c r="N125" s="126">
        <v>58</v>
      </c>
      <c r="O125" s="141">
        <f t="shared" si="114"/>
        <v>58</v>
      </c>
      <c r="P125" s="141">
        <f t="shared" si="115"/>
        <v>0</v>
      </c>
      <c r="Q125" s="141"/>
      <c r="R125" s="141"/>
      <c r="S125" s="141">
        <f t="shared" si="116"/>
        <v>58</v>
      </c>
      <c r="T125" s="141"/>
      <c r="U125" s="141">
        <f>N125</f>
        <v>58</v>
      </c>
      <c r="V125" s="141">
        <f t="shared" si="117"/>
        <v>0</v>
      </c>
      <c r="W125" s="141">
        <f t="shared" si="118"/>
        <v>0</v>
      </c>
      <c r="X125" s="141"/>
      <c r="Y125" s="141"/>
      <c r="Z125" s="141">
        <f t="shared" si="119"/>
        <v>0</v>
      </c>
      <c r="AA125" s="141"/>
      <c r="AB125" s="141"/>
      <c r="AC125" s="141"/>
      <c r="AD125" s="141"/>
      <c r="AE125" s="141"/>
      <c r="AF125" s="141"/>
      <c r="AG125" s="141"/>
      <c r="AH125" s="141"/>
      <c r="AI125" s="126">
        <f t="shared" si="86"/>
        <v>0</v>
      </c>
      <c r="AJ125" s="126">
        <f t="shared" si="106"/>
        <v>0</v>
      </c>
      <c r="AK125" s="126">
        <f t="shared" si="106"/>
        <v>0</v>
      </c>
      <c r="AL125" s="141">
        <f t="shared" si="107"/>
        <v>0</v>
      </c>
      <c r="AM125" s="141">
        <f t="shared" si="107"/>
        <v>0</v>
      </c>
      <c r="AN125" s="126"/>
      <c r="AO125" s="130">
        <f t="shared" si="70"/>
        <v>0</v>
      </c>
      <c r="AP125" s="116"/>
    </row>
    <row r="126" spans="1:42" s="117" customFormat="1" ht="14" hidden="1" outlineLevel="1">
      <c r="A126" s="146"/>
      <c r="B126" s="147" t="s">
        <v>591</v>
      </c>
      <c r="C126" s="126">
        <f t="shared" si="83"/>
        <v>0</v>
      </c>
      <c r="D126" s="126">
        <v>0</v>
      </c>
      <c r="E126" s="126">
        <v>0</v>
      </c>
      <c r="F126" s="141">
        <v>0</v>
      </c>
      <c r="G126" s="141">
        <v>0</v>
      </c>
      <c r="H126" s="126">
        <f t="shared" si="112"/>
        <v>62</v>
      </c>
      <c r="I126" s="126">
        <f t="shared" si="113"/>
        <v>0</v>
      </c>
      <c r="J126" s="126"/>
      <c r="K126" s="126"/>
      <c r="L126" s="126">
        <f t="shared" si="120"/>
        <v>62</v>
      </c>
      <c r="M126" s="141"/>
      <c r="N126" s="126">
        <v>62</v>
      </c>
      <c r="O126" s="141">
        <f t="shared" si="114"/>
        <v>62</v>
      </c>
      <c r="P126" s="141">
        <f t="shared" si="115"/>
        <v>0</v>
      </c>
      <c r="Q126" s="141"/>
      <c r="R126" s="141"/>
      <c r="S126" s="141">
        <f t="shared" si="116"/>
        <v>62</v>
      </c>
      <c r="T126" s="141"/>
      <c r="U126" s="141">
        <f>N126</f>
        <v>62</v>
      </c>
      <c r="V126" s="141">
        <f t="shared" si="117"/>
        <v>0</v>
      </c>
      <c r="W126" s="141">
        <f t="shared" si="118"/>
        <v>0</v>
      </c>
      <c r="X126" s="141"/>
      <c r="Y126" s="141"/>
      <c r="Z126" s="141">
        <f t="shared" si="119"/>
        <v>0</v>
      </c>
      <c r="AA126" s="141"/>
      <c r="AB126" s="141"/>
      <c r="AC126" s="141"/>
      <c r="AD126" s="141"/>
      <c r="AE126" s="141"/>
      <c r="AF126" s="141"/>
      <c r="AG126" s="141"/>
      <c r="AH126" s="141"/>
      <c r="AI126" s="126">
        <f t="shared" si="86"/>
        <v>0</v>
      </c>
      <c r="AJ126" s="126">
        <f t="shared" si="106"/>
        <v>0</v>
      </c>
      <c r="AK126" s="126">
        <f t="shared" si="106"/>
        <v>0</v>
      </c>
      <c r="AL126" s="141">
        <f t="shared" si="107"/>
        <v>0</v>
      </c>
      <c r="AM126" s="141">
        <f t="shared" si="107"/>
        <v>0</v>
      </c>
      <c r="AN126" s="126"/>
      <c r="AO126" s="130">
        <f t="shared" si="70"/>
        <v>0</v>
      </c>
      <c r="AP126" s="116"/>
    </row>
    <row r="127" spans="1:42" s="117" customFormat="1" ht="14" hidden="1" outlineLevel="1">
      <c r="A127" s="146"/>
      <c r="B127" s="147" t="s">
        <v>562</v>
      </c>
      <c r="C127" s="126">
        <f t="shared" si="83"/>
        <v>0</v>
      </c>
      <c r="D127" s="126">
        <v>0</v>
      </c>
      <c r="E127" s="126">
        <v>0</v>
      </c>
      <c r="F127" s="141">
        <v>0</v>
      </c>
      <c r="G127" s="141">
        <v>0</v>
      </c>
      <c r="H127" s="126">
        <f t="shared" si="112"/>
        <v>220</v>
      </c>
      <c r="I127" s="126">
        <f t="shared" si="113"/>
        <v>0</v>
      </c>
      <c r="J127" s="126"/>
      <c r="K127" s="126"/>
      <c r="L127" s="126">
        <f t="shared" si="120"/>
        <v>220</v>
      </c>
      <c r="M127" s="141"/>
      <c r="N127" s="126">
        <v>220</v>
      </c>
      <c r="O127" s="141">
        <f t="shared" si="114"/>
        <v>208</v>
      </c>
      <c r="P127" s="141">
        <f t="shared" si="115"/>
        <v>0</v>
      </c>
      <c r="Q127" s="141"/>
      <c r="R127" s="141"/>
      <c r="S127" s="141">
        <f t="shared" si="116"/>
        <v>208</v>
      </c>
      <c r="T127" s="141"/>
      <c r="U127" s="141">
        <f>208</f>
        <v>208</v>
      </c>
      <c r="V127" s="141">
        <f t="shared" si="117"/>
        <v>0</v>
      </c>
      <c r="W127" s="141">
        <f t="shared" si="118"/>
        <v>0</v>
      </c>
      <c r="X127" s="141"/>
      <c r="Y127" s="141"/>
      <c r="Z127" s="141">
        <f t="shared" si="119"/>
        <v>0</v>
      </c>
      <c r="AA127" s="141"/>
      <c r="AB127" s="141"/>
      <c r="AC127" s="141"/>
      <c r="AD127" s="141"/>
      <c r="AE127" s="141"/>
      <c r="AF127" s="141"/>
      <c r="AG127" s="141"/>
      <c r="AH127" s="141"/>
      <c r="AI127" s="126">
        <f t="shared" si="86"/>
        <v>12</v>
      </c>
      <c r="AJ127" s="126">
        <f t="shared" si="106"/>
        <v>0</v>
      </c>
      <c r="AK127" s="126">
        <f t="shared" si="106"/>
        <v>0</v>
      </c>
      <c r="AL127" s="141">
        <f t="shared" si="107"/>
        <v>0</v>
      </c>
      <c r="AM127" s="141">
        <f t="shared" si="107"/>
        <v>12</v>
      </c>
      <c r="AN127" s="126"/>
      <c r="AO127" s="130">
        <f t="shared" si="70"/>
        <v>0</v>
      </c>
      <c r="AP127" s="116"/>
    </row>
    <row r="128" spans="1:42" s="117" customFormat="1" ht="14" hidden="1" outlineLevel="1">
      <c r="A128" s="146"/>
      <c r="B128" s="147" t="s">
        <v>337</v>
      </c>
      <c r="C128" s="126">
        <f t="shared" si="83"/>
        <v>0.88000000000000256</v>
      </c>
      <c r="D128" s="126">
        <v>0</v>
      </c>
      <c r="E128" s="126">
        <v>0</v>
      </c>
      <c r="F128" s="141">
        <v>0</v>
      </c>
      <c r="G128" s="141">
        <v>0.88000000000000256</v>
      </c>
      <c r="H128" s="126">
        <f t="shared" si="112"/>
        <v>58</v>
      </c>
      <c r="I128" s="126">
        <f t="shared" si="113"/>
        <v>0</v>
      </c>
      <c r="J128" s="126"/>
      <c r="K128" s="126"/>
      <c r="L128" s="126">
        <f t="shared" si="120"/>
        <v>58</v>
      </c>
      <c r="M128" s="141"/>
      <c r="N128" s="126">
        <v>58</v>
      </c>
      <c r="O128" s="141">
        <f t="shared" si="114"/>
        <v>57.12</v>
      </c>
      <c r="P128" s="141">
        <f t="shared" si="115"/>
        <v>0</v>
      </c>
      <c r="Q128" s="141"/>
      <c r="R128" s="141"/>
      <c r="S128" s="141">
        <f t="shared" si="116"/>
        <v>57.12</v>
      </c>
      <c r="T128" s="141"/>
      <c r="U128" s="141">
        <f>57.12</f>
        <v>57.12</v>
      </c>
      <c r="V128" s="141">
        <f t="shared" si="117"/>
        <v>0</v>
      </c>
      <c r="W128" s="141">
        <f t="shared" si="118"/>
        <v>0</v>
      </c>
      <c r="X128" s="141"/>
      <c r="Y128" s="141"/>
      <c r="Z128" s="141">
        <f t="shared" si="119"/>
        <v>0</v>
      </c>
      <c r="AA128" s="141"/>
      <c r="AB128" s="141"/>
      <c r="AC128" s="141"/>
      <c r="AD128" s="141"/>
      <c r="AE128" s="141"/>
      <c r="AF128" s="141"/>
      <c r="AG128" s="141"/>
      <c r="AH128" s="141"/>
      <c r="AI128" s="126">
        <f t="shared" si="86"/>
        <v>1.7600000000000051</v>
      </c>
      <c r="AJ128" s="126">
        <f t="shared" si="106"/>
        <v>0</v>
      </c>
      <c r="AK128" s="126">
        <f t="shared" si="106"/>
        <v>0</v>
      </c>
      <c r="AL128" s="141">
        <f t="shared" si="107"/>
        <v>0</v>
      </c>
      <c r="AM128" s="141">
        <f t="shared" si="107"/>
        <v>1.7600000000000051</v>
      </c>
      <c r="AN128" s="126"/>
      <c r="AO128" s="130">
        <f t="shared" si="70"/>
        <v>0</v>
      </c>
      <c r="AP128" s="116"/>
    </row>
    <row r="129" spans="1:42" s="148" customFormat="1" ht="14" hidden="1" outlineLevel="1">
      <c r="A129" s="146"/>
      <c r="B129" s="140" t="s">
        <v>594</v>
      </c>
      <c r="C129" s="126">
        <f t="shared" si="83"/>
        <v>3</v>
      </c>
      <c r="D129" s="126">
        <v>0</v>
      </c>
      <c r="E129" s="126">
        <f>3</f>
        <v>3</v>
      </c>
      <c r="F129" s="141">
        <v>0</v>
      </c>
      <c r="G129" s="141">
        <f>3-3</f>
        <v>0</v>
      </c>
      <c r="H129" s="126">
        <f t="shared" si="112"/>
        <v>149.50542300000001</v>
      </c>
      <c r="I129" s="126">
        <f t="shared" si="113"/>
        <v>149.50542300000001</v>
      </c>
      <c r="J129" s="126"/>
      <c r="K129" s="126">
        <f>0.7825+148.722923</f>
        <v>149.50542300000001</v>
      </c>
      <c r="L129" s="126">
        <f t="shared" si="120"/>
        <v>0</v>
      </c>
      <c r="M129" s="141"/>
      <c r="N129" s="126">
        <f>0.7825-(0.7825)</f>
        <v>0</v>
      </c>
      <c r="O129" s="141"/>
      <c r="P129" s="141"/>
      <c r="Q129" s="141"/>
      <c r="R129" s="141"/>
      <c r="S129" s="141"/>
      <c r="T129" s="141"/>
      <c r="U129" s="141"/>
      <c r="V129" s="141">
        <f>W129+Z129</f>
        <v>0</v>
      </c>
      <c r="W129" s="141">
        <f>X129+Y129</f>
        <v>0</v>
      </c>
      <c r="X129" s="141"/>
      <c r="Y129" s="141"/>
      <c r="Z129" s="141"/>
      <c r="AA129" s="141"/>
      <c r="AB129" s="141"/>
      <c r="AC129" s="141"/>
      <c r="AD129" s="141"/>
      <c r="AE129" s="141"/>
      <c r="AF129" s="141"/>
      <c r="AG129" s="141"/>
      <c r="AH129" s="141"/>
      <c r="AI129" s="126">
        <f t="shared" si="86"/>
        <v>152.50542300000001</v>
      </c>
      <c r="AJ129" s="126">
        <f>D129+J129-Q129-X129-AD129</f>
        <v>0</v>
      </c>
      <c r="AK129" s="126">
        <f>E129+K129-R129-Y129-AE129</f>
        <v>152.50542300000001</v>
      </c>
      <c r="AL129" s="141">
        <f>F129+M129-T129-AA129-AG129</f>
        <v>0</v>
      </c>
      <c r="AM129" s="141">
        <f>G129+N129-U129-AB129-AH129</f>
        <v>0</v>
      </c>
      <c r="AN129" s="126"/>
      <c r="AO129" s="130">
        <f t="shared" si="70"/>
        <v>0</v>
      </c>
      <c r="AP129" s="116"/>
    </row>
    <row r="130" spans="1:42" s="117" customFormat="1" ht="28" collapsed="1">
      <c r="A130" s="149" t="s">
        <v>322</v>
      </c>
      <c r="B130" s="150" t="s">
        <v>595</v>
      </c>
      <c r="C130" s="145">
        <f>SUM(C131:C142)</f>
        <v>57.173999999999992</v>
      </c>
      <c r="D130" s="145">
        <f>SUM(D131:D142)</f>
        <v>0</v>
      </c>
      <c r="E130" s="145">
        <f>SUM(E131:E142)</f>
        <v>22.116</v>
      </c>
      <c r="F130" s="145">
        <f>SUM(F131:F142)</f>
        <v>0</v>
      </c>
      <c r="G130" s="145">
        <f>SUM(G131:G142)</f>
        <v>35.057999999999993</v>
      </c>
      <c r="H130" s="145">
        <f t="shared" ref="H130:AM130" si="121">SUM(H131:H142)</f>
        <v>823</v>
      </c>
      <c r="I130" s="145">
        <f t="shared" si="121"/>
        <v>247</v>
      </c>
      <c r="J130" s="145">
        <f t="shared" si="121"/>
        <v>0</v>
      </c>
      <c r="K130" s="145">
        <f t="shared" si="121"/>
        <v>247</v>
      </c>
      <c r="L130" s="145">
        <f t="shared" si="121"/>
        <v>576</v>
      </c>
      <c r="M130" s="145">
        <f t="shared" si="121"/>
        <v>0</v>
      </c>
      <c r="N130" s="145">
        <f t="shared" si="121"/>
        <v>576</v>
      </c>
      <c r="O130" s="145">
        <f t="shared" si="121"/>
        <v>714.04</v>
      </c>
      <c r="P130" s="145">
        <f t="shared" si="121"/>
        <v>226</v>
      </c>
      <c r="Q130" s="145">
        <f t="shared" si="121"/>
        <v>0</v>
      </c>
      <c r="R130" s="145">
        <f t="shared" si="121"/>
        <v>226</v>
      </c>
      <c r="S130" s="145">
        <f t="shared" si="121"/>
        <v>488.04</v>
      </c>
      <c r="T130" s="145">
        <f t="shared" si="121"/>
        <v>0</v>
      </c>
      <c r="U130" s="145">
        <f t="shared" si="121"/>
        <v>488.04</v>
      </c>
      <c r="V130" s="145">
        <f t="shared" si="121"/>
        <v>35.009999999999991</v>
      </c>
      <c r="W130" s="145">
        <f t="shared" si="121"/>
        <v>0</v>
      </c>
      <c r="X130" s="145">
        <f t="shared" si="121"/>
        <v>0</v>
      </c>
      <c r="Y130" s="145">
        <f t="shared" si="121"/>
        <v>0</v>
      </c>
      <c r="Z130" s="145">
        <f t="shared" si="121"/>
        <v>35.009999999999991</v>
      </c>
      <c r="AA130" s="145">
        <f t="shared" si="121"/>
        <v>0</v>
      </c>
      <c r="AB130" s="145">
        <f t="shared" si="121"/>
        <v>35.009999999999991</v>
      </c>
      <c r="AC130" s="145">
        <f t="shared" si="121"/>
        <v>0</v>
      </c>
      <c r="AD130" s="145">
        <f t="shared" si="121"/>
        <v>0</v>
      </c>
      <c r="AE130" s="145">
        <f t="shared" si="121"/>
        <v>0</v>
      </c>
      <c r="AF130" s="145">
        <f t="shared" si="121"/>
        <v>0</v>
      </c>
      <c r="AG130" s="145">
        <f t="shared" si="121"/>
        <v>0</v>
      </c>
      <c r="AH130" s="145">
        <f t="shared" si="121"/>
        <v>0</v>
      </c>
      <c r="AI130" s="145">
        <f t="shared" si="86"/>
        <v>131.12400000000002</v>
      </c>
      <c r="AJ130" s="145">
        <f t="shared" si="121"/>
        <v>0</v>
      </c>
      <c r="AK130" s="145">
        <f t="shared" si="121"/>
        <v>43.116</v>
      </c>
      <c r="AL130" s="145">
        <f t="shared" si="121"/>
        <v>0</v>
      </c>
      <c r="AM130" s="145">
        <f t="shared" si="121"/>
        <v>88.00800000000001</v>
      </c>
      <c r="AN130" s="126"/>
      <c r="AO130" s="130">
        <f t="shared" si="70"/>
        <v>0</v>
      </c>
      <c r="AP130" s="116"/>
    </row>
    <row r="131" spans="1:42" s="117" customFormat="1" ht="18.75" hidden="1" customHeight="1" outlineLevel="1">
      <c r="A131" s="146"/>
      <c r="B131" s="147" t="s">
        <v>573</v>
      </c>
      <c r="C131" s="126">
        <f t="shared" si="83"/>
        <v>0</v>
      </c>
      <c r="D131" s="126">
        <v>0</v>
      </c>
      <c r="E131" s="126">
        <v>0</v>
      </c>
      <c r="F131" s="141">
        <v>0</v>
      </c>
      <c r="G131" s="141">
        <v>0</v>
      </c>
      <c r="H131" s="126">
        <f>I131+L131</f>
        <v>226</v>
      </c>
      <c r="I131" s="126">
        <f t="shared" ref="I131:I141" si="122">J131+K131</f>
        <v>226</v>
      </c>
      <c r="J131" s="126"/>
      <c r="K131" s="126">
        <f>247-21</f>
        <v>226</v>
      </c>
      <c r="L131" s="126"/>
      <c r="M131" s="141"/>
      <c r="N131" s="141"/>
      <c r="O131" s="141">
        <f t="shared" ref="O131:O141" si="123">P131+S131</f>
        <v>226</v>
      </c>
      <c r="P131" s="141">
        <f t="shared" ref="P131:P141" si="124">Q131+R131</f>
        <v>226</v>
      </c>
      <c r="Q131" s="141"/>
      <c r="R131" s="141">
        <v>226</v>
      </c>
      <c r="S131" s="141">
        <f t="shared" ref="S131:S141" si="125">T131+U131</f>
        <v>0</v>
      </c>
      <c r="T131" s="141"/>
      <c r="U131" s="141"/>
      <c r="V131" s="141">
        <f t="shared" ref="V131:V141" si="126">W131+Z131</f>
        <v>0</v>
      </c>
      <c r="W131" s="141">
        <f t="shared" ref="W131:W141" si="127">X131+Y131</f>
        <v>0</v>
      </c>
      <c r="X131" s="141"/>
      <c r="Y131" s="141"/>
      <c r="Z131" s="141">
        <f t="shared" ref="Z131:Z141" si="128">AA131+AB131</f>
        <v>0</v>
      </c>
      <c r="AA131" s="141"/>
      <c r="AB131" s="141"/>
      <c r="AC131" s="141"/>
      <c r="AD131" s="141"/>
      <c r="AE131" s="141"/>
      <c r="AF131" s="141"/>
      <c r="AG131" s="141"/>
      <c r="AH131" s="141"/>
      <c r="AI131" s="126">
        <f t="shared" si="86"/>
        <v>0</v>
      </c>
      <c r="AJ131" s="126">
        <f t="shared" ref="AJ131:AK142" si="129">D131+J131-Q131-X131-AD131</f>
        <v>0</v>
      </c>
      <c r="AK131" s="126">
        <f t="shared" si="129"/>
        <v>0</v>
      </c>
      <c r="AL131" s="141">
        <f t="shared" ref="AL131:AM142" si="130">F131+M131-T131-AA131-AG131</f>
        <v>0</v>
      </c>
      <c r="AM131" s="141">
        <f t="shared" si="130"/>
        <v>0</v>
      </c>
      <c r="AN131" s="126"/>
      <c r="AO131" s="130">
        <f t="shared" si="70"/>
        <v>0</v>
      </c>
      <c r="AP131" s="116"/>
    </row>
    <row r="132" spans="1:42" s="117" customFormat="1" ht="14" hidden="1" outlineLevel="1">
      <c r="A132" s="146"/>
      <c r="B132" s="147" t="s">
        <v>568</v>
      </c>
      <c r="C132" s="126">
        <f t="shared" si="83"/>
        <v>3</v>
      </c>
      <c r="D132" s="126">
        <v>0</v>
      </c>
      <c r="E132" s="126">
        <v>0</v>
      </c>
      <c r="F132" s="141">
        <v>0</v>
      </c>
      <c r="G132" s="141">
        <v>3</v>
      </c>
      <c r="H132" s="126">
        <f t="shared" ref="H132:H141" si="131">I132+L132</f>
        <v>63</v>
      </c>
      <c r="I132" s="126">
        <f t="shared" si="122"/>
        <v>0</v>
      </c>
      <c r="J132" s="126"/>
      <c r="K132" s="126"/>
      <c r="L132" s="126">
        <f t="shared" ref="L132:L142" si="132">M132+N132</f>
        <v>63</v>
      </c>
      <c r="M132" s="141"/>
      <c r="N132" s="141">
        <v>63</v>
      </c>
      <c r="O132" s="141">
        <f t="shared" si="123"/>
        <v>63</v>
      </c>
      <c r="P132" s="141">
        <f t="shared" si="124"/>
        <v>0</v>
      </c>
      <c r="Q132" s="141"/>
      <c r="R132" s="141"/>
      <c r="S132" s="141">
        <f t="shared" si="125"/>
        <v>63</v>
      </c>
      <c r="T132" s="141"/>
      <c r="U132" s="141">
        <f>N132</f>
        <v>63</v>
      </c>
      <c r="V132" s="141">
        <f t="shared" si="126"/>
        <v>3</v>
      </c>
      <c r="W132" s="141">
        <f t="shared" si="127"/>
        <v>0</v>
      </c>
      <c r="X132" s="141"/>
      <c r="Y132" s="141"/>
      <c r="Z132" s="141">
        <f t="shared" si="128"/>
        <v>3</v>
      </c>
      <c r="AA132" s="141"/>
      <c r="AB132" s="141">
        <f>G132</f>
        <v>3</v>
      </c>
      <c r="AC132" s="141"/>
      <c r="AD132" s="141"/>
      <c r="AE132" s="141"/>
      <c r="AF132" s="141"/>
      <c r="AG132" s="141"/>
      <c r="AH132" s="141"/>
      <c r="AI132" s="126">
        <f t="shared" si="86"/>
        <v>0</v>
      </c>
      <c r="AJ132" s="126">
        <f t="shared" si="129"/>
        <v>0</v>
      </c>
      <c r="AK132" s="126">
        <f t="shared" si="129"/>
        <v>0</v>
      </c>
      <c r="AL132" s="141">
        <f t="shared" si="130"/>
        <v>0</v>
      </c>
      <c r="AM132" s="141">
        <f t="shared" si="130"/>
        <v>0</v>
      </c>
      <c r="AN132" s="126"/>
      <c r="AO132" s="130">
        <f t="shared" si="70"/>
        <v>0</v>
      </c>
      <c r="AP132" s="116"/>
    </row>
    <row r="133" spans="1:42" s="117" customFormat="1" ht="14" hidden="1" outlineLevel="1">
      <c r="A133" s="146"/>
      <c r="B133" s="147" t="s">
        <v>567</v>
      </c>
      <c r="C133" s="126">
        <f t="shared" si="83"/>
        <v>3</v>
      </c>
      <c r="D133" s="126">
        <v>0</v>
      </c>
      <c r="E133" s="126">
        <v>0</v>
      </c>
      <c r="F133" s="141">
        <v>0</v>
      </c>
      <c r="G133" s="141">
        <v>3</v>
      </c>
      <c r="H133" s="126">
        <f t="shared" si="131"/>
        <v>57</v>
      </c>
      <c r="I133" s="126">
        <f t="shared" si="122"/>
        <v>0</v>
      </c>
      <c r="J133" s="126"/>
      <c r="K133" s="126"/>
      <c r="L133" s="126">
        <f t="shared" si="132"/>
        <v>57</v>
      </c>
      <c r="M133" s="141"/>
      <c r="N133" s="141">
        <v>57</v>
      </c>
      <c r="O133" s="141">
        <f t="shared" si="123"/>
        <v>57</v>
      </c>
      <c r="P133" s="141">
        <f t="shared" si="124"/>
        <v>0</v>
      </c>
      <c r="Q133" s="141"/>
      <c r="R133" s="141"/>
      <c r="S133" s="141">
        <f t="shared" si="125"/>
        <v>57</v>
      </c>
      <c r="T133" s="141"/>
      <c r="U133" s="141">
        <f>N133</f>
        <v>57</v>
      </c>
      <c r="V133" s="141">
        <f t="shared" si="126"/>
        <v>3</v>
      </c>
      <c r="W133" s="141">
        <f t="shared" si="127"/>
        <v>0</v>
      </c>
      <c r="X133" s="141"/>
      <c r="Y133" s="141"/>
      <c r="Z133" s="141">
        <f t="shared" si="128"/>
        <v>3</v>
      </c>
      <c r="AA133" s="141"/>
      <c r="AB133" s="141">
        <f>G133</f>
        <v>3</v>
      </c>
      <c r="AC133" s="141"/>
      <c r="AD133" s="141"/>
      <c r="AE133" s="141"/>
      <c r="AF133" s="141"/>
      <c r="AG133" s="141"/>
      <c r="AH133" s="141"/>
      <c r="AI133" s="126">
        <f t="shared" si="86"/>
        <v>0</v>
      </c>
      <c r="AJ133" s="126">
        <f t="shared" si="129"/>
        <v>0</v>
      </c>
      <c r="AK133" s="126">
        <f t="shared" si="129"/>
        <v>0</v>
      </c>
      <c r="AL133" s="141">
        <f t="shared" si="130"/>
        <v>0</v>
      </c>
      <c r="AM133" s="141">
        <f t="shared" si="130"/>
        <v>0</v>
      </c>
      <c r="AN133" s="126"/>
      <c r="AO133" s="130">
        <f t="shared" si="70"/>
        <v>0</v>
      </c>
      <c r="AP133" s="116"/>
    </row>
    <row r="134" spans="1:42" s="117" customFormat="1" ht="14" hidden="1" outlineLevel="1">
      <c r="A134" s="146"/>
      <c r="B134" s="147" t="s">
        <v>563</v>
      </c>
      <c r="C134" s="126">
        <f t="shared" si="83"/>
        <v>0</v>
      </c>
      <c r="D134" s="126">
        <v>0</v>
      </c>
      <c r="E134" s="126">
        <v>0</v>
      </c>
      <c r="F134" s="141">
        <v>0</v>
      </c>
      <c r="G134" s="141">
        <f>0.0599999999999987-0.0599999999999987</f>
        <v>0</v>
      </c>
      <c r="H134" s="126">
        <f t="shared" si="131"/>
        <v>60</v>
      </c>
      <c r="I134" s="126">
        <f t="shared" si="122"/>
        <v>0</v>
      </c>
      <c r="J134" s="126"/>
      <c r="K134" s="126"/>
      <c r="L134" s="126">
        <f t="shared" si="132"/>
        <v>60</v>
      </c>
      <c r="M134" s="141"/>
      <c r="N134" s="141">
        <v>60</v>
      </c>
      <c r="O134" s="141">
        <f t="shared" si="123"/>
        <v>60</v>
      </c>
      <c r="P134" s="141">
        <f t="shared" si="124"/>
        <v>0</v>
      </c>
      <c r="Q134" s="141"/>
      <c r="R134" s="141"/>
      <c r="S134" s="141">
        <f t="shared" si="125"/>
        <v>60</v>
      </c>
      <c r="T134" s="141"/>
      <c r="U134" s="141">
        <f>N134</f>
        <v>60</v>
      </c>
      <c r="V134" s="141">
        <f t="shared" si="126"/>
        <v>0</v>
      </c>
      <c r="W134" s="141">
        <f t="shared" si="127"/>
        <v>0</v>
      </c>
      <c r="X134" s="141"/>
      <c r="Y134" s="141"/>
      <c r="Z134" s="141">
        <f t="shared" si="128"/>
        <v>0</v>
      </c>
      <c r="AA134" s="141"/>
      <c r="AB134" s="141"/>
      <c r="AC134" s="141"/>
      <c r="AD134" s="141"/>
      <c r="AE134" s="141"/>
      <c r="AF134" s="141"/>
      <c r="AG134" s="141"/>
      <c r="AH134" s="141"/>
      <c r="AI134" s="126">
        <f t="shared" si="86"/>
        <v>0</v>
      </c>
      <c r="AJ134" s="126">
        <f t="shared" si="129"/>
        <v>0</v>
      </c>
      <c r="AK134" s="126">
        <f t="shared" si="129"/>
        <v>0</v>
      </c>
      <c r="AL134" s="141">
        <f t="shared" si="130"/>
        <v>0</v>
      </c>
      <c r="AM134" s="141">
        <f t="shared" si="130"/>
        <v>0</v>
      </c>
      <c r="AN134" s="126"/>
      <c r="AO134" s="130">
        <f t="shared" si="70"/>
        <v>0</v>
      </c>
      <c r="AP134" s="116"/>
    </row>
    <row r="135" spans="1:42" s="117" customFormat="1" ht="14" hidden="1" outlineLevel="1">
      <c r="A135" s="146"/>
      <c r="B135" s="147" t="s">
        <v>564</v>
      </c>
      <c r="C135" s="126">
        <f t="shared" si="83"/>
        <v>4</v>
      </c>
      <c r="D135" s="126">
        <v>0</v>
      </c>
      <c r="E135" s="126">
        <v>0</v>
      </c>
      <c r="F135" s="141">
        <v>0</v>
      </c>
      <c r="G135" s="141">
        <v>4</v>
      </c>
      <c r="H135" s="126">
        <f t="shared" si="131"/>
        <v>60</v>
      </c>
      <c r="I135" s="126">
        <f t="shared" si="122"/>
        <v>0</v>
      </c>
      <c r="J135" s="126"/>
      <c r="K135" s="126"/>
      <c r="L135" s="126">
        <f t="shared" si="132"/>
        <v>60</v>
      </c>
      <c r="M135" s="141"/>
      <c r="N135" s="141">
        <v>60</v>
      </c>
      <c r="O135" s="141">
        <f t="shared" si="123"/>
        <v>60</v>
      </c>
      <c r="P135" s="141">
        <f t="shared" si="124"/>
        <v>0</v>
      </c>
      <c r="Q135" s="141"/>
      <c r="R135" s="141"/>
      <c r="S135" s="141">
        <f t="shared" si="125"/>
        <v>60</v>
      </c>
      <c r="T135" s="141"/>
      <c r="U135" s="141">
        <f>N135</f>
        <v>60</v>
      </c>
      <c r="V135" s="141">
        <f t="shared" si="126"/>
        <v>4</v>
      </c>
      <c r="W135" s="141">
        <f t="shared" si="127"/>
        <v>0</v>
      </c>
      <c r="X135" s="141"/>
      <c r="Y135" s="141"/>
      <c r="Z135" s="141">
        <f t="shared" si="128"/>
        <v>4</v>
      </c>
      <c r="AA135" s="141"/>
      <c r="AB135" s="141">
        <f>G135</f>
        <v>4</v>
      </c>
      <c r="AC135" s="141"/>
      <c r="AD135" s="141"/>
      <c r="AE135" s="141"/>
      <c r="AF135" s="141"/>
      <c r="AG135" s="141"/>
      <c r="AH135" s="141"/>
      <c r="AI135" s="126">
        <f t="shared" si="86"/>
        <v>0</v>
      </c>
      <c r="AJ135" s="126">
        <f t="shared" si="129"/>
        <v>0</v>
      </c>
      <c r="AK135" s="126">
        <f t="shared" si="129"/>
        <v>0</v>
      </c>
      <c r="AL135" s="141">
        <f t="shared" si="130"/>
        <v>0</v>
      </c>
      <c r="AM135" s="141">
        <f t="shared" si="130"/>
        <v>0</v>
      </c>
      <c r="AN135" s="126"/>
      <c r="AO135" s="130">
        <f t="shared" si="70"/>
        <v>0</v>
      </c>
      <c r="AP135" s="116"/>
    </row>
    <row r="136" spans="1:42" s="117" customFormat="1" ht="14" hidden="1" outlineLevel="1">
      <c r="A136" s="146"/>
      <c r="B136" s="147" t="s">
        <v>566</v>
      </c>
      <c r="C136" s="126">
        <f t="shared" si="83"/>
        <v>1.4399999999999977</v>
      </c>
      <c r="D136" s="126">
        <v>0</v>
      </c>
      <c r="E136" s="126">
        <v>0</v>
      </c>
      <c r="F136" s="141">
        <v>0</v>
      </c>
      <c r="G136" s="141">
        <v>1.4399999999999977</v>
      </c>
      <c r="H136" s="126">
        <f t="shared" si="131"/>
        <v>57</v>
      </c>
      <c r="I136" s="126">
        <f t="shared" si="122"/>
        <v>0</v>
      </c>
      <c r="J136" s="126"/>
      <c r="K136" s="126"/>
      <c r="L136" s="126">
        <f t="shared" si="132"/>
        <v>57</v>
      </c>
      <c r="M136" s="141"/>
      <c r="N136" s="141">
        <v>57</v>
      </c>
      <c r="O136" s="141">
        <f t="shared" si="123"/>
        <v>39.423000000000002</v>
      </c>
      <c r="P136" s="141">
        <f t="shared" si="124"/>
        <v>0</v>
      </c>
      <c r="Q136" s="141"/>
      <c r="R136" s="141"/>
      <c r="S136" s="141">
        <f t="shared" si="125"/>
        <v>39.423000000000002</v>
      </c>
      <c r="T136" s="141"/>
      <c r="U136" s="141">
        <v>39.423000000000002</v>
      </c>
      <c r="V136" s="141">
        <f t="shared" si="126"/>
        <v>1.4399999999999977</v>
      </c>
      <c r="W136" s="141">
        <f t="shared" si="127"/>
        <v>0</v>
      </c>
      <c r="X136" s="141"/>
      <c r="Y136" s="141"/>
      <c r="Z136" s="141">
        <f t="shared" si="128"/>
        <v>1.4399999999999977</v>
      </c>
      <c r="AA136" s="141"/>
      <c r="AB136" s="141">
        <v>1.4399999999999977</v>
      </c>
      <c r="AC136" s="141"/>
      <c r="AD136" s="141"/>
      <c r="AE136" s="141"/>
      <c r="AF136" s="141"/>
      <c r="AG136" s="141"/>
      <c r="AH136" s="141"/>
      <c r="AI136" s="126">
        <f t="shared" si="86"/>
        <v>17.576999999999998</v>
      </c>
      <c r="AJ136" s="126">
        <f t="shared" si="129"/>
        <v>0</v>
      </c>
      <c r="AK136" s="126">
        <f t="shared" si="129"/>
        <v>0</v>
      </c>
      <c r="AL136" s="141">
        <f t="shared" si="130"/>
        <v>0</v>
      </c>
      <c r="AM136" s="141">
        <f t="shared" si="130"/>
        <v>17.576999999999998</v>
      </c>
      <c r="AN136" s="126"/>
      <c r="AO136" s="130">
        <f t="shared" si="70"/>
        <v>0</v>
      </c>
      <c r="AP136" s="116"/>
    </row>
    <row r="137" spans="1:42" s="117" customFormat="1" ht="14" hidden="1" outlineLevel="1">
      <c r="A137" s="146"/>
      <c r="B137" s="147" t="s">
        <v>565</v>
      </c>
      <c r="C137" s="126">
        <f t="shared" si="83"/>
        <v>0</v>
      </c>
      <c r="D137" s="126">
        <v>0</v>
      </c>
      <c r="E137" s="126">
        <v>0</v>
      </c>
      <c r="F137" s="141">
        <v>0</v>
      </c>
      <c r="G137" s="141">
        <f>22.056-22.056</f>
        <v>0</v>
      </c>
      <c r="H137" s="126">
        <f t="shared" si="131"/>
        <v>57</v>
      </c>
      <c r="I137" s="126">
        <f t="shared" si="122"/>
        <v>0</v>
      </c>
      <c r="J137" s="126"/>
      <c r="K137" s="126"/>
      <c r="L137" s="126">
        <f t="shared" si="132"/>
        <v>57</v>
      </c>
      <c r="M137" s="141"/>
      <c r="N137" s="141">
        <f>57</f>
        <v>57</v>
      </c>
      <c r="O137" s="141">
        <f t="shared" si="123"/>
        <v>5</v>
      </c>
      <c r="P137" s="141">
        <f t="shared" si="124"/>
        <v>0</v>
      </c>
      <c r="Q137" s="141"/>
      <c r="R137" s="141"/>
      <c r="S137" s="141">
        <f t="shared" si="125"/>
        <v>5</v>
      </c>
      <c r="T137" s="141"/>
      <c r="U137" s="141">
        <f>5</f>
        <v>5</v>
      </c>
      <c r="V137" s="141">
        <f t="shared" si="126"/>
        <v>0</v>
      </c>
      <c r="W137" s="141">
        <f t="shared" si="127"/>
        <v>0</v>
      </c>
      <c r="X137" s="141"/>
      <c r="Y137" s="141"/>
      <c r="Z137" s="141">
        <f t="shared" si="128"/>
        <v>0</v>
      </c>
      <c r="AA137" s="141"/>
      <c r="AB137" s="141"/>
      <c r="AC137" s="141"/>
      <c r="AD137" s="141"/>
      <c r="AE137" s="141"/>
      <c r="AF137" s="141"/>
      <c r="AG137" s="141"/>
      <c r="AH137" s="141"/>
      <c r="AI137" s="126">
        <f t="shared" si="86"/>
        <v>52</v>
      </c>
      <c r="AJ137" s="126">
        <f t="shared" si="129"/>
        <v>0</v>
      </c>
      <c r="AK137" s="126">
        <f t="shared" si="129"/>
        <v>0</v>
      </c>
      <c r="AL137" s="141">
        <f t="shared" si="130"/>
        <v>0</v>
      </c>
      <c r="AM137" s="141">
        <f t="shared" si="130"/>
        <v>52</v>
      </c>
      <c r="AN137" s="126"/>
      <c r="AO137" s="130">
        <f t="shared" si="70"/>
        <v>0</v>
      </c>
      <c r="AP137" s="116"/>
    </row>
    <row r="138" spans="1:42" s="117" customFormat="1" ht="14" hidden="1" outlineLevel="1">
      <c r="A138" s="146"/>
      <c r="B138" s="147" t="s">
        <v>561</v>
      </c>
      <c r="C138" s="126">
        <f t="shared" si="83"/>
        <v>0</v>
      </c>
      <c r="D138" s="126">
        <v>0</v>
      </c>
      <c r="E138" s="126">
        <v>0</v>
      </c>
      <c r="F138" s="141">
        <v>0</v>
      </c>
      <c r="G138" s="141">
        <v>0</v>
      </c>
      <c r="H138" s="126">
        <f t="shared" si="131"/>
        <v>55</v>
      </c>
      <c r="I138" s="126">
        <f t="shared" si="122"/>
        <v>0</v>
      </c>
      <c r="J138" s="126"/>
      <c r="K138" s="126"/>
      <c r="L138" s="126">
        <f t="shared" si="132"/>
        <v>55</v>
      </c>
      <c r="M138" s="141"/>
      <c r="N138" s="141">
        <v>55</v>
      </c>
      <c r="O138" s="141">
        <f t="shared" si="123"/>
        <v>52.116999999999997</v>
      </c>
      <c r="P138" s="141">
        <f t="shared" si="124"/>
        <v>0</v>
      </c>
      <c r="Q138" s="141"/>
      <c r="R138" s="141"/>
      <c r="S138" s="141">
        <f t="shared" si="125"/>
        <v>52.116999999999997</v>
      </c>
      <c r="T138" s="141"/>
      <c r="U138" s="141">
        <f>52.117</f>
        <v>52.116999999999997</v>
      </c>
      <c r="V138" s="141">
        <f t="shared" si="126"/>
        <v>0</v>
      </c>
      <c r="W138" s="141">
        <f t="shared" si="127"/>
        <v>0</v>
      </c>
      <c r="X138" s="141"/>
      <c r="Y138" s="141"/>
      <c r="Z138" s="141">
        <f t="shared" si="128"/>
        <v>0</v>
      </c>
      <c r="AA138" s="141"/>
      <c r="AB138" s="141"/>
      <c r="AC138" s="141"/>
      <c r="AD138" s="141"/>
      <c r="AE138" s="141"/>
      <c r="AF138" s="141"/>
      <c r="AG138" s="141"/>
      <c r="AH138" s="141"/>
      <c r="AI138" s="126">
        <f t="shared" si="86"/>
        <v>2.8830000000000027</v>
      </c>
      <c r="AJ138" s="126">
        <f t="shared" si="129"/>
        <v>0</v>
      </c>
      <c r="AK138" s="126">
        <f t="shared" si="129"/>
        <v>0</v>
      </c>
      <c r="AL138" s="141">
        <f t="shared" si="130"/>
        <v>0</v>
      </c>
      <c r="AM138" s="141">
        <f t="shared" si="130"/>
        <v>2.8830000000000027</v>
      </c>
      <c r="AN138" s="126"/>
      <c r="AO138" s="130">
        <f t="shared" si="70"/>
        <v>0</v>
      </c>
      <c r="AP138" s="116"/>
    </row>
    <row r="139" spans="1:42" s="117" customFormat="1" ht="14" hidden="1" outlineLevel="1">
      <c r="A139" s="146"/>
      <c r="B139" s="147" t="s">
        <v>591</v>
      </c>
      <c r="C139" s="126">
        <f t="shared" si="83"/>
        <v>23.569999999999993</v>
      </c>
      <c r="D139" s="126">
        <v>0</v>
      </c>
      <c r="E139" s="126">
        <v>0</v>
      </c>
      <c r="F139" s="141">
        <v>0</v>
      </c>
      <c r="G139" s="141">
        <v>23.569999999999993</v>
      </c>
      <c r="H139" s="126">
        <f t="shared" si="131"/>
        <v>57</v>
      </c>
      <c r="I139" s="126">
        <f t="shared" si="122"/>
        <v>0</v>
      </c>
      <c r="J139" s="126"/>
      <c r="K139" s="126"/>
      <c r="L139" s="126">
        <f t="shared" si="132"/>
        <v>57</v>
      </c>
      <c r="M139" s="141"/>
      <c r="N139" s="141">
        <v>57</v>
      </c>
      <c r="O139" s="141">
        <f t="shared" si="123"/>
        <v>57</v>
      </c>
      <c r="P139" s="141">
        <f t="shared" si="124"/>
        <v>0</v>
      </c>
      <c r="Q139" s="141"/>
      <c r="R139" s="141"/>
      <c r="S139" s="141">
        <f t="shared" si="125"/>
        <v>57</v>
      </c>
      <c r="T139" s="141"/>
      <c r="U139" s="141">
        <f>N139</f>
        <v>57</v>
      </c>
      <c r="V139" s="141">
        <f t="shared" si="126"/>
        <v>23.569999999999993</v>
      </c>
      <c r="W139" s="141">
        <f t="shared" si="127"/>
        <v>0</v>
      </c>
      <c r="X139" s="141"/>
      <c r="Y139" s="141"/>
      <c r="Z139" s="141">
        <f t="shared" si="128"/>
        <v>23.569999999999993</v>
      </c>
      <c r="AA139" s="141"/>
      <c r="AB139" s="141">
        <f>G139</f>
        <v>23.569999999999993</v>
      </c>
      <c r="AC139" s="141"/>
      <c r="AD139" s="141"/>
      <c r="AE139" s="141"/>
      <c r="AF139" s="141"/>
      <c r="AG139" s="141"/>
      <c r="AH139" s="141"/>
      <c r="AI139" s="126">
        <f t="shared" si="86"/>
        <v>0</v>
      </c>
      <c r="AJ139" s="126">
        <f t="shared" si="129"/>
        <v>0</v>
      </c>
      <c r="AK139" s="126">
        <f t="shared" si="129"/>
        <v>0</v>
      </c>
      <c r="AL139" s="141">
        <f t="shared" si="130"/>
        <v>0</v>
      </c>
      <c r="AM139" s="141">
        <f t="shared" si="130"/>
        <v>0</v>
      </c>
      <c r="AN139" s="126"/>
      <c r="AO139" s="130">
        <f t="shared" si="70"/>
        <v>0</v>
      </c>
      <c r="AP139" s="116"/>
    </row>
    <row r="140" spans="1:42" s="117" customFormat="1" ht="14" hidden="1" outlineLevel="1">
      <c r="A140" s="146"/>
      <c r="B140" s="147" t="s">
        <v>562</v>
      </c>
      <c r="C140" s="126">
        <f t="shared" si="83"/>
        <v>0</v>
      </c>
      <c r="D140" s="126">
        <v>0</v>
      </c>
      <c r="E140" s="126">
        <v>0</v>
      </c>
      <c r="F140" s="141">
        <v>0</v>
      </c>
      <c r="G140" s="141">
        <v>0</v>
      </c>
      <c r="H140" s="126">
        <f t="shared" si="131"/>
        <v>55</v>
      </c>
      <c r="I140" s="126">
        <f t="shared" si="122"/>
        <v>0</v>
      </c>
      <c r="J140" s="126"/>
      <c r="K140" s="126"/>
      <c r="L140" s="126">
        <f t="shared" si="132"/>
        <v>55</v>
      </c>
      <c r="M140" s="141"/>
      <c r="N140" s="141">
        <v>55</v>
      </c>
      <c r="O140" s="141">
        <f t="shared" si="123"/>
        <v>42.5</v>
      </c>
      <c r="P140" s="141">
        <f t="shared" si="124"/>
        <v>0</v>
      </c>
      <c r="Q140" s="141"/>
      <c r="R140" s="141"/>
      <c r="S140" s="141">
        <f t="shared" si="125"/>
        <v>42.5</v>
      </c>
      <c r="T140" s="141"/>
      <c r="U140" s="141">
        <f>42.5</f>
        <v>42.5</v>
      </c>
      <c r="V140" s="141">
        <f t="shared" si="126"/>
        <v>0</v>
      </c>
      <c r="W140" s="141">
        <f t="shared" si="127"/>
        <v>0</v>
      </c>
      <c r="X140" s="141"/>
      <c r="Y140" s="141"/>
      <c r="Z140" s="141">
        <f t="shared" si="128"/>
        <v>0</v>
      </c>
      <c r="AA140" s="141"/>
      <c r="AB140" s="141"/>
      <c r="AC140" s="141"/>
      <c r="AD140" s="141"/>
      <c r="AE140" s="141"/>
      <c r="AF140" s="141"/>
      <c r="AG140" s="141"/>
      <c r="AH140" s="141"/>
      <c r="AI140" s="126">
        <f t="shared" si="86"/>
        <v>12.5</v>
      </c>
      <c r="AJ140" s="126">
        <f t="shared" si="129"/>
        <v>0</v>
      </c>
      <c r="AK140" s="126">
        <f t="shared" si="129"/>
        <v>0</v>
      </c>
      <c r="AL140" s="141">
        <f t="shared" si="130"/>
        <v>0</v>
      </c>
      <c r="AM140" s="141">
        <f t="shared" si="130"/>
        <v>12.5</v>
      </c>
      <c r="AN140" s="126"/>
      <c r="AO140" s="130">
        <f t="shared" si="70"/>
        <v>0</v>
      </c>
      <c r="AP140" s="116"/>
    </row>
    <row r="141" spans="1:42" s="117" customFormat="1" ht="14" hidden="1" outlineLevel="1">
      <c r="A141" s="146"/>
      <c r="B141" s="147" t="s">
        <v>337</v>
      </c>
      <c r="C141" s="126">
        <f t="shared" si="83"/>
        <v>4.8000000000001819E-2</v>
      </c>
      <c r="D141" s="126">
        <v>0</v>
      </c>
      <c r="E141" s="126">
        <v>0</v>
      </c>
      <c r="F141" s="141">
        <v>0</v>
      </c>
      <c r="G141" s="141">
        <v>4.8000000000001819E-2</v>
      </c>
      <c r="H141" s="126">
        <f t="shared" si="131"/>
        <v>55</v>
      </c>
      <c r="I141" s="126">
        <f t="shared" si="122"/>
        <v>0</v>
      </c>
      <c r="J141" s="126"/>
      <c r="K141" s="126"/>
      <c r="L141" s="126">
        <f t="shared" si="132"/>
        <v>55</v>
      </c>
      <c r="M141" s="141"/>
      <c r="N141" s="141">
        <v>55</v>
      </c>
      <c r="O141" s="141">
        <f t="shared" si="123"/>
        <v>52</v>
      </c>
      <c r="P141" s="141">
        <f t="shared" si="124"/>
        <v>0</v>
      </c>
      <c r="Q141" s="141"/>
      <c r="R141" s="141"/>
      <c r="S141" s="141">
        <f t="shared" si="125"/>
        <v>52</v>
      </c>
      <c r="T141" s="141"/>
      <c r="U141" s="141">
        <f>52</f>
        <v>52</v>
      </c>
      <c r="V141" s="141">
        <f t="shared" si="126"/>
        <v>0</v>
      </c>
      <c r="W141" s="141">
        <f t="shared" si="127"/>
        <v>0</v>
      </c>
      <c r="X141" s="141"/>
      <c r="Y141" s="141"/>
      <c r="Z141" s="141">
        <f t="shared" si="128"/>
        <v>0</v>
      </c>
      <c r="AA141" s="141"/>
      <c r="AB141" s="141"/>
      <c r="AC141" s="141"/>
      <c r="AD141" s="141"/>
      <c r="AE141" s="141"/>
      <c r="AF141" s="141"/>
      <c r="AG141" s="141"/>
      <c r="AH141" s="141"/>
      <c r="AI141" s="126">
        <f t="shared" si="86"/>
        <v>3.0480000000000018</v>
      </c>
      <c r="AJ141" s="126">
        <f t="shared" si="129"/>
        <v>0</v>
      </c>
      <c r="AK141" s="126">
        <f t="shared" si="129"/>
        <v>0</v>
      </c>
      <c r="AL141" s="141">
        <f t="shared" si="130"/>
        <v>0</v>
      </c>
      <c r="AM141" s="141">
        <f t="shared" si="130"/>
        <v>3.0480000000000018</v>
      </c>
      <c r="AN141" s="126"/>
      <c r="AO141" s="130">
        <f t="shared" si="70"/>
        <v>0</v>
      </c>
      <c r="AP141" s="116"/>
    </row>
    <row r="142" spans="1:42" s="148" customFormat="1" ht="14" hidden="1" outlineLevel="1">
      <c r="A142" s="146"/>
      <c r="B142" s="140" t="s">
        <v>594</v>
      </c>
      <c r="C142" s="126">
        <f t="shared" si="83"/>
        <v>22.116</v>
      </c>
      <c r="D142" s="126">
        <v>0</v>
      </c>
      <c r="E142" s="126">
        <f>22.056+0.0599999999999987</f>
        <v>22.116</v>
      </c>
      <c r="F142" s="141">
        <v>0</v>
      </c>
      <c r="G142" s="141">
        <f>22.056+0.0599999999999987-(22.056+0.0599999999999987)</f>
        <v>0</v>
      </c>
      <c r="H142" s="126">
        <f>I142+L142</f>
        <v>21</v>
      </c>
      <c r="I142" s="126">
        <f>J142+K142</f>
        <v>21</v>
      </c>
      <c r="J142" s="126"/>
      <c r="K142" s="126">
        <f>21</f>
        <v>21</v>
      </c>
      <c r="L142" s="126">
        <f t="shared" si="132"/>
        <v>0</v>
      </c>
      <c r="M142" s="141"/>
      <c r="N142" s="141"/>
      <c r="O142" s="141"/>
      <c r="P142" s="141"/>
      <c r="Q142" s="141"/>
      <c r="R142" s="141"/>
      <c r="S142" s="141"/>
      <c r="T142" s="141"/>
      <c r="U142" s="141"/>
      <c r="V142" s="141">
        <f>W142+Z142</f>
        <v>0</v>
      </c>
      <c r="W142" s="141">
        <f>X142+Y142</f>
        <v>0</v>
      </c>
      <c r="X142" s="141"/>
      <c r="Y142" s="141"/>
      <c r="Z142" s="141"/>
      <c r="AA142" s="141"/>
      <c r="AB142" s="141"/>
      <c r="AC142" s="141"/>
      <c r="AD142" s="141"/>
      <c r="AE142" s="141"/>
      <c r="AF142" s="141"/>
      <c r="AG142" s="141"/>
      <c r="AH142" s="141"/>
      <c r="AI142" s="126">
        <f t="shared" si="86"/>
        <v>43.116</v>
      </c>
      <c r="AJ142" s="126">
        <f t="shared" si="129"/>
        <v>0</v>
      </c>
      <c r="AK142" s="126">
        <f t="shared" si="129"/>
        <v>43.116</v>
      </c>
      <c r="AL142" s="141">
        <f t="shared" si="130"/>
        <v>0</v>
      </c>
      <c r="AM142" s="141">
        <f t="shared" si="130"/>
        <v>0</v>
      </c>
      <c r="AN142" s="126"/>
      <c r="AO142" s="130">
        <f t="shared" ref="AO142:AO205" si="133">C142+H142-O142-V142-AI142</f>
        <v>0</v>
      </c>
      <c r="AP142" s="116"/>
    </row>
    <row r="143" spans="1:42" s="132" customFormat="1" ht="14" collapsed="1">
      <c r="A143" s="133" t="s">
        <v>596</v>
      </c>
      <c r="B143" s="134" t="s">
        <v>597</v>
      </c>
      <c r="C143" s="135">
        <f>C144</f>
        <v>858.53299999999854</v>
      </c>
      <c r="D143" s="135">
        <f t="shared" ref="D143:AM144" si="134">D144</f>
        <v>600.59999999999854</v>
      </c>
      <c r="E143" s="135">
        <f t="shared" si="134"/>
        <v>257.93299999999999</v>
      </c>
      <c r="F143" s="135">
        <f t="shared" si="134"/>
        <v>0</v>
      </c>
      <c r="G143" s="135">
        <f t="shared" si="134"/>
        <v>0</v>
      </c>
      <c r="H143" s="135">
        <f t="shared" si="134"/>
        <v>0</v>
      </c>
      <c r="I143" s="135">
        <f t="shared" si="134"/>
        <v>0</v>
      </c>
      <c r="J143" s="135">
        <f t="shared" si="134"/>
        <v>0</v>
      </c>
      <c r="K143" s="135">
        <f t="shared" si="134"/>
        <v>0</v>
      </c>
      <c r="L143" s="135">
        <f t="shared" si="134"/>
        <v>0</v>
      </c>
      <c r="M143" s="135">
        <f t="shared" si="134"/>
        <v>0</v>
      </c>
      <c r="N143" s="135">
        <f t="shared" si="134"/>
        <v>0</v>
      </c>
      <c r="O143" s="135">
        <f t="shared" si="134"/>
        <v>0</v>
      </c>
      <c r="P143" s="135">
        <f t="shared" si="134"/>
        <v>0</v>
      </c>
      <c r="Q143" s="135">
        <f t="shared" si="134"/>
        <v>0</v>
      </c>
      <c r="R143" s="135">
        <f t="shared" si="134"/>
        <v>0</v>
      </c>
      <c r="S143" s="135">
        <f t="shared" si="134"/>
        <v>0</v>
      </c>
      <c r="T143" s="135">
        <f t="shared" si="134"/>
        <v>0</v>
      </c>
      <c r="U143" s="135">
        <f t="shared" si="134"/>
        <v>0</v>
      </c>
      <c r="V143" s="135">
        <f t="shared" si="134"/>
        <v>0</v>
      </c>
      <c r="W143" s="135">
        <f t="shared" si="134"/>
        <v>0</v>
      </c>
      <c r="X143" s="135">
        <f t="shared" si="134"/>
        <v>0</v>
      </c>
      <c r="Y143" s="135">
        <f t="shared" si="134"/>
        <v>0</v>
      </c>
      <c r="Z143" s="135">
        <f t="shared" si="134"/>
        <v>0</v>
      </c>
      <c r="AA143" s="135">
        <f t="shared" si="134"/>
        <v>0</v>
      </c>
      <c r="AB143" s="135">
        <f t="shared" si="134"/>
        <v>0</v>
      </c>
      <c r="AC143" s="135">
        <f t="shared" si="134"/>
        <v>0</v>
      </c>
      <c r="AD143" s="135">
        <f t="shared" si="134"/>
        <v>0</v>
      </c>
      <c r="AE143" s="135">
        <f t="shared" si="134"/>
        <v>0</v>
      </c>
      <c r="AF143" s="135">
        <f t="shared" si="134"/>
        <v>0</v>
      </c>
      <c r="AG143" s="135">
        <f t="shared" si="134"/>
        <v>0</v>
      </c>
      <c r="AH143" s="135">
        <f t="shared" si="134"/>
        <v>0</v>
      </c>
      <c r="AI143" s="135">
        <f t="shared" si="134"/>
        <v>858.53299999999854</v>
      </c>
      <c r="AJ143" s="135">
        <f t="shared" si="134"/>
        <v>600.59999999999854</v>
      </c>
      <c r="AK143" s="135">
        <f t="shared" si="134"/>
        <v>257.93299999999999</v>
      </c>
      <c r="AL143" s="135">
        <f t="shared" si="134"/>
        <v>0</v>
      </c>
      <c r="AM143" s="135">
        <f t="shared" si="134"/>
        <v>0</v>
      </c>
      <c r="AN143" s="126"/>
      <c r="AO143" s="130">
        <f t="shared" si="133"/>
        <v>0</v>
      </c>
      <c r="AP143" s="131"/>
    </row>
    <row r="144" spans="1:42" s="132" customFormat="1" ht="14">
      <c r="A144" s="133" t="s">
        <v>13</v>
      </c>
      <c r="B144" s="134" t="s">
        <v>577</v>
      </c>
      <c r="C144" s="135">
        <f>C145</f>
        <v>858.53299999999854</v>
      </c>
      <c r="D144" s="135">
        <f t="shared" si="134"/>
        <v>600.59999999999854</v>
      </c>
      <c r="E144" s="135">
        <f t="shared" si="134"/>
        <v>257.93299999999999</v>
      </c>
      <c r="F144" s="135">
        <f t="shared" si="134"/>
        <v>0</v>
      </c>
      <c r="G144" s="135">
        <f t="shared" si="134"/>
        <v>0</v>
      </c>
      <c r="H144" s="135">
        <f t="shared" si="134"/>
        <v>0</v>
      </c>
      <c r="I144" s="135">
        <f t="shared" si="134"/>
        <v>0</v>
      </c>
      <c r="J144" s="135">
        <f t="shared" si="134"/>
        <v>0</v>
      </c>
      <c r="K144" s="135">
        <f t="shared" si="134"/>
        <v>0</v>
      </c>
      <c r="L144" s="135">
        <f t="shared" si="134"/>
        <v>0</v>
      </c>
      <c r="M144" s="135">
        <f t="shared" si="134"/>
        <v>0</v>
      </c>
      <c r="N144" s="135">
        <f t="shared" si="134"/>
        <v>0</v>
      </c>
      <c r="O144" s="135">
        <f t="shared" si="134"/>
        <v>0</v>
      </c>
      <c r="P144" s="135">
        <f t="shared" si="134"/>
        <v>0</v>
      </c>
      <c r="Q144" s="135">
        <f t="shared" si="134"/>
        <v>0</v>
      </c>
      <c r="R144" s="135">
        <f t="shared" si="134"/>
        <v>0</v>
      </c>
      <c r="S144" s="135">
        <f t="shared" si="134"/>
        <v>0</v>
      </c>
      <c r="T144" s="135">
        <f t="shared" si="134"/>
        <v>0</v>
      </c>
      <c r="U144" s="135">
        <f t="shared" si="134"/>
        <v>0</v>
      </c>
      <c r="V144" s="135">
        <f t="shared" si="134"/>
        <v>0</v>
      </c>
      <c r="W144" s="135">
        <f t="shared" si="134"/>
        <v>0</v>
      </c>
      <c r="X144" s="135">
        <f t="shared" si="134"/>
        <v>0</v>
      </c>
      <c r="Y144" s="135">
        <f t="shared" si="134"/>
        <v>0</v>
      </c>
      <c r="Z144" s="135">
        <f t="shared" si="134"/>
        <v>0</v>
      </c>
      <c r="AA144" s="135">
        <f t="shared" si="134"/>
        <v>0</v>
      </c>
      <c r="AB144" s="135">
        <f t="shared" si="134"/>
        <v>0</v>
      </c>
      <c r="AC144" s="135">
        <f t="shared" si="134"/>
        <v>0</v>
      </c>
      <c r="AD144" s="135">
        <f t="shared" si="134"/>
        <v>0</v>
      </c>
      <c r="AE144" s="135">
        <f t="shared" si="134"/>
        <v>0</v>
      </c>
      <c r="AF144" s="135">
        <f t="shared" si="134"/>
        <v>0</v>
      </c>
      <c r="AG144" s="135">
        <f t="shared" si="134"/>
        <v>0</v>
      </c>
      <c r="AH144" s="135">
        <f t="shared" si="134"/>
        <v>0</v>
      </c>
      <c r="AI144" s="135">
        <f t="shared" si="134"/>
        <v>858.53299999999854</v>
      </c>
      <c r="AJ144" s="135">
        <f t="shared" si="134"/>
        <v>600.59999999999854</v>
      </c>
      <c r="AK144" s="135">
        <f t="shared" si="134"/>
        <v>257.93299999999999</v>
      </c>
      <c r="AL144" s="135">
        <f t="shared" si="134"/>
        <v>0</v>
      </c>
      <c r="AM144" s="135">
        <f t="shared" si="134"/>
        <v>0</v>
      </c>
      <c r="AN144" s="126"/>
      <c r="AO144" s="130">
        <f t="shared" si="133"/>
        <v>0</v>
      </c>
      <c r="AP144" s="131"/>
    </row>
    <row r="145" spans="1:42" s="117" customFormat="1" ht="14" hidden="1" outlineLevel="1">
      <c r="A145" s="151">
        <v>1</v>
      </c>
      <c r="B145" s="152" t="s">
        <v>598</v>
      </c>
      <c r="C145" s="153">
        <f>C146+C153+C157</f>
        <v>858.53299999999854</v>
      </c>
      <c r="D145" s="153">
        <f t="shared" ref="D145:AM145" si="135">D146+D153+D157</f>
        <v>600.59999999999854</v>
      </c>
      <c r="E145" s="153">
        <f t="shared" si="135"/>
        <v>257.93299999999999</v>
      </c>
      <c r="F145" s="153">
        <f t="shared" si="135"/>
        <v>0</v>
      </c>
      <c r="G145" s="153">
        <f t="shared" si="135"/>
        <v>0</v>
      </c>
      <c r="H145" s="153">
        <f t="shared" si="135"/>
        <v>0</v>
      </c>
      <c r="I145" s="153">
        <f t="shared" si="135"/>
        <v>0</v>
      </c>
      <c r="J145" s="153">
        <f t="shared" si="135"/>
        <v>0</v>
      </c>
      <c r="K145" s="153">
        <f t="shared" si="135"/>
        <v>0</v>
      </c>
      <c r="L145" s="153">
        <f t="shared" si="135"/>
        <v>0</v>
      </c>
      <c r="M145" s="153">
        <f t="shared" si="135"/>
        <v>0</v>
      </c>
      <c r="N145" s="153">
        <f t="shared" si="135"/>
        <v>0</v>
      </c>
      <c r="O145" s="153">
        <f t="shared" si="135"/>
        <v>0</v>
      </c>
      <c r="P145" s="153">
        <f t="shared" si="135"/>
        <v>0</v>
      </c>
      <c r="Q145" s="153">
        <f t="shared" si="135"/>
        <v>0</v>
      </c>
      <c r="R145" s="153">
        <f t="shared" si="135"/>
        <v>0</v>
      </c>
      <c r="S145" s="153">
        <f t="shared" si="135"/>
        <v>0</v>
      </c>
      <c r="T145" s="153">
        <f t="shared" si="135"/>
        <v>0</v>
      </c>
      <c r="U145" s="153">
        <f t="shared" si="135"/>
        <v>0</v>
      </c>
      <c r="V145" s="153">
        <f t="shared" si="135"/>
        <v>0</v>
      </c>
      <c r="W145" s="153">
        <f t="shared" si="135"/>
        <v>0</v>
      </c>
      <c r="X145" s="153">
        <f t="shared" si="135"/>
        <v>0</v>
      </c>
      <c r="Y145" s="153">
        <f t="shared" si="135"/>
        <v>0</v>
      </c>
      <c r="Z145" s="153">
        <f t="shared" si="135"/>
        <v>0</v>
      </c>
      <c r="AA145" s="153">
        <f t="shared" si="135"/>
        <v>0</v>
      </c>
      <c r="AB145" s="153">
        <f t="shared" si="135"/>
        <v>0</v>
      </c>
      <c r="AC145" s="153">
        <f t="shared" si="135"/>
        <v>0</v>
      </c>
      <c r="AD145" s="153">
        <f t="shared" si="135"/>
        <v>0</v>
      </c>
      <c r="AE145" s="153">
        <f t="shared" si="135"/>
        <v>0</v>
      </c>
      <c r="AF145" s="153">
        <f t="shared" si="135"/>
        <v>0</v>
      </c>
      <c r="AG145" s="153">
        <f t="shared" si="135"/>
        <v>0</v>
      </c>
      <c r="AH145" s="153">
        <f t="shared" si="135"/>
        <v>0</v>
      </c>
      <c r="AI145" s="153">
        <f t="shared" si="135"/>
        <v>858.53299999999854</v>
      </c>
      <c r="AJ145" s="153">
        <f t="shared" si="135"/>
        <v>600.59999999999854</v>
      </c>
      <c r="AK145" s="153">
        <f t="shared" si="135"/>
        <v>257.93299999999999</v>
      </c>
      <c r="AL145" s="153">
        <f t="shared" si="135"/>
        <v>0</v>
      </c>
      <c r="AM145" s="153">
        <f t="shared" si="135"/>
        <v>0</v>
      </c>
      <c r="AN145" s="126"/>
      <c r="AO145" s="130">
        <f t="shared" si="133"/>
        <v>0</v>
      </c>
      <c r="AP145" s="116"/>
    </row>
    <row r="146" spans="1:42" s="117" customFormat="1" ht="14" hidden="1" outlineLevel="1">
      <c r="A146" s="154" t="s">
        <v>184</v>
      </c>
      <c r="B146" s="147" t="s">
        <v>599</v>
      </c>
      <c r="C146" s="155">
        <f t="shared" si="83"/>
        <v>600.59999999999854</v>
      </c>
      <c r="D146" s="155">
        <v>600.59999999999854</v>
      </c>
      <c r="E146" s="155">
        <v>0</v>
      </c>
      <c r="F146" s="155">
        <v>0</v>
      </c>
      <c r="G146" s="155">
        <v>0</v>
      </c>
      <c r="H146" s="155">
        <f t="shared" ref="H146:M146" si="136">SUM(H147:H151)</f>
        <v>0</v>
      </c>
      <c r="I146" s="155">
        <f t="shared" si="136"/>
        <v>0</v>
      </c>
      <c r="J146" s="155">
        <f t="shared" si="136"/>
        <v>0</v>
      </c>
      <c r="K146" s="155">
        <f t="shared" si="136"/>
        <v>0</v>
      </c>
      <c r="L146" s="155">
        <f t="shared" si="136"/>
        <v>0</v>
      </c>
      <c r="M146" s="155">
        <f t="shared" si="136"/>
        <v>0</v>
      </c>
      <c r="N146" s="155">
        <f t="shared" ref="N146:AB146" si="137">SUM(N147:N151)</f>
        <v>0</v>
      </c>
      <c r="O146" s="155">
        <f t="shared" si="137"/>
        <v>0</v>
      </c>
      <c r="P146" s="155">
        <f t="shared" si="137"/>
        <v>0</v>
      </c>
      <c r="Q146" s="155">
        <f t="shared" si="137"/>
        <v>0</v>
      </c>
      <c r="R146" s="155">
        <f t="shared" si="137"/>
        <v>0</v>
      </c>
      <c r="S146" s="155">
        <f t="shared" si="137"/>
        <v>0</v>
      </c>
      <c r="T146" s="155">
        <f t="shared" si="137"/>
        <v>0</v>
      </c>
      <c r="U146" s="155">
        <f t="shared" si="137"/>
        <v>0</v>
      </c>
      <c r="V146" s="155">
        <f t="shared" si="137"/>
        <v>0</v>
      </c>
      <c r="W146" s="155">
        <f t="shared" si="137"/>
        <v>0</v>
      </c>
      <c r="X146" s="155">
        <f t="shared" si="137"/>
        <v>0</v>
      </c>
      <c r="Y146" s="155">
        <f t="shared" si="137"/>
        <v>0</v>
      </c>
      <c r="Z146" s="155">
        <f t="shared" si="137"/>
        <v>0</v>
      </c>
      <c r="AA146" s="155">
        <f t="shared" si="137"/>
        <v>0</v>
      </c>
      <c r="AB146" s="155">
        <f t="shared" si="137"/>
        <v>0</v>
      </c>
      <c r="AC146" s="155">
        <f t="shared" ref="AC146:AH146" si="138">AC147+AC148+AC152</f>
        <v>0</v>
      </c>
      <c r="AD146" s="155">
        <f t="shared" si="138"/>
        <v>0</v>
      </c>
      <c r="AE146" s="155">
        <f t="shared" si="138"/>
        <v>0</v>
      </c>
      <c r="AF146" s="155">
        <f t="shared" si="138"/>
        <v>0</v>
      </c>
      <c r="AG146" s="155">
        <f t="shared" si="138"/>
        <v>0</v>
      </c>
      <c r="AH146" s="155">
        <f t="shared" si="138"/>
        <v>0</v>
      </c>
      <c r="AI146" s="155">
        <f t="shared" si="86"/>
        <v>600.59999999999854</v>
      </c>
      <c r="AJ146" s="155">
        <f t="shared" ref="AJ146:AK159" si="139">D146+J146-Q146-X146-AD146</f>
        <v>600.59999999999854</v>
      </c>
      <c r="AK146" s="155">
        <f t="shared" si="139"/>
        <v>0</v>
      </c>
      <c r="AL146" s="155">
        <f t="shared" ref="AL146:AM159" si="140">F146+M146-T146-AA146-AG146</f>
        <v>0</v>
      </c>
      <c r="AM146" s="155">
        <f t="shared" si="140"/>
        <v>0</v>
      </c>
      <c r="AN146" s="126"/>
      <c r="AO146" s="130">
        <f t="shared" si="133"/>
        <v>0</v>
      </c>
      <c r="AP146" s="116"/>
    </row>
    <row r="147" spans="1:42" s="117" customFormat="1" ht="14" hidden="1" outlineLevel="1">
      <c r="A147" s="139"/>
      <c r="B147" s="156" t="s">
        <v>567</v>
      </c>
      <c r="C147" s="126">
        <f t="shared" si="83"/>
        <v>0</v>
      </c>
      <c r="D147" s="126">
        <v>0</v>
      </c>
      <c r="E147" s="126">
        <v>0</v>
      </c>
      <c r="F147" s="126">
        <v>0</v>
      </c>
      <c r="G147" s="126">
        <v>0</v>
      </c>
      <c r="H147" s="126">
        <f t="shared" ref="H147:H152" si="141">I147+L147</f>
        <v>0</v>
      </c>
      <c r="I147" s="126">
        <f t="shared" ref="I147:I152" si="142">J147+K147</f>
        <v>0</v>
      </c>
      <c r="J147" s="126"/>
      <c r="K147" s="126"/>
      <c r="L147" s="126">
        <f t="shared" ref="L147:L152" si="143">M147+N147</f>
        <v>0</v>
      </c>
      <c r="M147" s="126"/>
      <c r="N147" s="126"/>
      <c r="O147" s="126">
        <f t="shared" ref="O147:O152" si="144">P147+S147</f>
        <v>0</v>
      </c>
      <c r="P147" s="126">
        <f t="shared" ref="P147:P152" si="145">Q147+R147</f>
        <v>0</v>
      </c>
      <c r="Q147" s="126"/>
      <c r="R147" s="126"/>
      <c r="S147" s="126">
        <f t="shared" ref="S147:S152" si="146">T147+U147</f>
        <v>0</v>
      </c>
      <c r="T147" s="126"/>
      <c r="U147" s="126">
        <v>0</v>
      </c>
      <c r="V147" s="126">
        <f>W147+Z147+AC147+AF147</f>
        <v>0</v>
      </c>
      <c r="W147" s="126">
        <f>X147+Y147</f>
        <v>0</v>
      </c>
      <c r="X147" s="126"/>
      <c r="Y147" s="126"/>
      <c r="Z147" s="126">
        <f t="shared" ref="Z147:Z152" si="147">AA147+AB147</f>
        <v>0</v>
      </c>
      <c r="AA147" s="126"/>
      <c r="AB147" s="126"/>
      <c r="AC147" s="126">
        <f t="shared" ref="AC147:AC154" si="148">AD147+AE147</f>
        <v>0</v>
      </c>
      <c r="AD147" s="126"/>
      <c r="AE147" s="126"/>
      <c r="AF147" s="126">
        <f t="shared" ref="AF147:AF154" si="149">AG147+AH147</f>
        <v>0</v>
      </c>
      <c r="AG147" s="126"/>
      <c r="AH147" s="126"/>
      <c r="AI147" s="126">
        <f t="shared" si="86"/>
        <v>0</v>
      </c>
      <c r="AJ147" s="126">
        <f t="shared" si="139"/>
        <v>0</v>
      </c>
      <c r="AK147" s="126">
        <f t="shared" si="139"/>
        <v>0</v>
      </c>
      <c r="AL147" s="126">
        <f t="shared" si="140"/>
        <v>0</v>
      </c>
      <c r="AM147" s="126">
        <f t="shared" si="140"/>
        <v>0</v>
      </c>
      <c r="AN147" s="126"/>
      <c r="AO147" s="130">
        <f t="shared" si="133"/>
        <v>0</v>
      </c>
      <c r="AP147" s="116"/>
    </row>
    <row r="148" spans="1:42" s="117" customFormat="1" ht="14" hidden="1" outlineLevel="1">
      <c r="A148" s="136"/>
      <c r="B148" s="156" t="s">
        <v>568</v>
      </c>
      <c r="C148" s="126">
        <f t="shared" si="83"/>
        <v>0</v>
      </c>
      <c r="D148" s="126">
        <v>0</v>
      </c>
      <c r="E148" s="126">
        <v>0</v>
      </c>
      <c r="F148" s="126">
        <v>0</v>
      </c>
      <c r="G148" s="126">
        <v>0</v>
      </c>
      <c r="H148" s="126">
        <f t="shared" si="141"/>
        <v>0</v>
      </c>
      <c r="I148" s="126">
        <f t="shared" si="142"/>
        <v>0</v>
      </c>
      <c r="J148" s="126"/>
      <c r="K148" s="126"/>
      <c r="L148" s="126">
        <f t="shared" si="143"/>
        <v>0</v>
      </c>
      <c r="M148" s="126"/>
      <c r="N148" s="126"/>
      <c r="O148" s="126">
        <f t="shared" si="144"/>
        <v>0</v>
      </c>
      <c r="P148" s="126">
        <f t="shared" si="145"/>
        <v>0</v>
      </c>
      <c r="Q148" s="126"/>
      <c r="R148" s="126"/>
      <c r="S148" s="126">
        <f t="shared" si="146"/>
        <v>0</v>
      </c>
      <c r="T148" s="126"/>
      <c r="U148" s="126">
        <v>0</v>
      </c>
      <c r="V148" s="126">
        <f>W148+Z148+AC148+AF148</f>
        <v>0</v>
      </c>
      <c r="W148" s="126">
        <f>X148+Y148</f>
        <v>0</v>
      </c>
      <c r="X148" s="126"/>
      <c r="Y148" s="126"/>
      <c r="Z148" s="126">
        <f t="shared" si="147"/>
        <v>0</v>
      </c>
      <c r="AA148" s="126"/>
      <c r="AB148" s="126"/>
      <c r="AC148" s="126">
        <f t="shared" si="148"/>
        <v>0</v>
      </c>
      <c r="AD148" s="126"/>
      <c r="AE148" s="126"/>
      <c r="AF148" s="126">
        <f t="shared" si="149"/>
        <v>0</v>
      </c>
      <c r="AG148" s="126"/>
      <c r="AH148" s="126"/>
      <c r="AI148" s="126">
        <f t="shared" si="86"/>
        <v>0</v>
      </c>
      <c r="AJ148" s="126">
        <f t="shared" si="139"/>
        <v>0</v>
      </c>
      <c r="AK148" s="126">
        <f t="shared" si="139"/>
        <v>0</v>
      </c>
      <c r="AL148" s="126">
        <f t="shared" si="140"/>
        <v>0</v>
      </c>
      <c r="AM148" s="126">
        <f t="shared" si="140"/>
        <v>0</v>
      </c>
      <c r="AN148" s="126"/>
      <c r="AO148" s="130">
        <f t="shared" si="133"/>
        <v>0</v>
      </c>
      <c r="AP148" s="116"/>
    </row>
    <row r="149" spans="1:42" s="117" customFormat="1" ht="14" hidden="1" outlineLevel="1">
      <c r="A149" s="146"/>
      <c r="B149" s="137" t="s">
        <v>563</v>
      </c>
      <c r="C149" s="126">
        <f t="shared" si="83"/>
        <v>0</v>
      </c>
      <c r="D149" s="126"/>
      <c r="E149" s="126">
        <v>0</v>
      </c>
      <c r="F149" s="141"/>
      <c r="G149" s="141">
        <v>0</v>
      </c>
      <c r="H149" s="126">
        <f t="shared" si="141"/>
        <v>0</v>
      </c>
      <c r="I149" s="126">
        <f t="shared" si="142"/>
        <v>0</v>
      </c>
      <c r="J149" s="126"/>
      <c r="K149" s="126">
        <v>0</v>
      </c>
      <c r="L149" s="126">
        <f t="shared" si="143"/>
        <v>0</v>
      </c>
      <c r="M149" s="141"/>
      <c r="N149" s="141"/>
      <c r="O149" s="141">
        <f t="shared" si="144"/>
        <v>0</v>
      </c>
      <c r="P149" s="141">
        <f t="shared" si="145"/>
        <v>0</v>
      </c>
      <c r="Q149" s="141"/>
      <c r="R149" s="141"/>
      <c r="S149" s="141">
        <f t="shared" si="146"/>
        <v>0</v>
      </c>
      <c r="T149" s="141"/>
      <c r="U149" s="141"/>
      <c r="V149" s="141">
        <f>W149+Z149</f>
        <v>0</v>
      </c>
      <c r="W149" s="141">
        <f>X149+Y149</f>
        <v>0</v>
      </c>
      <c r="X149" s="141"/>
      <c r="Y149" s="141"/>
      <c r="Z149" s="141">
        <f t="shared" si="147"/>
        <v>0</v>
      </c>
      <c r="AA149" s="141"/>
      <c r="AB149" s="141"/>
      <c r="AC149" s="141"/>
      <c r="AD149" s="141"/>
      <c r="AE149" s="141"/>
      <c r="AF149" s="141"/>
      <c r="AG149" s="141"/>
      <c r="AH149" s="141"/>
      <c r="AI149" s="126">
        <f t="shared" si="86"/>
        <v>0</v>
      </c>
      <c r="AJ149" s="126">
        <f t="shared" si="139"/>
        <v>0</v>
      </c>
      <c r="AK149" s="126">
        <f t="shared" si="139"/>
        <v>0</v>
      </c>
      <c r="AL149" s="141">
        <f t="shared" si="140"/>
        <v>0</v>
      </c>
      <c r="AM149" s="141">
        <f t="shared" si="140"/>
        <v>0</v>
      </c>
      <c r="AN149" s="126"/>
      <c r="AO149" s="130">
        <f t="shared" si="133"/>
        <v>0</v>
      </c>
      <c r="AP149" s="116"/>
    </row>
    <row r="150" spans="1:42" s="117" customFormat="1" ht="14" hidden="1" outlineLevel="1">
      <c r="A150" s="146"/>
      <c r="B150" s="147" t="s">
        <v>564</v>
      </c>
      <c r="C150" s="126">
        <f t="shared" si="83"/>
        <v>0</v>
      </c>
      <c r="D150" s="126"/>
      <c r="E150" s="126">
        <v>0</v>
      </c>
      <c r="F150" s="141"/>
      <c r="G150" s="141">
        <v>0</v>
      </c>
      <c r="H150" s="126">
        <f t="shared" si="141"/>
        <v>0</v>
      </c>
      <c r="I150" s="126">
        <f t="shared" si="142"/>
        <v>0</v>
      </c>
      <c r="J150" s="126"/>
      <c r="K150" s="126">
        <v>0</v>
      </c>
      <c r="L150" s="126">
        <f t="shared" si="143"/>
        <v>0</v>
      </c>
      <c r="M150" s="141"/>
      <c r="N150" s="141"/>
      <c r="O150" s="141">
        <f t="shared" si="144"/>
        <v>0</v>
      </c>
      <c r="P150" s="141">
        <f t="shared" si="145"/>
        <v>0</v>
      </c>
      <c r="Q150" s="141"/>
      <c r="R150" s="141"/>
      <c r="S150" s="141">
        <f t="shared" si="146"/>
        <v>0</v>
      </c>
      <c r="T150" s="141"/>
      <c r="U150" s="141"/>
      <c r="V150" s="141">
        <f>W150+Z150</f>
        <v>0</v>
      </c>
      <c r="W150" s="141"/>
      <c r="X150" s="141"/>
      <c r="Y150" s="141"/>
      <c r="Z150" s="141">
        <f t="shared" si="147"/>
        <v>0</v>
      </c>
      <c r="AA150" s="141"/>
      <c r="AB150" s="141"/>
      <c r="AC150" s="141"/>
      <c r="AD150" s="141"/>
      <c r="AE150" s="141"/>
      <c r="AF150" s="141"/>
      <c r="AG150" s="141"/>
      <c r="AH150" s="141"/>
      <c r="AI150" s="126">
        <f t="shared" si="86"/>
        <v>0</v>
      </c>
      <c r="AJ150" s="126">
        <f t="shared" si="139"/>
        <v>0</v>
      </c>
      <c r="AK150" s="126">
        <f t="shared" si="139"/>
        <v>0</v>
      </c>
      <c r="AL150" s="141">
        <f t="shared" si="140"/>
        <v>0</v>
      </c>
      <c r="AM150" s="141">
        <f t="shared" si="140"/>
        <v>0</v>
      </c>
      <c r="AN150" s="126"/>
      <c r="AO150" s="130">
        <f t="shared" si="133"/>
        <v>0</v>
      </c>
      <c r="AP150" s="116"/>
    </row>
    <row r="151" spans="1:42" s="117" customFormat="1" ht="14" hidden="1" outlineLevel="1">
      <c r="A151" s="146"/>
      <c r="B151" s="147" t="s">
        <v>566</v>
      </c>
      <c r="C151" s="126">
        <f t="shared" si="83"/>
        <v>0</v>
      </c>
      <c r="D151" s="126"/>
      <c r="E151" s="126">
        <v>0</v>
      </c>
      <c r="F151" s="141"/>
      <c r="G151" s="141">
        <v>0</v>
      </c>
      <c r="H151" s="126">
        <f t="shared" si="141"/>
        <v>0</v>
      </c>
      <c r="I151" s="126">
        <f t="shared" si="142"/>
        <v>0</v>
      </c>
      <c r="J151" s="126"/>
      <c r="K151" s="126">
        <v>0</v>
      </c>
      <c r="L151" s="126">
        <f t="shared" si="143"/>
        <v>0</v>
      </c>
      <c r="M151" s="141"/>
      <c r="N151" s="141"/>
      <c r="O151" s="141">
        <f t="shared" si="144"/>
        <v>0</v>
      </c>
      <c r="P151" s="141">
        <f t="shared" si="145"/>
        <v>0</v>
      </c>
      <c r="Q151" s="141"/>
      <c r="R151" s="141"/>
      <c r="S151" s="141">
        <f t="shared" si="146"/>
        <v>0</v>
      </c>
      <c r="T151" s="141"/>
      <c r="U151" s="141"/>
      <c r="V151" s="141">
        <f>W151+Z151</f>
        <v>0</v>
      </c>
      <c r="W151" s="141"/>
      <c r="X151" s="141"/>
      <c r="Y151" s="141"/>
      <c r="Z151" s="141">
        <f t="shared" si="147"/>
        <v>0</v>
      </c>
      <c r="AA151" s="141"/>
      <c r="AB151" s="141"/>
      <c r="AC151" s="141"/>
      <c r="AD151" s="141"/>
      <c r="AE151" s="141"/>
      <c r="AF151" s="141"/>
      <c r="AG151" s="141"/>
      <c r="AH151" s="141"/>
      <c r="AI151" s="126">
        <f t="shared" si="86"/>
        <v>0</v>
      </c>
      <c r="AJ151" s="126">
        <f t="shared" si="139"/>
        <v>0</v>
      </c>
      <c r="AK151" s="126">
        <f t="shared" si="139"/>
        <v>0</v>
      </c>
      <c r="AL151" s="141">
        <f t="shared" si="140"/>
        <v>0</v>
      </c>
      <c r="AM151" s="141">
        <f t="shared" si="140"/>
        <v>0</v>
      </c>
      <c r="AN151" s="126"/>
      <c r="AO151" s="130">
        <f t="shared" si="133"/>
        <v>0</v>
      </c>
      <c r="AP151" s="116"/>
    </row>
    <row r="152" spans="1:42" s="157" customFormat="1" ht="14" hidden="1" outlineLevel="1">
      <c r="A152" s="136"/>
      <c r="B152" s="156" t="s">
        <v>600</v>
      </c>
      <c r="C152" s="126">
        <f t="shared" si="83"/>
        <v>600.6</v>
      </c>
      <c r="D152" s="126">
        <v>600.6</v>
      </c>
      <c r="E152" s="126">
        <v>0</v>
      </c>
      <c r="F152" s="126">
        <v>0</v>
      </c>
      <c r="G152" s="126">
        <v>0</v>
      </c>
      <c r="H152" s="126">
        <f t="shared" si="141"/>
        <v>0</v>
      </c>
      <c r="I152" s="126">
        <f t="shared" si="142"/>
        <v>0</v>
      </c>
      <c r="J152" s="126">
        <v>0</v>
      </c>
      <c r="K152" s="126">
        <v>0</v>
      </c>
      <c r="L152" s="126">
        <f t="shared" si="143"/>
        <v>0</v>
      </c>
      <c r="M152" s="126"/>
      <c r="N152" s="126"/>
      <c r="O152" s="126">
        <f t="shared" si="144"/>
        <v>0</v>
      </c>
      <c r="P152" s="126">
        <f t="shared" si="145"/>
        <v>0</v>
      </c>
      <c r="Q152" s="126">
        <v>0</v>
      </c>
      <c r="R152" s="126"/>
      <c r="S152" s="126">
        <f t="shared" si="146"/>
        <v>0</v>
      </c>
      <c r="T152" s="126">
        <v>0</v>
      </c>
      <c r="U152" s="126">
        <v>0</v>
      </c>
      <c r="V152" s="126">
        <f>W152+Z152+AC152+AF152</f>
        <v>0</v>
      </c>
      <c r="W152" s="126">
        <f>X152+Y152</f>
        <v>0</v>
      </c>
      <c r="X152" s="126"/>
      <c r="Y152" s="126"/>
      <c r="Z152" s="126">
        <f t="shared" si="147"/>
        <v>0</v>
      </c>
      <c r="AA152" s="126"/>
      <c r="AB152" s="126"/>
      <c r="AC152" s="126">
        <f t="shared" si="148"/>
        <v>0</v>
      </c>
      <c r="AD152" s="126"/>
      <c r="AE152" s="126"/>
      <c r="AF152" s="126">
        <f t="shared" si="149"/>
        <v>0</v>
      </c>
      <c r="AG152" s="126"/>
      <c r="AH152" s="126"/>
      <c r="AI152" s="126">
        <f t="shared" si="86"/>
        <v>600.6</v>
      </c>
      <c r="AJ152" s="126">
        <f t="shared" si="139"/>
        <v>600.6</v>
      </c>
      <c r="AK152" s="126">
        <f t="shared" si="139"/>
        <v>0</v>
      </c>
      <c r="AL152" s="126">
        <f t="shared" si="140"/>
        <v>0</v>
      </c>
      <c r="AM152" s="126">
        <f t="shared" si="140"/>
        <v>0</v>
      </c>
      <c r="AN152" s="126"/>
      <c r="AO152" s="130">
        <f t="shared" si="133"/>
        <v>0</v>
      </c>
      <c r="AP152" s="116"/>
    </row>
    <row r="153" spans="1:42" s="117" customFormat="1" ht="14" hidden="1" outlineLevel="1">
      <c r="A153" s="154" t="s">
        <v>185</v>
      </c>
      <c r="B153" s="147" t="s">
        <v>601</v>
      </c>
      <c r="C153" s="155">
        <f t="shared" ref="C153:AM153" si="150">SUM(C154:C156)</f>
        <v>250</v>
      </c>
      <c r="D153" s="155">
        <f t="shared" si="150"/>
        <v>0</v>
      </c>
      <c r="E153" s="155">
        <f t="shared" si="150"/>
        <v>250</v>
      </c>
      <c r="F153" s="155">
        <f t="shared" si="150"/>
        <v>0</v>
      </c>
      <c r="G153" s="155">
        <f t="shared" si="150"/>
        <v>0</v>
      </c>
      <c r="H153" s="155">
        <f t="shared" si="150"/>
        <v>0</v>
      </c>
      <c r="I153" s="155">
        <f t="shared" si="150"/>
        <v>0</v>
      </c>
      <c r="J153" s="155">
        <f t="shared" si="150"/>
        <v>0</v>
      </c>
      <c r="K153" s="155">
        <f t="shared" si="150"/>
        <v>0</v>
      </c>
      <c r="L153" s="155">
        <f t="shared" si="150"/>
        <v>0</v>
      </c>
      <c r="M153" s="155">
        <f t="shared" si="150"/>
        <v>0</v>
      </c>
      <c r="N153" s="155">
        <f t="shared" si="150"/>
        <v>0</v>
      </c>
      <c r="O153" s="155">
        <f t="shared" si="150"/>
        <v>0</v>
      </c>
      <c r="P153" s="155">
        <f t="shared" si="150"/>
        <v>0</v>
      </c>
      <c r="Q153" s="155">
        <f t="shared" si="150"/>
        <v>0</v>
      </c>
      <c r="R153" s="155">
        <f t="shared" si="150"/>
        <v>0</v>
      </c>
      <c r="S153" s="155">
        <f t="shared" si="150"/>
        <v>0</v>
      </c>
      <c r="T153" s="155">
        <f t="shared" si="150"/>
        <v>0</v>
      </c>
      <c r="U153" s="155">
        <f t="shared" si="150"/>
        <v>0</v>
      </c>
      <c r="V153" s="155">
        <f t="shared" si="150"/>
        <v>0</v>
      </c>
      <c r="W153" s="155">
        <f t="shared" si="150"/>
        <v>0</v>
      </c>
      <c r="X153" s="155">
        <f t="shared" si="150"/>
        <v>0</v>
      </c>
      <c r="Y153" s="155">
        <f t="shared" si="150"/>
        <v>0</v>
      </c>
      <c r="Z153" s="155">
        <f t="shared" si="150"/>
        <v>0</v>
      </c>
      <c r="AA153" s="155">
        <f t="shared" si="150"/>
        <v>0</v>
      </c>
      <c r="AB153" s="155">
        <f t="shared" si="150"/>
        <v>0</v>
      </c>
      <c r="AC153" s="155">
        <f t="shared" si="150"/>
        <v>0</v>
      </c>
      <c r="AD153" s="155">
        <f t="shared" si="150"/>
        <v>0</v>
      </c>
      <c r="AE153" s="155">
        <f t="shared" si="150"/>
        <v>0</v>
      </c>
      <c r="AF153" s="155">
        <f t="shared" si="150"/>
        <v>0</v>
      </c>
      <c r="AG153" s="155">
        <f t="shared" si="150"/>
        <v>0</v>
      </c>
      <c r="AH153" s="155">
        <f t="shared" si="150"/>
        <v>0</v>
      </c>
      <c r="AI153" s="155">
        <f t="shared" si="86"/>
        <v>250</v>
      </c>
      <c r="AJ153" s="155">
        <f t="shared" si="150"/>
        <v>0</v>
      </c>
      <c r="AK153" s="155">
        <f t="shared" si="150"/>
        <v>250</v>
      </c>
      <c r="AL153" s="155">
        <f t="shared" si="150"/>
        <v>0</v>
      </c>
      <c r="AM153" s="155">
        <f t="shared" si="150"/>
        <v>0</v>
      </c>
      <c r="AN153" s="126"/>
      <c r="AO153" s="130">
        <f t="shared" si="133"/>
        <v>0</v>
      </c>
      <c r="AP153" s="116"/>
    </row>
    <row r="154" spans="1:42" s="157" customFormat="1" ht="14" hidden="1" outlineLevel="1">
      <c r="A154" s="136"/>
      <c r="B154" s="156" t="s">
        <v>602</v>
      </c>
      <c r="C154" s="126">
        <f t="shared" ref="C154:C184" si="151">SUM(D154:G154)</f>
        <v>0</v>
      </c>
      <c r="D154" s="126">
        <v>0</v>
      </c>
      <c r="E154" s="126">
        <v>0</v>
      </c>
      <c r="F154" s="126">
        <v>0</v>
      </c>
      <c r="G154" s="126">
        <v>0</v>
      </c>
      <c r="H154" s="126">
        <f>I154+L154</f>
        <v>0</v>
      </c>
      <c r="I154" s="126">
        <f>J154+K154</f>
        <v>0</v>
      </c>
      <c r="J154" s="126"/>
      <c r="K154" s="126">
        <v>0</v>
      </c>
      <c r="L154" s="126">
        <f>M154+N154</f>
        <v>0</v>
      </c>
      <c r="M154" s="126"/>
      <c r="N154" s="126"/>
      <c r="O154" s="126">
        <f>P154+S154</f>
        <v>0</v>
      </c>
      <c r="P154" s="126">
        <f>Q154+R154</f>
        <v>0</v>
      </c>
      <c r="Q154" s="126"/>
      <c r="R154" s="126"/>
      <c r="S154" s="126">
        <f>T154+U154</f>
        <v>0</v>
      </c>
      <c r="T154" s="126"/>
      <c r="U154" s="126"/>
      <c r="V154" s="126">
        <f>W154+Z154+AC154+AF154</f>
        <v>0</v>
      </c>
      <c r="W154" s="126">
        <f>X154+Y154</f>
        <v>0</v>
      </c>
      <c r="X154" s="126"/>
      <c r="Y154" s="126"/>
      <c r="Z154" s="126">
        <f>AA154+AB154</f>
        <v>0</v>
      </c>
      <c r="AA154" s="126"/>
      <c r="AB154" s="126"/>
      <c r="AC154" s="126">
        <f t="shared" si="148"/>
        <v>0</v>
      </c>
      <c r="AD154" s="126"/>
      <c r="AE154" s="126"/>
      <c r="AF154" s="126">
        <f t="shared" si="149"/>
        <v>0</v>
      </c>
      <c r="AG154" s="126"/>
      <c r="AH154" s="126"/>
      <c r="AI154" s="126">
        <f t="shared" ref="AI154:AI186" si="152">SUM(AJ154:AM154)</f>
        <v>0</v>
      </c>
      <c r="AJ154" s="126">
        <f t="shared" si="139"/>
        <v>0</v>
      </c>
      <c r="AK154" s="126">
        <f t="shared" si="139"/>
        <v>0</v>
      </c>
      <c r="AL154" s="126">
        <f t="shared" si="140"/>
        <v>0</v>
      </c>
      <c r="AM154" s="126">
        <f t="shared" si="140"/>
        <v>0</v>
      </c>
      <c r="AN154" s="126"/>
      <c r="AO154" s="130">
        <f t="shared" si="133"/>
        <v>0</v>
      </c>
      <c r="AP154" s="116"/>
    </row>
    <row r="155" spans="1:42" s="117" customFormat="1" ht="14" hidden="1" outlineLevel="1">
      <c r="A155" s="136"/>
      <c r="B155" s="156" t="s">
        <v>603</v>
      </c>
      <c r="C155" s="126">
        <f t="shared" si="151"/>
        <v>0</v>
      </c>
      <c r="D155" s="126">
        <v>0</v>
      </c>
      <c r="E155" s="126">
        <v>0</v>
      </c>
      <c r="F155" s="126">
        <v>0</v>
      </c>
      <c r="G155" s="126">
        <f>250-250</f>
        <v>0</v>
      </c>
      <c r="H155" s="126">
        <f>I155+L155</f>
        <v>0</v>
      </c>
      <c r="I155" s="126">
        <f>J155+K155</f>
        <v>0</v>
      </c>
      <c r="J155" s="126"/>
      <c r="K155" s="126"/>
      <c r="L155" s="126">
        <f>M155+N155</f>
        <v>0</v>
      </c>
      <c r="M155" s="126"/>
      <c r="N155" s="126"/>
      <c r="O155" s="141">
        <f>P155+S155</f>
        <v>0</v>
      </c>
      <c r="P155" s="141">
        <f>Q155+R155</f>
        <v>0</v>
      </c>
      <c r="Q155" s="141"/>
      <c r="R155" s="141"/>
      <c r="S155" s="141">
        <f>T155+U155</f>
        <v>0</v>
      </c>
      <c r="T155" s="126"/>
      <c r="U155" s="126"/>
      <c r="V155" s="126"/>
      <c r="W155" s="126"/>
      <c r="X155" s="126"/>
      <c r="Y155" s="126"/>
      <c r="Z155" s="126"/>
      <c r="AA155" s="126"/>
      <c r="AB155" s="126"/>
      <c r="AC155" s="126"/>
      <c r="AD155" s="126"/>
      <c r="AE155" s="126"/>
      <c r="AF155" s="126"/>
      <c r="AG155" s="126"/>
      <c r="AH155" s="126"/>
      <c r="AI155" s="126">
        <f t="shared" ref="AI155" si="153">SUM(AJ155:AM155)</f>
        <v>0</v>
      </c>
      <c r="AJ155" s="126">
        <f t="shared" si="139"/>
        <v>0</v>
      </c>
      <c r="AK155" s="126">
        <f t="shared" si="139"/>
        <v>0</v>
      </c>
      <c r="AL155" s="126">
        <f t="shared" si="140"/>
        <v>0</v>
      </c>
      <c r="AM155" s="126">
        <f t="shared" si="140"/>
        <v>0</v>
      </c>
      <c r="AN155" s="126"/>
      <c r="AO155" s="130">
        <f t="shared" si="133"/>
        <v>0</v>
      </c>
      <c r="AP155" s="116"/>
    </row>
    <row r="156" spans="1:42" s="117" customFormat="1" ht="14" hidden="1" outlineLevel="1">
      <c r="A156" s="136"/>
      <c r="B156" s="156" t="s">
        <v>604</v>
      </c>
      <c r="C156" s="126">
        <f t="shared" si="151"/>
        <v>250</v>
      </c>
      <c r="D156" s="126">
        <v>0</v>
      </c>
      <c r="E156" s="126">
        <f>250</f>
        <v>250</v>
      </c>
      <c r="F156" s="126">
        <v>0</v>
      </c>
      <c r="G156" s="126">
        <f>250-250</f>
        <v>0</v>
      </c>
      <c r="H156" s="126">
        <f>I156+L156</f>
        <v>0</v>
      </c>
      <c r="I156" s="126">
        <f>J156+K156</f>
        <v>0</v>
      </c>
      <c r="J156" s="126"/>
      <c r="K156" s="126"/>
      <c r="L156" s="126">
        <f>M156+N156</f>
        <v>0</v>
      </c>
      <c r="M156" s="126"/>
      <c r="N156" s="126"/>
      <c r="O156" s="141">
        <f>P156+S156</f>
        <v>0</v>
      </c>
      <c r="P156" s="141">
        <f>Q156+R156</f>
        <v>0</v>
      </c>
      <c r="Q156" s="141"/>
      <c r="R156" s="141"/>
      <c r="S156" s="141">
        <f>T156+U156</f>
        <v>0</v>
      </c>
      <c r="T156" s="126"/>
      <c r="U156" s="126"/>
      <c r="V156" s="126"/>
      <c r="W156" s="126"/>
      <c r="X156" s="126"/>
      <c r="Y156" s="126"/>
      <c r="Z156" s="126"/>
      <c r="AA156" s="126"/>
      <c r="AB156" s="126"/>
      <c r="AC156" s="126"/>
      <c r="AD156" s="126"/>
      <c r="AE156" s="126"/>
      <c r="AF156" s="126"/>
      <c r="AG156" s="126"/>
      <c r="AH156" s="126"/>
      <c r="AI156" s="126">
        <f t="shared" si="152"/>
        <v>250</v>
      </c>
      <c r="AJ156" s="126">
        <f t="shared" si="139"/>
        <v>0</v>
      </c>
      <c r="AK156" s="126">
        <f t="shared" si="139"/>
        <v>250</v>
      </c>
      <c r="AL156" s="126">
        <f t="shared" si="140"/>
        <v>0</v>
      </c>
      <c r="AM156" s="126">
        <f t="shared" si="140"/>
        <v>0</v>
      </c>
      <c r="AN156" s="126"/>
      <c r="AO156" s="130">
        <f t="shared" si="133"/>
        <v>0</v>
      </c>
      <c r="AP156" s="116"/>
    </row>
    <row r="157" spans="1:42" s="117" customFormat="1" ht="28" hidden="1" outlineLevel="1">
      <c r="A157" s="154" t="s">
        <v>186</v>
      </c>
      <c r="B157" s="147" t="s">
        <v>605</v>
      </c>
      <c r="C157" s="155">
        <f>SUM(C159:C159)</f>
        <v>7.9329999999999901</v>
      </c>
      <c r="D157" s="155">
        <f>SUM(D159:D159)</f>
        <v>0</v>
      </c>
      <c r="E157" s="155">
        <f>SUM(E159:E159)</f>
        <v>7.9329999999999901</v>
      </c>
      <c r="F157" s="155">
        <f>SUM(F159:F159)</f>
        <v>0</v>
      </c>
      <c r="G157" s="155">
        <f>SUM(G159:G159)</f>
        <v>0</v>
      </c>
      <c r="H157" s="155">
        <f t="shared" ref="H157:AH157" si="154">SUM(H159:H159)</f>
        <v>0</v>
      </c>
      <c r="I157" s="155">
        <f t="shared" si="154"/>
        <v>0</v>
      </c>
      <c r="J157" s="155">
        <f t="shared" si="154"/>
        <v>0</v>
      </c>
      <c r="K157" s="155">
        <f t="shared" si="154"/>
        <v>0</v>
      </c>
      <c r="L157" s="155">
        <f t="shared" si="154"/>
        <v>0</v>
      </c>
      <c r="M157" s="155">
        <f t="shared" si="154"/>
        <v>0</v>
      </c>
      <c r="N157" s="155">
        <f t="shared" si="154"/>
        <v>0</v>
      </c>
      <c r="O157" s="155">
        <f t="shared" si="154"/>
        <v>0</v>
      </c>
      <c r="P157" s="155">
        <f t="shared" si="154"/>
        <v>0</v>
      </c>
      <c r="Q157" s="155">
        <f t="shared" si="154"/>
        <v>0</v>
      </c>
      <c r="R157" s="155">
        <f t="shared" si="154"/>
        <v>0</v>
      </c>
      <c r="S157" s="155">
        <f t="shared" si="154"/>
        <v>0</v>
      </c>
      <c r="T157" s="155">
        <f t="shared" si="154"/>
        <v>0</v>
      </c>
      <c r="U157" s="155">
        <f t="shared" si="154"/>
        <v>0</v>
      </c>
      <c r="V157" s="155">
        <f t="shared" si="154"/>
        <v>0</v>
      </c>
      <c r="W157" s="155">
        <f t="shared" si="154"/>
        <v>0</v>
      </c>
      <c r="X157" s="155">
        <f t="shared" si="154"/>
        <v>0</v>
      </c>
      <c r="Y157" s="155">
        <f t="shared" si="154"/>
        <v>0</v>
      </c>
      <c r="Z157" s="155">
        <f t="shared" si="154"/>
        <v>0</v>
      </c>
      <c r="AA157" s="155">
        <f t="shared" si="154"/>
        <v>0</v>
      </c>
      <c r="AB157" s="155">
        <f t="shared" si="154"/>
        <v>0</v>
      </c>
      <c r="AC157" s="155">
        <f t="shared" si="154"/>
        <v>0</v>
      </c>
      <c r="AD157" s="155">
        <f t="shared" si="154"/>
        <v>0</v>
      </c>
      <c r="AE157" s="155">
        <f t="shared" si="154"/>
        <v>0</v>
      </c>
      <c r="AF157" s="155">
        <f t="shared" si="154"/>
        <v>0</v>
      </c>
      <c r="AG157" s="155">
        <f t="shared" si="154"/>
        <v>0</v>
      </c>
      <c r="AH157" s="155">
        <f t="shared" si="154"/>
        <v>0</v>
      </c>
      <c r="AI157" s="155">
        <f t="shared" si="152"/>
        <v>7.9329999999999901</v>
      </c>
      <c r="AJ157" s="155">
        <f t="shared" si="139"/>
        <v>0</v>
      </c>
      <c r="AK157" s="155">
        <f t="shared" si="139"/>
        <v>7.9329999999999901</v>
      </c>
      <c r="AL157" s="155">
        <f t="shared" si="140"/>
        <v>0</v>
      </c>
      <c r="AM157" s="155">
        <f t="shared" si="140"/>
        <v>0</v>
      </c>
      <c r="AN157" s="126"/>
      <c r="AO157" s="130">
        <f t="shared" si="133"/>
        <v>0</v>
      </c>
      <c r="AP157" s="116"/>
    </row>
    <row r="158" spans="1:42" s="117" customFormat="1" ht="14" hidden="1" outlineLevel="1">
      <c r="A158" s="136"/>
      <c r="B158" s="156" t="s">
        <v>606</v>
      </c>
      <c r="C158" s="126">
        <f t="shared" ref="C158" si="155">SUM(D158:G158)</f>
        <v>0</v>
      </c>
      <c r="D158" s="126">
        <v>0</v>
      </c>
      <c r="E158" s="126">
        <v>0</v>
      </c>
      <c r="F158" s="126">
        <v>0</v>
      </c>
      <c r="G158" s="126">
        <f>7.93299999999999-7.93299999999999</f>
        <v>0</v>
      </c>
      <c r="H158" s="126">
        <f>I158+L158</f>
        <v>0</v>
      </c>
      <c r="I158" s="126">
        <f>J158+K158</f>
        <v>0</v>
      </c>
      <c r="J158" s="126"/>
      <c r="K158" s="126"/>
      <c r="L158" s="126">
        <f>M158+N158</f>
        <v>0</v>
      </c>
      <c r="M158" s="126"/>
      <c r="N158" s="155"/>
      <c r="O158" s="141">
        <f>P158+S158</f>
        <v>0</v>
      </c>
      <c r="P158" s="141">
        <f>Q158+R158</f>
        <v>0</v>
      </c>
      <c r="Q158" s="141"/>
      <c r="R158" s="141"/>
      <c r="S158" s="141">
        <f>T158+U158</f>
        <v>0</v>
      </c>
      <c r="T158" s="126"/>
      <c r="U158" s="126"/>
      <c r="V158" s="126">
        <f>W158+Z158+AC158+AF158</f>
        <v>0</v>
      </c>
      <c r="W158" s="126">
        <f>X158+Y158</f>
        <v>0</v>
      </c>
      <c r="X158" s="126"/>
      <c r="Y158" s="126"/>
      <c r="Z158" s="126"/>
      <c r="AA158" s="126"/>
      <c r="AB158" s="126"/>
      <c r="AC158" s="126"/>
      <c r="AD158" s="126"/>
      <c r="AE158" s="126"/>
      <c r="AF158" s="126"/>
      <c r="AG158" s="126"/>
      <c r="AH158" s="126"/>
      <c r="AI158" s="126">
        <f t="shared" ref="AI158" si="156">SUM(AJ158:AM158)</f>
        <v>0</v>
      </c>
      <c r="AJ158" s="126">
        <f t="shared" si="139"/>
        <v>0</v>
      </c>
      <c r="AK158" s="126">
        <f t="shared" si="139"/>
        <v>0</v>
      </c>
      <c r="AL158" s="126">
        <f t="shared" si="140"/>
        <v>0</v>
      </c>
      <c r="AM158" s="126">
        <f t="shared" si="140"/>
        <v>0</v>
      </c>
      <c r="AN158" s="126"/>
      <c r="AO158" s="130">
        <f t="shared" si="133"/>
        <v>0</v>
      </c>
      <c r="AP158" s="116"/>
    </row>
    <row r="159" spans="1:42" s="117" customFormat="1" ht="14" hidden="1" outlineLevel="1">
      <c r="A159" s="136"/>
      <c r="B159" s="156" t="s">
        <v>604</v>
      </c>
      <c r="C159" s="126">
        <f t="shared" si="151"/>
        <v>7.9329999999999901</v>
      </c>
      <c r="D159" s="126">
        <v>0</v>
      </c>
      <c r="E159" s="126">
        <f>7.93299999999999</f>
        <v>7.9329999999999901</v>
      </c>
      <c r="F159" s="126">
        <v>0</v>
      </c>
      <c r="G159" s="126">
        <f>7.93299999999999-7.93299999999999</f>
        <v>0</v>
      </c>
      <c r="H159" s="126">
        <f>I159+L159</f>
        <v>0</v>
      </c>
      <c r="I159" s="126">
        <f>J159+K159</f>
        <v>0</v>
      </c>
      <c r="J159" s="126"/>
      <c r="K159" s="126"/>
      <c r="L159" s="126">
        <f>M159+N159</f>
        <v>0</v>
      </c>
      <c r="M159" s="126"/>
      <c r="N159" s="155"/>
      <c r="O159" s="141">
        <f>P159+S159</f>
        <v>0</v>
      </c>
      <c r="P159" s="141">
        <f>Q159+R159</f>
        <v>0</v>
      </c>
      <c r="Q159" s="141"/>
      <c r="R159" s="141"/>
      <c r="S159" s="141">
        <f>T159+U159</f>
        <v>0</v>
      </c>
      <c r="T159" s="126"/>
      <c r="U159" s="126"/>
      <c r="V159" s="126">
        <f>W159+Z159+AC159+AF159</f>
        <v>0</v>
      </c>
      <c r="W159" s="126">
        <f>X159+Y159</f>
        <v>0</v>
      </c>
      <c r="X159" s="126"/>
      <c r="Y159" s="126"/>
      <c r="Z159" s="126"/>
      <c r="AA159" s="126"/>
      <c r="AB159" s="126"/>
      <c r="AC159" s="126"/>
      <c r="AD159" s="126"/>
      <c r="AE159" s="126"/>
      <c r="AF159" s="126"/>
      <c r="AG159" s="126"/>
      <c r="AH159" s="126"/>
      <c r="AI159" s="126">
        <f t="shared" si="152"/>
        <v>7.9329999999999901</v>
      </c>
      <c r="AJ159" s="126">
        <f t="shared" si="139"/>
        <v>0</v>
      </c>
      <c r="AK159" s="126">
        <f t="shared" si="139"/>
        <v>7.9329999999999901</v>
      </c>
      <c r="AL159" s="126">
        <f t="shared" si="140"/>
        <v>0</v>
      </c>
      <c r="AM159" s="126">
        <f t="shared" si="140"/>
        <v>0</v>
      </c>
      <c r="AN159" s="126"/>
      <c r="AO159" s="130">
        <f t="shared" si="133"/>
        <v>0</v>
      </c>
      <c r="AP159" s="116"/>
    </row>
    <row r="160" spans="1:42" s="161" customFormat="1" ht="14" collapsed="1">
      <c r="A160" s="133" t="s">
        <v>9</v>
      </c>
      <c r="B160" s="158" t="s">
        <v>607</v>
      </c>
      <c r="C160" s="145">
        <f t="shared" ref="C160:AM160" si="157">C161+C198</f>
        <v>783472.34417700011</v>
      </c>
      <c r="D160" s="145">
        <f t="shared" si="157"/>
        <v>783309.34417700011</v>
      </c>
      <c r="E160" s="145">
        <f t="shared" si="157"/>
        <v>0</v>
      </c>
      <c r="F160" s="145">
        <f t="shared" si="157"/>
        <v>163</v>
      </c>
      <c r="G160" s="145">
        <f t="shared" si="157"/>
        <v>0</v>
      </c>
      <c r="H160" s="145">
        <f t="shared" si="157"/>
        <v>1235849.8799999999</v>
      </c>
      <c r="I160" s="145">
        <f t="shared" si="157"/>
        <v>1235849.8799999999</v>
      </c>
      <c r="J160" s="145">
        <f t="shared" si="157"/>
        <v>1235849.8799999999</v>
      </c>
      <c r="K160" s="145">
        <f t="shared" si="157"/>
        <v>0</v>
      </c>
      <c r="L160" s="145">
        <f t="shared" si="157"/>
        <v>0</v>
      </c>
      <c r="M160" s="145">
        <f t="shared" si="157"/>
        <v>0</v>
      </c>
      <c r="N160" s="145">
        <f t="shared" si="157"/>
        <v>0</v>
      </c>
      <c r="O160" s="145">
        <f t="shared" si="157"/>
        <v>924662.66629099986</v>
      </c>
      <c r="P160" s="145">
        <f t="shared" si="157"/>
        <v>924499.66629099986</v>
      </c>
      <c r="Q160" s="145">
        <f t="shared" si="157"/>
        <v>924499.66629099986</v>
      </c>
      <c r="R160" s="145">
        <f t="shared" si="157"/>
        <v>0</v>
      </c>
      <c r="S160" s="145">
        <f t="shared" si="157"/>
        <v>163</v>
      </c>
      <c r="T160" s="145">
        <f t="shared" si="157"/>
        <v>163</v>
      </c>
      <c r="U160" s="145">
        <f t="shared" si="157"/>
        <v>0</v>
      </c>
      <c r="V160" s="145">
        <f t="shared" si="157"/>
        <v>130.2909429999994</v>
      </c>
      <c r="W160" s="145">
        <f t="shared" si="157"/>
        <v>130.2909429999994</v>
      </c>
      <c r="X160" s="145">
        <f t="shared" si="157"/>
        <v>130.2909429999994</v>
      </c>
      <c r="Y160" s="145">
        <f t="shared" si="157"/>
        <v>0</v>
      </c>
      <c r="Z160" s="145">
        <f t="shared" si="157"/>
        <v>0</v>
      </c>
      <c r="AA160" s="145">
        <f t="shared" si="157"/>
        <v>0</v>
      </c>
      <c r="AB160" s="145">
        <f t="shared" si="157"/>
        <v>0</v>
      </c>
      <c r="AC160" s="145">
        <f t="shared" si="157"/>
        <v>0</v>
      </c>
      <c r="AD160" s="145">
        <f t="shared" si="157"/>
        <v>0</v>
      </c>
      <c r="AE160" s="145">
        <f t="shared" si="157"/>
        <v>0</v>
      </c>
      <c r="AF160" s="145">
        <f t="shared" si="157"/>
        <v>0</v>
      </c>
      <c r="AG160" s="145">
        <f t="shared" si="157"/>
        <v>0</v>
      </c>
      <c r="AH160" s="145">
        <f t="shared" si="157"/>
        <v>0</v>
      </c>
      <c r="AI160" s="145">
        <f t="shared" si="157"/>
        <v>1019071.805951</v>
      </c>
      <c r="AJ160" s="145">
        <f t="shared" si="157"/>
        <v>1019071.805951</v>
      </c>
      <c r="AK160" s="145">
        <f t="shared" si="157"/>
        <v>0</v>
      </c>
      <c r="AL160" s="145">
        <f t="shared" si="157"/>
        <v>0</v>
      </c>
      <c r="AM160" s="145">
        <f t="shared" si="157"/>
        <v>0</v>
      </c>
      <c r="AN160" s="126"/>
      <c r="AO160" s="159">
        <f t="shared" si="133"/>
        <v>75457.460992000299</v>
      </c>
      <c r="AP160" s="160" t="s">
        <v>608</v>
      </c>
    </row>
    <row r="161" spans="1:42" s="161" customFormat="1" ht="22.5" customHeight="1">
      <c r="A161" s="133" t="s">
        <v>609</v>
      </c>
      <c r="B161" s="162" t="s">
        <v>558</v>
      </c>
      <c r="C161" s="135">
        <f t="shared" ref="C161:AM161" si="158">C162+C191</f>
        <v>775480.49002700008</v>
      </c>
      <c r="D161" s="135">
        <f t="shared" si="158"/>
        <v>775317.49002700008</v>
      </c>
      <c r="E161" s="135">
        <f t="shared" si="158"/>
        <v>0</v>
      </c>
      <c r="F161" s="135">
        <f t="shared" si="158"/>
        <v>163</v>
      </c>
      <c r="G161" s="135">
        <f t="shared" si="158"/>
        <v>0</v>
      </c>
      <c r="H161" s="135">
        <f t="shared" si="158"/>
        <v>849949.88</v>
      </c>
      <c r="I161" s="135">
        <f t="shared" si="158"/>
        <v>849949.88</v>
      </c>
      <c r="J161" s="135">
        <f t="shared" si="158"/>
        <v>849949.88</v>
      </c>
      <c r="K161" s="135">
        <f t="shared" si="158"/>
        <v>0</v>
      </c>
      <c r="L161" s="135">
        <f t="shared" si="158"/>
        <v>0</v>
      </c>
      <c r="M161" s="135">
        <f t="shared" si="158"/>
        <v>0</v>
      </c>
      <c r="N161" s="135">
        <f t="shared" si="158"/>
        <v>0</v>
      </c>
      <c r="O161" s="135">
        <f t="shared" si="158"/>
        <v>782880.11561399989</v>
      </c>
      <c r="P161" s="135">
        <f t="shared" si="158"/>
        <v>782717.11561399989</v>
      </c>
      <c r="Q161" s="135">
        <f t="shared" si="158"/>
        <v>782717.11561399989</v>
      </c>
      <c r="R161" s="135">
        <f t="shared" si="158"/>
        <v>0</v>
      </c>
      <c r="S161" s="135">
        <f t="shared" si="158"/>
        <v>163</v>
      </c>
      <c r="T161" s="135">
        <f t="shared" si="158"/>
        <v>163</v>
      </c>
      <c r="U161" s="135">
        <f t="shared" si="158"/>
        <v>0</v>
      </c>
      <c r="V161" s="135">
        <f t="shared" si="158"/>
        <v>130.2909429999994</v>
      </c>
      <c r="W161" s="135">
        <f t="shared" si="158"/>
        <v>130.2909429999994</v>
      </c>
      <c r="X161" s="135">
        <f t="shared" si="158"/>
        <v>130.2909429999994</v>
      </c>
      <c r="Y161" s="135">
        <f t="shared" si="158"/>
        <v>0</v>
      </c>
      <c r="Z161" s="135">
        <f t="shared" si="158"/>
        <v>0</v>
      </c>
      <c r="AA161" s="135">
        <f t="shared" si="158"/>
        <v>0</v>
      </c>
      <c r="AB161" s="135">
        <f t="shared" si="158"/>
        <v>0</v>
      </c>
      <c r="AC161" s="135">
        <f t="shared" si="158"/>
        <v>0</v>
      </c>
      <c r="AD161" s="135">
        <f t="shared" si="158"/>
        <v>0</v>
      </c>
      <c r="AE161" s="135">
        <f t="shared" si="158"/>
        <v>0</v>
      </c>
      <c r="AF161" s="135">
        <f t="shared" si="158"/>
        <v>0</v>
      </c>
      <c r="AG161" s="135">
        <f t="shared" si="158"/>
        <v>0</v>
      </c>
      <c r="AH161" s="135">
        <f t="shared" si="158"/>
        <v>0</v>
      </c>
      <c r="AI161" s="135">
        <f t="shared" si="158"/>
        <v>773767.95289699989</v>
      </c>
      <c r="AJ161" s="135">
        <f t="shared" si="158"/>
        <v>773767.95289699989</v>
      </c>
      <c r="AK161" s="135">
        <f t="shared" si="158"/>
        <v>0</v>
      </c>
      <c r="AL161" s="135">
        <f t="shared" si="158"/>
        <v>0</v>
      </c>
      <c r="AM161" s="135">
        <f t="shared" si="158"/>
        <v>0</v>
      </c>
      <c r="AN161" s="126"/>
      <c r="AO161" s="130">
        <f t="shared" si="133"/>
        <v>68652.010573000298</v>
      </c>
      <c r="AP161" s="131"/>
    </row>
    <row r="162" spans="1:42" s="161" customFormat="1" ht="14">
      <c r="A162" s="133" t="s">
        <v>446</v>
      </c>
      <c r="B162" s="162" t="s">
        <v>610</v>
      </c>
      <c r="C162" s="135">
        <f t="shared" ref="C162:AM162" si="159">SUM(C163:C186)+C190</f>
        <v>728754.22320900008</v>
      </c>
      <c r="D162" s="135">
        <f t="shared" si="159"/>
        <v>728591.22320900008</v>
      </c>
      <c r="E162" s="135">
        <f t="shared" si="159"/>
        <v>0</v>
      </c>
      <c r="F162" s="135">
        <f t="shared" si="159"/>
        <v>163</v>
      </c>
      <c r="G162" s="135">
        <f t="shared" si="159"/>
        <v>0</v>
      </c>
      <c r="H162" s="135">
        <f t="shared" si="159"/>
        <v>424149.88</v>
      </c>
      <c r="I162" s="135">
        <f t="shared" si="159"/>
        <v>424149.88</v>
      </c>
      <c r="J162" s="135">
        <f t="shared" si="159"/>
        <v>424149.88</v>
      </c>
      <c r="K162" s="135">
        <f t="shared" si="159"/>
        <v>0</v>
      </c>
      <c r="L162" s="135">
        <f t="shared" si="159"/>
        <v>0</v>
      </c>
      <c r="M162" s="135">
        <f t="shared" si="159"/>
        <v>0</v>
      </c>
      <c r="N162" s="135">
        <f t="shared" si="159"/>
        <v>0</v>
      </c>
      <c r="O162" s="135">
        <f t="shared" si="159"/>
        <v>551310.21043799992</v>
      </c>
      <c r="P162" s="135">
        <f t="shared" si="159"/>
        <v>551147.21043799992</v>
      </c>
      <c r="Q162" s="135">
        <f t="shared" si="159"/>
        <v>551147.21043799992</v>
      </c>
      <c r="R162" s="135">
        <f t="shared" si="159"/>
        <v>0</v>
      </c>
      <c r="S162" s="135">
        <f t="shared" si="159"/>
        <v>163</v>
      </c>
      <c r="T162" s="135">
        <f t="shared" si="159"/>
        <v>163</v>
      </c>
      <c r="U162" s="135">
        <f t="shared" si="159"/>
        <v>0</v>
      </c>
      <c r="V162" s="135">
        <f t="shared" si="159"/>
        <v>130.2909429999994</v>
      </c>
      <c r="W162" s="135">
        <f t="shared" si="159"/>
        <v>130.2909429999994</v>
      </c>
      <c r="X162" s="135">
        <f t="shared" si="159"/>
        <v>130.2909429999994</v>
      </c>
      <c r="Y162" s="135">
        <f t="shared" si="159"/>
        <v>0</v>
      </c>
      <c r="Z162" s="135">
        <f t="shared" si="159"/>
        <v>0</v>
      </c>
      <c r="AA162" s="135">
        <f t="shared" si="159"/>
        <v>0</v>
      </c>
      <c r="AB162" s="135">
        <f t="shared" si="159"/>
        <v>0</v>
      </c>
      <c r="AC162" s="135">
        <f t="shared" si="159"/>
        <v>0</v>
      </c>
      <c r="AD162" s="135">
        <f t="shared" si="159"/>
        <v>0</v>
      </c>
      <c r="AE162" s="135">
        <f t="shared" si="159"/>
        <v>0</v>
      </c>
      <c r="AF162" s="135">
        <f t="shared" si="159"/>
        <v>0</v>
      </c>
      <c r="AG162" s="135">
        <f t="shared" si="159"/>
        <v>0</v>
      </c>
      <c r="AH162" s="135">
        <f t="shared" si="159"/>
        <v>0</v>
      </c>
      <c r="AI162" s="135">
        <f t="shared" si="159"/>
        <v>601463.60182799993</v>
      </c>
      <c r="AJ162" s="135">
        <f t="shared" si="159"/>
        <v>601463.60182799993</v>
      </c>
      <c r="AK162" s="135">
        <f t="shared" si="159"/>
        <v>0</v>
      </c>
      <c r="AL162" s="135">
        <f t="shared" si="159"/>
        <v>0</v>
      </c>
      <c r="AM162" s="135">
        <f t="shared" si="159"/>
        <v>0</v>
      </c>
      <c r="AN162" s="135"/>
      <c r="AO162" s="130">
        <f t="shared" si="133"/>
        <v>0</v>
      </c>
      <c r="AP162" s="131"/>
    </row>
    <row r="163" spans="1:42" s="161" customFormat="1" ht="28" hidden="1" outlineLevel="1">
      <c r="A163" s="151" t="s">
        <v>318</v>
      </c>
      <c r="B163" s="163" t="s">
        <v>611</v>
      </c>
      <c r="C163" s="164">
        <f t="shared" si="151"/>
        <v>1852.886</v>
      </c>
      <c r="D163" s="164">
        <v>1852.886</v>
      </c>
      <c r="E163" s="164">
        <v>0</v>
      </c>
      <c r="F163" s="164">
        <v>0</v>
      </c>
      <c r="G163" s="164">
        <v>0</v>
      </c>
      <c r="H163" s="164">
        <f t="shared" ref="H163:H185" si="160">I163+L163</f>
        <v>210797</v>
      </c>
      <c r="I163" s="164">
        <f>J163+K163</f>
        <v>210797</v>
      </c>
      <c r="J163" s="164">
        <v>210797</v>
      </c>
      <c r="K163" s="164"/>
      <c r="L163" s="164"/>
      <c r="M163" s="164"/>
      <c r="N163" s="164"/>
      <c r="O163" s="164">
        <f t="shared" ref="O163:O185" si="161">P163+S163</f>
        <v>199628.34445999999</v>
      </c>
      <c r="P163" s="164">
        <f>Q163+R163</f>
        <v>199628.34445999999</v>
      </c>
      <c r="Q163" s="164">
        <v>199628.34445999999</v>
      </c>
      <c r="R163" s="164"/>
      <c r="S163" s="164"/>
      <c r="T163" s="164"/>
      <c r="U163" s="164"/>
      <c r="V163" s="164">
        <f t="shared" ref="V163:V184" si="162">W163+Z163+AC163+AF163</f>
        <v>0</v>
      </c>
      <c r="W163" s="164">
        <f t="shared" ref="W163:W182" si="163">X163+Y163</f>
        <v>0</v>
      </c>
      <c r="X163" s="164"/>
      <c r="Y163" s="164"/>
      <c r="Z163" s="164">
        <f t="shared" ref="Z163:Z182" si="164">AA163+AB163</f>
        <v>0</v>
      </c>
      <c r="AA163" s="164"/>
      <c r="AB163" s="164"/>
      <c r="AC163" s="164">
        <f t="shared" ref="AC163:AC184" si="165">AD163+AE163</f>
        <v>0</v>
      </c>
      <c r="AD163" s="164"/>
      <c r="AE163" s="164"/>
      <c r="AF163" s="164">
        <f t="shared" ref="AF163:AF184" si="166">AG163+AH163</f>
        <v>0</v>
      </c>
      <c r="AG163" s="164"/>
      <c r="AH163" s="164"/>
      <c r="AI163" s="164">
        <f t="shared" si="152"/>
        <v>13021.541540000006</v>
      </c>
      <c r="AJ163" s="164">
        <f t="shared" ref="AJ163:AK200" si="167">D163+J163-Q163-X163-AD163</f>
        <v>13021.541540000006</v>
      </c>
      <c r="AK163" s="164">
        <f t="shared" si="167"/>
        <v>0</v>
      </c>
      <c r="AL163" s="164">
        <f t="shared" ref="AL163:AM200" si="168">F163+M163-T163-AA163-AG163</f>
        <v>0</v>
      </c>
      <c r="AM163" s="164">
        <f t="shared" si="168"/>
        <v>0</v>
      </c>
      <c r="AN163" s="126"/>
      <c r="AO163" s="130">
        <f t="shared" si="133"/>
        <v>0</v>
      </c>
      <c r="AP163" s="131"/>
    </row>
    <row r="164" spans="1:42" s="161" customFormat="1" ht="28" hidden="1" outlineLevel="1">
      <c r="A164" s="151">
        <v>2</v>
      </c>
      <c r="B164" s="163" t="s">
        <v>612</v>
      </c>
      <c r="C164" s="164">
        <f t="shared" si="151"/>
        <v>1000</v>
      </c>
      <c r="D164" s="164">
        <v>1000</v>
      </c>
      <c r="E164" s="164">
        <v>0</v>
      </c>
      <c r="F164" s="164">
        <v>0</v>
      </c>
      <c r="G164" s="164">
        <v>0</v>
      </c>
      <c r="H164" s="164">
        <f t="shared" si="160"/>
        <v>48398</v>
      </c>
      <c r="I164" s="164">
        <f>J164+K164</f>
        <v>48398</v>
      </c>
      <c r="J164" s="164">
        <v>48398</v>
      </c>
      <c r="K164" s="164"/>
      <c r="L164" s="164"/>
      <c r="M164" s="164"/>
      <c r="N164" s="164"/>
      <c r="O164" s="164">
        <f t="shared" si="161"/>
        <v>48398</v>
      </c>
      <c r="P164" s="164">
        <f t="shared" ref="P164:P185" si="169">Q164+R164</f>
        <v>48398</v>
      </c>
      <c r="Q164" s="164">
        <v>48398</v>
      </c>
      <c r="R164" s="164"/>
      <c r="S164" s="164"/>
      <c r="T164" s="164"/>
      <c r="U164" s="164"/>
      <c r="V164" s="164">
        <f t="shared" si="162"/>
        <v>0</v>
      </c>
      <c r="W164" s="164">
        <f t="shared" si="163"/>
        <v>0</v>
      </c>
      <c r="X164" s="164"/>
      <c r="Y164" s="164"/>
      <c r="Z164" s="164">
        <f t="shared" si="164"/>
        <v>0</v>
      </c>
      <c r="AA164" s="164"/>
      <c r="AB164" s="164"/>
      <c r="AC164" s="164">
        <f t="shared" si="165"/>
        <v>0</v>
      </c>
      <c r="AD164" s="164"/>
      <c r="AE164" s="164"/>
      <c r="AF164" s="164">
        <f t="shared" si="166"/>
        <v>0</v>
      </c>
      <c r="AG164" s="164"/>
      <c r="AH164" s="164"/>
      <c r="AI164" s="164">
        <f t="shared" si="152"/>
        <v>1000</v>
      </c>
      <c r="AJ164" s="164">
        <f t="shared" si="167"/>
        <v>1000</v>
      </c>
      <c r="AK164" s="164">
        <f t="shared" si="167"/>
        <v>0</v>
      </c>
      <c r="AL164" s="164">
        <f t="shared" si="168"/>
        <v>0</v>
      </c>
      <c r="AM164" s="164">
        <f t="shared" si="168"/>
        <v>0</v>
      </c>
      <c r="AN164" s="126"/>
      <c r="AO164" s="130">
        <f t="shared" si="133"/>
        <v>0</v>
      </c>
      <c r="AP164" s="131"/>
    </row>
    <row r="165" spans="1:42" s="161" customFormat="1" ht="28" hidden="1" outlineLevel="1">
      <c r="A165" s="151">
        <v>3</v>
      </c>
      <c r="B165" s="163" t="s">
        <v>613</v>
      </c>
      <c r="C165" s="164">
        <f t="shared" si="151"/>
        <v>0</v>
      </c>
      <c r="D165" s="164">
        <v>0</v>
      </c>
      <c r="E165" s="164">
        <v>0</v>
      </c>
      <c r="F165" s="164">
        <v>0</v>
      </c>
      <c r="G165" s="164">
        <v>0</v>
      </c>
      <c r="H165" s="164">
        <f t="shared" si="160"/>
        <v>0</v>
      </c>
      <c r="I165" s="164">
        <f t="shared" ref="I165:I185" si="170">J165+K165</f>
        <v>0</v>
      </c>
      <c r="J165" s="164"/>
      <c r="K165" s="164"/>
      <c r="L165" s="164"/>
      <c r="M165" s="164"/>
      <c r="N165" s="164"/>
      <c r="O165" s="164">
        <f t="shared" si="161"/>
        <v>0</v>
      </c>
      <c r="P165" s="164">
        <f t="shared" si="169"/>
        <v>0</v>
      </c>
      <c r="Q165" s="164"/>
      <c r="R165" s="164"/>
      <c r="S165" s="164"/>
      <c r="T165" s="164"/>
      <c r="U165" s="164"/>
      <c r="V165" s="164">
        <f t="shared" si="162"/>
        <v>0</v>
      </c>
      <c r="W165" s="164">
        <f t="shared" si="163"/>
        <v>0</v>
      </c>
      <c r="X165" s="164"/>
      <c r="Y165" s="164"/>
      <c r="Z165" s="164">
        <f t="shared" si="164"/>
        <v>0</v>
      </c>
      <c r="AA165" s="164"/>
      <c r="AB165" s="164"/>
      <c r="AC165" s="164">
        <f t="shared" si="165"/>
        <v>0</v>
      </c>
      <c r="AD165" s="164"/>
      <c r="AE165" s="164"/>
      <c r="AF165" s="164">
        <f t="shared" si="166"/>
        <v>0</v>
      </c>
      <c r="AG165" s="164"/>
      <c r="AH165" s="164"/>
      <c r="AI165" s="164">
        <f t="shared" si="152"/>
        <v>0</v>
      </c>
      <c r="AJ165" s="164">
        <f t="shared" si="167"/>
        <v>0</v>
      </c>
      <c r="AK165" s="164">
        <f t="shared" si="167"/>
        <v>0</v>
      </c>
      <c r="AL165" s="164">
        <f t="shared" si="168"/>
        <v>0</v>
      </c>
      <c r="AM165" s="164">
        <f t="shared" si="168"/>
        <v>0</v>
      </c>
      <c r="AN165" s="126"/>
      <c r="AO165" s="130">
        <f t="shared" si="133"/>
        <v>0</v>
      </c>
      <c r="AP165" s="131"/>
    </row>
    <row r="166" spans="1:42" s="161" customFormat="1" ht="14" hidden="1" outlineLevel="1">
      <c r="A166" s="151">
        <v>4</v>
      </c>
      <c r="B166" s="163" t="s">
        <v>614</v>
      </c>
      <c r="C166" s="164">
        <f t="shared" si="151"/>
        <v>0</v>
      </c>
      <c r="D166" s="164">
        <v>0</v>
      </c>
      <c r="E166" s="164">
        <v>0</v>
      </c>
      <c r="F166" s="164">
        <v>0</v>
      </c>
      <c r="G166" s="164">
        <v>0</v>
      </c>
      <c r="H166" s="164">
        <f t="shared" si="160"/>
        <v>0</v>
      </c>
      <c r="I166" s="164">
        <f t="shared" si="170"/>
        <v>0</v>
      </c>
      <c r="J166" s="164"/>
      <c r="K166" s="164"/>
      <c r="L166" s="164"/>
      <c r="M166" s="164"/>
      <c r="N166" s="164"/>
      <c r="O166" s="164">
        <f t="shared" si="161"/>
        <v>0</v>
      </c>
      <c r="P166" s="164">
        <f t="shared" si="169"/>
        <v>0</v>
      </c>
      <c r="Q166" s="164"/>
      <c r="R166" s="164"/>
      <c r="S166" s="164"/>
      <c r="T166" s="164"/>
      <c r="U166" s="164"/>
      <c r="V166" s="164">
        <f t="shared" si="162"/>
        <v>0</v>
      </c>
      <c r="W166" s="164">
        <f t="shared" si="163"/>
        <v>0</v>
      </c>
      <c r="X166" s="164"/>
      <c r="Y166" s="164"/>
      <c r="Z166" s="164">
        <f t="shared" si="164"/>
        <v>0</v>
      </c>
      <c r="AA166" s="164"/>
      <c r="AB166" s="164"/>
      <c r="AC166" s="164">
        <f t="shared" si="165"/>
        <v>0</v>
      </c>
      <c r="AD166" s="164"/>
      <c r="AE166" s="164"/>
      <c r="AF166" s="164">
        <f t="shared" si="166"/>
        <v>0</v>
      </c>
      <c r="AG166" s="164"/>
      <c r="AH166" s="164"/>
      <c r="AI166" s="164">
        <f t="shared" si="152"/>
        <v>0</v>
      </c>
      <c r="AJ166" s="164">
        <f t="shared" si="167"/>
        <v>0</v>
      </c>
      <c r="AK166" s="164">
        <f t="shared" si="167"/>
        <v>0</v>
      </c>
      <c r="AL166" s="164">
        <f t="shared" si="168"/>
        <v>0</v>
      </c>
      <c r="AM166" s="164">
        <f t="shared" si="168"/>
        <v>0</v>
      </c>
      <c r="AN166" s="126"/>
      <c r="AO166" s="130">
        <f t="shared" si="133"/>
        <v>0</v>
      </c>
      <c r="AP166" s="131"/>
    </row>
    <row r="167" spans="1:42" s="161" customFormat="1" ht="14" hidden="1" outlineLevel="1">
      <c r="A167" s="151">
        <v>3</v>
      </c>
      <c r="B167" s="163" t="s">
        <v>615</v>
      </c>
      <c r="C167" s="164">
        <f t="shared" si="151"/>
        <v>329.70499999999993</v>
      </c>
      <c r="D167" s="164">
        <v>329.70499999999993</v>
      </c>
      <c r="E167" s="164">
        <v>0</v>
      </c>
      <c r="F167" s="164">
        <v>0</v>
      </c>
      <c r="G167" s="164">
        <v>0</v>
      </c>
      <c r="H167" s="164">
        <f t="shared" si="160"/>
        <v>0</v>
      </c>
      <c r="I167" s="164">
        <f t="shared" si="170"/>
        <v>0</v>
      </c>
      <c r="J167" s="164">
        <v>0</v>
      </c>
      <c r="K167" s="164"/>
      <c r="L167" s="164"/>
      <c r="M167" s="164"/>
      <c r="N167" s="164"/>
      <c r="O167" s="164">
        <f t="shared" si="161"/>
        <v>0</v>
      </c>
      <c r="P167" s="164">
        <f t="shared" si="169"/>
        <v>0</v>
      </c>
      <c r="Q167" s="164">
        <f>0</f>
        <v>0</v>
      </c>
      <c r="R167" s="164"/>
      <c r="S167" s="164"/>
      <c r="T167" s="164"/>
      <c r="U167" s="164"/>
      <c r="V167" s="164">
        <f t="shared" si="162"/>
        <v>0</v>
      </c>
      <c r="W167" s="164">
        <f t="shared" si="163"/>
        <v>0</v>
      </c>
      <c r="X167" s="164"/>
      <c r="Y167" s="164"/>
      <c r="Z167" s="164">
        <f t="shared" si="164"/>
        <v>0</v>
      </c>
      <c r="AA167" s="164"/>
      <c r="AB167" s="164"/>
      <c r="AC167" s="164">
        <f t="shared" si="165"/>
        <v>0</v>
      </c>
      <c r="AD167" s="164"/>
      <c r="AE167" s="164"/>
      <c r="AF167" s="164">
        <f t="shared" si="166"/>
        <v>0</v>
      </c>
      <c r="AG167" s="164"/>
      <c r="AH167" s="164"/>
      <c r="AI167" s="164">
        <f t="shared" si="152"/>
        <v>329.70499999999993</v>
      </c>
      <c r="AJ167" s="164">
        <f t="shared" si="167"/>
        <v>329.70499999999993</v>
      </c>
      <c r="AK167" s="164">
        <f t="shared" si="167"/>
        <v>0</v>
      </c>
      <c r="AL167" s="164">
        <f t="shared" si="168"/>
        <v>0</v>
      </c>
      <c r="AM167" s="164">
        <f t="shared" si="168"/>
        <v>0</v>
      </c>
      <c r="AN167" s="126"/>
      <c r="AO167" s="130">
        <f t="shared" si="133"/>
        <v>0</v>
      </c>
      <c r="AP167" s="131"/>
    </row>
    <row r="168" spans="1:42" s="161" customFormat="1" ht="28" hidden="1" outlineLevel="1">
      <c r="A168" s="151">
        <v>6</v>
      </c>
      <c r="B168" s="163" t="s">
        <v>616</v>
      </c>
      <c r="C168" s="164">
        <f t="shared" si="151"/>
        <v>0</v>
      </c>
      <c r="D168" s="164">
        <v>0</v>
      </c>
      <c r="E168" s="164">
        <v>0</v>
      </c>
      <c r="F168" s="164">
        <v>0</v>
      </c>
      <c r="G168" s="164">
        <v>0</v>
      </c>
      <c r="H168" s="164">
        <f t="shared" si="160"/>
        <v>0</v>
      </c>
      <c r="I168" s="164">
        <f t="shared" si="170"/>
        <v>0</v>
      </c>
      <c r="J168" s="164"/>
      <c r="K168" s="164"/>
      <c r="L168" s="164"/>
      <c r="M168" s="164"/>
      <c r="N168" s="164"/>
      <c r="O168" s="164">
        <f t="shared" si="161"/>
        <v>0</v>
      </c>
      <c r="P168" s="164">
        <f t="shared" si="169"/>
        <v>0</v>
      </c>
      <c r="Q168" s="164"/>
      <c r="R168" s="164"/>
      <c r="S168" s="164"/>
      <c r="T168" s="164"/>
      <c r="U168" s="164"/>
      <c r="V168" s="164">
        <f t="shared" si="162"/>
        <v>0</v>
      </c>
      <c r="W168" s="164">
        <f t="shared" si="163"/>
        <v>0</v>
      </c>
      <c r="X168" s="164"/>
      <c r="Y168" s="164"/>
      <c r="Z168" s="164">
        <f t="shared" si="164"/>
        <v>0</v>
      </c>
      <c r="AA168" s="164"/>
      <c r="AB168" s="164"/>
      <c r="AC168" s="164">
        <f t="shared" si="165"/>
        <v>0</v>
      </c>
      <c r="AD168" s="164"/>
      <c r="AE168" s="164"/>
      <c r="AF168" s="164">
        <f t="shared" si="166"/>
        <v>0</v>
      </c>
      <c r="AG168" s="164"/>
      <c r="AH168" s="164"/>
      <c r="AI168" s="164">
        <f t="shared" si="152"/>
        <v>0</v>
      </c>
      <c r="AJ168" s="164">
        <f t="shared" si="167"/>
        <v>0</v>
      </c>
      <c r="AK168" s="164">
        <f t="shared" si="167"/>
        <v>0</v>
      </c>
      <c r="AL168" s="164">
        <f t="shared" si="168"/>
        <v>0</v>
      </c>
      <c r="AM168" s="164">
        <f t="shared" si="168"/>
        <v>0</v>
      </c>
      <c r="AN168" s="126"/>
      <c r="AO168" s="130">
        <f t="shared" si="133"/>
        <v>0</v>
      </c>
      <c r="AP168" s="131"/>
    </row>
    <row r="169" spans="1:42" s="161" customFormat="1" ht="14" hidden="1" outlineLevel="1">
      <c r="A169" s="151">
        <v>7</v>
      </c>
      <c r="B169" s="163" t="s">
        <v>617</v>
      </c>
      <c r="C169" s="164">
        <f t="shared" si="151"/>
        <v>0</v>
      </c>
      <c r="D169" s="164">
        <v>0</v>
      </c>
      <c r="E169" s="164">
        <v>0</v>
      </c>
      <c r="F169" s="164">
        <v>0</v>
      </c>
      <c r="G169" s="164">
        <v>0</v>
      </c>
      <c r="H169" s="164">
        <f t="shared" si="160"/>
        <v>0</v>
      </c>
      <c r="I169" s="164">
        <f t="shared" si="170"/>
        <v>0</v>
      </c>
      <c r="J169" s="164"/>
      <c r="K169" s="164"/>
      <c r="L169" s="164"/>
      <c r="M169" s="164"/>
      <c r="N169" s="164"/>
      <c r="O169" s="164">
        <f t="shared" si="161"/>
        <v>0</v>
      </c>
      <c r="P169" s="164">
        <f t="shared" si="169"/>
        <v>0</v>
      </c>
      <c r="Q169" s="164"/>
      <c r="R169" s="164"/>
      <c r="S169" s="164"/>
      <c r="T169" s="164"/>
      <c r="U169" s="164"/>
      <c r="V169" s="164">
        <f t="shared" si="162"/>
        <v>0</v>
      </c>
      <c r="W169" s="164">
        <f t="shared" si="163"/>
        <v>0</v>
      </c>
      <c r="X169" s="164"/>
      <c r="Y169" s="164"/>
      <c r="Z169" s="164">
        <f t="shared" si="164"/>
        <v>0</v>
      </c>
      <c r="AA169" s="164"/>
      <c r="AB169" s="164"/>
      <c r="AC169" s="164">
        <f t="shared" si="165"/>
        <v>0</v>
      </c>
      <c r="AD169" s="164"/>
      <c r="AE169" s="164"/>
      <c r="AF169" s="164">
        <f t="shared" si="166"/>
        <v>0</v>
      </c>
      <c r="AG169" s="164"/>
      <c r="AH169" s="164"/>
      <c r="AI169" s="164">
        <f t="shared" si="152"/>
        <v>0</v>
      </c>
      <c r="AJ169" s="164">
        <f t="shared" si="167"/>
        <v>0</v>
      </c>
      <c r="AK169" s="164">
        <f t="shared" si="167"/>
        <v>0</v>
      </c>
      <c r="AL169" s="164">
        <f t="shared" si="168"/>
        <v>0</v>
      </c>
      <c r="AM169" s="164">
        <f t="shared" si="168"/>
        <v>0</v>
      </c>
      <c r="AN169" s="126"/>
      <c r="AO169" s="130">
        <f t="shared" si="133"/>
        <v>0</v>
      </c>
      <c r="AP169" s="131"/>
    </row>
    <row r="170" spans="1:42" s="161" customFormat="1" ht="14" hidden="1" outlineLevel="1">
      <c r="A170" s="151">
        <v>8</v>
      </c>
      <c r="B170" s="163" t="s">
        <v>618</v>
      </c>
      <c r="C170" s="164">
        <f t="shared" si="151"/>
        <v>0</v>
      </c>
      <c r="D170" s="164">
        <f>149.992-149.992</f>
        <v>0</v>
      </c>
      <c r="E170" s="164">
        <v>0</v>
      </c>
      <c r="F170" s="164">
        <v>0</v>
      </c>
      <c r="G170" s="164">
        <v>0</v>
      </c>
      <c r="H170" s="164">
        <f t="shared" si="160"/>
        <v>0</v>
      </c>
      <c r="I170" s="164">
        <f t="shared" si="170"/>
        <v>0</v>
      </c>
      <c r="J170" s="164"/>
      <c r="K170" s="164"/>
      <c r="L170" s="164"/>
      <c r="M170" s="164"/>
      <c r="N170" s="164"/>
      <c r="O170" s="164">
        <f t="shared" si="161"/>
        <v>0</v>
      </c>
      <c r="P170" s="164">
        <f t="shared" si="169"/>
        <v>0</v>
      </c>
      <c r="Q170" s="164"/>
      <c r="R170" s="164"/>
      <c r="S170" s="164"/>
      <c r="T170" s="164"/>
      <c r="U170" s="164"/>
      <c r="V170" s="164">
        <f t="shared" si="162"/>
        <v>0</v>
      </c>
      <c r="W170" s="164">
        <f t="shared" si="163"/>
        <v>0</v>
      </c>
      <c r="X170" s="164"/>
      <c r="Y170" s="164"/>
      <c r="Z170" s="164">
        <f t="shared" si="164"/>
        <v>0</v>
      </c>
      <c r="AA170" s="164"/>
      <c r="AB170" s="164"/>
      <c r="AC170" s="164">
        <f t="shared" si="165"/>
        <v>0</v>
      </c>
      <c r="AD170" s="164"/>
      <c r="AE170" s="164"/>
      <c r="AF170" s="164">
        <f t="shared" si="166"/>
        <v>0</v>
      </c>
      <c r="AG170" s="164"/>
      <c r="AH170" s="164"/>
      <c r="AI170" s="164">
        <f t="shared" si="152"/>
        <v>0</v>
      </c>
      <c r="AJ170" s="164">
        <f t="shared" si="167"/>
        <v>0</v>
      </c>
      <c r="AK170" s="164">
        <f t="shared" si="167"/>
        <v>0</v>
      </c>
      <c r="AL170" s="164">
        <f t="shared" si="168"/>
        <v>0</v>
      </c>
      <c r="AM170" s="164">
        <f t="shared" si="168"/>
        <v>0</v>
      </c>
      <c r="AN170" s="126"/>
      <c r="AO170" s="130">
        <f t="shared" si="133"/>
        <v>0</v>
      </c>
      <c r="AP170" s="131"/>
    </row>
    <row r="171" spans="1:42" s="161" customFormat="1" ht="14" hidden="1" outlineLevel="1">
      <c r="A171" s="151">
        <v>4</v>
      </c>
      <c r="B171" s="163" t="s">
        <v>619</v>
      </c>
      <c r="C171" s="164">
        <f t="shared" si="151"/>
        <v>401.46214300000014</v>
      </c>
      <c r="D171" s="164">
        <v>401.46214300000014</v>
      </c>
      <c r="E171" s="164">
        <v>0</v>
      </c>
      <c r="F171" s="164">
        <v>0</v>
      </c>
      <c r="G171" s="164">
        <v>0</v>
      </c>
      <c r="H171" s="164">
        <f t="shared" si="160"/>
        <v>0</v>
      </c>
      <c r="I171" s="164">
        <f t="shared" si="170"/>
        <v>0</v>
      </c>
      <c r="J171" s="164"/>
      <c r="K171" s="164"/>
      <c r="L171" s="164"/>
      <c r="M171" s="164"/>
      <c r="N171" s="164"/>
      <c r="O171" s="164">
        <f t="shared" si="161"/>
        <v>0</v>
      </c>
      <c r="P171" s="164">
        <f t="shared" si="169"/>
        <v>0</v>
      </c>
      <c r="Q171" s="164">
        <f>0</f>
        <v>0</v>
      </c>
      <c r="R171" s="164"/>
      <c r="S171" s="164"/>
      <c r="T171" s="164"/>
      <c r="U171" s="164"/>
      <c r="V171" s="164">
        <f t="shared" si="162"/>
        <v>0</v>
      </c>
      <c r="W171" s="164">
        <f t="shared" si="163"/>
        <v>0</v>
      </c>
      <c r="X171" s="164"/>
      <c r="Y171" s="164"/>
      <c r="Z171" s="164">
        <f t="shared" si="164"/>
        <v>0</v>
      </c>
      <c r="AA171" s="164"/>
      <c r="AB171" s="164"/>
      <c r="AC171" s="164">
        <f t="shared" si="165"/>
        <v>0</v>
      </c>
      <c r="AD171" s="164"/>
      <c r="AE171" s="164"/>
      <c r="AF171" s="164">
        <f t="shared" si="166"/>
        <v>0</v>
      </c>
      <c r="AG171" s="164"/>
      <c r="AH171" s="164"/>
      <c r="AI171" s="164">
        <f t="shared" si="152"/>
        <v>401.46214300000014</v>
      </c>
      <c r="AJ171" s="164">
        <f t="shared" si="167"/>
        <v>401.46214300000014</v>
      </c>
      <c r="AK171" s="164">
        <f t="shared" si="167"/>
        <v>0</v>
      </c>
      <c r="AL171" s="164">
        <f t="shared" si="168"/>
        <v>0</v>
      </c>
      <c r="AM171" s="164">
        <f t="shared" si="168"/>
        <v>0</v>
      </c>
      <c r="AN171" s="126"/>
      <c r="AO171" s="130">
        <f t="shared" si="133"/>
        <v>0</v>
      </c>
      <c r="AP171" s="131"/>
    </row>
    <row r="172" spans="1:42" s="161" customFormat="1" ht="28" hidden="1" outlineLevel="1">
      <c r="A172" s="151">
        <v>5</v>
      </c>
      <c r="B172" s="163" t="s">
        <v>311</v>
      </c>
      <c r="C172" s="164">
        <f t="shared" si="151"/>
        <v>0.36799999999999999</v>
      </c>
      <c r="D172" s="164">
        <v>0.36799999999999999</v>
      </c>
      <c r="E172" s="164">
        <v>0</v>
      </c>
      <c r="F172" s="164">
        <v>0</v>
      </c>
      <c r="G172" s="164">
        <v>0</v>
      </c>
      <c r="H172" s="164">
        <f t="shared" si="160"/>
        <v>21745.879999999997</v>
      </c>
      <c r="I172" s="164">
        <f t="shared" si="170"/>
        <v>21745.879999999997</v>
      </c>
      <c r="J172" s="164">
        <v>21745.879999999997</v>
      </c>
      <c r="K172" s="164"/>
      <c r="L172" s="164"/>
      <c r="M172" s="164"/>
      <c r="N172" s="164"/>
      <c r="O172" s="164">
        <f t="shared" si="161"/>
        <v>20870.632000000001</v>
      </c>
      <c r="P172" s="164">
        <f t="shared" si="169"/>
        <v>20870.632000000001</v>
      </c>
      <c r="Q172" s="164">
        <v>20870.632000000001</v>
      </c>
      <c r="R172" s="164"/>
      <c r="S172" s="164"/>
      <c r="T172" s="164"/>
      <c r="U172" s="164"/>
      <c r="V172" s="164">
        <f t="shared" si="162"/>
        <v>0</v>
      </c>
      <c r="W172" s="164">
        <f t="shared" si="163"/>
        <v>0</v>
      </c>
      <c r="X172" s="164"/>
      <c r="Y172" s="164"/>
      <c r="Z172" s="164">
        <f t="shared" si="164"/>
        <v>0</v>
      </c>
      <c r="AA172" s="164"/>
      <c r="AB172" s="164"/>
      <c r="AC172" s="164">
        <f t="shared" si="165"/>
        <v>0</v>
      </c>
      <c r="AD172" s="164"/>
      <c r="AE172" s="164"/>
      <c r="AF172" s="164">
        <f t="shared" si="166"/>
        <v>0</v>
      </c>
      <c r="AG172" s="164"/>
      <c r="AH172" s="164"/>
      <c r="AI172" s="164">
        <f t="shared" si="152"/>
        <v>875.61599999999453</v>
      </c>
      <c r="AJ172" s="164">
        <f t="shared" si="167"/>
        <v>875.61599999999453</v>
      </c>
      <c r="AK172" s="164">
        <f t="shared" si="167"/>
        <v>0</v>
      </c>
      <c r="AL172" s="164">
        <f t="shared" si="168"/>
        <v>0</v>
      </c>
      <c r="AM172" s="164">
        <f t="shared" si="168"/>
        <v>0</v>
      </c>
      <c r="AN172" s="126"/>
      <c r="AO172" s="130">
        <f t="shared" si="133"/>
        <v>0</v>
      </c>
      <c r="AP172" s="131"/>
    </row>
    <row r="173" spans="1:42" s="161" customFormat="1" ht="18" hidden="1" customHeight="1" outlineLevel="1">
      <c r="A173" s="151">
        <v>6</v>
      </c>
      <c r="B173" s="163" t="s">
        <v>620</v>
      </c>
      <c r="C173" s="164">
        <f t="shared" si="151"/>
        <v>0</v>
      </c>
      <c r="D173" s="164">
        <v>0</v>
      </c>
      <c r="E173" s="164">
        <v>0</v>
      </c>
      <c r="F173" s="164">
        <v>0</v>
      </c>
      <c r="G173" s="164">
        <v>0</v>
      </c>
      <c r="H173" s="164">
        <f t="shared" si="160"/>
        <v>20000</v>
      </c>
      <c r="I173" s="164">
        <f t="shared" si="170"/>
        <v>20000</v>
      </c>
      <c r="J173" s="164">
        <v>20000</v>
      </c>
      <c r="K173" s="164"/>
      <c r="L173" s="164"/>
      <c r="M173" s="164"/>
      <c r="N173" s="164"/>
      <c r="O173" s="164">
        <f t="shared" si="161"/>
        <v>11265.304783</v>
      </c>
      <c r="P173" s="164">
        <f t="shared" si="169"/>
        <v>11265.304783</v>
      </c>
      <c r="Q173" s="164">
        <v>11265.304783</v>
      </c>
      <c r="R173" s="164"/>
      <c r="S173" s="164"/>
      <c r="T173" s="164"/>
      <c r="U173" s="164"/>
      <c r="V173" s="164">
        <f t="shared" si="162"/>
        <v>0</v>
      </c>
      <c r="W173" s="164">
        <f t="shared" si="163"/>
        <v>0</v>
      </c>
      <c r="X173" s="164"/>
      <c r="Y173" s="164"/>
      <c r="Z173" s="164">
        <f t="shared" si="164"/>
        <v>0</v>
      </c>
      <c r="AA173" s="164"/>
      <c r="AB173" s="164"/>
      <c r="AC173" s="164">
        <f t="shared" si="165"/>
        <v>0</v>
      </c>
      <c r="AD173" s="164"/>
      <c r="AE173" s="164"/>
      <c r="AF173" s="164">
        <f t="shared" si="166"/>
        <v>0</v>
      </c>
      <c r="AG173" s="164"/>
      <c r="AH173" s="164"/>
      <c r="AI173" s="164">
        <f t="shared" si="152"/>
        <v>8734.6952170000004</v>
      </c>
      <c r="AJ173" s="164">
        <f t="shared" si="167"/>
        <v>8734.6952170000004</v>
      </c>
      <c r="AK173" s="164">
        <f t="shared" si="167"/>
        <v>0</v>
      </c>
      <c r="AL173" s="164">
        <f t="shared" si="168"/>
        <v>0</v>
      </c>
      <c r="AM173" s="164">
        <f t="shared" si="168"/>
        <v>0</v>
      </c>
      <c r="AN173" s="126"/>
      <c r="AO173" s="130">
        <f t="shared" si="133"/>
        <v>0</v>
      </c>
      <c r="AP173" s="131"/>
    </row>
    <row r="174" spans="1:42" s="161" customFormat="1" ht="14" hidden="1" outlineLevel="1">
      <c r="A174" s="151">
        <v>7</v>
      </c>
      <c r="B174" s="163" t="s">
        <v>621</v>
      </c>
      <c r="C174" s="164">
        <f t="shared" si="151"/>
        <v>220</v>
      </c>
      <c r="D174" s="164">
        <v>220</v>
      </c>
      <c r="E174" s="164">
        <v>0</v>
      </c>
      <c r="F174" s="164">
        <v>0</v>
      </c>
      <c r="G174" s="164">
        <v>0</v>
      </c>
      <c r="H174" s="164">
        <f t="shared" si="160"/>
        <v>0</v>
      </c>
      <c r="I174" s="164">
        <f t="shared" si="170"/>
        <v>0</v>
      </c>
      <c r="J174" s="164"/>
      <c r="K174" s="164"/>
      <c r="L174" s="164"/>
      <c r="M174" s="164"/>
      <c r="N174" s="164"/>
      <c r="O174" s="164">
        <f t="shared" si="161"/>
        <v>0</v>
      </c>
      <c r="P174" s="164">
        <f t="shared" si="169"/>
        <v>0</v>
      </c>
      <c r="Q174" s="164">
        <f>0</f>
        <v>0</v>
      </c>
      <c r="R174" s="164"/>
      <c r="S174" s="164"/>
      <c r="T174" s="164"/>
      <c r="U174" s="164"/>
      <c r="V174" s="164">
        <f t="shared" si="162"/>
        <v>0</v>
      </c>
      <c r="W174" s="164">
        <f t="shared" si="163"/>
        <v>0</v>
      </c>
      <c r="X174" s="164"/>
      <c r="Y174" s="164"/>
      <c r="Z174" s="164">
        <f t="shared" si="164"/>
        <v>0</v>
      </c>
      <c r="AA174" s="164"/>
      <c r="AB174" s="164"/>
      <c r="AC174" s="164">
        <f t="shared" si="165"/>
        <v>0</v>
      </c>
      <c r="AD174" s="164"/>
      <c r="AE174" s="164"/>
      <c r="AF174" s="164">
        <f t="shared" si="166"/>
        <v>0</v>
      </c>
      <c r="AG174" s="164"/>
      <c r="AH174" s="164"/>
      <c r="AI174" s="164">
        <f t="shared" si="152"/>
        <v>220</v>
      </c>
      <c r="AJ174" s="164">
        <f t="shared" si="167"/>
        <v>220</v>
      </c>
      <c r="AK174" s="164">
        <f t="shared" si="167"/>
        <v>0</v>
      </c>
      <c r="AL174" s="164">
        <f t="shared" si="168"/>
        <v>0</v>
      </c>
      <c r="AM174" s="164">
        <f t="shared" si="168"/>
        <v>0</v>
      </c>
      <c r="AN174" s="126"/>
      <c r="AO174" s="130">
        <f t="shared" si="133"/>
        <v>0</v>
      </c>
      <c r="AP174" s="131"/>
    </row>
    <row r="175" spans="1:42" s="161" customFormat="1" ht="14" hidden="1" outlineLevel="1">
      <c r="A175" s="151">
        <v>8</v>
      </c>
      <c r="B175" s="163" t="s">
        <v>622</v>
      </c>
      <c r="C175" s="164">
        <f t="shared" si="151"/>
        <v>128.12100000000004</v>
      </c>
      <c r="D175" s="164">
        <v>128.12100000000004</v>
      </c>
      <c r="E175" s="164">
        <v>0</v>
      </c>
      <c r="F175" s="164">
        <v>0</v>
      </c>
      <c r="G175" s="164">
        <v>0</v>
      </c>
      <c r="H175" s="164">
        <f t="shared" si="160"/>
        <v>0</v>
      </c>
      <c r="I175" s="164">
        <f t="shared" si="170"/>
        <v>0</v>
      </c>
      <c r="J175" s="164"/>
      <c r="K175" s="164"/>
      <c r="L175" s="164"/>
      <c r="M175" s="164"/>
      <c r="N175" s="164"/>
      <c r="O175" s="164">
        <f t="shared" si="161"/>
        <v>64.837000000000003</v>
      </c>
      <c r="P175" s="164">
        <f t="shared" si="169"/>
        <v>64.837000000000003</v>
      </c>
      <c r="Q175" s="164">
        <v>64.837000000000003</v>
      </c>
      <c r="R175" s="164"/>
      <c r="S175" s="164"/>
      <c r="T175" s="164"/>
      <c r="U175" s="164"/>
      <c r="V175" s="164">
        <f t="shared" si="162"/>
        <v>63.284000000000034</v>
      </c>
      <c r="W175" s="164">
        <f t="shared" si="163"/>
        <v>63.284000000000034</v>
      </c>
      <c r="X175" s="164">
        <f>D175-Q175</f>
        <v>63.284000000000034</v>
      </c>
      <c r="Y175" s="164"/>
      <c r="Z175" s="164">
        <f t="shared" si="164"/>
        <v>0</v>
      </c>
      <c r="AA175" s="164"/>
      <c r="AB175" s="164"/>
      <c r="AC175" s="164">
        <f t="shared" si="165"/>
        <v>0</v>
      </c>
      <c r="AD175" s="164"/>
      <c r="AE175" s="164"/>
      <c r="AF175" s="164">
        <f t="shared" si="166"/>
        <v>0</v>
      </c>
      <c r="AG175" s="164"/>
      <c r="AH175" s="164"/>
      <c r="AI175" s="164">
        <f t="shared" si="152"/>
        <v>0</v>
      </c>
      <c r="AJ175" s="164">
        <f t="shared" si="167"/>
        <v>0</v>
      </c>
      <c r="AK175" s="164">
        <f t="shared" si="167"/>
        <v>0</v>
      </c>
      <c r="AL175" s="164">
        <f t="shared" si="168"/>
        <v>0</v>
      </c>
      <c r="AM175" s="164">
        <f t="shared" si="168"/>
        <v>0</v>
      </c>
      <c r="AN175" s="126"/>
      <c r="AO175" s="130">
        <f t="shared" si="133"/>
        <v>0</v>
      </c>
      <c r="AP175" s="131"/>
    </row>
    <row r="176" spans="1:42" s="161" customFormat="1" ht="14" hidden="1" outlineLevel="1">
      <c r="A176" s="151">
        <v>14</v>
      </c>
      <c r="B176" s="163" t="s">
        <v>623</v>
      </c>
      <c r="C176" s="164">
        <f t="shared" si="151"/>
        <v>0</v>
      </c>
      <c r="D176" s="164">
        <v>0</v>
      </c>
      <c r="E176" s="164">
        <v>0</v>
      </c>
      <c r="F176" s="164">
        <v>0</v>
      </c>
      <c r="G176" s="164">
        <v>0</v>
      </c>
      <c r="H176" s="164">
        <f t="shared" si="160"/>
        <v>0</v>
      </c>
      <c r="I176" s="164">
        <f t="shared" si="170"/>
        <v>0</v>
      </c>
      <c r="J176" s="164"/>
      <c r="K176" s="164"/>
      <c r="L176" s="164"/>
      <c r="M176" s="164"/>
      <c r="N176" s="164"/>
      <c r="O176" s="164">
        <f t="shared" si="161"/>
        <v>0</v>
      </c>
      <c r="P176" s="164">
        <f t="shared" si="169"/>
        <v>0</v>
      </c>
      <c r="Q176" s="164"/>
      <c r="R176" s="164"/>
      <c r="S176" s="164"/>
      <c r="T176" s="164"/>
      <c r="U176" s="164"/>
      <c r="V176" s="164">
        <f t="shared" si="162"/>
        <v>0</v>
      </c>
      <c r="W176" s="164">
        <f t="shared" si="163"/>
        <v>0</v>
      </c>
      <c r="X176" s="164"/>
      <c r="Y176" s="164"/>
      <c r="Z176" s="164">
        <f t="shared" si="164"/>
        <v>0</v>
      </c>
      <c r="AA176" s="164"/>
      <c r="AB176" s="164"/>
      <c r="AC176" s="164">
        <f t="shared" si="165"/>
        <v>0</v>
      </c>
      <c r="AD176" s="164"/>
      <c r="AE176" s="164"/>
      <c r="AF176" s="164">
        <f t="shared" si="166"/>
        <v>0</v>
      </c>
      <c r="AG176" s="164"/>
      <c r="AH176" s="164"/>
      <c r="AI176" s="164">
        <f t="shared" si="152"/>
        <v>0</v>
      </c>
      <c r="AJ176" s="164">
        <f t="shared" si="167"/>
        <v>0</v>
      </c>
      <c r="AK176" s="164">
        <f t="shared" si="167"/>
        <v>0</v>
      </c>
      <c r="AL176" s="164">
        <f t="shared" si="168"/>
        <v>0</v>
      </c>
      <c r="AM176" s="164">
        <f t="shared" si="168"/>
        <v>0</v>
      </c>
      <c r="AN176" s="126"/>
      <c r="AO176" s="130">
        <f t="shared" si="133"/>
        <v>0</v>
      </c>
      <c r="AP176" s="131"/>
    </row>
    <row r="177" spans="1:42" s="161" customFormat="1" ht="14" hidden="1" outlineLevel="1">
      <c r="A177" s="151">
        <v>9</v>
      </c>
      <c r="B177" s="163" t="s">
        <v>624</v>
      </c>
      <c r="C177" s="164">
        <f t="shared" si="151"/>
        <v>0</v>
      </c>
      <c r="D177" s="164"/>
      <c r="E177" s="164">
        <v>0</v>
      </c>
      <c r="F177" s="164">
        <v>0</v>
      </c>
      <c r="G177" s="164">
        <v>0</v>
      </c>
      <c r="H177" s="164">
        <f t="shared" si="160"/>
        <v>45600</v>
      </c>
      <c r="I177" s="164">
        <f t="shared" si="170"/>
        <v>45600</v>
      </c>
      <c r="J177" s="164">
        <v>45600</v>
      </c>
      <c r="K177" s="164"/>
      <c r="L177" s="164"/>
      <c r="M177" s="164"/>
      <c r="N177" s="164"/>
      <c r="O177" s="164">
        <f t="shared" si="161"/>
        <v>45155.443625</v>
      </c>
      <c r="P177" s="164">
        <f t="shared" si="169"/>
        <v>45155.443625</v>
      </c>
      <c r="Q177" s="164">
        <v>45155.443625</v>
      </c>
      <c r="R177" s="164"/>
      <c r="S177" s="164"/>
      <c r="T177" s="164"/>
      <c r="U177" s="164"/>
      <c r="V177" s="164">
        <f t="shared" si="162"/>
        <v>0</v>
      </c>
      <c r="W177" s="164">
        <f t="shared" si="163"/>
        <v>0</v>
      </c>
      <c r="X177" s="164"/>
      <c r="Y177" s="164"/>
      <c r="Z177" s="164">
        <f t="shared" si="164"/>
        <v>0</v>
      </c>
      <c r="AA177" s="164"/>
      <c r="AB177" s="164"/>
      <c r="AC177" s="164">
        <f t="shared" si="165"/>
        <v>0</v>
      </c>
      <c r="AD177" s="164"/>
      <c r="AE177" s="164"/>
      <c r="AF177" s="164">
        <f t="shared" si="166"/>
        <v>0</v>
      </c>
      <c r="AG177" s="164"/>
      <c r="AH177" s="164"/>
      <c r="AI177" s="164">
        <f t="shared" si="152"/>
        <v>444.55637500000012</v>
      </c>
      <c r="AJ177" s="164">
        <f t="shared" si="167"/>
        <v>444.55637500000012</v>
      </c>
      <c r="AK177" s="164">
        <f t="shared" si="167"/>
        <v>0</v>
      </c>
      <c r="AL177" s="164">
        <f t="shared" si="168"/>
        <v>0</v>
      </c>
      <c r="AM177" s="164">
        <f t="shared" si="168"/>
        <v>0</v>
      </c>
      <c r="AN177" s="126"/>
      <c r="AO177" s="130">
        <f t="shared" si="133"/>
        <v>0</v>
      </c>
      <c r="AP177" s="131"/>
    </row>
    <row r="178" spans="1:42" s="161" customFormat="1" ht="14" hidden="1" outlineLevel="1">
      <c r="A178" s="151">
        <v>10</v>
      </c>
      <c r="B178" s="163" t="s">
        <v>625</v>
      </c>
      <c r="C178" s="164">
        <f t="shared" si="151"/>
        <v>30.718</v>
      </c>
      <c r="D178" s="164">
        <v>30.718</v>
      </c>
      <c r="E178" s="164">
        <v>0</v>
      </c>
      <c r="F178" s="164">
        <v>0</v>
      </c>
      <c r="G178" s="164">
        <v>0</v>
      </c>
      <c r="H178" s="164">
        <f t="shared" si="160"/>
        <v>1209</v>
      </c>
      <c r="I178" s="164">
        <f t="shared" si="170"/>
        <v>1209</v>
      </c>
      <c r="J178" s="164">
        <v>1209</v>
      </c>
      <c r="K178" s="164"/>
      <c r="L178" s="164"/>
      <c r="M178" s="164"/>
      <c r="N178" s="164"/>
      <c r="O178" s="164">
        <f t="shared" si="161"/>
        <v>1209</v>
      </c>
      <c r="P178" s="164">
        <f t="shared" si="169"/>
        <v>1209</v>
      </c>
      <c r="Q178" s="164">
        <v>1209</v>
      </c>
      <c r="R178" s="164"/>
      <c r="S178" s="164"/>
      <c r="T178" s="164"/>
      <c r="U178" s="164"/>
      <c r="V178" s="164">
        <f t="shared" si="162"/>
        <v>30.718000000000075</v>
      </c>
      <c r="W178" s="164">
        <f t="shared" si="163"/>
        <v>30.718000000000075</v>
      </c>
      <c r="X178" s="164">
        <f>D178+J178-Q178</f>
        <v>30.718000000000075</v>
      </c>
      <c r="Y178" s="164"/>
      <c r="Z178" s="164">
        <f t="shared" si="164"/>
        <v>0</v>
      </c>
      <c r="AA178" s="164"/>
      <c r="AB178" s="164"/>
      <c r="AC178" s="164">
        <f t="shared" si="165"/>
        <v>0</v>
      </c>
      <c r="AD178" s="164"/>
      <c r="AE178" s="164"/>
      <c r="AF178" s="164">
        <f t="shared" si="166"/>
        <v>0</v>
      </c>
      <c r="AG178" s="164"/>
      <c r="AH178" s="164"/>
      <c r="AI178" s="164">
        <f t="shared" si="152"/>
        <v>0</v>
      </c>
      <c r="AJ178" s="164">
        <f t="shared" si="167"/>
        <v>0</v>
      </c>
      <c r="AK178" s="164">
        <f t="shared" si="167"/>
        <v>0</v>
      </c>
      <c r="AL178" s="164">
        <f t="shared" si="168"/>
        <v>0</v>
      </c>
      <c r="AM178" s="164">
        <f t="shared" si="168"/>
        <v>0</v>
      </c>
      <c r="AN178" s="126"/>
      <c r="AO178" s="130">
        <f t="shared" si="133"/>
        <v>0</v>
      </c>
      <c r="AP178" s="131"/>
    </row>
    <row r="179" spans="1:42" s="161" customFormat="1" ht="14" hidden="1" outlineLevel="1">
      <c r="A179" s="151">
        <v>11</v>
      </c>
      <c r="B179" s="163" t="s">
        <v>626</v>
      </c>
      <c r="C179" s="164">
        <f t="shared" si="151"/>
        <v>34.911999999999999</v>
      </c>
      <c r="D179" s="164">
        <v>34.911999999999999</v>
      </c>
      <c r="E179" s="164">
        <v>0</v>
      </c>
      <c r="F179" s="164">
        <v>0</v>
      </c>
      <c r="G179" s="164">
        <v>0</v>
      </c>
      <c r="H179" s="164">
        <f t="shared" si="160"/>
        <v>0</v>
      </c>
      <c r="I179" s="164">
        <f t="shared" si="170"/>
        <v>0</v>
      </c>
      <c r="J179" s="164">
        <v>0</v>
      </c>
      <c r="K179" s="164"/>
      <c r="L179" s="164"/>
      <c r="M179" s="164"/>
      <c r="N179" s="164"/>
      <c r="O179" s="164">
        <f t="shared" si="161"/>
        <v>0</v>
      </c>
      <c r="P179" s="164">
        <f t="shared" si="169"/>
        <v>0</v>
      </c>
      <c r="Q179" s="164"/>
      <c r="R179" s="164"/>
      <c r="S179" s="164"/>
      <c r="T179" s="164"/>
      <c r="U179" s="164"/>
      <c r="V179" s="164">
        <f t="shared" si="162"/>
        <v>34.911999999999999</v>
      </c>
      <c r="W179" s="164">
        <f t="shared" si="163"/>
        <v>34.911999999999999</v>
      </c>
      <c r="X179" s="164">
        <f>D179</f>
        <v>34.911999999999999</v>
      </c>
      <c r="Y179" s="164"/>
      <c r="Z179" s="164">
        <f t="shared" si="164"/>
        <v>0</v>
      </c>
      <c r="AA179" s="164"/>
      <c r="AB179" s="164"/>
      <c r="AC179" s="164">
        <f t="shared" si="165"/>
        <v>0</v>
      </c>
      <c r="AD179" s="164"/>
      <c r="AE179" s="164"/>
      <c r="AF179" s="164">
        <f t="shared" si="166"/>
        <v>0</v>
      </c>
      <c r="AG179" s="164"/>
      <c r="AH179" s="164"/>
      <c r="AI179" s="164">
        <f t="shared" si="152"/>
        <v>0</v>
      </c>
      <c r="AJ179" s="164">
        <f t="shared" si="167"/>
        <v>0</v>
      </c>
      <c r="AK179" s="164">
        <f t="shared" si="167"/>
        <v>0</v>
      </c>
      <c r="AL179" s="164">
        <f t="shared" si="168"/>
        <v>0</v>
      </c>
      <c r="AM179" s="164">
        <f t="shared" si="168"/>
        <v>0</v>
      </c>
      <c r="AN179" s="126"/>
      <c r="AO179" s="130">
        <f t="shared" si="133"/>
        <v>0</v>
      </c>
      <c r="AP179" s="131"/>
    </row>
    <row r="180" spans="1:42" s="161" customFormat="1" ht="14" hidden="1" outlineLevel="1">
      <c r="A180" s="151">
        <v>12</v>
      </c>
      <c r="B180" s="163" t="s">
        <v>627</v>
      </c>
      <c r="C180" s="164">
        <f t="shared" si="151"/>
        <v>37.5</v>
      </c>
      <c r="D180" s="164">
        <v>37.5</v>
      </c>
      <c r="E180" s="164">
        <v>0</v>
      </c>
      <c r="F180" s="164">
        <v>0</v>
      </c>
      <c r="G180" s="164">
        <v>0</v>
      </c>
      <c r="H180" s="164">
        <f t="shared" si="160"/>
        <v>0</v>
      </c>
      <c r="I180" s="164">
        <f t="shared" si="170"/>
        <v>0</v>
      </c>
      <c r="J180" s="164">
        <v>0</v>
      </c>
      <c r="K180" s="164"/>
      <c r="L180" s="164"/>
      <c r="M180" s="164"/>
      <c r="N180" s="164"/>
      <c r="O180" s="164">
        <f t="shared" si="161"/>
        <v>37.5</v>
      </c>
      <c r="P180" s="164">
        <f t="shared" si="169"/>
        <v>37.5</v>
      </c>
      <c r="Q180" s="164">
        <f>D180</f>
        <v>37.5</v>
      </c>
      <c r="R180" s="164"/>
      <c r="S180" s="164"/>
      <c r="T180" s="164"/>
      <c r="U180" s="164"/>
      <c r="V180" s="164">
        <f t="shared" si="162"/>
        <v>0</v>
      </c>
      <c r="W180" s="164">
        <f t="shared" si="163"/>
        <v>0</v>
      </c>
      <c r="X180" s="164"/>
      <c r="Y180" s="164"/>
      <c r="Z180" s="164">
        <f t="shared" si="164"/>
        <v>0</v>
      </c>
      <c r="AA180" s="164"/>
      <c r="AB180" s="164"/>
      <c r="AC180" s="164">
        <f t="shared" si="165"/>
        <v>0</v>
      </c>
      <c r="AD180" s="164"/>
      <c r="AE180" s="164"/>
      <c r="AF180" s="164">
        <f t="shared" si="166"/>
        <v>0</v>
      </c>
      <c r="AG180" s="164"/>
      <c r="AH180" s="164"/>
      <c r="AI180" s="164">
        <f t="shared" si="152"/>
        <v>0</v>
      </c>
      <c r="AJ180" s="164">
        <f t="shared" si="167"/>
        <v>0</v>
      </c>
      <c r="AK180" s="164">
        <f t="shared" si="167"/>
        <v>0</v>
      </c>
      <c r="AL180" s="164">
        <f t="shared" si="168"/>
        <v>0</v>
      </c>
      <c r="AM180" s="164">
        <f t="shared" si="168"/>
        <v>0</v>
      </c>
      <c r="AN180" s="126"/>
      <c r="AO180" s="130">
        <f t="shared" si="133"/>
        <v>0</v>
      </c>
      <c r="AP180" s="131"/>
    </row>
    <row r="181" spans="1:42" s="161" customFormat="1" ht="28" hidden="1" outlineLevel="1">
      <c r="A181" s="151">
        <v>13</v>
      </c>
      <c r="B181" s="163" t="s">
        <v>628</v>
      </c>
      <c r="C181" s="164">
        <f t="shared" si="151"/>
        <v>43117.221000000005</v>
      </c>
      <c r="D181" s="164">
        <f>957.262+42159.959</f>
        <v>43117.221000000005</v>
      </c>
      <c r="E181" s="164">
        <v>0</v>
      </c>
      <c r="F181" s="164">
        <v>0</v>
      </c>
      <c r="G181" s="164">
        <v>0</v>
      </c>
      <c r="H181" s="164">
        <f t="shared" si="160"/>
        <v>0</v>
      </c>
      <c r="I181" s="164">
        <f t="shared" si="170"/>
        <v>0</v>
      </c>
      <c r="J181" s="164">
        <v>0</v>
      </c>
      <c r="K181" s="164"/>
      <c r="L181" s="164"/>
      <c r="M181" s="164"/>
      <c r="N181" s="164"/>
      <c r="O181" s="164">
        <f t="shared" si="161"/>
        <v>0</v>
      </c>
      <c r="P181" s="164">
        <f t="shared" si="169"/>
        <v>0</v>
      </c>
      <c r="Q181" s="164">
        <f>0</f>
        <v>0</v>
      </c>
      <c r="R181" s="164"/>
      <c r="S181" s="164"/>
      <c r="T181" s="164"/>
      <c r="U181" s="164"/>
      <c r="V181" s="164">
        <f t="shared" si="162"/>
        <v>0</v>
      </c>
      <c r="W181" s="164">
        <f t="shared" si="163"/>
        <v>0</v>
      </c>
      <c r="X181" s="164"/>
      <c r="Y181" s="164"/>
      <c r="Z181" s="164">
        <f t="shared" si="164"/>
        <v>0</v>
      </c>
      <c r="AA181" s="164"/>
      <c r="AB181" s="164"/>
      <c r="AC181" s="164">
        <f t="shared" si="165"/>
        <v>0</v>
      </c>
      <c r="AD181" s="164"/>
      <c r="AE181" s="164"/>
      <c r="AF181" s="164">
        <f t="shared" si="166"/>
        <v>0</v>
      </c>
      <c r="AG181" s="164"/>
      <c r="AH181" s="164"/>
      <c r="AI181" s="164">
        <f t="shared" si="152"/>
        <v>43117.221000000005</v>
      </c>
      <c r="AJ181" s="164">
        <f t="shared" si="167"/>
        <v>43117.221000000005</v>
      </c>
      <c r="AK181" s="164">
        <f t="shared" si="167"/>
        <v>0</v>
      </c>
      <c r="AL181" s="164">
        <f t="shared" si="168"/>
        <v>0</v>
      </c>
      <c r="AM181" s="164">
        <f t="shared" si="168"/>
        <v>0</v>
      </c>
      <c r="AN181" s="126"/>
      <c r="AO181" s="130">
        <f t="shared" si="133"/>
        <v>0</v>
      </c>
      <c r="AP181" s="131"/>
    </row>
    <row r="182" spans="1:42" s="161" customFormat="1" ht="14" hidden="1" outlineLevel="1">
      <c r="A182" s="151">
        <v>14</v>
      </c>
      <c r="B182" s="163" t="s">
        <v>629</v>
      </c>
      <c r="C182" s="164">
        <f t="shared" si="151"/>
        <v>0</v>
      </c>
      <c r="D182" s="164">
        <f>42159.959-42159.959</f>
        <v>0</v>
      </c>
      <c r="E182" s="164">
        <v>0</v>
      </c>
      <c r="F182" s="164">
        <v>0</v>
      </c>
      <c r="G182" s="164">
        <v>0</v>
      </c>
      <c r="H182" s="164">
        <f t="shared" si="160"/>
        <v>0</v>
      </c>
      <c r="I182" s="164">
        <f t="shared" si="170"/>
        <v>0</v>
      </c>
      <c r="J182" s="164"/>
      <c r="K182" s="164"/>
      <c r="L182" s="164"/>
      <c r="M182" s="164"/>
      <c r="N182" s="164"/>
      <c r="O182" s="164">
        <f t="shared" si="161"/>
        <v>0</v>
      </c>
      <c r="P182" s="164">
        <f t="shared" si="169"/>
        <v>0</v>
      </c>
      <c r="Q182" s="164"/>
      <c r="R182" s="164"/>
      <c r="S182" s="164"/>
      <c r="T182" s="164"/>
      <c r="U182" s="164"/>
      <c r="V182" s="164">
        <f t="shared" si="162"/>
        <v>0</v>
      </c>
      <c r="W182" s="164">
        <f t="shared" si="163"/>
        <v>0</v>
      </c>
      <c r="X182" s="164"/>
      <c r="Y182" s="164"/>
      <c r="Z182" s="164">
        <f t="shared" si="164"/>
        <v>0</v>
      </c>
      <c r="AA182" s="164"/>
      <c r="AB182" s="164"/>
      <c r="AC182" s="164">
        <f t="shared" si="165"/>
        <v>0</v>
      </c>
      <c r="AD182" s="164"/>
      <c r="AE182" s="164"/>
      <c r="AF182" s="164">
        <f t="shared" si="166"/>
        <v>0</v>
      </c>
      <c r="AG182" s="164"/>
      <c r="AH182" s="164"/>
      <c r="AI182" s="164">
        <f t="shared" si="152"/>
        <v>0</v>
      </c>
      <c r="AJ182" s="164">
        <f t="shared" si="167"/>
        <v>0</v>
      </c>
      <c r="AK182" s="164">
        <f t="shared" si="167"/>
        <v>0</v>
      </c>
      <c r="AL182" s="164">
        <f t="shared" si="168"/>
        <v>0</v>
      </c>
      <c r="AM182" s="164">
        <f t="shared" si="168"/>
        <v>0</v>
      </c>
      <c r="AN182" s="126"/>
      <c r="AO182" s="130">
        <f t="shared" si="133"/>
        <v>0</v>
      </c>
      <c r="AP182" s="131"/>
    </row>
    <row r="183" spans="1:42" s="161" customFormat="1" ht="14" hidden="1" outlineLevel="1">
      <c r="A183" s="151">
        <v>15</v>
      </c>
      <c r="B183" s="163" t="s">
        <v>421</v>
      </c>
      <c r="C183" s="164">
        <f t="shared" si="151"/>
        <v>135.15759299999931</v>
      </c>
      <c r="D183" s="164">
        <v>135.15759299999931</v>
      </c>
      <c r="E183" s="164">
        <v>0</v>
      </c>
      <c r="F183" s="164">
        <v>0</v>
      </c>
      <c r="G183" s="164">
        <v>0</v>
      </c>
      <c r="H183" s="164">
        <f t="shared" si="160"/>
        <v>0</v>
      </c>
      <c r="I183" s="164">
        <f t="shared" si="170"/>
        <v>0</v>
      </c>
      <c r="J183" s="164"/>
      <c r="K183" s="164"/>
      <c r="L183" s="164"/>
      <c r="M183" s="164"/>
      <c r="N183" s="164"/>
      <c r="O183" s="164">
        <f t="shared" si="161"/>
        <v>133.78065000000001</v>
      </c>
      <c r="P183" s="164">
        <f t="shared" si="169"/>
        <v>133.78065000000001</v>
      </c>
      <c r="Q183" s="164">
        <v>133.78065000000001</v>
      </c>
      <c r="R183" s="164"/>
      <c r="S183" s="164"/>
      <c r="T183" s="164"/>
      <c r="U183" s="164"/>
      <c r="V183" s="164">
        <f t="shared" si="162"/>
        <v>1.3769429999993008</v>
      </c>
      <c r="W183" s="164">
        <f>X183+Y183</f>
        <v>1.3769429999993008</v>
      </c>
      <c r="X183" s="164">
        <f>D183-Q183</f>
        <v>1.3769429999993008</v>
      </c>
      <c r="Y183" s="164"/>
      <c r="Z183" s="164">
        <f>AA183+AB183</f>
        <v>0</v>
      </c>
      <c r="AA183" s="164"/>
      <c r="AB183" s="164"/>
      <c r="AC183" s="164">
        <f t="shared" si="165"/>
        <v>0</v>
      </c>
      <c r="AD183" s="164"/>
      <c r="AE183" s="164"/>
      <c r="AF183" s="164">
        <f t="shared" si="166"/>
        <v>0</v>
      </c>
      <c r="AG183" s="164"/>
      <c r="AH183" s="164"/>
      <c r="AI183" s="164">
        <f t="shared" si="152"/>
        <v>0</v>
      </c>
      <c r="AJ183" s="164">
        <f t="shared" si="167"/>
        <v>0</v>
      </c>
      <c r="AK183" s="164">
        <f t="shared" si="167"/>
        <v>0</v>
      </c>
      <c r="AL183" s="164">
        <f t="shared" si="168"/>
        <v>0</v>
      </c>
      <c r="AM183" s="164">
        <f t="shared" si="168"/>
        <v>0</v>
      </c>
      <c r="AN183" s="126"/>
      <c r="AO183" s="130">
        <f t="shared" si="133"/>
        <v>0</v>
      </c>
      <c r="AP183" s="131"/>
    </row>
    <row r="184" spans="1:42" s="161" customFormat="1" ht="28" hidden="1" outlineLevel="1">
      <c r="A184" s="151">
        <v>16</v>
      </c>
      <c r="B184" s="163" t="s">
        <v>630</v>
      </c>
      <c r="C184" s="164">
        <f t="shared" si="151"/>
        <v>394.88400000000001</v>
      </c>
      <c r="D184" s="164">
        <v>394.88400000000001</v>
      </c>
      <c r="E184" s="164">
        <v>0</v>
      </c>
      <c r="F184" s="164">
        <v>0</v>
      </c>
      <c r="G184" s="164">
        <v>0</v>
      </c>
      <c r="H184" s="164">
        <f t="shared" si="160"/>
        <v>0</v>
      </c>
      <c r="I184" s="164">
        <f t="shared" si="170"/>
        <v>0</v>
      </c>
      <c r="J184" s="164"/>
      <c r="K184" s="164"/>
      <c r="L184" s="164"/>
      <c r="M184" s="164"/>
      <c r="N184" s="164"/>
      <c r="O184" s="164">
        <f t="shared" si="161"/>
        <v>0</v>
      </c>
      <c r="P184" s="164">
        <f t="shared" si="169"/>
        <v>0</v>
      </c>
      <c r="Q184" s="164">
        <f>0</f>
        <v>0</v>
      </c>
      <c r="R184" s="164"/>
      <c r="S184" s="164"/>
      <c r="T184" s="164"/>
      <c r="U184" s="164"/>
      <c r="V184" s="164">
        <f t="shared" si="162"/>
        <v>0</v>
      </c>
      <c r="W184" s="164">
        <f>X184+Y184</f>
        <v>0</v>
      </c>
      <c r="X184" s="164"/>
      <c r="Y184" s="164"/>
      <c r="Z184" s="164">
        <f>AA184+AB184</f>
        <v>0</v>
      </c>
      <c r="AA184" s="164"/>
      <c r="AB184" s="164"/>
      <c r="AC184" s="164">
        <f t="shared" si="165"/>
        <v>0</v>
      </c>
      <c r="AD184" s="164"/>
      <c r="AE184" s="164"/>
      <c r="AF184" s="164">
        <f t="shared" si="166"/>
        <v>0</v>
      </c>
      <c r="AG184" s="164"/>
      <c r="AH184" s="164"/>
      <c r="AI184" s="164">
        <f t="shared" si="152"/>
        <v>394.88400000000001</v>
      </c>
      <c r="AJ184" s="164">
        <f t="shared" si="167"/>
        <v>394.88400000000001</v>
      </c>
      <c r="AK184" s="164">
        <f t="shared" si="167"/>
        <v>0</v>
      </c>
      <c r="AL184" s="164">
        <f t="shared" si="168"/>
        <v>0</v>
      </c>
      <c r="AM184" s="164">
        <f t="shared" si="168"/>
        <v>0</v>
      </c>
      <c r="AN184" s="126"/>
      <c r="AO184" s="130">
        <f t="shared" si="133"/>
        <v>0</v>
      </c>
      <c r="AP184" s="131"/>
    </row>
    <row r="185" spans="1:42" s="161" customFormat="1" ht="14" hidden="1" outlineLevel="1">
      <c r="A185" s="151">
        <v>17</v>
      </c>
      <c r="B185" s="163" t="s">
        <v>631</v>
      </c>
      <c r="C185" s="164">
        <f>SUM(D185:G185)</f>
        <v>610908.28847300005</v>
      </c>
      <c r="D185" s="164">
        <v>610908.28847300005</v>
      </c>
      <c r="E185" s="164"/>
      <c r="F185" s="164"/>
      <c r="G185" s="164"/>
      <c r="H185" s="164">
        <f t="shared" si="160"/>
        <v>76400</v>
      </c>
      <c r="I185" s="164">
        <f t="shared" si="170"/>
        <v>76400</v>
      </c>
      <c r="J185" s="164">
        <v>76400</v>
      </c>
      <c r="K185" s="164"/>
      <c r="L185" s="164"/>
      <c r="M185" s="164"/>
      <c r="N185" s="164"/>
      <c r="O185" s="164">
        <f t="shared" si="161"/>
        <v>154408.49144900002</v>
      </c>
      <c r="P185" s="164">
        <f t="shared" si="169"/>
        <v>154408.49144900002</v>
      </c>
      <c r="Q185" s="164">
        <v>154408.49144900002</v>
      </c>
      <c r="R185" s="164"/>
      <c r="S185" s="164"/>
      <c r="T185" s="164"/>
      <c r="U185" s="164"/>
      <c r="V185" s="164"/>
      <c r="W185" s="164"/>
      <c r="X185" s="164"/>
      <c r="Y185" s="164"/>
      <c r="Z185" s="164"/>
      <c r="AA185" s="164"/>
      <c r="AB185" s="164"/>
      <c r="AC185" s="164"/>
      <c r="AD185" s="164"/>
      <c r="AE185" s="164"/>
      <c r="AF185" s="164"/>
      <c r="AG185" s="164"/>
      <c r="AH185" s="164"/>
      <c r="AI185" s="164">
        <f>SUM(AJ185:AM185)</f>
        <v>532899.79702399997</v>
      </c>
      <c r="AJ185" s="164">
        <f t="shared" si="167"/>
        <v>532899.79702399997</v>
      </c>
      <c r="AK185" s="164"/>
      <c r="AL185" s="164"/>
      <c r="AM185" s="164"/>
      <c r="AN185" s="126"/>
      <c r="AO185" s="130">
        <f t="shared" si="133"/>
        <v>0</v>
      </c>
      <c r="AP185" s="131"/>
    </row>
    <row r="186" spans="1:42" s="161" customFormat="1" ht="28" hidden="1" outlineLevel="1">
      <c r="A186" s="151">
        <v>18</v>
      </c>
      <c r="B186" s="163" t="s">
        <v>632</v>
      </c>
      <c r="C186" s="164">
        <f t="shared" ref="C186:AH186" si="171">SUM(C187:C189)</f>
        <v>163</v>
      </c>
      <c r="D186" s="164">
        <f t="shared" si="171"/>
        <v>0</v>
      </c>
      <c r="E186" s="164">
        <f t="shared" si="171"/>
        <v>0</v>
      </c>
      <c r="F186" s="164">
        <f t="shared" si="171"/>
        <v>163</v>
      </c>
      <c r="G186" s="164">
        <f t="shared" si="171"/>
        <v>0</v>
      </c>
      <c r="H186" s="164">
        <f t="shared" si="171"/>
        <v>0</v>
      </c>
      <c r="I186" s="164">
        <f t="shared" si="171"/>
        <v>0</v>
      </c>
      <c r="J186" s="164">
        <f t="shared" si="171"/>
        <v>0</v>
      </c>
      <c r="K186" s="164">
        <f t="shared" si="171"/>
        <v>0</v>
      </c>
      <c r="L186" s="164">
        <f t="shared" si="171"/>
        <v>0</v>
      </c>
      <c r="M186" s="164">
        <f t="shared" si="171"/>
        <v>0</v>
      </c>
      <c r="N186" s="164">
        <f t="shared" si="171"/>
        <v>0</v>
      </c>
      <c r="O186" s="164">
        <f t="shared" si="171"/>
        <v>163</v>
      </c>
      <c r="P186" s="164">
        <f t="shared" si="171"/>
        <v>0</v>
      </c>
      <c r="Q186" s="164">
        <f t="shared" si="171"/>
        <v>0</v>
      </c>
      <c r="R186" s="164">
        <f t="shared" si="171"/>
        <v>0</v>
      </c>
      <c r="S186" s="164">
        <f t="shared" si="171"/>
        <v>163</v>
      </c>
      <c r="T186" s="164">
        <f t="shared" si="171"/>
        <v>163</v>
      </c>
      <c r="U186" s="164">
        <f t="shared" si="171"/>
        <v>0</v>
      </c>
      <c r="V186" s="164">
        <f t="shared" si="171"/>
        <v>0</v>
      </c>
      <c r="W186" s="164">
        <f t="shared" si="171"/>
        <v>0</v>
      </c>
      <c r="X186" s="164">
        <f t="shared" si="171"/>
        <v>0</v>
      </c>
      <c r="Y186" s="164">
        <f t="shared" si="171"/>
        <v>0</v>
      </c>
      <c r="Z186" s="164">
        <f t="shared" si="171"/>
        <v>0</v>
      </c>
      <c r="AA186" s="164">
        <f t="shared" si="171"/>
        <v>0</v>
      </c>
      <c r="AB186" s="164">
        <f t="shared" si="171"/>
        <v>0</v>
      </c>
      <c r="AC186" s="164">
        <f t="shared" si="171"/>
        <v>0</v>
      </c>
      <c r="AD186" s="164">
        <f t="shared" si="171"/>
        <v>0</v>
      </c>
      <c r="AE186" s="164">
        <f t="shared" si="171"/>
        <v>0</v>
      </c>
      <c r="AF186" s="164">
        <f t="shared" si="171"/>
        <v>0</v>
      </c>
      <c r="AG186" s="164">
        <f t="shared" si="171"/>
        <v>0</v>
      </c>
      <c r="AH186" s="164">
        <f t="shared" si="171"/>
        <v>0</v>
      </c>
      <c r="AI186" s="164">
        <f t="shared" si="152"/>
        <v>0</v>
      </c>
      <c r="AJ186" s="164">
        <f>SUM(AJ187:AJ189)</f>
        <v>0</v>
      </c>
      <c r="AK186" s="164">
        <f>SUM(AK187:AK189)</f>
        <v>0</v>
      </c>
      <c r="AL186" s="164">
        <f>SUM(AL187:AL189)</f>
        <v>0</v>
      </c>
      <c r="AM186" s="164">
        <f>SUM(AM187:AM189)</f>
        <v>0</v>
      </c>
      <c r="AN186" s="126"/>
      <c r="AO186" s="130">
        <f t="shared" si="133"/>
        <v>0</v>
      </c>
      <c r="AP186" s="131"/>
    </row>
    <row r="187" spans="1:42" s="161" customFormat="1" ht="14" hidden="1" outlineLevel="2">
      <c r="A187" s="151"/>
      <c r="B187" s="163" t="s">
        <v>560</v>
      </c>
      <c r="C187" s="164">
        <f t="shared" ref="C187:C253" si="172">SUM(D187:G187)</f>
        <v>7</v>
      </c>
      <c r="D187" s="164">
        <v>0</v>
      </c>
      <c r="E187" s="164">
        <v>0</v>
      </c>
      <c r="F187" s="164">
        <v>7</v>
      </c>
      <c r="G187" s="164">
        <v>0</v>
      </c>
      <c r="H187" s="164">
        <f t="shared" ref="H187:H189" si="173">I187+L187</f>
        <v>0</v>
      </c>
      <c r="I187" s="164">
        <f t="shared" ref="I187:I189" si="174">J187+K187</f>
        <v>0</v>
      </c>
      <c r="J187" s="164"/>
      <c r="K187" s="164"/>
      <c r="L187" s="164">
        <f t="shared" ref="L187:L189" si="175">M187+N187</f>
        <v>0</v>
      </c>
      <c r="M187" s="164"/>
      <c r="N187" s="164"/>
      <c r="O187" s="164">
        <f>P187+S187</f>
        <v>7</v>
      </c>
      <c r="P187" s="164">
        <f>Q187+R187</f>
        <v>0</v>
      </c>
      <c r="Q187" s="164"/>
      <c r="R187" s="164"/>
      <c r="S187" s="164">
        <f>T187+U187</f>
        <v>7</v>
      </c>
      <c r="T187" s="164">
        <f>F187</f>
        <v>7</v>
      </c>
      <c r="U187" s="164"/>
      <c r="V187" s="164"/>
      <c r="W187" s="164"/>
      <c r="X187" s="164"/>
      <c r="Y187" s="164"/>
      <c r="Z187" s="164"/>
      <c r="AA187" s="164"/>
      <c r="AB187" s="164"/>
      <c r="AC187" s="164"/>
      <c r="AD187" s="164"/>
      <c r="AE187" s="164"/>
      <c r="AF187" s="164"/>
      <c r="AG187" s="164"/>
      <c r="AH187" s="164"/>
      <c r="AI187" s="164">
        <f t="shared" ref="AI187:AI253" si="176">SUM(AJ187:AM187)</f>
        <v>0</v>
      </c>
      <c r="AJ187" s="164">
        <f t="shared" ref="AJ187:AK189" si="177">D187+J187-Q187-X187-AD187</f>
        <v>0</v>
      </c>
      <c r="AK187" s="164">
        <f t="shared" si="177"/>
        <v>0</v>
      </c>
      <c r="AL187" s="164">
        <f t="shared" ref="AL187:AM189" si="178">F187+M187-T187-AA187-AG187</f>
        <v>0</v>
      </c>
      <c r="AM187" s="164">
        <f t="shared" si="178"/>
        <v>0</v>
      </c>
      <c r="AN187" s="126"/>
      <c r="AO187" s="130">
        <f t="shared" si="133"/>
        <v>0</v>
      </c>
      <c r="AP187" s="131"/>
    </row>
    <row r="188" spans="1:42" s="161" customFormat="1" ht="14" hidden="1" outlineLevel="2">
      <c r="A188" s="151"/>
      <c r="B188" s="163" t="s">
        <v>567</v>
      </c>
      <c r="C188" s="164">
        <f t="shared" si="172"/>
        <v>36</v>
      </c>
      <c r="D188" s="164">
        <v>0</v>
      </c>
      <c r="E188" s="164">
        <v>0</v>
      </c>
      <c r="F188" s="164">
        <v>36</v>
      </c>
      <c r="G188" s="164">
        <v>0</v>
      </c>
      <c r="H188" s="164">
        <f t="shared" si="173"/>
        <v>0</v>
      </c>
      <c r="I188" s="164">
        <f t="shared" si="174"/>
        <v>0</v>
      </c>
      <c r="J188" s="164"/>
      <c r="K188" s="164"/>
      <c r="L188" s="164">
        <f t="shared" si="175"/>
        <v>0</v>
      </c>
      <c r="M188" s="164"/>
      <c r="N188" s="164"/>
      <c r="O188" s="164">
        <f t="shared" ref="O188:O189" si="179">P188+S188</f>
        <v>36</v>
      </c>
      <c r="P188" s="164">
        <f t="shared" ref="P188:P189" si="180">Q188+R188</f>
        <v>0</v>
      </c>
      <c r="Q188" s="164"/>
      <c r="R188" s="164"/>
      <c r="S188" s="164">
        <f t="shared" ref="S188:S189" si="181">T188+U188</f>
        <v>36</v>
      </c>
      <c r="T188" s="164">
        <f>F188</f>
        <v>36</v>
      </c>
      <c r="U188" s="164"/>
      <c r="V188" s="164"/>
      <c r="W188" s="164"/>
      <c r="X188" s="164"/>
      <c r="Y188" s="164"/>
      <c r="Z188" s="164"/>
      <c r="AA188" s="164"/>
      <c r="AB188" s="164"/>
      <c r="AC188" s="164"/>
      <c r="AD188" s="164"/>
      <c r="AE188" s="164"/>
      <c r="AF188" s="164"/>
      <c r="AG188" s="164"/>
      <c r="AH188" s="164"/>
      <c r="AI188" s="164">
        <f t="shared" si="176"/>
        <v>0</v>
      </c>
      <c r="AJ188" s="164">
        <f t="shared" si="177"/>
        <v>0</v>
      </c>
      <c r="AK188" s="164">
        <f t="shared" si="177"/>
        <v>0</v>
      </c>
      <c r="AL188" s="164">
        <f t="shared" si="178"/>
        <v>0</v>
      </c>
      <c r="AM188" s="164">
        <f t="shared" si="178"/>
        <v>0</v>
      </c>
      <c r="AN188" s="126"/>
      <c r="AO188" s="130">
        <f t="shared" si="133"/>
        <v>0</v>
      </c>
      <c r="AP188" s="131"/>
    </row>
    <row r="189" spans="1:42" s="161" customFormat="1" ht="14" hidden="1" outlineLevel="2">
      <c r="A189" s="151"/>
      <c r="B189" s="163" t="s">
        <v>568</v>
      </c>
      <c r="C189" s="164">
        <f t="shared" si="172"/>
        <v>120</v>
      </c>
      <c r="D189" s="164">
        <v>0</v>
      </c>
      <c r="E189" s="164">
        <v>0</v>
      </c>
      <c r="F189" s="164">
        <v>120</v>
      </c>
      <c r="G189" s="164">
        <v>0</v>
      </c>
      <c r="H189" s="164">
        <f t="shared" si="173"/>
        <v>0</v>
      </c>
      <c r="I189" s="164">
        <f t="shared" si="174"/>
        <v>0</v>
      </c>
      <c r="J189" s="164"/>
      <c r="K189" s="164"/>
      <c r="L189" s="164">
        <f t="shared" si="175"/>
        <v>0</v>
      </c>
      <c r="M189" s="164"/>
      <c r="N189" s="164"/>
      <c r="O189" s="164">
        <f t="shared" si="179"/>
        <v>120</v>
      </c>
      <c r="P189" s="164">
        <f t="shared" si="180"/>
        <v>0</v>
      </c>
      <c r="Q189" s="164"/>
      <c r="R189" s="164"/>
      <c r="S189" s="164">
        <f t="shared" si="181"/>
        <v>120</v>
      </c>
      <c r="T189" s="164">
        <f>F189</f>
        <v>120</v>
      </c>
      <c r="U189" s="164"/>
      <c r="V189" s="164"/>
      <c r="W189" s="164"/>
      <c r="X189" s="164"/>
      <c r="Y189" s="164"/>
      <c r="Z189" s="164"/>
      <c r="AA189" s="164"/>
      <c r="AB189" s="164"/>
      <c r="AC189" s="164"/>
      <c r="AD189" s="164"/>
      <c r="AE189" s="164"/>
      <c r="AF189" s="164"/>
      <c r="AG189" s="164"/>
      <c r="AH189" s="164"/>
      <c r="AI189" s="164">
        <f t="shared" si="176"/>
        <v>0</v>
      </c>
      <c r="AJ189" s="164">
        <f t="shared" si="177"/>
        <v>0</v>
      </c>
      <c r="AK189" s="164">
        <f t="shared" si="177"/>
        <v>0</v>
      </c>
      <c r="AL189" s="164">
        <f t="shared" si="178"/>
        <v>0</v>
      </c>
      <c r="AM189" s="164">
        <f t="shared" si="178"/>
        <v>0</v>
      </c>
      <c r="AN189" s="126"/>
      <c r="AO189" s="130">
        <f t="shared" si="133"/>
        <v>0</v>
      </c>
      <c r="AP189" s="131"/>
    </row>
    <row r="190" spans="1:42" s="165" customFormat="1" ht="14" hidden="1" outlineLevel="1">
      <c r="A190" s="136">
        <v>19</v>
      </c>
      <c r="B190" s="137" t="s">
        <v>633</v>
      </c>
      <c r="C190" s="126">
        <f>SUM(D190:G190)</f>
        <v>70000</v>
      </c>
      <c r="D190" s="126">
        <v>70000</v>
      </c>
      <c r="E190" s="126">
        <v>0</v>
      </c>
      <c r="F190" s="126">
        <v>0</v>
      </c>
      <c r="G190" s="126">
        <v>0</v>
      </c>
      <c r="H190" s="126">
        <f>I190+L190</f>
        <v>0</v>
      </c>
      <c r="I190" s="126">
        <f>J190+K190</f>
        <v>0</v>
      </c>
      <c r="J190" s="126"/>
      <c r="K190" s="126"/>
      <c r="L190" s="126"/>
      <c r="M190" s="126"/>
      <c r="N190" s="126"/>
      <c r="O190" s="126">
        <f>P190+S190</f>
        <v>69975.876470999996</v>
      </c>
      <c r="P190" s="126">
        <f>Q190+R190</f>
        <v>69975.876470999996</v>
      </c>
      <c r="Q190" s="126">
        <v>69975.876470999996</v>
      </c>
      <c r="R190" s="126"/>
      <c r="S190" s="126">
        <f>T190+U190</f>
        <v>0</v>
      </c>
      <c r="T190" s="126"/>
      <c r="U190" s="126"/>
      <c r="V190" s="126"/>
      <c r="W190" s="126"/>
      <c r="X190" s="126"/>
      <c r="Y190" s="126"/>
      <c r="Z190" s="126"/>
      <c r="AA190" s="126"/>
      <c r="AB190" s="126"/>
      <c r="AC190" s="126"/>
      <c r="AD190" s="126"/>
      <c r="AE190" s="126"/>
      <c r="AF190" s="126"/>
      <c r="AG190" s="126"/>
      <c r="AH190" s="126"/>
      <c r="AI190" s="126">
        <f>SUM(AJ190:AM190)</f>
        <v>24.123529000004055</v>
      </c>
      <c r="AJ190" s="126">
        <f>D190+J190-Q190-X190-AD190</f>
        <v>24.123529000004055</v>
      </c>
      <c r="AK190" s="126">
        <f>E190+K190-R190-Y190-AE190</f>
        <v>0</v>
      </c>
      <c r="AL190" s="126">
        <f>F190+M190-T190-AA190-AG190</f>
        <v>0</v>
      </c>
      <c r="AM190" s="126">
        <f>G190+N190-U190-AB190-AH190</f>
        <v>0</v>
      </c>
      <c r="AN190" s="126"/>
      <c r="AO190" s="130">
        <f t="shared" si="133"/>
        <v>0</v>
      </c>
      <c r="AP190" s="116"/>
    </row>
    <row r="191" spans="1:42" s="161" customFormat="1" ht="14" collapsed="1">
      <c r="A191" s="133" t="s">
        <v>453</v>
      </c>
      <c r="B191" s="162" t="s">
        <v>208</v>
      </c>
      <c r="C191" s="135">
        <f t="shared" ref="C191:I191" si="182">SUM(C192:C197)</f>
        <v>46726.266817999996</v>
      </c>
      <c r="D191" s="135">
        <f t="shared" si="182"/>
        <v>46726.266817999996</v>
      </c>
      <c r="E191" s="135">
        <f t="shared" si="182"/>
        <v>0</v>
      </c>
      <c r="F191" s="135">
        <f t="shared" si="182"/>
        <v>0</v>
      </c>
      <c r="G191" s="135">
        <f t="shared" si="182"/>
        <v>0</v>
      </c>
      <c r="H191" s="135">
        <f t="shared" si="182"/>
        <v>425800</v>
      </c>
      <c r="I191" s="135">
        <f t="shared" si="182"/>
        <v>425800</v>
      </c>
      <c r="J191" s="135">
        <f>SUM(J192:J197)</f>
        <v>425800</v>
      </c>
      <c r="K191" s="135">
        <f t="shared" ref="K191:AM191" si="183">SUM(K192:K197)</f>
        <v>0</v>
      </c>
      <c r="L191" s="135">
        <f t="shared" si="183"/>
        <v>0</v>
      </c>
      <c r="M191" s="135">
        <f t="shared" si="183"/>
        <v>0</v>
      </c>
      <c r="N191" s="135">
        <f t="shared" si="183"/>
        <v>0</v>
      </c>
      <c r="O191" s="135">
        <f t="shared" si="183"/>
        <v>231569.905176</v>
      </c>
      <c r="P191" s="135">
        <f t="shared" si="183"/>
        <v>231569.905176</v>
      </c>
      <c r="Q191" s="135">
        <f t="shared" si="183"/>
        <v>231569.905176</v>
      </c>
      <c r="R191" s="135">
        <f t="shared" si="183"/>
        <v>0</v>
      </c>
      <c r="S191" s="135">
        <f t="shared" si="183"/>
        <v>0</v>
      </c>
      <c r="T191" s="135">
        <f t="shared" si="183"/>
        <v>0</v>
      </c>
      <c r="U191" s="135">
        <f t="shared" si="183"/>
        <v>0</v>
      </c>
      <c r="V191" s="135">
        <f t="shared" si="183"/>
        <v>0</v>
      </c>
      <c r="W191" s="135">
        <f t="shared" si="183"/>
        <v>0</v>
      </c>
      <c r="X191" s="135">
        <f t="shared" si="183"/>
        <v>0</v>
      </c>
      <c r="Y191" s="135">
        <f t="shared" si="183"/>
        <v>0</v>
      </c>
      <c r="Z191" s="135">
        <f t="shared" si="183"/>
        <v>0</v>
      </c>
      <c r="AA191" s="135">
        <f t="shared" si="183"/>
        <v>0</v>
      </c>
      <c r="AB191" s="135">
        <f t="shared" si="183"/>
        <v>0</v>
      </c>
      <c r="AC191" s="135">
        <f t="shared" si="183"/>
        <v>0</v>
      </c>
      <c r="AD191" s="135">
        <f t="shared" si="183"/>
        <v>0</v>
      </c>
      <c r="AE191" s="135">
        <f t="shared" si="183"/>
        <v>0</v>
      </c>
      <c r="AF191" s="135">
        <f t="shared" si="183"/>
        <v>0</v>
      </c>
      <c r="AG191" s="135">
        <f t="shared" si="183"/>
        <v>0</v>
      </c>
      <c r="AH191" s="135">
        <f t="shared" si="183"/>
        <v>0</v>
      </c>
      <c r="AI191" s="135">
        <f t="shared" si="183"/>
        <v>172304.351069</v>
      </c>
      <c r="AJ191" s="135">
        <f t="shared" si="183"/>
        <v>172304.351069</v>
      </c>
      <c r="AK191" s="135">
        <f t="shared" si="183"/>
        <v>0</v>
      </c>
      <c r="AL191" s="135">
        <f t="shared" si="183"/>
        <v>0</v>
      </c>
      <c r="AM191" s="135">
        <f t="shared" si="183"/>
        <v>0</v>
      </c>
      <c r="AN191" s="126"/>
      <c r="AO191" s="130">
        <f t="shared" si="133"/>
        <v>68652.010573000007</v>
      </c>
      <c r="AP191" s="131"/>
    </row>
    <row r="192" spans="1:42" s="161" customFormat="1" ht="14" hidden="1" outlineLevel="1">
      <c r="A192" s="166" t="s">
        <v>318</v>
      </c>
      <c r="B192" s="167" t="s">
        <v>394</v>
      </c>
      <c r="C192" s="164">
        <f t="shared" si="172"/>
        <v>0</v>
      </c>
      <c r="D192" s="164"/>
      <c r="E192" s="164">
        <v>0</v>
      </c>
      <c r="F192" s="164">
        <v>0</v>
      </c>
      <c r="G192" s="164">
        <v>0</v>
      </c>
      <c r="H192" s="164">
        <f t="shared" ref="H192:H197" si="184">I192+L192</f>
        <v>36000</v>
      </c>
      <c r="I192" s="126">
        <f t="shared" ref="I192:I197" si="185">J192+K192</f>
        <v>36000</v>
      </c>
      <c r="J192" s="164">
        <v>36000</v>
      </c>
      <c r="K192" s="164"/>
      <c r="L192" s="164"/>
      <c r="M192" s="164"/>
      <c r="N192" s="164"/>
      <c r="O192" s="126">
        <f t="shared" ref="O192:O197" si="186">P192+S192</f>
        <v>0</v>
      </c>
      <c r="P192" s="126">
        <f t="shared" ref="P192:P197" si="187">Q192+R192</f>
        <v>0</v>
      </c>
      <c r="Q192" s="164"/>
      <c r="R192" s="164"/>
      <c r="S192" s="164"/>
      <c r="T192" s="164"/>
      <c r="U192" s="164"/>
      <c r="V192" s="164">
        <f>W192+Z192+AC192+AF192</f>
        <v>0</v>
      </c>
      <c r="W192" s="164">
        <f>X192+Y192</f>
        <v>0</v>
      </c>
      <c r="X192" s="164"/>
      <c r="Y192" s="164"/>
      <c r="Z192" s="164">
        <f>AA192+AB192</f>
        <v>0</v>
      </c>
      <c r="AA192" s="164"/>
      <c r="AB192" s="164"/>
      <c r="AC192" s="164">
        <f>AD192+AE192</f>
        <v>0</v>
      </c>
      <c r="AD192" s="164"/>
      <c r="AE192" s="164"/>
      <c r="AF192" s="164">
        <f>AG192+AH192</f>
        <v>0</v>
      </c>
      <c r="AG192" s="164"/>
      <c r="AH192" s="164"/>
      <c r="AI192" s="126">
        <f t="shared" si="176"/>
        <v>0</v>
      </c>
      <c r="AJ192" s="164"/>
      <c r="AK192" s="164"/>
      <c r="AL192" s="164"/>
      <c r="AM192" s="164"/>
      <c r="AN192" s="126"/>
      <c r="AO192" s="130">
        <f t="shared" si="133"/>
        <v>36000</v>
      </c>
      <c r="AP192" s="131"/>
    </row>
    <row r="193" spans="1:42" s="161" customFormat="1" ht="28" hidden="1" outlineLevel="1">
      <c r="A193" s="166">
        <v>2</v>
      </c>
      <c r="B193" s="167" t="s">
        <v>635</v>
      </c>
      <c r="C193" s="126">
        <f>SUM(D193:G193)</f>
        <v>10232.275</v>
      </c>
      <c r="D193" s="164">
        <v>10232.275</v>
      </c>
      <c r="E193" s="164"/>
      <c r="F193" s="164"/>
      <c r="G193" s="164"/>
      <c r="H193" s="126">
        <f t="shared" si="184"/>
        <v>42259</v>
      </c>
      <c r="I193" s="126">
        <f t="shared" si="185"/>
        <v>42259</v>
      </c>
      <c r="J193" s="164">
        <v>42259</v>
      </c>
      <c r="K193" s="164"/>
      <c r="L193" s="164"/>
      <c r="M193" s="164"/>
      <c r="N193" s="164"/>
      <c r="O193" s="126">
        <f t="shared" si="186"/>
        <v>43553.423000000003</v>
      </c>
      <c r="P193" s="126">
        <f t="shared" si="187"/>
        <v>43553.423000000003</v>
      </c>
      <c r="Q193" s="164">
        <v>43553.423000000003</v>
      </c>
      <c r="R193" s="164"/>
      <c r="S193" s="164"/>
      <c r="T193" s="164"/>
      <c r="U193" s="164"/>
      <c r="V193" s="164"/>
      <c r="W193" s="164"/>
      <c r="X193" s="164"/>
      <c r="Y193" s="164"/>
      <c r="Z193" s="164"/>
      <c r="AA193" s="164"/>
      <c r="AB193" s="164"/>
      <c r="AC193" s="164"/>
      <c r="AD193" s="164"/>
      <c r="AE193" s="164"/>
      <c r="AF193" s="164"/>
      <c r="AG193" s="164"/>
      <c r="AH193" s="164"/>
      <c r="AI193" s="126">
        <f t="shared" si="176"/>
        <v>8663.2999999999993</v>
      </c>
      <c r="AJ193" s="164">
        <v>8663.2999999999993</v>
      </c>
      <c r="AK193" s="164"/>
      <c r="AL193" s="164"/>
      <c r="AM193" s="164"/>
      <c r="AN193" s="126"/>
      <c r="AO193" s="130">
        <f t="shared" si="133"/>
        <v>274.55199999999968</v>
      </c>
      <c r="AP193" s="131"/>
    </row>
    <row r="194" spans="1:42" s="161" customFormat="1" ht="28" hidden="1" outlineLevel="1">
      <c r="A194" s="166">
        <v>3</v>
      </c>
      <c r="B194" s="167" t="s">
        <v>310</v>
      </c>
      <c r="C194" s="126">
        <f>SUM(D194:G194)</f>
        <v>0</v>
      </c>
      <c r="D194" s="164"/>
      <c r="E194" s="164"/>
      <c r="F194" s="164"/>
      <c r="G194" s="164"/>
      <c r="H194" s="126">
        <f t="shared" si="184"/>
        <v>160591</v>
      </c>
      <c r="I194" s="126">
        <f t="shared" si="185"/>
        <v>160591</v>
      </c>
      <c r="J194" s="164">
        <v>160591</v>
      </c>
      <c r="K194" s="164"/>
      <c r="L194" s="164"/>
      <c r="M194" s="164"/>
      <c r="N194" s="164"/>
      <c r="O194" s="126">
        <f t="shared" si="186"/>
        <v>29283.577000000001</v>
      </c>
      <c r="P194" s="126">
        <f t="shared" si="187"/>
        <v>29283.577000000001</v>
      </c>
      <c r="Q194" s="164">
        <v>29283.577000000001</v>
      </c>
      <c r="R194" s="164"/>
      <c r="S194" s="164"/>
      <c r="T194" s="164"/>
      <c r="U194" s="164"/>
      <c r="V194" s="164"/>
      <c r="W194" s="164"/>
      <c r="X194" s="164"/>
      <c r="Y194" s="164"/>
      <c r="Z194" s="164"/>
      <c r="AA194" s="164"/>
      <c r="AB194" s="164"/>
      <c r="AC194" s="164"/>
      <c r="AD194" s="164"/>
      <c r="AE194" s="164"/>
      <c r="AF194" s="164"/>
      <c r="AG194" s="164"/>
      <c r="AH194" s="164"/>
      <c r="AI194" s="126">
        <f t="shared" si="176"/>
        <v>131307.42300000001</v>
      </c>
      <c r="AJ194" s="164">
        <v>131307.42300000001</v>
      </c>
      <c r="AK194" s="164"/>
      <c r="AL194" s="164"/>
      <c r="AM194" s="164"/>
      <c r="AN194" s="126"/>
      <c r="AO194" s="130">
        <f t="shared" si="133"/>
        <v>0</v>
      </c>
      <c r="AP194" s="131"/>
    </row>
    <row r="195" spans="1:42" s="165" customFormat="1" ht="28" hidden="1" outlineLevel="1">
      <c r="A195" s="166">
        <v>4</v>
      </c>
      <c r="B195" s="167" t="s">
        <v>636</v>
      </c>
      <c r="C195" s="126">
        <f>SUM(D195:G195)</f>
        <v>27879.947335000001</v>
      </c>
      <c r="D195" s="126">
        <v>27879.947335000001</v>
      </c>
      <c r="E195" s="126">
        <v>0</v>
      </c>
      <c r="F195" s="126">
        <v>0</v>
      </c>
      <c r="G195" s="126">
        <v>0</v>
      </c>
      <c r="H195" s="126">
        <f t="shared" si="184"/>
        <v>110000</v>
      </c>
      <c r="I195" s="126">
        <f t="shared" si="185"/>
        <v>110000</v>
      </c>
      <c r="J195" s="126">
        <v>110000</v>
      </c>
      <c r="K195" s="126"/>
      <c r="L195" s="126"/>
      <c r="M195" s="126"/>
      <c r="N195" s="126"/>
      <c r="O195" s="126">
        <f t="shared" si="186"/>
        <v>115260.589974</v>
      </c>
      <c r="P195" s="126">
        <f t="shared" si="187"/>
        <v>115260.589974</v>
      </c>
      <c r="Q195" s="126">
        <v>115260.589974</v>
      </c>
      <c r="R195" s="126"/>
      <c r="S195" s="126"/>
      <c r="T195" s="126"/>
      <c r="U195" s="126"/>
      <c r="V195" s="126">
        <f>W195+Z195+AC195+AF195</f>
        <v>0</v>
      </c>
      <c r="W195" s="126">
        <f>X195+Y195</f>
        <v>0</v>
      </c>
      <c r="X195" s="126"/>
      <c r="Y195" s="126"/>
      <c r="Z195" s="126">
        <f>AA195+AB195</f>
        <v>0</v>
      </c>
      <c r="AA195" s="126"/>
      <c r="AB195" s="126"/>
      <c r="AC195" s="126">
        <f>AD195+AE195</f>
        <v>0</v>
      </c>
      <c r="AD195" s="126"/>
      <c r="AE195" s="126"/>
      <c r="AF195" s="126">
        <f>AG195+AH195</f>
        <v>0</v>
      </c>
      <c r="AG195" s="126"/>
      <c r="AH195" s="126"/>
      <c r="AI195" s="126">
        <f t="shared" si="176"/>
        <v>2142.7743349999873</v>
      </c>
      <c r="AJ195" s="126">
        <v>2142.7743349999873</v>
      </c>
      <c r="AK195" s="126">
        <f t="shared" si="167"/>
        <v>0</v>
      </c>
      <c r="AL195" s="126">
        <f t="shared" si="168"/>
        <v>0</v>
      </c>
      <c r="AM195" s="126">
        <f t="shared" si="168"/>
        <v>0</v>
      </c>
      <c r="AN195" s="126"/>
      <c r="AO195" s="130">
        <f t="shared" si="133"/>
        <v>20476.583026000015</v>
      </c>
      <c r="AP195" s="116"/>
    </row>
    <row r="196" spans="1:42" s="165" customFormat="1" ht="28" hidden="1" outlineLevel="1">
      <c r="A196" s="166">
        <v>5</v>
      </c>
      <c r="B196" s="167" t="s">
        <v>637</v>
      </c>
      <c r="C196" s="126">
        <f>SUM(D196:G196)</f>
        <v>0</v>
      </c>
      <c r="D196" s="126"/>
      <c r="E196" s="126">
        <v>0</v>
      </c>
      <c r="F196" s="126">
        <v>0</v>
      </c>
      <c r="G196" s="126">
        <v>0</v>
      </c>
      <c r="H196" s="126">
        <f t="shared" si="184"/>
        <v>11500</v>
      </c>
      <c r="I196" s="126">
        <f t="shared" si="185"/>
        <v>11500</v>
      </c>
      <c r="J196" s="126">
        <v>11500</v>
      </c>
      <c r="K196" s="126"/>
      <c r="L196" s="126"/>
      <c r="M196" s="126"/>
      <c r="N196" s="126"/>
      <c r="O196" s="126">
        <f t="shared" si="186"/>
        <v>581.98922000000005</v>
      </c>
      <c r="P196" s="126">
        <f t="shared" si="187"/>
        <v>581.98922000000005</v>
      </c>
      <c r="Q196" s="126">
        <v>581.98922000000005</v>
      </c>
      <c r="R196" s="126"/>
      <c r="S196" s="126"/>
      <c r="T196" s="126"/>
      <c r="U196" s="126"/>
      <c r="V196" s="126">
        <f>W196+Z196+AC196+AF196</f>
        <v>0</v>
      </c>
      <c r="W196" s="126">
        <f>X196+Y196</f>
        <v>0</v>
      </c>
      <c r="X196" s="126"/>
      <c r="Y196" s="126"/>
      <c r="Z196" s="126">
        <f>AA196+AB196</f>
        <v>0</v>
      </c>
      <c r="AA196" s="126"/>
      <c r="AB196" s="126"/>
      <c r="AC196" s="126">
        <f>AD196+AE196</f>
        <v>0</v>
      </c>
      <c r="AD196" s="126"/>
      <c r="AE196" s="126"/>
      <c r="AF196" s="126">
        <f>AG196+AH196</f>
        <v>0</v>
      </c>
      <c r="AG196" s="126"/>
      <c r="AH196" s="126"/>
      <c r="AI196" s="126">
        <f>SUM(AJ196:AM196)</f>
        <v>0</v>
      </c>
      <c r="AJ196" s="126"/>
      <c r="AK196" s="126">
        <f>E196+K196-R196-Y196-AE196</f>
        <v>0</v>
      </c>
      <c r="AL196" s="126">
        <f>F196+M196-T196-AA196-AG196</f>
        <v>0</v>
      </c>
      <c r="AM196" s="126">
        <f>G196+N196-U196-AB196-AH196</f>
        <v>0</v>
      </c>
      <c r="AN196" s="126"/>
      <c r="AO196" s="130">
        <f t="shared" si="133"/>
        <v>10918.010780000001</v>
      </c>
      <c r="AP196" s="116"/>
    </row>
    <row r="197" spans="1:42" s="165" customFormat="1" ht="28" hidden="1" outlineLevel="1">
      <c r="A197" s="166">
        <v>6</v>
      </c>
      <c r="B197" s="167" t="s">
        <v>638</v>
      </c>
      <c r="C197" s="126">
        <f>SUM(D197:G197)</f>
        <v>8614.0444829999997</v>
      </c>
      <c r="D197" s="126">
        <v>8614.0444829999997</v>
      </c>
      <c r="E197" s="126">
        <v>0</v>
      </c>
      <c r="F197" s="126">
        <v>0</v>
      </c>
      <c r="G197" s="126">
        <v>0</v>
      </c>
      <c r="H197" s="126">
        <f t="shared" si="184"/>
        <v>65450</v>
      </c>
      <c r="I197" s="126">
        <f t="shared" si="185"/>
        <v>65450</v>
      </c>
      <c r="J197" s="126">
        <v>65450</v>
      </c>
      <c r="K197" s="126"/>
      <c r="L197" s="126"/>
      <c r="M197" s="126"/>
      <c r="N197" s="126"/>
      <c r="O197" s="126">
        <f t="shared" si="186"/>
        <v>42890.325982000002</v>
      </c>
      <c r="P197" s="126">
        <f t="shared" si="187"/>
        <v>42890.325982000002</v>
      </c>
      <c r="Q197" s="126">
        <v>42890.325982000002</v>
      </c>
      <c r="R197" s="126"/>
      <c r="S197" s="126"/>
      <c r="T197" s="126"/>
      <c r="U197" s="126"/>
      <c r="V197" s="126">
        <f>W197+Z197+AC197+AF197</f>
        <v>0</v>
      </c>
      <c r="W197" s="126">
        <f>X197+Y197</f>
        <v>0</v>
      </c>
      <c r="X197" s="126"/>
      <c r="Y197" s="126"/>
      <c r="Z197" s="126">
        <f>AA197+AB197</f>
        <v>0</v>
      </c>
      <c r="AA197" s="126"/>
      <c r="AB197" s="126"/>
      <c r="AC197" s="126">
        <f>AD197+AE197</f>
        <v>0</v>
      </c>
      <c r="AD197" s="126"/>
      <c r="AE197" s="126"/>
      <c r="AF197" s="126">
        <f>AG197+AH197</f>
        <v>0</v>
      </c>
      <c r="AG197" s="126"/>
      <c r="AH197" s="126"/>
      <c r="AI197" s="126">
        <f t="shared" si="176"/>
        <v>30190.853734000004</v>
      </c>
      <c r="AJ197" s="126">
        <v>30190.853734000004</v>
      </c>
      <c r="AK197" s="126">
        <f t="shared" si="167"/>
        <v>0</v>
      </c>
      <c r="AL197" s="126">
        <f t="shared" si="168"/>
        <v>0</v>
      </c>
      <c r="AM197" s="126">
        <f t="shared" si="168"/>
        <v>0</v>
      </c>
      <c r="AN197" s="126"/>
      <c r="AO197" s="130">
        <f t="shared" si="133"/>
        <v>982.86476699999912</v>
      </c>
      <c r="AP197" s="116"/>
    </row>
    <row r="198" spans="1:42" s="161" customFormat="1" ht="14" collapsed="1">
      <c r="A198" s="168" t="s">
        <v>639</v>
      </c>
      <c r="B198" s="150" t="s">
        <v>597</v>
      </c>
      <c r="C198" s="145">
        <f t="shared" ref="C198:AM198" si="188">C199+C205</f>
        <v>7991.854150000001</v>
      </c>
      <c r="D198" s="145">
        <f t="shared" si="188"/>
        <v>7991.854150000001</v>
      </c>
      <c r="E198" s="145">
        <f t="shared" si="188"/>
        <v>0</v>
      </c>
      <c r="F198" s="145">
        <f t="shared" si="188"/>
        <v>0</v>
      </c>
      <c r="G198" s="145">
        <f t="shared" si="188"/>
        <v>0</v>
      </c>
      <c r="H198" s="145">
        <f t="shared" si="188"/>
        <v>385900</v>
      </c>
      <c r="I198" s="145">
        <f t="shared" si="188"/>
        <v>385900</v>
      </c>
      <c r="J198" s="145">
        <f t="shared" si="188"/>
        <v>385900</v>
      </c>
      <c r="K198" s="145">
        <f t="shared" si="188"/>
        <v>0</v>
      </c>
      <c r="L198" s="145">
        <f t="shared" si="188"/>
        <v>0</v>
      </c>
      <c r="M198" s="145">
        <f t="shared" si="188"/>
        <v>0</v>
      </c>
      <c r="N198" s="145">
        <f t="shared" si="188"/>
        <v>0</v>
      </c>
      <c r="O198" s="145">
        <f t="shared" si="188"/>
        <v>141782.55067699999</v>
      </c>
      <c r="P198" s="145">
        <f t="shared" si="188"/>
        <v>141782.55067699999</v>
      </c>
      <c r="Q198" s="145">
        <f t="shared" si="188"/>
        <v>141782.55067699999</v>
      </c>
      <c r="R198" s="145">
        <f t="shared" si="188"/>
        <v>0</v>
      </c>
      <c r="S198" s="145">
        <f t="shared" si="188"/>
        <v>0</v>
      </c>
      <c r="T198" s="145">
        <f t="shared" si="188"/>
        <v>0</v>
      </c>
      <c r="U198" s="145">
        <f t="shared" si="188"/>
        <v>0</v>
      </c>
      <c r="V198" s="145">
        <f t="shared" si="188"/>
        <v>0</v>
      </c>
      <c r="W198" s="145">
        <f t="shared" si="188"/>
        <v>0</v>
      </c>
      <c r="X198" s="145">
        <f t="shared" si="188"/>
        <v>0</v>
      </c>
      <c r="Y198" s="145">
        <f t="shared" si="188"/>
        <v>0</v>
      </c>
      <c r="Z198" s="145">
        <f t="shared" si="188"/>
        <v>0</v>
      </c>
      <c r="AA198" s="145">
        <f t="shared" si="188"/>
        <v>0</v>
      </c>
      <c r="AB198" s="145">
        <f t="shared" si="188"/>
        <v>0</v>
      </c>
      <c r="AC198" s="145">
        <f t="shared" si="188"/>
        <v>0</v>
      </c>
      <c r="AD198" s="145">
        <f t="shared" si="188"/>
        <v>0</v>
      </c>
      <c r="AE198" s="145">
        <f t="shared" si="188"/>
        <v>0</v>
      </c>
      <c r="AF198" s="145">
        <f t="shared" si="188"/>
        <v>0</v>
      </c>
      <c r="AG198" s="145">
        <f t="shared" si="188"/>
        <v>0</v>
      </c>
      <c r="AH198" s="145">
        <f t="shared" si="188"/>
        <v>0</v>
      </c>
      <c r="AI198" s="145">
        <f t="shared" si="188"/>
        <v>245303.85305400004</v>
      </c>
      <c r="AJ198" s="145">
        <f t="shared" si="188"/>
        <v>245303.85305400004</v>
      </c>
      <c r="AK198" s="145">
        <f t="shared" si="188"/>
        <v>0</v>
      </c>
      <c r="AL198" s="145">
        <f t="shared" si="188"/>
        <v>0</v>
      </c>
      <c r="AM198" s="145">
        <f t="shared" si="188"/>
        <v>0</v>
      </c>
      <c r="AN198" s="145"/>
      <c r="AO198" s="130">
        <f t="shared" si="133"/>
        <v>6805.4504190000007</v>
      </c>
      <c r="AP198" s="131"/>
    </row>
    <row r="199" spans="1:42" s="161" customFormat="1" ht="14">
      <c r="A199" s="133" t="s">
        <v>446</v>
      </c>
      <c r="B199" s="150" t="s">
        <v>640</v>
      </c>
      <c r="C199" s="145">
        <f t="shared" ref="C199:AM199" si="189">SUM(C200:C204)</f>
        <v>7549.7170000000006</v>
      </c>
      <c r="D199" s="145">
        <f t="shared" si="189"/>
        <v>7549.7170000000006</v>
      </c>
      <c r="E199" s="145">
        <f t="shared" si="189"/>
        <v>0</v>
      </c>
      <c r="F199" s="145">
        <f t="shared" si="189"/>
        <v>0</v>
      </c>
      <c r="G199" s="145">
        <f t="shared" si="189"/>
        <v>0</v>
      </c>
      <c r="H199" s="145">
        <f t="shared" si="189"/>
        <v>201973</v>
      </c>
      <c r="I199" s="145">
        <f t="shared" si="189"/>
        <v>201973</v>
      </c>
      <c r="J199" s="145">
        <f t="shared" si="189"/>
        <v>201973</v>
      </c>
      <c r="K199" s="145">
        <f t="shared" si="189"/>
        <v>0</v>
      </c>
      <c r="L199" s="145">
        <f t="shared" si="189"/>
        <v>0</v>
      </c>
      <c r="M199" s="145">
        <f t="shared" si="189"/>
        <v>0</v>
      </c>
      <c r="N199" s="145">
        <f t="shared" si="189"/>
        <v>0</v>
      </c>
      <c r="O199" s="145">
        <f t="shared" si="189"/>
        <v>78605.9467</v>
      </c>
      <c r="P199" s="145">
        <f t="shared" si="189"/>
        <v>78605.9467</v>
      </c>
      <c r="Q199" s="145">
        <f t="shared" si="189"/>
        <v>78605.9467</v>
      </c>
      <c r="R199" s="145">
        <f t="shared" si="189"/>
        <v>0</v>
      </c>
      <c r="S199" s="145">
        <f t="shared" si="189"/>
        <v>0</v>
      </c>
      <c r="T199" s="145">
        <f t="shared" si="189"/>
        <v>0</v>
      </c>
      <c r="U199" s="145">
        <f t="shared" si="189"/>
        <v>0</v>
      </c>
      <c r="V199" s="145">
        <f t="shared" si="189"/>
        <v>0</v>
      </c>
      <c r="W199" s="145">
        <f t="shared" si="189"/>
        <v>0</v>
      </c>
      <c r="X199" s="145">
        <f t="shared" si="189"/>
        <v>0</v>
      </c>
      <c r="Y199" s="145">
        <f t="shared" si="189"/>
        <v>0</v>
      </c>
      <c r="Z199" s="145">
        <f t="shared" si="189"/>
        <v>0</v>
      </c>
      <c r="AA199" s="145">
        <f t="shared" si="189"/>
        <v>0</v>
      </c>
      <c r="AB199" s="145">
        <f t="shared" si="189"/>
        <v>0</v>
      </c>
      <c r="AC199" s="145">
        <f t="shared" si="189"/>
        <v>0</v>
      </c>
      <c r="AD199" s="145">
        <f t="shared" si="189"/>
        <v>0</v>
      </c>
      <c r="AE199" s="145">
        <f t="shared" si="189"/>
        <v>0</v>
      </c>
      <c r="AF199" s="145">
        <f t="shared" si="189"/>
        <v>0</v>
      </c>
      <c r="AG199" s="145">
        <f t="shared" si="189"/>
        <v>0</v>
      </c>
      <c r="AH199" s="145">
        <f t="shared" si="189"/>
        <v>0</v>
      </c>
      <c r="AI199" s="145">
        <f t="shared" si="189"/>
        <v>130916.7703</v>
      </c>
      <c r="AJ199" s="145">
        <f t="shared" si="189"/>
        <v>130916.7703</v>
      </c>
      <c r="AK199" s="145">
        <f t="shared" si="189"/>
        <v>0</v>
      </c>
      <c r="AL199" s="145">
        <f t="shared" si="189"/>
        <v>0</v>
      </c>
      <c r="AM199" s="145">
        <f t="shared" si="189"/>
        <v>0</v>
      </c>
      <c r="AN199" s="145"/>
      <c r="AO199" s="130">
        <f t="shared" si="133"/>
        <v>0</v>
      </c>
      <c r="AP199" s="131"/>
    </row>
    <row r="200" spans="1:42" s="165" customFormat="1" ht="28" hidden="1" outlineLevel="1">
      <c r="A200" s="136">
        <v>1</v>
      </c>
      <c r="B200" s="137" t="s">
        <v>641</v>
      </c>
      <c r="C200" s="126">
        <f t="shared" si="172"/>
        <v>7549.7170000000006</v>
      </c>
      <c r="D200" s="126">
        <v>7549.7170000000006</v>
      </c>
      <c r="E200" s="126">
        <v>0</v>
      </c>
      <c r="F200" s="126">
        <v>0</v>
      </c>
      <c r="G200" s="126">
        <v>0</v>
      </c>
      <c r="H200" s="126">
        <f t="shared" ref="H200:H201" si="190">I200+L200</f>
        <v>19200</v>
      </c>
      <c r="I200" s="126">
        <f t="shared" ref="I200:I201" si="191">J200+K200</f>
        <v>19200</v>
      </c>
      <c r="J200" s="126">
        <v>19200</v>
      </c>
      <c r="K200" s="126"/>
      <c r="L200" s="126"/>
      <c r="M200" s="126"/>
      <c r="N200" s="126"/>
      <c r="O200" s="126">
        <f>P200+S200</f>
        <v>8757.8186999999998</v>
      </c>
      <c r="P200" s="126">
        <f>Q200+R200</f>
        <v>8757.8186999999998</v>
      </c>
      <c r="Q200" s="126">
        <v>8757.8186999999998</v>
      </c>
      <c r="R200" s="126"/>
      <c r="S200" s="126"/>
      <c r="T200" s="126"/>
      <c r="U200" s="126"/>
      <c r="V200" s="126"/>
      <c r="W200" s="126"/>
      <c r="X200" s="126"/>
      <c r="Y200" s="126"/>
      <c r="Z200" s="126"/>
      <c r="AA200" s="126"/>
      <c r="AB200" s="126"/>
      <c r="AC200" s="126"/>
      <c r="AD200" s="126"/>
      <c r="AE200" s="126"/>
      <c r="AF200" s="126"/>
      <c r="AG200" s="126"/>
      <c r="AH200" s="126"/>
      <c r="AI200" s="126">
        <f t="shared" si="176"/>
        <v>17991.898300000001</v>
      </c>
      <c r="AJ200" s="126">
        <v>17991.898300000001</v>
      </c>
      <c r="AK200" s="126">
        <f t="shared" si="167"/>
        <v>0</v>
      </c>
      <c r="AL200" s="126">
        <f t="shared" si="168"/>
        <v>0</v>
      </c>
      <c r="AM200" s="126">
        <f t="shared" si="168"/>
        <v>0</v>
      </c>
      <c r="AN200" s="126"/>
      <c r="AO200" s="130">
        <f t="shared" si="133"/>
        <v>0</v>
      </c>
      <c r="AP200" s="116"/>
    </row>
    <row r="201" spans="1:42" s="165" customFormat="1" ht="42" hidden="1" outlineLevel="1">
      <c r="A201" s="136">
        <v>2</v>
      </c>
      <c r="B201" s="137" t="s">
        <v>642</v>
      </c>
      <c r="C201" s="126">
        <f>SUM(D201:G201)</f>
        <v>0</v>
      </c>
      <c r="D201" s="126">
        <v>0</v>
      </c>
      <c r="E201" s="126">
        <v>0</v>
      </c>
      <c r="F201" s="126">
        <v>0</v>
      </c>
      <c r="G201" s="126">
        <v>0</v>
      </c>
      <c r="H201" s="126">
        <f t="shared" si="190"/>
        <v>29773</v>
      </c>
      <c r="I201" s="126">
        <f t="shared" si="191"/>
        <v>29773</v>
      </c>
      <c r="J201" s="126">
        <v>29773</v>
      </c>
      <c r="K201" s="126"/>
      <c r="L201" s="126"/>
      <c r="M201" s="126"/>
      <c r="N201" s="126"/>
      <c r="O201" s="126">
        <f>P201+S201</f>
        <v>21798.662</v>
      </c>
      <c r="P201" s="126">
        <f>Q201+R201</f>
        <v>21798.662</v>
      </c>
      <c r="Q201" s="126">
        <v>21798.662</v>
      </c>
      <c r="R201" s="126"/>
      <c r="S201" s="126">
        <f>T201+U201</f>
        <v>0</v>
      </c>
      <c r="T201" s="126"/>
      <c r="U201" s="126"/>
      <c r="V201" s="126">
        <f>W201+Z201+AC201+AF201</f>
        <v>0</v>
      </c>
      <c r="W201" s="126">
        <f>X201+Y201</f>
        <v>0</v>
      </c>
      <c r="X201" s="126"/>
      <c r="Y201" s="126"/>
      <c r="Z201" s="126"/>
      <c r="AA201" s="126"/>
      <c r="AB201" s="126"/>
      <c r="AC201" s="126"/>
      <c r="AD201" s="126"/>
      <c r="AE201" s="126"/>
      <c r="AF201" s="126"/>
      <c r="AG201" s="126"/>
      <c r="AH201" s="126"/>
      <c r="AI201" s="126">
        <f>SUM(AJ201:AM201)</f>
        <v>7974.3379999999997</v>
      </c>
      <c r="AJ201" s="126">
        <v>7974.3379999999997</v>
      </c>
      <c r="AK201" s="126">
        <f t="shared" ref="AK201:AK204" si="192">E201+K201-R201-Y201-AE201</f>
        <v>0</v>
      </c>
      <c r="AL201" s="126">
        <f t="shared" ref="AL201:AM204" si="193">F201+M201-T201-AA201-AG201</f>
        <v>0</v>
      </c>
      <c r="AM201" s="126">
        <f t="shared" si="193"/>
        <v>0</v>
      </c>
      <c r="AN201" s="126"/>
      <c r="AO201" s="130">
        <f t="shared" si="133"/>
        <v>0</v>
      </c>
      <c r="AP201" s="116"/>
    </row>
    <row r="202" spans="1:42" s="165" customFormat="1" ht="42" hidden="1" outlineLevel="1">
      <c r="A202" s="136">
        <v>3</v>
      </c>
      <c r="B202" s="137" t="s">
        <v>643</v>
      </c>
      <c r="C202" s="126">
        <f>SUM(D202:G202)</f>
        <v>0</v>
      </c>
      <c r="D202" s="126">
        <v>0</v>
      </c>
      <c r="E202" s="126">
        <v>0</v>
      </c>
      <c r="F202" s="126">
        <v>0</v>
      </c>
      <c r="G202" s="126">
        <v>0</v>
      </c>
      <c r="H202" s="126">
        <f>I202+L202</f>
        <v>98000</v>
      </c>
      <c r="I202" s="126">
        <f>J202+K202</f>
        <v>98000</v>
      </c>
      <c r="J202" s="126">
        <v>98000</v>
      </c>
      <c r="K202" s="126"/>
      <c r="L202" s="126">
        <f>M202+N202</f>
        <v>0</v>
      </c>
      <c r="M202" s="126"/>
      <c r="N202" s="126"/>
      <c r="O202" s="126">
        <f>P202+S202</f>
        <v>48049.466</v>
      </c>
      <c r="P202" s="126">
        <f>Q202+R202</f>
        <v>48049.466</v>
      </c>
      <c r="Q202" s="126">
        <v>48049.466</v>
      </c>
      <c r="R202" s="126"/>
      <c r="S202" s="126">
        <f>T202+U202</f>
        <v>0</v>
      </c>
      <c r="T202" s="126"/>
      <c r="U202" s="126"/>
      <c r="V202" s="126"/>
      <c r="W202" s="126"/>
      <c r="X202" s="126"/>
      <c r="Y202" s="126"/>
      <c r="Z202" s="126"/>
      <c r="AA202" s="126"/>
      <c r="AB202" s="126"/>
      <c r="AC202" s="126"/>
      <c r="AD202" s="126"/>
      <c r="AE202" s="126"/>
      <c r="AF202" s="126"/>
      <c r="AG202" s="126"/>
      <c r="AH202" s="126"/>
      <c r="AI202" s="126">
        <f>SUM(AJ202:AM202)</f>
        <v>49950.534</v>
      </c>
      <c r="AJ202" s="126">
        <v>49950.534</v>
      </c>
      <c r="AK202" s="126">
        <f t="shared" si="192"/>
        <v>0</v>
      </c>
      <c r="AL202" s="126">
        <f t="shared" si="193"/>
        <v>0</v>
      </c>
      <c r="AM202" s="126">
        <f t="shared" si="193"/>
        <v>0</v>
      </c>
      <c r="AN202" s="126"/>
      <c r="AO202" s="130">
        <f t="shared" si="133"/>
        <v>0</v>
      </c>
      <c r="AP202" s="116"/>
    </row>
    <row r="203" spans="1:42" s="165" customFormat="1" ht="42" hidden="1" outlineLevel="1">
      <c r="A203" s="136">
        <v>4</v>
      </c>
      <c r="B203" s="137" t="s">
        <v>644</v>
      </c>
      <c r="C203" s="126">
        <f>SUM(D203:G203)</f>
        <v>0</v>
      </c>
      <c r="D203" s="126">
        <v>0</v>
      </c>
      <c r="E203" s="126">
        <v>0</v>
      </c>
      <c r="F203" s="126">
        <v>0</v>
      </c>
      <c r="G203" s="126">
        <v>0</v>
      </c>
      <c r="H203" s="126">
        <f>I203+L203</f>
        <v>10000</v>
      </c>
      <c r="I203" s="126">
        <f>J203+K203</f>
        <v>10000</v>
      </c>
      <c r="J203" s="126">
        <v>10000</v>
      </c>
      <c r="K203" s="126"/>
      <c r="L203" s="126">
        <f>M203+N203</f>
        <v>0</v>
      </c>
      <c r="M203" s="126"/>
      <c r="N203" s="126"/>
      <c r="O203" s="126">
        <f>P203+S203</f>
        <v>0</v>
      </c>
      <c r="P203" s="126">
        <f>Q203+R203</f>
        <v>0</v>
      </c>
      <c r="Q203" s="126">
        <f>0</f>
        <v>0</v>
      </c>
      <c r="R203" s="126"/>
      <c r="S203" s="126">
        <f>T203+U203</f>
        <v>0</v>
      </c>
      <c r="T203" s="126"/>
      <c r="U203" s="126"/>
      <c r="V203" s="126"/>
      <c r="W203" s="126"/>
      <c r="X203" s="126"/>
      <c r="Y203" s="126"/>
      <c r="Z203" s="126"/>
      <c r="AA203" s="126"/>
      <c r="AB203" s="126"/>
      <c r="AC203" s="126"/>
      <c r="AD203" s="126"/>
      <c r="AE203" s="126"/>
      <c r="AF203" s="126"/>
      <c r="AG203" s="126"/>
      <c r="AH203" s="126"/>
      <c r="AI203" s="126">
        <f>SUM(AJ203:AM203)</f>
        <v>10000</v>
      </c>
      <c r="AJ203" s="126">
        <v>10000</v>
      </c>
      <c r="AK203" s="126">
        <f t="shared" si="192"/>
        <v>0</v>
      </c>
      <c r="AL203" s="126">
        <f t="shared" si="193"/>
        <v>0</v>
      </c>
      <c r="AM203" s="126">
        <f t="shared" si="193"/>
        <v>0</v>
      </c>
      <c r="AN203" s="126"/>
      <c r="AO203" s="130">
        <f t="shared" si="133"/>
        <v>0</v>
      </c>
      <c r="AP203" s="116"/>
    </row>
    <row r="204" spans="1:42" s="165" customFormat="1" ht="70" hidden="1" outlineLevel="1">
      <c r="A204" s="136">
        <v>5</v>
      </c>
      <c r="B204" s="137" t="s">
        <v>645</v>
      </c>
      <c r="C204" s="126">
        <f>SUM(D204:G204)</f>
        <v>0</v>
      </c>
      <c r="D204" s="126">
        <v>0</v>
      </c>
      <c r="E204" s="126">
        <v>0</v>
      </c>
      <c r="F204" s="126">
        <v>0</v>
      </c>
      <c r="G204" s="126">
        <v>0</v>
      </c>
      <c r="H204" s="126">
        <f>I204+L204</f>
        <v>45000</v>
      </c>
      <c r="I204" s="126">
        <f>J204+K204</f>
        <v>45000</v>
      </c>
      <c r="J204" s="126">
        <v>45000</v>
      </c>
      <c r="K204" s="126"/>
      <c r="L204" s="126">
        <f>M204+N204</f>
        <v>0</v>
      </c>
      <c r="M204" s="126"/>
      <c r="N204" s="126"/>
      <c r="O204" s="126">
        <f>P204+S204</f>
        <v>0</v>
      </c>
      <c r="P204" s="126">
        <f>Q204+R204</f>
        <v>0</v>
      </c>
      <c r="Q204" s="126">
        <f>0</f>
        <v>0</v>
      </c>
      <c r="R204" s="126"/>
      <c r="S204" s="126">
        <f>T204+U204</f>
        <v>0</v>
      </c>
      <c r="T204" s="126"/>
      <c r="U204" s="126"/>
      <c r="V204" s="126"/>
      <c r="W204" s="126"/>
      <c r="X204" s="126"/>
      <c r="Y204" s="126"/>
      <c r="Z204" s="126"/>
      <c r="AA204" s="126"/>
      <c r="AB204" s="126"/>
      <c r="AC204" s="126"/>
      <c r="AD204" s="126"/>
      <c r="AE204" s="126"/>
      <c r="AF204" s="126"/>
      <c r="AG204" s="126"/>
      <c r="AH204" s="126"/>
      <c r="AI204" s="126">
        <f>SUM(AJ204:AM204)</f>
        <v>45000</v>
      </c>
      <c r="AJ204" s="126">
        <v>45000</v>
      </c>
      <c r="AK204" s="126">
        <f t="shared" si="192"/>
        <v>0</v>
      </c>
      <c r="AL204" s="126">
        <f t="shared" si="193"/>
        <v>0</v>
      </c>
      <c r="AM204" s="126">
        <f t="shared" si="193"/>
        <v>0</v>
      </c>
      <c r="AN204" s="126"/>
      <c r="AO204" s="130">
        <f t="shared" si="133"/>
        <v>0</v>
      </c>
      <c r="AP204" s="116"/>
    </row>
    <row r="205" spans="1:42" s="161" customFormat="1" ht="14" collapsed="1">
      <c r="A205" s="133" t="s">
        <v>453</v>
      </c>
      <c r="B205" s="150" t="s">
        <v>646</v>
      </c>
      <c r="C205" s="145">
        <f>SUM(C206:C210)+C213</f>
        <v>442.13715000000002</v>
      </c>
      <c r="D205" s="145">
        <f t="shared" ref="D205:AM205" si="194">SUM(D206:D210)+D213</f>
        <v>442.13715000000002</v>
      </c>
      <c r="E205" s="145">
        <f t="shared" si="194"/>
        <v>0</v>
      </c>
      <c r="F205" s="145">
        <f t="shared" si="194"/>
        <v>0</v>
      </c>
      <c r="G205" s="145">
        <f t="shared" si="194"/>
        <v>0</v>
      </c>
      <c r="H205" s="145">
        <f t="shared" si="194"/>
        <v>183927</v>
      </c>
      <c r="I205" s="145">
        <f t="shared" si="194"/>
        <v>183927</v>
      </c>
      <c r="J205" s="145">
        <f t="shared" si="194"/>
        <v>183927</v>
      </c>
      <c r="K205" s="145">
        <f t="shared" si="194"/>
        <v>0</v>
      </c>
      <c r="L205" s="145">
        <f t="shared" si="194"/>
        <v>0</v>
      </c>
      <c r="M205" s="145">
        <f t="shared" si="194"/>
        <v>0</v>
      </c>
      <c r="N205" s="145">
        <f t="shared" si="194"/>
        <v>0</v>
      </c>
      <c r="O205" s="145">
        <f t="shared" si="194"/>
        <v>63176.603976999984</v>
      </c>
      <c r="P205" s="145">
        <f t="shared" si="194"/>
        <v>63176.603976999984</v>
      </c>
      <c r="Q205" s="145">
        <f t="shared" si="194"/>
        <v>63176.603976999984</v>
      </c>
      <c r="R205" s="145">
        <f t="shared" si="194"/>
        <v>0</v>
      </c>
      <c r="S205" s="145">
        <f t="shared" si="194"/>
        <v>0</v>
      </c>
      <c r="T205" s="145">
        <f t="shared" si="194"/>
        <v>0</v>
      </c>
      <c r="U205" s="145">
        <f t="shared" si="194"/>
        <v>0</v>
      </c>
      <c r="V205" s="145">
        <f t="shared" si="194"/>
        <v>0</v>
      </c>
      <c r="W205" s="145">
        <f t="shared" si="194"/>
        <v>0</v>
      </c>
      <c r="X205" s="145">
        <f t="shared" si="194"/>
        <v>0</v>
      </c>
      <c r="Y205" s="145">
        <f t="shared" si="194"/>
        <v>0</v>
      </c>
      <c r="Z205" s="145">
        <f t="shared" si="194"/>
        <v>0</v>
      </c>
      <c r="AA205" s="145">
        <f t="shared" si="194"/>
        <v>0</v>
      </c>
      <c r="AB205" s="145">
        <f t="shared" si="194"/>
        <v>0</v>
      </c>
      <c r="AC205" s="145">
        <f t="shared" si="194"/>
        <v>0</v>
      </c>
      <c r="AD205" s="145">
        <f t="shared" si="194"/>
        <v>0</v>
      </c>
      <c r="AE205" s="145">
        <f t="shared" si="194"/>
        <v>0</v>
      </c>
      <c r="AF205" s="145">
        <f t="shared" si="194"/>
        <v>0</v>
      </c>
      <c r="AG205" s="145">
        <f t="shared" si="194"/>
        <v>0</v>
      </c>
      <c r="AH205" s="145">
        <f t="shared" si="194"/>
        <v>0</v>
      </c>
      <c r="AI205" s="145">
        <f t="shared" si="194"/>
        <v>114387.08275400003</v>
      </c>
      <c r="AJ205" s="145">
        <f t="shared" si="194"/>
        <v>114387.08275400003</v>
      </c>
      <c r="AK205" s="145">
        <f t="shared" si="194"/>
        <v>0</v>
      </c>
      <c r="AL205" s="145">
        <f t="shared" si="194"/>
        <v>0</v>
      </c>
      <c r="AM205" s="145">
        <f t="shared" si="194"/>
        <v>0</v>
      </c>
      <c r="AN205" s="145"/>
      <c r="AO205" s="130">
        <f t="shared" si="133"/>
        <v>6805.4504189999716</v>
      </c>
      <c r="AP205" s="131"/>
    </row>
    <row r="206" spans="1:42" s="165" customFormat="1" ht="28">
      <c r="A206" s="136">
        <v>1</v>
      </c>
      <c r="B206" s="137" t="s">
        <v>647</v>
      </c>
      <c r="C206" s="126">
        <f>SUM(D206:G206)</f>
        <v>0</v>
      </c>
      <c r="D206" s="126">
        <v>0</v>
      </c>
      <c r="E206" s="126">
        <v>0</v>
      </c>
      <c r="F206" s="126">
        <v>0</v>
      </c>
      <c r="G206" s="126">
        <v>0</v>
      </c>
      <c r="H206" s="126">
        <f t="shared" ref="H206:H209" si="195">I206+L206</f>
        <v>12000</v>
      </c>
      <c r="I206" s="126">
        <f t="shared" ref="I206:I209" si="196">J206+K206</f>
        <v>12000</v>
      </c>
      <c r="J206" s="126">
        <v>12000</v>
      </c>
      <c r="K206" s="126"/>
      <c r="L206" s="126"/>
      <c r="M206" s="126"/>
      <c r="N206" s="126"/>
      <c r="O206" s="126">
        <f>P206+S206</f>
        <v>411.49099999999999</v>
      </c>
      <c r="P206" s="126">
        <f>Q206+R206</f>
        <v>411.49099999999999</v>
      </c>
      <c r="Q206" s="126">
        <v>411.49099999999999</v>
      </c>
      <c r="R206" s="126"/>
      <c r="S206" s="126">
        <f>T206+U206</f>
        <v>0</v>
      </c>
      <c r="T206" s="126"/>
      <c r="U206" s="126"/>
      <c r="V206" s="126">
        <f>W206+Z206+AC206+AF206</f>
        <v>0</v>
      </c>
      <c r="W206" s="126">
        <f>X206+Y206</f>
        <v>0</v>
      </c>
      <c r="X206" s="126"/>
      <c r="Y206" s="126"/>
      <c r="Z206" s="126"/>
      <c r="AA206" s="126"/>
      <c r="AB206" s="126"/>
      <c r="AC206" s="126"/>
      <c r="AD206" s="126"/>
      <c r="AE206" s="126"/>
      <c r="AF206" s="126"/>
      <c r="AG206" s="126"/>
      <c r="AH206" s="126"/>
      <c r="AI206" s="126">
        <f>SUM(AJ206:AM206)</f>
        <v>11588.509</v>
      </c>
      <c r="AJ206" s="126">
        <v>11588.509</v>
      </c>
      <c r="AK206" s="126">
        <f t="shared" ref="AK206:AK209" si="197">E206+K206-R206-Y206-AE206</f>
        <v>0</v>
      </c>
      <c r="AL206" s="126">
        <f t="shared" ref="AL206:AM209" si="198">F206+M206-T206-AA206-AG206</f>
        <v>0</v>
      </c>
      <c r="AM206" s="126">
        <f t="shared" si="198"/>
        <v>0</v>
      </c>
      <c r="AN206" s="126"/>
      <c r="AO206" s="130">
        <f t="shared" ref="AO206:AO270" si="199">C206+H206-O206-V206-AI206</f>
        <v>0</v>
      </c>
      <c r="AP206" s="116"/>
    </row>
    <row r="207" spans="1:42" s="165" customFormat="1" ht="28">
      <c r="A207" s="136">
        <v>2</v>
      </c>
      <c r="B207" s="137" t="s">
        <v>648</v>
      </c>
      <c r="C207" s="126">
        <f>SUM(D207:G207)</f>
        <v>0</v>
      </c>
      <c r="D207" s="126">
        <v>0</v>
      </c>
      <c r="E207" s="126">
        <v>0</v>
      </c>
      <c r="F207" s="126">
        <v>0</v>
      </c>
      <c r="G207" s="126">
        <v>0</v>
      </c>
      <c r="H207" s="126">
        <f t="shared" si="195"/>
        <v>13000</v>
      </c>
      <c r="I207" s="126">
        <f t="shared" si="196"/>
        <v>13000</v>
      </c>
      <c r="J207" s="126">
        <v>13000</v>
      </c>
      <c r="K207" s="126"/>
      <c r="L207" s="126"/>
      <c r="M207" s="126"/>
      <c r="N207" s="126"/>
      <c r="O207" s="126">
        <f>P207+S207</f>
        <v>456.50699999999961</v>
      </c>
      <c r="P207" s="126">
        <f>Q207+R207</f>
        <v>456.50699999999961</v>
      </c>
      <c r="Q207" s="126">
        <v>456.50699999999961</v>
      </c>
      <c r="R207" s="126"/>
      <c r="S207" s="126">
        <f>T207+U207</f>
        <v>0</v>
      </c>
      <c r="T207" s="126"/>
      <c r="U207" s="126"/>
      <c r="V207" s="126">
        <f>W207+Z207+AC207+AF207</f>
        <v>0</v>
      </c>
      <c r="W207" s="126">
        <f>X207+Y207</f>
        <v>0</v>
      </c>
      <c r="X207" s="126"/>
      <c r="Y207" s="126"/>
      <c r="Z207" s="126"/>
      <c r="AA207" s="126"/>
      <c r="AB207" s="126"/>
      <c r="AC207" s="126"/>
      <c r="AD207" s="126"/>
      <c r="AE207" s="126"/>
      <c r="AF207" s="126"/>
      <c r="AG207" s="126"/>
      <c r="AH207" s="126"/>
      <c r="AI207" s="126">
        <f>SUM(AJ207:AM207)</f>
        <v>12543.493</v>
      </c>
      <c r="AJ207" s="126">
        <v>12543.493</v>
      </c>
      <c r="AK207" s="126">
        <f t="shared" si="197"/>
        <v>0</v>
      </c>
      <c r="AL207" s="126">
        <f t="shared" si="198"/>
        <v>0</v>
      </c>
      <c r="AM207" s="126">
        <f t="shared" si="198"/>
        <v>0</v>
      </c>
      <c r="AN207" s="126"/>
      <c r="AO207" s="130">
        <f t="shared" si="199"/>
        <v>0</v>
      </c>
      <c r="AP207" s="116"/>
    </row>
    <row r="208" spans="1:42" s="165" customFormat="1" ht="28">
      <c r="A208" s="136">
        <v>3</v>
      </c>
      <c r="B208" s="137" t="s">
        <v>649</v>
      </c>
      <c r="C208" s="126">
        <f>SUM(D208:G208)</f>
        <v>0</v>
      </c>
      <c r="D208" s="126">
        <v>0</v>
      </c>
      <c r="E208" s="126">
        <v>0</v>
      </c>
      <c r="F208" s="126">
        <v>0</v>
      </c>
      <c r="G208" s="126">
        <v>0</v>
      </c>
      <c r="H208" s="126">
        <f t="shared" si="195"/>
        <v>43200</v>
      </c>
      <c r="I208" s="126">
        <f t="shared" si="196"/>
        <v>43200</v>
      </c>
      <c r="J208" s="126">
        <v>43200</v>
      </c>
      <c r="K208" s="126"/>
      <c r="L208" s="126"/>
      <c r="M208" s="126"/>
      <c r="N208" s="126"/>
      <c r="O208" s="126">
        <f>P208+S208</f>
        <v>0</v>
      </c>
      <c r="P208" s="126">
        <f>Q208+R208</f>
        <v>0</v>
      </c>
      <c r="Q208" s="126">
        <v>0</v>
      </c>
      <c r="R208" s="126"/>
      <c r="S208" s="126">
        <f>T208+U208</f>
        <v>0</v>
      </c>
      <c r="T208" s="126"/>
      <c r="U208" s="126"/>
      <c r="V208" s="126">
        <f>W208+Z208+AC208+AF208</f>
        <v>0</v>
      </c>
      <c r="W208" s="126">
        <f>X208+Y208</f>
        <v>0</v>
      </c>
      <c r="X208" s="126"/>
      <c r="Y208" s="126"/>
      <c r="Z208" s="126"/>
      <c r="AA208" s="126"/>
      <c r="AB208" s="126"/>
      <c r="AC208" s="126"/>
      <c r="AD208" s="126"/>
      <c r="AE208" s="126"/>
      <c r="AF208" s="126"/>
      <c r="AG208" s="126"/>
      <c r="AH208" s="126"/>
      <c r="AI208" s="126">
        <f>SUM(AJ208:AM208)</f>
        <v>43200</v>
      </c>
      <c r="AJ208" s="126">
        <v>43200</v>
      </c>
      <c r="AK208" s="126">
        <f t="shared" si="197"/>
        <v>0</v>
      </c>
      <c r="AL208" s="126">
        <f t="shared" si="198"/>
        <v>0</v>
      </c>
      <c r="AM208" s="126">
        <f t="shared" si="198"/>
        <v>0</v>
      </c>
      <c r="AN208" s="126"/>
      <c r="AO208" s="130">
        <f t="shared" si="199"/>
        <v>0</v>
      </c>
      <c r="AP208" s="116"/>
    </row>
    <row r="209" spans="1:42" s="165" customFormat="1" ht="14">
      <c r="A209" s="136">
        <v>4</v>
      </c>
      <c r="B209" s="137" t="s">
        <v>650</v>
      </c>
      <c r="C209" s="126">
        <f>SUM(D209:G209)</f>
        <v>0</v>
      </c>
      <c r="D209" s="126">
        <v>0</v>
      </c>
      <c r="E209" s="126">
        <v>0</v>
      </c>
      <c r="F209" s="126">
        <v>0</v>
      </c>
      <c r="G209" s="126">
        <v>0</v>
      </c>
      <c r="H209" s="126">
        <f t="shared" si="195"/>
        <v>90177</v>
      </c>
      <c r="I209" s="126">
        <f t="shared" si="196"/>
        <v>90177</v>
      </c>
      <c r="J209" s="126">
        <v>90177</v>
      </c>
      <c r="K209" s="126"/>
      <c r="L209" s="126"/>
      <c r="M209" s="126"/>
      <c r="N209" s="126"/>
      <c r="O209" s="126">
        <f>P209+S209</f>
        <v>49418.008802999982</v>
      </c>
      <c r="P209" s="126">
        <f>Q209+R209</f>
        <v>49418.008802999982</v>
      </c>
      <c r="Q209" s="126">
        <v>49418.008802999982</v>
      </c>
      <c r="R209" s="126"/>
      <c r="S209" s="126">
        <f>T209+U209</f>
        <v>0</v>
      </c>
      <c r="T209" s="126"/>
      <c r="U209" s="126"/>
      <c r="V209" s="126">
        <f>W209+Z209+AC209+AF209</f>
        <v>0</v>
      </c>
      <c r="W209" s="126">
        <f>X209+Y209</f>
        <v>0</v>
      </c>
      <c r="X209" s="126"/>
      <c r="Y209" s="126"/>
      <c r="Z209" s="126"/>
      <c r="AA209" s="126"/>
      <c r="AB209" s="126"/>
      <c r="AC209" s="126"/>
      <c r="AD209" s="126"/>
      <c r="AE209" s="126"/>
      <c r="AF209" s="126"/>
      <c r="AG209" s="126"/>
      <c r="AH209" s="126"/>
      <c r="AI209" s="126">
        <f>SUM(AJ209:AM209)</f>
        <v>34642.905397000017</v>
      </c>
      <c r="AJ209" s="126">
        <v>34642.905397000017</v>
      </c>
      <c r="AK209" s="126">
        <f t="shared" si="197"/>
        <v>0</v>
      </c>
      <c r="AL209" s="126">
        <f t="shared" si="198"/>
        <v>0</v>
      </c>
      <c r="AM209" s="126">
        <f t="shared" si="198"/>
        <v>0</v>
      </c>
      <c r="AN209" s="126"/>
      <c r="AO209" s="130">
        <f t="shared" si="199"/>
        <v>6116.0858000000007</v>
      </c>
      <c r="AP209" s="116"/>
    </row>
    <row r="210" spans="1:42" s="165" customFormat="1" ht="14">
      <c r="A210" s="136">
        <v>5</v>
      </c>
      <c r="B210" s="137" t="s">
        <v>651</v>
      </c>
      <c r="C210" s="126">
        <f>C211+C212</f>
        <v>133.732</v>
      </c>
      <c r="D210" s="126">
        <f t="shared" ref="D210:AM210" si="200">D211+D212</f>
        <v>133.732</v>
      </c>
      <c r="E210" s="126">
        <f t="shared" si="200"/>
        <v>0</v>
      </c>
      <c r="F210" s="126">
        <f t="shared" si="200"/>
        <v>0</v>
      </c>
      <c r="G210" s="126">
        <f t="shared" si="200"/>
        <v>0</v>
      </c>
      <c r="H210" s="126">
        <f t="shared" si="200"/>
        <v>0</v>
      </c>
      <c r="I210" s="126">
        <f t="shared" si="200"/>
        <v>0</v>
      </c>
      <c r="J210" s="126">
        <f t="shared" si="200"/>
        <v>0</v>
      </c>
      <c r="K210" s="126">
        <f t="shared" si="200"/>
        <v>0</v>
      </c>
      <c r="L210" s="126">
        <f t="shared" si="200"/>
        <v>0</v>
      </c>
      <c r="M210" s="126">
        <f t="shared" si="200"/>
        <v>0</v>
      </c>
      <c r="N210" s="126">
        <f t="shared" si="200"/>
        <v>0</v>
      </c>
      <c r="O210" s="126">
        <f t="shared" si="200"/>
        <v>0</v>
      </c>
      <c r="P210" s="126">
        <f t="shared" si="200"/>
        <v>0</v>
      </c>
      <c r="Q210" s="126">
        <f t="shared" si="200"/>
        <v>0</v>
      </c>
      <c r="R210" s="126">
        <f t="shared" si="200"/>
        <v>0</v>
      </c>
      <c r="S210" s="126">
        <f t="shared" si="200"/>
        <v>0</v>
      </c>
      <c r="T210" s="126">
        <f t="shared" si="200"/>
        <v>0</v>
      </c>
      <c r="U210" s="126">
        <f t="shared" si="200"/>
        <v>0</v>
      </c>
      <c r="V210" s="126">
        <f t="shared" si="200"/>
        <v>0</v>
      </c>
      <c r="W210" s="126">
        <f t="shared" si="200"/>
        <v>0</v>
      </c>
      <c r="X210" s="126">
        <f t="shared" si="200"/>
        <v>0</v>
      </c>
      <c r="Y210" s="126">
        <f t="shared" si="200"/>
        <v>0</v>
      </c>
      <c r="Z210" s="126">
        <f t="shared" si="200"/>
        <v>0</v>
      </c>
      <c r="AA210" s="126">
        <f t="shared" si="200"/>
        <v>0</v>
      </c>
      <c r="AB210" s="126">
        <f t="shared" si="200"/>
        <v>0</v>
      </c>
      <c r="AC210" s="126">
        <f t="shared" si="200"/>
        <v>0</v>
      </c>
      <c r="AD210" s="126">
        <f t="shared" si="200"/>
        <v>0</v>
      </c>
      <c r="AE210" s="126">
        <f t="shared" si="200"/>
        <v>0</v>
      </c>
      <c r="AF210" s="126">
        <f t="shared" si="200"/>
        <v>0</v>
      </c>
      <c r="AG210" s="126">
        <f t="shared" si="200"/>
        <v>0</v>
      </c>
      <c r="AH210" s="126">
        <f t="shared" si="200"/>
        <v>0</v>
      </c>
      <c r="AI210" s="126">
        <f t="shared" si="200"/>
        <v>133.732</v>
      </c>
      <c r="AJ210" s="126">
        <f t="shared" si="200"/>
        <v>133.732</v>
      </c>
      <c r="AK210" s="126">
        <f t="shared" si="200"/>
        <v>0</v>
      </c>
      <c r="AL210" s="126">
        <f t="shared" si="200"/>
        <v>0</v>
      </c>
      <c r="AM210" s="126">
        <f t="shared" si="200"/>
        <v>0</v>
      </c>
      <c r="AN210" s="126"/>
      <c r="AO210" s="130">
        <f t="shared" si="199"/>
        <v>0</v>
      </c>
      <c r="AP210" s="116"/>
    </row>
    <row r="211" spans="1:42" s="165" customFormat="1" ht="14" hidden="1" outlineLevel="1">
      <c r="A211" s="136"/>
      <c r="B211" s="169" t="s">
        <v>652</v>
      </c>
      <c r="C211" s="126">
        <f>SUM(D211:G211)</f>
        <v>133.732</v>
      </c>
      <c r="D211" s="126">
        <v>133.732</v>
      </c>
      <c r="E211" s="126">
        <v>0</v>
      </c>
      <c r="F211" s="126">
        <v>0</v>
      </c>
      <c r="G211" s="126">
        <v>0</v>
      </c>
      <c r="H211" s="126">
        <f t="shared" ref="H211:H213" si="201">I211+L211</f>
        <v>0</v>
      </c>
      <c r="I211" s="126">
        <f t="shared" ref="I211:I213" si="202">J211+K211</f>
        <v>0</v>
      </c>
      <c r="J211" s="126"/>
      <c r="K211" s="126"/>
      <c r="L211" s="126"/>
      <c r="M211" s="126"/>
      <c r="N211" s="126"/>
      <c r="O211" s="126">
        <f>P211+S211</f>
        <v>0</v>
      </c>
      <c r="P211" s="126">
        <f>Q211+R211</f>
        <v>0</v>
      </c>
      <c r="Q211" s="126"/>
      <c r="R211" s="126"/>
      <c r="S211" s="126">
        <f>T211+U211</f>
        <v>0</v>
      </c>
      <c r="T211" s="126"/>
      <c r="U211" s="126"/>
      <c r="V211" s="126">
        <f>W211+Z211+AC211+AF211</f>
        <v>0</v>
      </c>
      <c r="W211" s="126">
        <f>X211+Y211</f>
        <v>0</v>
      </c>
      <c r="X211" s="126"/>
      <c r="Y211" s="126"/>
      <c r="Z211" s="126"/>
      <c r="AA211" s="126"/>
      <c r="AB211" s="126"/>
      <c r="AC211" s="126"/>
      <c r="AD211" s="126"/>
      <c r="AE211" s="126"/>
      <c r="AF211" s="126"/>
      <c r="AG211" s="126"/>
      <c r="AH211" s="126"/>
      <c r="AI211" s="126">
        <f>SUM(AJ211:AM211)</f>
        <v>133.732</v>
      </c>
      <c r="AJ211" s="126">
        <f t="shared" ref="AJ211:AK212" si="203">D211+J211-Q211-X211-AD211</f>
        <v>133.732</v>
      </c>
      <c r="AK211" s="126">
        <f t="shared" si="203"/>
        <v>0</v>
      </c>
      <c r="AL211" s="126">
        <f t="shared" ref="AL211:AM212" si="204">F211+M211-T211-AA211-AG211</f>
        <v>0</v>
      </c>
      <c r="AM211" s="126">
        <f t="shared" si="204"/>
        <v>0</v>
      </c>
      <c r="AN211" s="126"/>
      <c r="AO211" s="130">
        <f t="shared" si="199"/>
        <v>0</v>
      </c>
      <c r="AP211" s="116"/>
    </row>
    <row r="212" spans="1:42" s="165" customFormat="1" ht="14" hidden="1" outlineLevel="1">
      <c r="A212" s="136"/>
      <c r="B212" s="169" t="s">
        <v>653</v>
      </c>
      <c r="C212" s="126">
        <f>SUM(D212:G212)</f>
        <v>0</v>
      </c>
      <c r="D212" s="126">
        <v>0</v>
      </c>
      <c r="E212" s="126">
        <v>0</v>
      </c>
      <c r="F212" s="126">
        <v>0</v>
      </c>
      <c r="G212" s="126">
        <v>0</v>
      </c>
      <c r="H212" s="126">
        <f t="shared" si="201"/>
        <v>0</v>
      </c>
      <c r="I212" s="126">
        <f t="shared" si="202"/>
        <v>0</v>
      </c>
      <c r="J212" s="126"/>
      <c r="K212" s="126"/>
      <c r="L212" s="126"/>
      <c r="M212" s="126"/>
      <c r="N212" s="126"/>
      <c r="O212" s="126">
        <f>P212+S212</f>
        <v>0</v>
      </c>
      <c r="P212" s="126">
        <f>Q212+R212</f>
        <v>0</v>
      </c>
      <c r="Q212" s="126"/>
      <c r="R212" s="126"/>
      <c r="S212" s="126">
        <f>T212+U212</f>
        <v>0</v>
      </c>
      <c r="T212" s="126"/>
      <c r="U212" s="126"/>
      <c r="V212" s="126">
        <f>W212+Z212+AC212+AF212</f>
        <v>0</v>
      </c>
      <c r="W212" s="126">
        <f>X212+Y212</f>
        <v>0</v>
      </c>
      <c r="X212" s="126"/>
      <c r="Y212" s="126"/>
      <c r="Z212" s="126"/>
      <c r="AA212" s="126"/>
      <c r="AB212" s="126"/>
      <c r="AC212" s="126"/>
      <c r="AD212" s="126"/>
      <c r="AE212" s="126"/>
      <c r="AF212" s="126"/>
      <c r="AG212" s="126"/>
      <c r="AH212" s="126"/>
      <c r="AI212" s="126">
        <f>SUM(AJ212:AM212)</f>
        <v>0</v>
      </c>
      <c r="AJ212" s="126">
        <f t="shared" si="203"/>
        <v>0</v>
      </c>
      <c r="AK212" s="126">
        <f t="shared" si="203"/>
        <v>0</v>
      </c>
      <c r="AL212" s="126">
        <f t="shared" si="204"/>
        <v>0</v>
      </c>
      <c r="AM212" s="126">
        <f t="shared" si="204"/>
        <v>0</v>
      </c>
      <c r="AN212" s="126"/>
      <c r="AO212" s="130">
        <f t="shared" si="199"/>
        <v>0</v>
      </c>
      <c r="AP212" s="116"/>
    </row>
    <row r="213" spans="1:42" s="161" customFormat="1" ht="14" collapsed="1">
      <c r="A213" s="166">
        <v>6</v>
      </c>
      <c r="B213" s="167" t="s">
        <v>634</v>
      </c>
      <c r="C213" s="164">
        <f t="shared" ref="C213" si="205">SUM(D213:G213)</f>
        <v>308.40515000000005</v>
      </c>
      <c r="D213" s="164">
        <v>308.40515000000005</v>
      </c>
      <c r="E213" s="164">
        <v>0</v>
      </c>
      <c r="F213" s="164">
        <v>0</v>
      </c>
      <c r="G213" s="164">
        <v>0</v>
      </c>
      <c r="H213" s="164">
        <f t="shared" si="201"/>
        <v>25550</v>
      </c>
      <c r="I213" s="126">
        <f t="shared" si="202"/>
        <v>25550</v>
      </c>
      <c r="J213" s="164">
        <v>25550</v>
      </c>
      <c r="K213" s="164"/>
      <c r="L213" s="164"/>
      <c r="M213" s="164"/>
      <c r="N213" s="164"/>
      <c r="O213" s="126">
        <f t="shared" ref="O213" si="206">P213+S213</f>
        <v>12890.597174</v>
      </c>
      <c r="P213" s="126">
        <f t="shared" ref="P213" si="207">Q213+R213</f>
        <v>12890.597174</v>
      </c>
      <c r="Q213" s="164">
        <v>12890.597174</v>
      </c>
      <c r="R213" s="164"/>
      <c r="S213" s="164"/>
      <c r="T213" s="164"/>
      <c r="U213" s="164"/>
      <c r="V213" s="164">
        <f>W213+Z213+AC213+AF213</f>
        <v>0</v>
      </c>
      <c r="W213" s="164">
        <f>X213+Y213</f>
        <v>0</v>
      </c>
      <c r="X213" s="164"/>
      <c r="Y213" s="164"/>
      <c r="Z213" s="164">
        <f>AA213+AB213</f>
        <v>0</v>
      </c>
      <c r="AA213" s="164"/>
      <c r="AB213" s="164"/>
      <c r="AC213" s="164">
        <f>AD213+AE213</f>
        <v>0</v>
      </c>
      <c r="AD213" s="164"/>
      <c r="AE213" s="164"/>
      <c r="AF213" s="164">
        <f>AG213+AH213</f>
        <v>0</v>
      </c>
      <c r="AG213" s="164"/>
      <c r="AH213" s="164"/>
      <c r="AI213" s="126">
        <f t="shared" ref="AI213" si="208">SUM(AJ213:AM213)</f>
        <v>12278.443356999998</v>
      </c>
      <c r="AJ213" s="164">
        <v>12278.443356999998</v>
      </c>
      <c r="AK213" s="164"/>
      <c r="AL213" s="164"/>
      <c r="AM213" s="164"/>
      <c r="AN213" s="126"/>
      <c r="AO213" s="130">
        <f t="shared" si="199"/>
        <v>689.36461899999995</v>
      </c>
      <c r="AP213" s="131"/>
    </row>
    <row r="214" spans="1:42" s="132" customFormat="1" ht="14">
      <c r="A214" s="133" t="s">
        <v>40</v>
      </c>
      <c r="B214" s="162" t="s">
        <v>654</v>
      </c>
      <c r="C214" s="135">
        <f t="shared" ref="C214:AH214" si="209">C215+C578</f>
        <v>154018.91764900001</v>
      </c>
      <c r="D214" s="135">
        <f t="shared" si="209"/>
        <v>0</v>
      </c>
      <c r="E214" s="135">
        <f t="shared" si="209"/>
        <v>140671.234509</v>
      </c>
      <c r="F214" s="135">
        <f t="shared" si="209"/>
        <v>0</v>
      </c>
      <c r="G214" s="135">
        <f t="shared" si="209"/>
        <v>13347.683139999999</v>
      </c>
      <c r="H214" s="135">
        <f t="shared" si="209"/>
        <v>560496.31159399997</v>
      </c>
      <c r="I214" s="135">
        <f t="shared" si="209"/>
        <v>461482.84559399995</v>
      </c>
      <c r="J214" s="135">
        <f t="shared" si="209"/>
        <v>0</v>
      </c>
      <c r="K214" s="135">
        <f t="shared" si="209"/>
        <v>461482.84559399995</v>
      </c>
      <c r="L214" s="135">
        <f t="shared" si="209"/>
        <v>99013.466</v>
      </c>
      <c r="M214" s="135">
        <f t="shared" si="209"/>
        <v>0</v>
      </c>
      <c r="N214" s="135">
        <f t="shared" si="209"/>
        <v>99013.466</v>
      </c>
      <c r="O214" s="135">
        <f t="shared" si="209"/>
        <v>493620.62817099993</v>
      </c>
      <c r="P214" s="135">
        <f t="shared" si="209"/>
        <v>395929.77887099999</v>
      </c>
      <c r="Q214" s="135">
        <f t="shared" si="209"/>
        <v>0</v>
      </c>
      <c r="R214" s="135">
        <f t="shared" si="209"/>
        <v>395929.77887099999</v>
      </c>
      <c r="S214" s="135">
        <f t="shared" si="209"/>
        <v>97690.849300000016</v>
      </c>
      <c r="T214" s="135">
        <f t="shared" si="209"/>
        <v>0</v>
      </c>
      <c r="U214" s="135">
        <f t="shared" si="209"/>
        <v>97690.849300000016</v>
      </c>
      <c r="V214" s="135">
        <f t="shared" si="209"/>
        <v>11398.649944000001</v>
      </c>
      <c r="W214" s="135">
        <f t="shared" si="209"/>
        <v>7772.2945039999995</v>
      </c>
      <c r="X214" s="135">
        <f t="shared" si="209"/>
        <v>0</v>
      </c>
      <c r="Y214" s="135">
        <f t="shared" si="209"/>
        <v>7772.2945039999995</v>
      </c>
      <c r="Z214" s="135">
        <f t="shared" si="209"/>
        <v>3626.3554399999994</v>
      </c>
      <c r="AA214" s="135">
        <f t="shared" si="209"/>
        <v>0</v>
      </c>
      <c r="AB214" s="135">
        <f t="shared" si="209"/>
        <v>3626.3554399999994</v>
      </c>
      <c r="AC214" s="135">
        <f t="shared" si="209"/>
        <v>0</v>
      </c>
      <c r="AD214" s="135">
        <f t="shared" si="209"/>
        <v>0</v>
      </c>
      <c r="AE214" s="135">
        <f t="shared" si="209"/>
        <v>0</v>
      </c>
      <c r="AF214" s="135">
        <f t="shared" si="209"/>
        <v>0</v>
      </c>
      <c r="AG214" s="135">
        <f t="shared" si="209"/>
        <v>0</v>
      </c>
      <c r="AH214" s="135">
        <f t="shared" si="209"/>
        <v>0</v>
      </c>
      <c r="AI214" s="135">
        <f t="shared" si="176"/>
        <v>96202.60670600002</v>
      </c>
      <c r="AJ214" s="135">
        <f>AJ215+AJ578</f>
        <v>0</v>
      </c>
      <c r="AK214" s="135">
        <f>AK215+AK578</f>
        <v>85158.662306000013</v>
      </c>
      <c r="AL214" s="135">
        <f>AL215+AL578</f>
        <v>0</v>
      </c>
      <c r="AM214" s="135">
        <f>AM215+AM578</f>
        <v>11043.944400000002</v>
      </c>
      <c r="AN214" s="126"/>
      <c r="AO214" s="159">
        <f t="shared" si="199"/>
        <v>113293.34442200008</v>
      </c>
      <c r="AP214" s="131" t="s">
        <v>608</v>
      </c>
    </row>
    <row r="215" spans="1:42" s="132" customFormat="1" ht="14">
      <c r="A215" s="170" t="s">
        <v>655</v>
      </c>
      <c r="B215" s="171" t="s">
        <v>656</v>
      </c>
      <c r="C215" s="143">
        <f t="shared" ref="C215:AH215" si="210">C216+C235</f>
        <v>125447.35794900001</v>
      </c>
      <c r="D215" s="143">
        <f t="shared" si="210"/>
        <v>0</v>
      </c>
      <c r="E215" s="143">
        <f t="shared" si="210"/>
        <v>112100.07480900001</v>
      </c>
      <c r="F215" s="143">
        <f t="shared" si="210"/>
        <v>0</v>
      </c>
      <c r="G215" s="143">
        <f t="shared" si="210"/>
        <v>13347.28314</v>
      </c>
      <c r="H215" s="143">
        <f t="shared" si="210"/>
        <v>513612.31159399997</v>
      </c>
      <c r="I215" s="143">
        <f t="shared" si="210"/>
        <v>422733.84559399995</v>
      </c>
      <c r="J215" s="143">
        <f t="shared" si="210"/>
        <v>0</v>
      </c>
      <c r="K215" s="143">
        <f t="shared" si="210"/>
        <v>422733.84559399995</v>
      </c>
      <c r="L215" s="143">
        <f t="shared" si="210"/>
        <v>90878.466</v>
      </c>
      <c r="M215" s="143">
        <f t="shared" si="210"/>
        <v>0</v>
      </c>
      <c r="N215" s="143">
        <f t="shared" si="210"/>
        <v>90878.466</v>
      </c>
      <c r="O215" s="143">
        <f t="shared" si="210"/>
        <v>420016.62717099994</v>
      </c>
      <c r="P215" s="143">
        <f t="shared" si="210"/>
        <v>330017.56687099999</v>
      </c>
      <c r="Q215" s="143">
        <f t="shared" si="210"/>
        <v>0</v>
      </c>
      <c r="R215" s="143">
        <f t="shared" si="210"/>
        <v>330017.56687099999</v>
      </c>
      <c r="S215" s="143">
        <f t="shared" si="210"/>
        <v>89999.060300000012</v>
      </c>
      <c r="T215" s="143">
        <f t="shared" si="210"/>
        <v>0</v>
      </c>
      <c r="U215" s="143">
        <f t="shared" si="210"/>
        <v>89999.060300000012</v>
      </c>
      <c r="V215" s="143">
        <f t="shared" si="210"/>
        <v>11327.490244000001</v>
      </c>
      <c r="W215" s="143">
        <f t="shared" si="210"/>
        <v>7701.1348039999993</v>
      </c>
      <c r="X215" s="143">
        <f t="shared" si="210"/>
        <v>0</v>
      </c>
      <c r="Y215" s="143">
        <f t="shared" si="210"/>
        <v>7701.1348039999993</v>
      </c>
      <c r="Z215" s="143">
        <f t="shared" si="210"/>
        <v>3626.3554399999994</v>
      </c>
      <c r="AA215" s="143">
        <f t="shared" si="210"/>
        <v>0</v>
      </c>
      <c r="AB215" s="143">
        <f t="shared" si="210"/>
        <v>3626.3554399999994</v>
      </c>
      <c r="AC215" s="143">
        <f t="shared" si="210"/>
        <v>0</v>
      </c>
      <c r="AD215" s="143">
        <f t="shared" si="210"/>
        <v>0</v>
      </c>
      <c r="AE215" s="143">
        <f t="shared" si="210"/>
        <v>0</v>
      </c>
      <c r="AF215" s="143">
        <f t="shared" si="210"/>
        <v>0</v>
      </c>
      <c r="AG215" s="143">
        <f t="shared" si="210"/>
        <v>0</v>
      </c>
      <c r="AH215" s="143">
        <f t="shared" si="210"/>
        <v>0</v>
      </c>
      <c r="AI215" s="143">
        <f t="shared" si="176"/>
        <v>94422.207706000016</v>
      </c>
      <c r="AJ215" s="143">
        <f>AJ216+AJ235</f>
        <v>0</v>
      </c>
      <c r="AK215" s="143">
        <f>AK216+AK235</f>
        <v>83821.874306000012</v>
      </c>
      <c r="AL215" s="143">
        <f>AL216+AL235</f>
        <v>0</v>
      </c>
      <c r="AM215" s="143">
        <f>AM216+AM235</f>
        <v>10600.333400000001</v>
      </c>
      <c r="AN215" s="126"/>
      <c r="AO215" s="130">
        <f t="shared" si="199"/>
        <v>113293.34442199999</v>
      </c>
      <c r="AP215" s="131"/>
    </row>
    <row r="216" spans="1:42" s="132" customFormat="1" ht="14">
      <c r="A216" s="170" t="s">
        <v>446</v>
      </c>
      <c r="B216" s="158" t="s">
        <v>657</v>
      </c>
      <c r="C216" s="145">
        <f>C217+C219+C221+C223+C225+C229+C231+C233</f>
        <v>1990.153</v>
      </c>
      <c r="D216" s="145">
        <f t="shared" ref="D216:AM216" si="211">D217+D219+D221+D223+D225+D229+D231+D233</f>
        <v>0</v>
      </c>
      <c r="E216" s="145">
        <f t="shared" si="211"/>
        <v>1990.153</v>
      </c>
      <c r="F216" s="145">
        <f t="shared" si="211"/>
        <v>0</v>
      </c>
      <c r="G216" s="145">
        <f t="shared" si="211"/>
        <v>0</v>
      </c>
      <c r="H216" s="145">
        <f t="shared" si="211"/>
        <v>177144</v>
      </c>
      <c r="I216" s="145">
        <f t="shared" si="211"/>
        <v>177144</v>
      </c>
      <c r="J216" s="145">
        <f t="shared" si="211"/>
        <v>0</v>
      </c>
      <c r="K216" s="145">
        <f t="shared" si="211"/>
        <v>177144</v>
      </c>
      <c r="L216" s="145">
        <f t="shared" si="211"/>
        <v>0</v>
      </c>
      <c r="M216" s="145">
        <f t="shared" si="211"/>
        <v>0</v>
      </c>
      <c r="N216" s="145">
        <f t="shared" si="211"/>
        <v>0</v>
      </c>
      <c r="O216" s="145">
        <f t="shared" si="211"/>
        <v>65840.808577999996</v>
      </c>
      <c r="P216" s="145">
        <f t="shared" si="211"/>
        <v>65840.808577999996</v>
      </c>
      <c r="Q216" s="145">
        <f t="shared" si="211"/>
        <v>0</v>
      </c>
      <c r="R216" s="145">
        <f t="shared" si="211"/>
        <v>65840.808577999996</v>
      </c>
      <c r="S216" s="145">
        <f t="shared" si="211"/>
        <v>0</v>
      </c>
      <c r="T216" s="145">
        <f t="shared" si="211"/>
        <v>0</v>
      </c>
      <c r="U216" s="145">
        <f t="shared" si="211"/>
        <v>0</v>
      </c>
      <c r="V216" s="145">
        <f t="shared" si="211"/>
        <v>0</v>
      </c>
      <c r="W216" s="145">
        <f t="shared" si="211"/>
        <v>0</v>
      </c>
      <c r="X216" s="145">
        <f t="shared" si="211"/>
        <v>0</v>
      </c>
      <c r="Y216" s="145">
        <f t="shared" si="211"/>
        <v>0</v>
      </c>
      <c r="Z216" s="145">
        <f t="shared" si="211"/>
        <v>0</v>
      </c>
      <c r="AA216" s="145">
        <f t="shared" si="211"/>
        <v>0</v>
      </c>
      <c r="AB216" s="145">
        <f t="shared" si="211"/>
        <v>0</v>
      </c>
      <c r="AC216" s="145">
        <f t="shared" si="211"/>
        <v>0</v>
      </c>
      <c r="AD216" s="145">
        <f t="shared" si="211"/>
        <v>0</v>
      </c>
      <c r="AE216" s="145">
        <f t="shared" si="211"/>
        <v>0</v>
      </c>
      <c r="AF216" s="145">
        <f t="shared" si="211"/>
        <v>0</v>
      </c>
      <c r="AG216" s="145">
        <f t="shared" si="211"/>
        <v>0</v>
      </c>
      <c r="AH216" s="145">
        <f t="shared" si="211"/>
        <v>0</v>
      </c>
      <c r="AI216" s="145">
        <f t="shared" si="211"/>
        <v>0</v>
      </c>
      <c r="AJ216" s="145">
        <f t="shared" si="211"/>
        <v>0</v>
      </c>
      <c r="AK216" s="145">
        <f t="shared" si="211"/>
        <v>0</v>
      </c>
      <c r="AL216" s="145">
        <f t="shared" si="211"/>
        <v>0</v>
      </c>
      <c r="AM216" s="145">
        <f t="shared" si="211"/>
        <v>0</v>
      </c>
      <c r="AN216" s="126"/>
      <c r="AO216" s="130">
        <f t="shared" si="199"/>
        <v>113293.34442199999</v>
      </c>
      <c r="AP216" s="131"/>
    </row>
    <row r="217" spans="1:42" s="132" customFormat="1" ht="14">
      <c r="A217" s="154" t="s">
        <v>658</v>
      </c>
      <c r="B217" s="172" t="s">
        <v>659</v>
      </c>
      <c r="C217" s="155">
        <f>SUM(C218:C218)</f>
        <v>0</v>
      </c>
      <c r="D217" s="155">
        <f>SUM(D218:D218)</f>
        <v>0</v>
      </c>
      <c r="E217" s="155">
        <f>SUM(E218:E218)</f>
        <v>0</v>
      </c>
      <c r="F217" s="155">
        <f>SUM(F218:F218)</f>
        <v>0</v>
      </c>
      <c r="G217" s="155">
        <f>SUM(G218:G218)</f>
        <v>0</v>
      </c>
      <c r="H217" s="155">
        <f t="shared" ref="H217:AH217" si="212">SUM(H218:H218)</f>
        <v>0</v>
      </c>
      <c r="I217" s="155">
        <f t="shared" si="212"/>
        <v>0</v>
      </c>
      <c r="J217" s="155">
        <f t="shared" si="212"/>
        <v>0</v>
      </c>
      <c r="K217" s="155">
        <f t="shared" si="212"/>
        <v>0</v>
      </c>
      <c r="L217" s="155">
        <f t="shared" si="212"/>
        <v>0</v>
      </c>
      <c r="M217" s="155">
        <f t="shared" si="212"/>
        <v>0</v>
      </c>
      <c r="N217" s="155">
        <f t="shared" si="212"/>
        <v>0</v>
      </c>
      <c r="O217" s="155">
        <f t="shared" si="212"/>
        <v>0</v>
      </c>
      <c r="P217" s="155">
        <f t="shared" si="212"/>
        <v>0</v>
      </c>
      <c r="Q217" s="155">
        <f t="shared" si="212"/>
        <v>0</v>
      </c>
      <c r="R217" s="155">
        <f t="shared" si="212"/>
        <v>0</v>
      </c>
      <c r="S217" s="155">
        <f t="shared" si="212"/>
        <v>0</v>
      </c>
      <c r="T217" s="155">
        <f t="shared" si="212"/>
        <v>0</v>
      </c>
      <c r="U217" s="155">
        <f t="shared" si="212"/>
        <v>0</v>
      </c>
      <c r="V217" s="155">
        <f t="shared" si="212"/>
        <v>0</v>
      </c>
      <c r="W217" s="155">
        <f t="shared" si="212"/>
        <v>0</v>
      </c>
      <c r="X217" s="155">
        <f t="shared" si="212"/>
        <v>0</v>
      </c>
      <c r="Y217" s="155">
        <f t="shared" si="212"/>
        <v>0</v>
      </c>
      <c r="Z217" s="155">
        <f t="shared" si="212"/>
        <v>0</v>
      </c>
      <c r="AA217" s="155">
        <f t="shared" si="212"/>
        <v>0</v>
      </c>
      <c r="AB217" s="155">
        <f t="shared" si="212"/>
        <v>0</v>
      </c>
      <c r="AC217" s="155">
        <f t="shared" si="212"/>
        <v>0</v>
      </c>
      <c r="AD217" s="155">
        <f t="shared" si="212"/>
        <v>0</v>
      </c>
      <c r="AE217" s="155">
        <f t="shared" si="212"/>
        <v>0</v>
      </c>
      <c r="AF217" s="155">
        <f t="shared" si="212"/>
        <v>0</v>
      </c>
      <c r="AG217" s="155">
        <f t="shared" si="212"/>
        <v>0</v>
      </c>
      <c r="AH217" s="155">
        <f t="shared" si="212"/>
        <v>0</v>
      </c>
      <c r="AI217" s="155">
        <f t="shared" si="176"/>
        <v>0</v>
      </c>
      <c r="AJ217" s="155">
        <f>D217+J217-Q217-X217-AD217</f>
        <v>0</v>
      </c>
      <c r="AK217" s="155">
        <f>E217+K217-R217-Y217-AE217</f>
        <v>0</v>
      </c>
      <c r="AL217" s="155">
        <f>F217+M217-T217-AA217-AG217</f>
        <v>0</v>
      </c>
      <c r="AM217" s="155">
        <f>G217+N217-U217-AB217-AH217</f>
        <v>0</v>
      </c>
      <c r="AN217" s="126"/>
      <c r="AO217" s="130">
        <f t="shared" si="199"/>
        <v>0</v>
      </c>
      <c r="AP217" s="131"/>
    </row>
    <row r="218" spans="1:42" s="117" customFormat="1" ht="14" hidden="1" outlineLevel="1">
      <c r="A218" s="136"/>
      <c r="B218" s="137" t="s">
        <v>660</v>
      </c>
      <c r="C218" s="126">
        <f t="shared" si="172"/>
        <v>0</v>
      </c>
      <c r="D218" s="126">
        <v>0</v>
      </c>
      <c r="E218" s="126">
        <v>0</v>
      </c>
      <c r="F218" s="126">
        <v>0</v>
      </c>
      <c r="G218" s="126">
        <v>0</v>
      </c>
      <c r="H218" s="126">
        <f>I218+L218</f>
        <v>0</v>
      </c>
      <c r="I218" s="126">
        <f>J218+K218</f>
        <v>0</v>
      </c>
      <c r="J218" s="126"/>
      <c r="K218" s="126">
        <v>0</v>
      </c>
      <c r="L218" s="126">
        <f>M218+N218</f>
        <v>0</v>
      </c>
      <c r="M218" s="126"/>
      <c r="N218" s="126"/>
      <c r="O218" s="126">
        <f>P218+S218</f>
        <v>0</v>
      </c>
      <c r="P218" s="126"/>
      <c r="Q218" s="126"/>
      <c r="R218" s="126"/>
      <c r="S218" s="126">
        <f>T218+U218</f>
        <v>0</v>
      </c>
      <c r="T218" s="126"/>
      <c r="U218" s="126"/>
      <c r="V218" s="126">
        <f>W218+Z218+AC218+AF218</f>
        <v>0</v>
      </c>
      <c r="W218" s="126">
        <f>X218+Y218</f>
        <v>0</v>
      </c>
      <c r="X218" s="126"/>
      <c r="Y218" s="126"/>
      <c r="Z218" s="126">
        <f>AA218+AB218</f>
        <v>0</v>
      </c>
      <c r="AA218" s="126"/>
      <c r="AB218" s="126"/>
      <c r="AC218" s="126">
        <f>AD218+AE218</f>
        <v>0</v>
      </c>
      <c r="AD218" s="126"/>
      <c r="AE218" s="126"/>
      <c r="AF218" s="126">
        <f>AG218+AH218</f>
        <v>0</v>
      </c>
      <c r="AG218" s="126"/>
      <c r="AH218" s="126"/>
      <c r="AI218" s="126">
        <f>SUM(AJ218:AM218)</f>
        <v>0</v>
      </c>
      <c r="AJ218" s="126">
        <f>D218+J218-Q218-X218-AD218</f>
        <v>0</v>
      </c>
      <c r="AK218" s="126">
        <f>E218+K218-R218-Y218-AE218</f>
        <v>0</v>
      </c>
      <c r="AL218" s="126">
        <f>F218+M218-T218-AA218-AG218</f>
        <v>0</v>
      </c>
      <c r="AM218" s="126">
        <f>G218+N218-U218-AB218-AH218</f>
        <v>0</v>
      </c>
      <c r="AN218" s="126"/>
      <c r="AO218" s="130">
        <f t="shared" si="199"/>
        <v>0</v>
      </c>
      <c r="AP218" s="116"/>
    </row>
    <row r="219" spans="1:42" s="132" customFormat="1" ht="42" collapsed="1">
      <c r="A219" s="154" t="s">
        <v>658</v>
      </c>
      <c r="B219" s="172" t="s">
        <v>661</v>
      </c>
      <c r="C219" s="155">
        <f t="shared" ref="C219:AM221" si="213">C220</f>
        <v>0</v>
      </c>
      <c r="D219" s="155">
        <f t="shared" si="213"/>
        <v>0</v>
      </c>
      <c r="E219" s="155">
        <f t="shared" si="213"/>
        <v>0</v>
      </c>
      <c r="F219" s="155">
        <f t="shared" si="213"/>
        <v>0</v>
      </c>
      <c r="G219" s="155">
        <f t="shared" si="213"/>
        <v>0</v>
      </c>
      <c r="H219" s="155">
        <f t="shared" si="213"/>
        <v>14289</v>
      </c>
      <c r="I219" s="155">
        <f t="shared" si="213"/>
        <v>14289</v>
      </c>
      <c r="J219" s="155">
        <f t="shared" si="213"/>
        <v>0</v>
      </c>
      <c r="K219" s="155">
        <f t="shared" si="213"/>
        <v>14289</v>
      </c>
      <c r="L219" s="155">
        <f t="shared" si="213"/>
        <v>0</v>
      </c>
      <c r="M219" s="155">
        <f t="shared" si="213"/>
        <v>0</v>
      </c>
      <c r="N219" s="155">
        <f t="shared" si="213"/>
        <v>0</v>
      </c>
      <c r="O219" s="155">
        <f t="shared" si="213"/>
        <v>11617.646943</v>
      </c>
      <c r="P219" s="155">
        <f t="shared" si="213"/>
        <v>11617.646943</v>
      </c>
      <c r="Q219" s="155">
        <f t="shared" si="213"/>
        <v>0</v>
      </c>
      <c r="R219" s="155">
        <f t="shared" si="213"/>
        <v>11617.646943</v>
      </c>
      <c r="S219" s="155">
        <f t="shared" si="213"/>
        <v>0</v>
      </c>
      <c r="T219" s="155">
        <f t="shared" si="213"/>
        <v>0</v>
      </c>
      <c r="U219" s="155">
        <f t="shared" si="213"/>
        <v>0</v>
      </c>
      <c r="V219" s="155">
        <f t="shared" si="213"/>
        <v>0</v>
      </c>
      <c r="W219" s="155">
        <f t="shared" si="213"/>
        <v>0</v>
      </c>
      <c r="X219" s="155">
        <f t="shared" si="213"/>
        <v>0</v>
      </c>
      <c r="Y219" s="155">
        <f t="shared" si="213"/>
        <v>0</v>
      </c>
      <c r="Z219" s="155">
        <f t="shared" si="213"/>
        <v>0</v>
      </c>
      <c r="AA219" s="155">
        <f t="shared" si="213"/>
        <v>0</v>
      </c>
      <c r="AB219" s="155">
        <f t="shared" si="213"/>
        <v>0</v>
      </c>
      <c r="AC219" s="155">
        <f t="shared" si="213"/>
        <v>0</v>
      </c>
      <c r="AD219" s="155">
        <f t="shared" si="213"/>
        <v>0</v>
      </c>
      <c r="AE219" s="155">
        <f t="shared" si="213"/>
        <v>0</v>
      </c>
      <c r="AF219" s="155">
        <f t="shared" si="213"/>
        <v>0</v>
      </c>
      <c r="AG219" s="155">
        <f t="shared" si="213"/>
        <v>0</v>
      </c>
      <c r="AH219" s="155">
        <f t="shared" si="213"/>
        <v>0</v>
      </c>
      <c r="AI219" s="155">
        <f t="shared" ref="AI219:AI223" si="214">SUM(AJ219:AM219)</f>
        <v>0</v>
      </c>
      <c r="AJ219" s="155">
        <f t="shared" si="213"/>
        <v>0</v>
      </c>
      <c r="AK219" s="155">
        <f>AK220</f>
        <v>0</v>
      </c>
      <c r="AL219" s="155">
        <f t="shared" si="213"/>
        <v>0</v>
      </c>
      <c r="AM219" s="155">
        <f t="shared" si="213"/>
        <v>0</v>
      </c>
      <c r="AN219" s="126"/>
      <c r="AO219" s="130">
        <f t="shared" si="199"/>
        <v>2671.3530570000003</v>
      </c>
      <c r="AP219" s="131"/>
    </row>
    <row r="220" spans="1:42" s="132" customFormat="1" ht="14" hidden="1" outlineLevel="1">
      <c r="A220" s="154"/>
      <c r="B220" s="172" t="s">
        <v>313</v>
      </c>
      <c r="C220" s="126">
        <f t="shared" ref="C220:C224" si="215">SUM(D220:G220)</f>
        <v>0</v>
      </c>
      <c r="D220" s="155">
        <v>0</v>
      </c>
      <c r="E220" s="155"/>
      <c r="F220" s="155">
        <v>0</v>
      </c>
      <c r="G220" s="155">
        <v>0</v>
      </c>
      <c r="H220" s="155">
        <f>I220+L220</f>
        <v>14289</v>
      </c>
      <c r="I220" s="155">
        <f>J220+K220</f>
        <v>14289</v>
      </c>
      <c r="J220" s="155"/>
      <c r="K220" s="155">
        <v>14289</v>
      </c>
      <c r="L220" s="155"/>
      <c r="M220" s="155"/>
      <c r="N220" s="155"/>
      <c r="O220" s="155">
        <f>P220+S220</f>
        <v>11617.646943</v>
      </c>
      <c r="P220" s="155">
        <f>Q220+R220</f>
        <v>11617.646943</v>
      </c>
      <c r="Q220" s="155"/>
      <c r="R220" s="155">
        <v>11617.646943</v>
      </c>
      <c r="S220" s="155"/>
      <c r="T220" s="155"/>
      <c r="U220" s="155"/>
      <c r="V220" s="155"/>
      <c r="W220" s="155"/>
      <c r="X220" s="155"/>
      <c r="Y220" s="155"/>
      <c r="Z220" s="155"/>
      <c r="AA220" s="155"/>
      <c r="AB220" s="155"/>
      <c r="AC220" s="155"/>
      <c r="AD220" s="155"/>
      <c r="AE220" s="155"/>
      <c r="AF220" s="155"/>
      <c r="AG220" s="155"/>
      <c r="AH220" s="155"/>
      <c r="AI220" s="126">
        <f>SUM(AJ220:AM220)</f>
        <v>0</v>
      </c>
      <c r="AJ220" s="126">
        <f>D220+J220-Q220-X220-AD220</f>
        <v>0</v>
      </c>
      <c r="AK220" s="126"/>
      <c r="AL220" s="126">
        <f>F220+M220-T220-AA220-AG220</f>
        <v>0</v>
      </c>
      <c r="AM220" s="126">
        <f>G220+N220-U220-AB220-AH220</f>
        <v>0</v>
      </c>
      <c r="AN220" s="126"/>
      <c r="AO220" s="130">
        <f t="shared" si="199"/>
        <v>2671.3530570000003</v>
      </c>
      <c r="AP220" s="131"/>
    </row>
    <row r="221" spans="1:42" s="132" customFormat="1" ht="42" collapsed="1">
      <c r="A221" s="154" t="s">
        <v>658</v>
      </c>
      <c r="B221" s="172" t="s">
        <v>662</v>
      </c>
      <c r="C221" s="155">
        <f t="shared" ref="C221:H221" si="216">C222</f>
        <v>0</v>
      </c>
      <c r="D221" s="155">
        <f t="shared" si="216"/>
        <v>0</v>
      </c>
      <c r="E221" s="155">
        <f t="shared" si="216"/>
        <v>0</v>
      </c>
      <c r="F221" s="155">
        <f t="shared" si="216"/>
        <v>0</v>
      </c>
      <c r="G221" s="155">
        <f t="shared" si="216"/>
        <v>0</v>
      </c>
      <c r="H221" s="155">
        <f t="shared" si="216"/>
        <v>539</v>
      </c>
      <c r="I221" s="155">
        <f t="shared" si="213"/>
        <v>539</v>
      </c>
      <c r="J221" s="155">
        <f t="shared" si="213"/>
        <v>0</v>
      </c>
      <c r="K221" s="155">
        <f t="shared" si="213"/>
        <v>539</v>
      </c>
      <c r="L221" s="155">
        <f t="shared" si="213"/>
        <v>0</v>
      </c>
      <c r="M221" s="155">
        <f t="shared" si="213"/>
        <v>0</v>
      </c>
      <c r="N221" s="155">
        <f t="shared" si="213"/>
        <v>0</v>
      </c>
      <c r="O221" s="155">
        <f t="shared" si="213"/>
        <v>444.06</v>
      </c>
      <c r="P221" s="155">
        <f t="shared" si="213"/>
        <v>444.06</v>
      </c>
      <c r="Q221" s="155">
        <f t="shared" si="213"/>
        <v>0</v>
      </c>
      <c r="R221" s="155">
        <f t="shared" si="213"/>
        <v>444.06</v>
      </c>
      <c r="S221" s="155">
        <f t="shared" si="213"/>
        <v>0</v>
      </c>
      <c r="T221" s="155">
        <f t="shared" si="213"/>
        <v>0</v>
      </c>
      <c r="U221" s="155">
        <f t="shared" si="213"/>
        <v>0</v>
      </c>
      <c r="V221" s="155">
        <f t="shared" si="213"/>
        <v>0</v>
      </c>
      <c r="W221" s="155">
        <f t="shared" si="213"/>
        <v>0</v>
      </c>
      <c r="X221" s="155">
        <f t="shared" si="213"/>
        <v>0</v>
      </c>
      <c r="Y221" s="155">
        <f t="shared" si="213"/>
        <v>0</v>
      </c>
      <c r="Z221" s="155">
        <f t="shared" si="213"/>
        <v>0</v>
      </c>
      <c r="AA221" s="155">
        <f t="shared" si="213"/>
        <v>0</v>
      </c>
      <c r="AB221" s="155">
        <f t="shared" si="213"/>
        <v>0</v>
      </c>
      <c r="AC221" s="155">
        <f t="shared" si="213"/>
        <v>0</v>
      </c>
      <c r="AD221" s="155">
        <f t="shared" si="213"/>
        <v>0</v>
      </c>
      <c r="AE221" s="155">
        <f t="shared" si="213"/>
        <v>0</v>
      </c>
      <c r="AF221" s="155">
        <f t="shared" si="213"/>
        <v>0</v>
      </c>
      <c r="AG221" s="155">
        <f t="shared" si="213"/>
        <v>0</v>
      </c>
      <c r="AH221" s="155">
        <f t="shared" si="213"/>
        <v>0</v>
      </c>
      <c r="AI221" s="155">
        <f t="shared" si="214"/>
        <v>0</v>
      </c>
      <c r="AJ221" s="155">
        <f t="shared" si="213"/>
        <v>0</v>
      </c>
      <c r="AK221" s="155"/>
      <c r="AL221" s="155">
        <f t="shared" si="213"/>
        <v>0</v>
      </c>
      <c r="AM221" s="155">
        <f t="shared" si="213"/>
        <v>0</v>
      </c>
      <c r="AN221" s="126"/>
      <c r="AO221" s="130">
        <f t="shared" si="199"/>
        <v>94.94</v>
      </c>
      <c r="AP221" s="131"/>
    </row>
    <row r="222" spans="1:42" s="132" customFormat="1" ht="14" hidden="1" outlineLevel="1">
      <c r="A222" s="154"/>
      <c r="B222" s="172" t="s">
        <v>313</v>
      </c>
      <c r="C222" s="126">
        <f t="shared" si="215"/>
        <v>0</v>
      </c>
      <c r="D222" s="155">
        <v>0</v>
      </c>
      <c r="E222" s="155"/>
      <c r="F222" s="155">
        <v>0</v>
      </c>
      <c r="G222" s="155">
        <v>0</v>
      </c>
      <c r="H222" s="155">
        <f>I222+L222</f>
        <v>539</v>
      </c>
      <c r="I222" s="155">
        <f>J222+K222</f>
        <v>539</v>
      </c>
      <c r="J222" s="155"/>
      <c r="K222" s="155">
        <v>539</v>
      </c>
      <c r="L222" s="155"/>
      <c r="M222" s="155"/>
      <c r="N222" s="155"/>
      <c r="O222" s="155">
        <f>P222+S222</f>
        <v>444.06</v>
      </c>
      <c r="P222" s="155">
        <f>Q222+R222</f>
        <v>444.06</v>
      </c>
      <c r="Q222" s="155"/>
      <c r="R222" s="155">
        <v>444.06</v>
      </c>
      <c r="S222" s="155"/>
      <c r="T222" s="155"/>
      <c r="U222" s="155"/>
      <c r="V222" s="155"/>
      <c r="W222" s="155"/>
      <c r="X222" s="155"/>
      <c r="Y222" s="155"/>
      <c r="Z222" s="155"/>
      <c r="AA222" s="155"/>
      <c r="AB222" s="155"/>
      <c r="AC222" s="155"/>
      <c r="AD222" s="155"/>
      <c r="AE222" s="155"/>
      <c r="AF222" s="155"/>
      <c r="AG222" s="155"/>
      <c r="AH222" s="155"/>
      <c r="AI222" s="126">
        <f>SUM(AJ222:AM222)</f>
        <v>0</v>
      </c>
      <c r="AJ222" s="126">
        <f>D222+J222-Q222-X222-AD222</f>
        <v>0</v>
      </c>
      <c r="AK222" s="126"/>
      <c r="AL222" s="126">
        <f>F222+M222-T222-AA222-AG222</f>
        <v>0</v>
      </c>
      <c r="AM222" s="126">
        <f>G222+N222-U222-AB222-AH222</f>
        <v>0</v>
      </c>
      <c r="AN222" s="126"/>
      <c r="AO222" s="130">
        <f t="shared" si="199"/>
        <v>94.94</v>
      </c>
      <c r="AP222" s="131"/>
    </row>
    <row r="223" spans="1:42" s="132" customFormat="1" ht="42" collapsed="1">
      <c r="A223" s="154" t="s">
        <v>658</v>
      </c>
      <c r="B223" s="172" t="s">
        <v>663</v>
      </c>
      <c r="C223" s="155">
        <f t="shared" ref="C223:AM223" si="217">C224</f>
        <v>0</v>
      </c>
      <c r="D223" s="155">
        <f t="shared" si="217"/>
        <v>0</v>
      </c>
      <c r="E223" s="155">
        <f t="shared" si="217"/>
        <v>0</v>
      </c>
      <c r="F223" s="155">
        <f t="shared" si="217"/>
        <v>0</v>
      </c>
      <c r="G223" s="155">
        <f t="shared" si="217"/>
        <v>0</v>
      </c>
      <c r="H223" s="155">
        <f t="shared" si="217"/>
        <v>125022</v>
      </c>
      <c r="I223" s="155">
        <f t="shared" si="217"/>
        <v>125022</v>
      </c>
      <c r="J223" s="155">
        <f t="shared" si="217"/>
        <v>0</v>
      </c>
      <c r="K223" s="155">
        <f t="shared" si="217"/>
        <v>125022</v>
      </c>
      <c r="L223" s="155">
        <f t="shared" si="217"/>
        <v>0</v>
      </c>
      <c r="M223" s="155">
        <f t="shared" si="217"/>
        <v>0</v>
      </c>
      <c r="N223" s="155">
        <f t="shared" si="217"/>
        <v>0</v>
      </c>
      <c r="O223" s="155">
        <f t="shared" si="217"/>
        <v>33731.278635000002</v>
      </c>
      <c r="P223" s="155">
        <f t="shared" si="217"/>
        <v>33731.278635000002</v>
      </c>
      <c r="Q223" s="155">
        <f t="shared" si="217"/>
        <v>0</v>
      </c>
      <c r="R223" s="155">
        <f t="shared" si="217"/>
        <v>33731.278635000002</v>
      </c>
      <c r="S223" s="155">
        <f t="shared" si="217"/>
        <v>0</v>
      </c>
      <c r="T223" s="155">
        <f t="shared" si="217"/>
        <v>0</v>
      </c>
      <c r="U223" s="155">
        <f t="shared" si="217"/>
        <v>0</v>
      </c>
      <c r="V223" s="155">
        <f t="shared" si="217"/>
        <v>0</v>
      </c>
      <c r="W223" s="155">
        <f t="shared" si="217"/>
        <v>0</v>
      </c>
      <c r="X223" s="155">
        <f t="shared" si="217"/>
        <v>0</v>
      </c>
      <c r="Y223" s="155">
        <f t="shared" si="217"/>
        <v>0</v>
      </c>
      <c r="Z223" s="155">
        <f t="shared" si="217"/>
        <v>0</v>
      </c>
      <c r="AA223" s="155">
        <f t="shared" si="217"/>
        <v>0</v>
      </c>
      <c r="AB223" s="155">
        <f t="shared" si="217"/>
        <v>0</v>
      </c>
      <c r="AC223" s="155">
        <f t="shared" si="217"/>
        <v>0</v>
      </c>
      <c r="AD223" s="155">
        <f t="shared" si="217"/>
        <v>0</v>
      </c>
      <c r="AE223" s="155">
        <f t="shared" si="217"/>
        <v>0</v>
      </c>
      <c r="AF223" s="155">
        <f t="shared" si="217"/>
        <v>0</v>
      </c>
      <c r="AG223" s="155">
        <f t="shared" si="217"/>
        <v>0</v>
      </c>
      <c r="AH223" s="155">
        <f t="shared" si="217"/>
        <v>0</v>
      </c>
      <c r="AI223" s="155">
        <f t="shared" si="214"/>
        <v>0</v>
      </c>
      <c r="AJ223" s="155">
        <f t="shared" si="217"/>
        <v>0</v>
      </c>
      <c r="AK223" s="155">
        <f t="shared" si="217"/>
        <v>0</v>
      </c>
      <c r="AL223" s="155">
        <f t="shared" si="217"/>
        <v>0</v>
      </c>
      <c r="AM223" s="155">
        <f t="shared" si="217"/>
        <v>0</v>
      </c>
      <c r="AN223" s="126"/>
      <c r="AO223" s="130">
        <f t="shared" si="199"/>
        <v>91290.721365000005</v>
      </c>
      <c r="AP223" s="131"/>
    </row>
    <row r="224" spans="1:42" s="132" customFormat="1" ht="14" hidden="1" outlineLevel="1">
      <c r="A224" s="154"/>
      <c r="B224" s="172" t="s">
        <v>313</v>
      </c>
      <c r="C224" s="126">
        <f t="shared" si="215"/>
        <v>0</v>
      </c>
      <c r="D224" s="155">
        <v>0</v>
      </c>
      <c r="E224" s="155"/>
      <c r="F224" s="155">
        <v>0</v>
      </c>
      <c r="G224" s="155">
        <v>0</v>
      </c>
      <c r="H224" s="155">
        <f t="shared" ref="H224:H228" si="218">I224+L224</f>
        <v>125022</v>
      </c>
      <c r="I224" s="155">
        <f t="shared" ref="I224:I228" si="219">J224+K224</f>
        <v>125022</v>
      </c>
      <c r="J224" s="155"/>
      <c r="K224" s="155">
        <v>125022</v>
      </c>
      <c r="L224" s="155"/>
      <c r="M224" s="155"/>
      <c r="N224" s="155"/>
      <c r="O224" s="155">
        <f>P224+S224</f>
        <v>33731.278635000002</v>
      </c>
      <c r="P224" s="155">
        <f>Q224+R224</f>
        <v>33731.278635000002</v>
      </c>
      <c r="Q224" s="155"/>
      <c r="R224" s="155">
        <v>33731.278635000002</v>
      </c>
      <c r="S224" s="155"/>
      <c r="T224" s="155"/>
      <c r="U224" s="155"/>
      <c r="V224" s="155"/>
      <c r="W224" s="155"/>
      <c r="X224" s="155"/>
      <c r="Y224" s="155"/>
      <c r="Z224" s="155"/>
      <c r="AA224" s="155"/>
      <c r="AB224" s="155"/>
      <c r="AC224" s="155"/>
      <c r="AD224" s="155"/>
      <c r="AE224" s="155"/>
      <c r="AF224" s="155"/>
      <c r="AG224" s="155"/>
      <c r="AH224" s="155"/>
      <c r="AI224" s="126">
        <f>SUM(AJ224:AM224)</f>
        <v>0</v>
      </c>
      <c r="AJ224" s="126">
        <f>D224+J224-Q224-X224-AD224</f>
        <v>0</v>
      </c>
      <c r="AK224" s="126"/>
      <c r="AL224" s="126">
        <f>F224+M224-T224-AA224-AG224</f>
        <v>0</v>
      </c>
      <c r="AM224" s="126">
        <f>G224+N224-U224-AB224-AH224</f>
        <v>0</v>
      </c>
      <c r="AN224" s="126"/>
      <c r="AO224" s="130">
        <f t="shared" si="199"/>
        <v>91290.721365000005</v>
      </c>
      <c r="AP224" s="131"/>
    </row>
    <row r="225" spans="1:42" s="132" customFormat="1" ht="56" collapsed="1">
      <c r="A225" s="154" t="s">
        <v>658</v>
      </c>
      <c r="B225" s="172" t="s">
        <v>664</v>
      </c>
      <c r="C225" s="155">
        <f t="shared" ref="C225:AM225" si="220">C226+C227+C228</f>
        <v>2.4400000000000546</v>
      </c>
      <c r="D225" s="155">
        <f t="shared" si="220"/>
        <v>0</v>
      </c>
      <c r="E225" s="155">
        <f t="shared" si="220"/>
        <v>2.4400000000000546</v>
      </c>
      <c r="F225" s="155">
        <f t="shared" si="220"/>
        <v>0</v>
      </c>
      <c r="G225" s="155">
        <f t="shared" si="220"/>
        <v>0</v>
      </c>
      <c r="H225" s="155">
        <f t="shared" si="220"/>
        <v>3200</v>
      </c>
      <c r="I225" s="155">
        <f t="shared" si="220"/>
        <v>3200</v>
      </c>
      <c r="J225" s="155">
        <f t="shared" si="220"/>
        <v>0</v>
      </c>
      <c r="K225" s="155">
        <f t="shared" si="220"/>
        <v>3200</v>
      </c>
      <c r="L225" s="155">
        <f t="shared" si="220"/>
        <v>0</v>
      </c>
      <c r="M225" s="155">
        <f t="shared" si="220"/>
        <v>0</v>
      </c>
      <c r="N225" s="155">
        <f t="shared" si="220"/>
        <v>0</v>
      </c>
      <c r="O225" s="155">
        <f t="shared" si="220"/>
        <v>3060.11</v>
      </c>
      <c r="P225" s="155">
        <f t="shared" si="220"/>
        <v>3060.11</v>
      </c>
      <c r="Q225" s="155">
        <f t="shared" si="220"/>
        <v>0</v>
      </c>
      <c r="R225" s="155">
        <f t="shared" si="220"/>
        <v>3060.11</v>
      </c>
      <c r="S225" s="155">
        <f t="shared" si="220"/>
        <v>0</v>
      </c>
      <c r="T225" s="155">
        <f t="shared" si="220"/>
        <v>0</v>
      </c>
      <c r="U225" s="155">
        <f t="shared" si="220"/>
        <v>0</v>
      </c>
      <c r="V225" s="155">
        <f t="shared" si="220"/>
        <v>0</v>
      </c>
      <c r="W225" s="155">
        <f t="shared" si="220"/>
        <v>0</v>
      </c>
      <c r="X225" s="155">
        <f t="shared" si="220"/>
        <v>0</v>
      </c>
      <c r="Y225" s="155">
        <f t="shared" si="220"/>
        <v>0</v>
      </c>
      <c r="Z225" s="155">
        <f t="shared" si="220"/>
        <v>0</v>
      </c>
      <c r="AA225" s="155">
        <f t="shared" si="220"/>
        <v>0</v>
      </c>
      <c r="AB225" s="155">
        <f t="shared" si="220"/>
        <v>0</v>
      </c>
      <c r="AC225" s="155">
        <f t="shared" si="220"/>
        <v>0</v>
      </c>
      <c r="AD225" s="155">
        <f t="shared" si="220"/>
        <v>0</v>
      </c>
      <c r="AE225" s="155">
        <f t="shared" si="220"/>
        <v>0</v>
      </c>
      <c r="AF225" s="155">
        <f t="shared" si="220"/>
        <v>0</v>
      </c>
      <c r="AG225" s="155">
        <f t="shared" si="220"/>
        <v>0</v>
      </c>
      <c r="AH225" s="155">
        <f t="shared" si="220"/>
        <v>0</v>
      </c>
      <c r="AI225" s="155">
        <f t="shared" si="176"/>
        <v>0</v>
      </c>
      <c r="AJ225" s="155">
        <f t="shared" si="220"/>
        <v>0</v>
      </c>
      <c r="AK225" s="155">
        <f t="shared" si="220"/>
        <v>0</v>
      </c>
      <c r="AL225" s="155">
        <f t="shared" si="220"/>
        <v>0</v>
      </c>
      <c r="AM225" s="155">
        <f t="shared" si="220"/>
        <v>0</v>
      </c>
      <c r="AN225" s="126"/>
      <c r="AO225" s="130">
        <f t="shared" si="199"/>
        <v>142.32999999999993</v>
      </c>
      <c r="AP225" s="131"/>
    </row>
    <row r="226" spans="1:42" s="132" customFormat="1" ht="14" hidden="1" outlineLevel="1">
      <c r="A226" s="154"/>
      <c r="B226" s="172" t="s">
        <v>665</v>
      </c>
      <c r="C226" s="126">
        <f t="shared" si="172"/>
        <v>0</v>
      </c>
      <c r="D226" s="155">
        <v>0</v>
      </c>
      <c r="E226" s="155"/>
      <c r="F226" s="155">
        <v>0</v>
      </c>
      <c r="G226" s="155">
        <v>0</v>
      </c>
      <c r="H226" s="155">
        <f t="shared" si="218"/>
        <v>150</v>
      </c>
      <c r="I226" s="155">
        <f t="shared" si="219"/>
        <v>150</v>
      </c>
      <c r="J226" s="155"/>
      <c r="K226" s="155">
        <v>150</v>
      </c>
      <c r="L226" s="155"/>
      <c r="M226" s="155"/>
      <c r="N226" s="155"/>
      <c r="O226" s="155">
        <f>P226+S226</f>
        <v>71.5</v>
      </c>
      <c r="P226" s="155">
        <f>Q226+R226</f>
        <v>71.5</v>
      </c>
      <c r="Q226" s="155"/>
      <c r="R226" s="155">
        <f>71.5</f>
        <v>71.5</v>
      </c>
      <c r="S226" s="155"/>
      <c r="T226" s="155"/>
      <c r="U226" s="155"/>
      <c r="V226" s="155"/>
      <c r="W226" s="155"/>
      <c r="X226" s="155"/>
      <c r="Y226" s="155"/>
      <c r="Z226" s="155"/>
      <c r="AA226" s="155"/>
      <c r="AB226" s="155"/>
      <c r="AC226" s="155"/>
      <c r="AD226" s="155"/>
      <c r="AE226" s="155"/>
      <c r="AF226" s="155"/>
      <c r="AG226" s="155"/>
      <c r="AH226" s="155"/>
      <c r="AI226" s="126">
        <f>SUM(AJ226:AM226)</f>
        <v>0</v>
      </c>
      <c r="AJ226" s="126">
        <f t="shared" ref="AJ226:AJ228" si="221">D226+J226-Q226-X226-AD226</f>
        <v>0</v>
      </c>
      <c r="AK226" s="126"/>
      <c r="AL226" s="126">
        <f t="shared" ref="AL226:AM228" si="222">F226+M226-T226-AA226-AG226</f>
        <v>0</v>
      </c>
      <c r="AM226" s="126">
        <f t="shared" si="222"/>
        <v>0</v>
      </c>
      <c r="AN226" s="126"/>
      <c r="AO226" s="130">
        <f t="shared" si="199"/>
        <v>78.5</v>
      </c>
      <c r="AP226" s="131"/>
    </row>
    <row r="227" spans="1:42" s="132" customFormat="1" ht="14" hidden="1" outlineLevel="1">
      <c r="A227" s="154"/>
      <c r="B227" s="172" t="s">
        <v>313</v>
      </c>
      <c r="C227" s="126">
        <f t="shared" si="172"/>
        <v>2.4400000000000546</v>
      </c>
      <c r="D227" s="155">
        <v>0</v>
      </c>
      <c r="E227" s="155">
        <v>2.4400000000000546</v>
      </c>
      <c r="F227" s="155">
        <v>0</v>
      </c>
      <c r="G227" s="155">
        <v>0</v>
      </c>
      <c r="H227" s="155">
        <f t="shared" si="218"/>
        <v>2650</v>
      </c>
      <c r="I227" s="155">
        <f t="shared" si="219"/>
        <v>2650</v>
      </c>
      <c r="J227" s="155"/>
      <c r="K227" s="155">
        <v>2650</v>
      </c>
      <c r="L227" s="155"/>
      <c r="M227" s="155"/>
      <c r="N227" s="155"/>
      <c r="O227" s="155">
        <f>P227+S227</f>
        <v>2650</v>
      </c>
      <c r="P227" s="155">
        <f>Q227+R227</f>
        <v>2650</v>
      </c>
      <c r="Q227" s="155"/>
      <c r="R227" s="155">
        <v>2650</v>
      </c>
      <c r="S227" s="155"/>
      <c r="T227" s="155"/>
      <c r="U227" s="155"/>
      <c r="V227" s="155"/>
      <c r="W227" s="155"/>
      <c r="X227" s="155"/>
      <c r="Y227" s="155"/>
      <c r="Z227" s="155"/>
      <c r="AA227" s="155"/>
      <c r="AB227" s="155"/>
      <c r="AC227" s="155"/>
      <c r="AD227" s="155"/>
      <c r="AE227" s="155"/>
      <c r="AF227" s="155"/>
      <c r="AG227" s="155"/>
      <c r="AH227" s="155"/>
      <c r="AI227" s="126">
        <f t="shared" ref="AI227" si="223">SUM(AJ227:AM227)</f>
        <v>0</v>
      </c>
      <c r="AJ227" s="126">
        <f t="shared" si="221"/>
        <v>0</v>
      </c>
      <c r="AK227" s="126"/>
      <c r="AL227" s="126">
        <f t="shared" si="222"/>
        <v>0</v>
      </c>
      <c r="AM227" s="126">
        <f t="shared" si="222"/>
        <v>0</v>
      </c>
      <c r="AN227" s="126"/>
      <c r="AO227" s="130">
        <f t="shared" si="199"/>
        <v>2.4400000000000546</v>
      </c>
      <c r="AP227" s="131"/>
    </row>
    <row r="228" spans="1:42" s="132" customFormat="1" ht="14" hidden="1" outlineLevel="1">
      <c r="A228" s="154"/>
      <c r="B228" s="172" t="s">
        <v>570</v>
      </c>
      <c r="C228" s="126">
        <f t="shared" si="172"/>
        <v>0</v>
      </c>
      <c r="D228" s="155">
        <v>0</v>
      </c>
      <c r="E228" s="155"/>
      <c r="F228" s="155">
        <v>0</v>
      </c>
      <c r="G228" s="155">
        <v>0</v>
      </c>
      <c r="H228" s="155">
        <f t="shared" si="218"/>
        <v>400</v>
      </c>
      <c r="I228" s="155">
        <f t="shared" si="219"/>
        <v>400</v>
      </c>
      <c r="J228" s="155"/>
      <c r="K228" s="155">
        <v>400</v>
      </c>
      <c r="L228" s="155"/>
      <c r="M228" s="155"/>
      <c r="N228" s="155"/>
      <c r="O228" s="155">
        <f>P228+S228</f>
        <v>338.61</v>
      </c>
      <c r="P228" s="155">
        <f>Q228+R228</f>
        <v>338.61</v>
      </c>
      <c r="Q228" s="155"/>
      <c r="R228" s="155">
        <v>338.61</v>
      </c>
      <c r="S228" s="155"/>
      <c r="T228" s="155"/>
      <c r="U228" s="155"/>
      <c r="V228" s="155"/>
      <c r="W228" s="155"/>
      <c r="X228" s="155"/>
      <c r="Y228" s="155"/>
      <c r="Z228" s="155"/>
      <c r="AA228" s="155"/>
      <c r="AB228" s="155"/>
      <c r="AC228" s="155"/>
      <c r="AD228" s="155"/>
      <c r="AE228" s="155"/>
      <c r="AF228" s="155"/>
      <c r="AG228" s="155"/>
      <c r="AH228" s="155"/>
      <c r="AI228" s="126">
        <f>SUM(AJ228:AM228)</f>
        <v>0</v>
      </c>
      <c r="AJ228" s="126">
        <f t="shared" si="221"/>
        <v>0</v>
      </c>
      <c r="AK228" s="126"/>
      <c r="AL228" s="126">
        <f t="shared" si="222"/>
        <v>0</v>
      </c>
      <c r="AM228" s="126">
        <f t="shared" si="222"/>
        <v>0</v>
      </c>
      <c r="AN228" s="126"/>
      <c r="AO228" s="130">
        <f t="shared" si="199"/>
        <v>61.389999999999986</v>
      </c>
      <c r="AP228" s="131"/>
    </row>
    <row r="229" spans="1:42" s="132" customFormat="1" ht="42" collapsed="1">
      <c r="A229" s="154" t="s">
        <v>658</v>
      </c>
      <c r="B229" s="172" t="s">
        <v>666</v>
      </c>
      <c r="C229" s="155">
        <f t="shared" ref="C229:AM229" si="224">C230</f>
        <v>0</v>
      </c>
      <c r="D229" s="155">
        <f t="shared" si="224"/>
        <v>0</v>
      </c>
      <c r="E229" s="155">
        <f t="shared" si="224"/>
        <v>0</v>
      </c>
      <c r="F229" s="155">
        <f t="shared" si="224"/>
        <v>0</v>
      </c>
      <c r="G229" s="155">
        <f t="shared" si="224"/>
        <v>0</v>
      </c>
      <c r="H229" s="155">
        <f t="shared" si="224"/>
        <v>6094</v>
      </c>
      <c r="I229" s="155">
        <f t="shared" si="224"/>
        <v>6094</v>
      </c>
      <c r="J229" s="155">
        <f t="shared" si="224"/>
        <v>0</v>
      </c>
      <c r="K229" s="155">
        <f t="shared" si="224"/>
        <v>6094</v>
      </c>
      <c r="L229" s="155">
        <f t="shared" si="224"/>
        <v>0</v>
      </c>
      <c r="M229" s="155">
        <f t="shared" si="224"/>
        <v>0</v>
      </c>
      <c r="N229" s="155">
        <f t="shared" si="224"/>
        <v>0</v>
      </c>
      <c r="O229" s="155">
        <f t="shared" si="224"/>
        <v>0</v>
      </c>
      <c r="P229" s="155">
        <f t="shared" si="224"/>
        <v>0</v>
      </c>
      <c r="Q229" s="155">
        <f t="shared" si="224"/>
        <v>0</v>
      </c>
      <c r="R229" s="155">
        <f t="shared" si="224"/>
        <v>0</v>
      </c>
      <c r="S229" s="155">
        <f t="shared" si="224"/>
        <v>0</v>
      </c>
      <c r="T229" s="155">
        <f t="shared" si="224"/>
        <v>0</v>
      </c>
      <c r="U229" s="155">
        <f t="shared" si="224"/>
        <v>0</v>
      </c>
      <c r="V229" s="155">
        <f t="shared" si="224"/>
        <v>0</v>
      </c>
      <c r="W229" s="155">
        <f t="shared" si="224"/>
        <v>0</v>
      </c>
      <c r="X229" s="155">
        <f t="shared" si="224"/>
        <v>0</v>
      </c>
      <c r="Y229" s="155">
        <f t="shared" si="224"/>
        <v>0</v>
      </c>
      <c r="Z229" s="155">
        <f t="shared" si="224"/>
        <v>0</v>
      </c>
      <c r="AA229" s="155">
        <f t="shared" si="224"/>
        <v>0</v>
      </c>
      <c r="AB229" s="155">
        <f t="shared" si="224"/>
        <v>0</v>
      </c>
      <c r="AC229" s="155">
        <f t="shared" si="224"/>
        <v>0</v>
      </c>
      <c r="AD229" s="155">
        <f t="shared" si="224"/>
        <v>0</v>
      </c>
      <c r="AE229" s="155">
        <f t="shared" si="224"/>
        <v>0</v>
      </c>
      <c r="AF229" s="155">
        <f t="shared" si="224"/>
        <v>0</v>
      </c>
      <c r="AG229" s="155">
        <f t="shared" si="224"/>
        <v>0</v>
      </c>
      <c r="AH229" s="155">
        <f t="shared" si="224"/>
        <v>0</v>
      </c>
      <c r="AI229" s="155">
        <f t="shared" si="176"/>
        <v>0</v>
      </c>
      <c r="AJ229" s="155">
        <f t="shared" si="224"/>
        <v>0</v>
      </c>
      <c r="AK229" s="155">
        <f t="shared" si="224"/>
        <v>0</v>
      </c>
      <c r="AL229" s="155">
        <f t="shared" si="224"/>
        <v>0</v>
      </c>
      <c r="AM229" s="155">
        <f t="shared" si="224"/>
        <v>0</v>
      </c>
      <c r="AN229" s="126"/>
      <c r="AO229" s="130">
        <f t="shared" si="199"/>
        <v>6094</v>
      </c>
      <c r="AP229" s="131"/>
    </row>
    <row r="230" spans="1:42" s="132" customFormat="1" ht="14" hidden="1" outlineLevel="1">
      <c r="A230" s="154"/>
      <c r="B230" s="172" t="s">
        <v>313</v>
      </c>
      <c r="C230" s="126">
        <f t="shared" ref="C230" si="225">SUM(D230:G230)</f>
        <v>0</v>
      </c>
      <c r="D230" s="155">
        <v>0</v>
      </c>
      <c r="E230" s="155"/>
      <c r="F230" s="155">
        <v>0</v>
      </c>
      <c r="G230" s="155">
        <v>0</v>
      </c>
      <c r="H230" s="155">
        <f>I230+L230</f>
        <v>6094</v>
      </c>
      <c r="I230" s="155">
        <f>J230+K230</f>
        <v>6094</v>
      </c>
      <c r="J230" s="155"/>
      <c r="K230" s="155">
        <v>6094</v>
      </c>
      <c r="L230" s="155"/>
      <c r="M230" s="155"/>
      <c r="N230" s="155"/>
      <c r="O230" s="155">
        <f>P230+S230</f>
        <v>0</v>
      </c>
      <c r="P230" s="155">
        <f>Q230+R230</f>
        <v>0</v>
      </c>
      <c r="Q230" s="155"/>
      <c r="R230" s="155">
        <v>0</v>
      </c>
      <c r="S230" s="155"/>
      <c r="T230" s="155"/>
      <c r="U230" s="155"/>
      <c r="V230" s="155"/>
      <c r="W230" s="155"/>
      <c r="X230" s="155"/>
      <c r="Y230" s="155"/>
      <c r="Z230" s="155"/>
      <c r="AA230" s="155"/>
      <c r="AB230" s="155"/>
      <c r="AC230" s="155"/>
      <c r="AD230" s="155"/>
      <c r="AE230" s="155"/>
      <c r="AF230" s="155"/>
      <c r="AG230" s="155"/>
      <c r="AH230" s="155"/>
      <c r="AI230" s="126">
        <f>SUM(AJ230:AM230)</f>
        <v>0</v>
      </c>
      <c r="AJ230" s="126">
        <f>D230+J230-Q230-X230-AD230</f>
        <v>0</v>
      </c>
      <c r="AK230" s="126"/>
      <c r="AL230" s="126">
        <f>F230+M230-T230-AA230-AG230</f>
        <v>0</v>
      </c>
      <c r="AM230" s="126">
        <f>G230+N230-U230-AB230-AH230</f>
        <v>0</v>
      </c>
      <c r="AN230" s="126"/>
      <c r="AO230" s="130">
        <f t="shared" si="199"/>
        <v>6094</v>
      </c>
      <c r="AP230" s="131"/>
    </row>
    <row r="231" spans="1:42" s="132" customFormat="1" ht="42" collapsed="1">
      <c r="A231" s="154" t="s">
        <v>658</v>
      </c>
      <c r="B231" s="172" t="s">
        <v>667</v>
      </c>
      <c r="C231" s="155">
        <f t="shared" ref="C231:AM231" si="226">C232</f>
        <v>1987.713</v>
      </c>
      <c r="D231" s="155">
        <f t="shared" si="226"/>
        <v>0</v>
      </c>
      <c r="E231" s="155">
        <f t="shared" si="226"/>
        <v>1987.713</v>
      </c>
      <c r="F231" s="155">
        <f t="shared" si="226"/>
        <v>0</v>
      </c>
      <c r="G231" s="155">
        <f t="shared" si="226"/>
        <v>0</v>
      </c>
      <c r="H231" s="155">
        <f t="shared" si="226"/>
        <v>15000</v>
      </c>
      <c r="I231" s="155">
        <f t="shared" si="226"/>
        <v>15000</v>
      </c>
      <c r="J231" s="155">
        <f t="shared" si="226"/>
        <v>0</v>
      </c>
      <c r="K231" s="155">
        <f t="shared" si="226"/>
        <v>15000</v>
      </c>
      <c r="L231" s="155">
        <f t="shared" si="226"/>
        <v>0</v>
      </c>
      <c r="M231" s="155">
        <f t="shared" si="226"/>
        <v>0</v>
      </c>
      <c r="N231" s="155">
        <f t="shared" si="226"/>
        <v>0</v>
      </c>
      <c r="O231" s="155">
        <f t="shared" si="226"/>
        <v>16987.713</v>
      </c>
      <c r="P231" s="155">
        <f t="shared" si="226"/>
        <v>16987.713</v>
      </c>
      <c r="Q231" s="155">
        <f t="shared" si="226"/>
        <v>0</v>
      </c>
      <c r="R231" s="155">
        <f t="shared" si="226"/>
        <v>16987.713</v>
      </c>
      <c r="S231" s="155">
        <f t="shared" si="226"/>
        <v>0</v>
      </c>
      <c r="T231" s="155">
        <f t="shared" si="226"/>
        <v>0</v>
      </c>
      <c r="U231" s="155">
        <f t="shared" si="226"/>
        <v>0</v>
      </c>
      <c r="V231" s="155">
        <f t="shared" si="226"/>
        <v>0</v>
      </c>
      <c r="W231" s="155">
        <f t="shared" si="226"/>
        <v>0</v>
      </c>
      <c r="X231" s="155">
        <f t="shared" si="226"/>
        <v>0</v>
      </c>
      <c r="Y231" s="155">
        <f t="shared" si="226"/>
        <v>0</v>
      </c>
      <c r="Z231" s="155">
        <f t="shared" si="226"/>
        <v>0</v>
      </c>
      <c r="AA231" s="155">
        <f t="shared" si="226"/>
        <v>0</v>
      </c>
      <c r="AB231" s="155">
        <f t="shared" si="226"/>
        <v>0</v>
      </c>
      <c r="AC231" s="155">
        <f t="shared" si="226"/>
        <v>0</v>
      </c>
      <c r="AD231" s="155">
        <f t="shared" si="226"/>
        <v>0</v>
      </c>
      <c r="AE231" s="155">
        <f t="shared" si="226"/>
        <v>0</v>
      </c>
      <c r="AF231" s="155">
        <f t="shared" si="226"/>
        <v>0</v>
      </c>
      <c r="AG231" s="155">
        <f t="shared" si="226"/>
        <v>0</v>
      </c>
      <c r="AH231" s="155">
        <f t="shared" si="226"/>
        <v>0</v>
      </c>
      <c r="AI231" s="155">
        <f t="shared" si="176"/>
        <v>0</v>
      </c>
      <c r="AJ231" s="155">
        <f t="shared" si="226"/>
        <v>0</v>
      </c>
      <c r="AK231" s="155">
        <f t="shared" si="226"/>
        <v>0</v>
      </c>
      <c r="AL231" s="155">
        <f t="shared" si="226"/>
        <v>0</v>
      </c>
      <c r="AM231" s="155">
        <f t="shared" si="226"/>
        <v>0</v>
      </c>
      <c r="AN231" s="126"/>
      <c r="AO231" s="130">
        <f t="shared" si="199"/>
        <v>0</v>
      </c>
      <c r="AP231" s="131"/>
    </row>
    <row r="232" spans="1:42" s="132" customFormat="1" ht="14" hidden="1" outlineLevel="1">
      <c r="A232" s="154"/>
      <c r="B232" s="172" t="s">
        <v>313</v>
      </c>
      <c r="C232" s="126">
        <f t="shared" si="172"/>
        <v>1987.713</v>
      </c>
      <c r="D232" s="155">
        <v>0</v>
      </c>
      <c r="E232" s="155">
        <v>1987.713</v>
      </c>
      <c r="F232" s="155">
        <v>0</v>
      </c>
      <c r="G232" s="155">
        <v>0</v>
      </c>
      <c r="H232" s="155">
        <f>I232+L232</f>
        <v>15000</v>
      </c>
      <c r="I232" s="155">
        <f>J232+K232</f>
        <v>15000</v>
      </c>
      <c r="J232" s="155"/>
      <c r="K232" s="155">
        <v>15000</v>
      </c>
      <c r="L232" s="155"/>
      <c r="M232" s="155"/>
      <c r="N232" s="155"/>
      <c r="O232" s="155">
        <f>P232+S232</f>
        <v>16987.713</v>
      </c>
      <c r="P232" s="155">
        <f>Q232+R232</f>
        <v>16987.713</v>
      </c>
      <c r="Q232" s="155"/>
      <c r="R232" s="155">
        <f>15000+1987.713</f>
        <v>16987.713</v>
      </c>
      <c r="S232" s="155"/>
      <c r="T232" s="155"/>
      <c r="U232" s="155"/>
      <c r="V232" s="155"/>
      <c r="W232" s="155"/>
      <c r="X232" s="155"/>
      <c r="Y232" s="155"/>
      <c r="Z232" s="155"/>
      <c r="AA232" s="155"/>
      <c r="AB232" s="155"/>
      <c r="AC232" s="155"/>
      <c r="AD232" s="155"/>
      <c r="AE232" s="155"/>
      <c r="AF232" s="155"/>
      <c r="AG232" s="155"/>
      <c r="AH232" s="155"/>
      <c r="AI232" s="126">
        <f t="shared" si="176"/>
        <v>0</v>
      </c>
      <c r="AJ232" s="126">
        <f>D232+J232-Q232-X232-AD232</f>
        <v>0</v>
      </c>
      <c r="AK232" s="126">
        <f>E232+K232-R232-Y232-AE232</f>
        <v>0</v>
      </c>
      <c r="AL232" s="126">
        <f>F232+M232-T232-AA232-AG232</f>
        <v>0</v>
      </c>
      <c r="AM232" s="126">
        <f>G232+N232-U232-AB232-AH232</f>
        <v>0</v>
      </c>
      <c r="AN232" s="126"/>
      <c r="AO232" s="130">
        <f t="shared" si="199"/>
        <v>0</v>
      </c>
      <c r="AP232" s="131"/>
    </row>
    <row r="233" spans="1:42" s="132" customFormat="1" ht="42" collapsed="1">
      <c r="A233" s="154" t="s">
        <v>658</v>
      </c>
      <c r="B233" s="172" t="s">
        <v>668</v>
      </c>
      <c r="C233" s="155">
        <f t="shared" ref="C233:AM233" si="227">C234</f>
        <v>0</v>
      </c>
      <c r="D233" s="155">
        <f t="shared" si="227"/>
        <v>0</v>
      </c>
      <c r="E233" s="155">
        <f t="shared" si="227"/>
        <v>0</v>
      </c>
      <c r="F233" s="155">
        <f t="shared" si="227"/>
        <v>0</v>
      </c>
      <c r="G233" s="155">
        <f t="shared" si="227"/>
        <v>0</v>
      </c>
      <c r="H233" s="155">
        <f t="shared" si="227"/>
        <v>13000</v>
      </c>
      <c r="I233" s="155">
        <f t="shared" si="227"/>
        <v>13000</v>
      </c>
      <c r="J233" s="155">
        <f t="shared" si="227"/>
        <v>0</v>
      </c>
      <c r="K233" s="155">
        <f t="shared" si="227"/>
        <v>13000</v>
      </c>
      <c r="L233" s="155">
        <f t="shared" si="227"/>
        <v>0</v>
      </c>
      <c r="M233" s="155">
        <f t="shared" si="227"/>
        <v>0</v>
      </c>
      <c r="N233" s="155">
        <f t="shared" si="227"/>
        <v>0</v>
      </c>
      <c r="O233" s="155">
        <f t="shared" si="227"/>
        <v>0</v>
      </c>
      <c r="P233" s="155">
        <f t="shared" si="227"/>
        <v>0</v>
      </c>
      <c r="Q233" s="155">
        <f t="shared" si="227"/>
        <v>0</v>
      </c>
      <c r="R233" s="155">
        <f t="shared" si="227"/>
        <v>0</v>
      </c>
      <c r="S233" s="155">
        <f t="shared" si="227"/>
        <v>0</v>
      </c>
      <c r="T233" s="155">
        <f t="shared" si="227"/>
        <v>0</v>
      </c>
      <c r="U233" s="155">
        <f t="shared" si="227"/>
        <v>0</v>
      </c>
      <c r="V233" s="155">
        <f t="shared" si="227"/>
        <v>0</v>
      </c>
      <c r="W233" s="155">
        <f t="shared" si="227"/>
        <v>0</v>
      </c>
      <c r="X233" s="155">
        <f t="shared" si="227"/>
        <v>0</v>
      </c>
      <c r="Y233" s="155">
        <f t="shared" si="227"/>
        <v>0</v>
      </c>
      <c r="Z233" s="155">
        <f t="shared" si="227"/>
        <v>0</v>
      </c>
      <c r="AA233" s="155">
        <f t="shared" si="227"/>
        <v>0</v>
      </c>
      <c r="AB233" s="155">
        <f t="shared" si="227"/>
        <v>0</v>
      </c>
      <c r="AC233" s="155">
        <f t="shared" si="227"/>
        <v>0</v>
      </c>
      <c r="AD233" s="155">
        <f t="shared" si="227"/>
        <v>0</v>
      </c>
      <c r="AE233" s="155">
        <f t="shared" si="227"/>
        <v>0</v>
      </c>
      <c r="AF233" s="155">
        <f t="shared" si="227"/>
        <v>0</v>
      </c>
      <c r="AG233" s="155">
        <f t="shared" si="227"/>
        <v>0</v>
      </c>
      <c r="AH233" s="155">
        <f t="shared" si="227"/>
        <v>0</v>
      </c>
      <c r="AI233" s="155">
        <f t="shared" si="176"/>
        <v>0</v>
      </c>
      <c r="AJ233" s="155">
        <f t="shared" si="227"/>
        <v>0</v>
      </c>
      <c r="AK233" s="155">
        <f t="shared" si="227"/>
        <v>0</v>
      </c>
      <c r="AL233" s="155">
        <f t="shared" si="227"/>
        <v>0</v>
      </c>
      <c r="AM233" s="155">
        <f t="shared" si="227"/>
        <v>0</v>
      </c>
      <c r="AN233" s="126"/>
      <c r="AO233" s="130">
        <f t="shared" si="199"/>
        <v>13000</v>
      </c>
      <c r="AP233" s="131"/>
    </row>
    <row r="234" spans="1:42" s="132" customFormat="1" ht="14" hidden="1" outlineLevel="1">
      <c r="A234" s="154"/>
      <c r="B234" s="172" t="s">
        <v>669</v>
      </c>
      <c r="C234" s="126">
        <f t="shared" si="172"/>
        <v>0</v>
      </c>
      <c r="D234" s="155">
        <v>0</v>
      </c>
      <c r="E234" s="155"/>
      <c r="F234" s="155">
        <v>0</v>
      </c>
      <c r="G234" s="155">
        <v>0</v>
      </c>
      <c r="H234" s="155">
        <f>I234+L234</f>
        <v>13000</v>
      </c>
      <c r="I234" s="155">
        <f>J234+K234</f>
        <v>13000</v>
      </c>
      <c r="J234" s="155"/>
      <c r="K234" s="155">
        <v>13000</v>
      </c>
      <c r="L234" s="155"/>
      <c r="M234" s="155"/>
      <c r="N234" s="155"/>
      <c r="O234" s="155">
        <f>P234+S234</f>
        <v>0</v>
      </c>
      <c r="P234" s="155">
        <f>Q234+R234</f>
        <v>0</v>
      </c>
      <c r="Q234" s="155"/>
      <c r="R234" s="155"/>
      <c r="S234" s="155"/>
      <c r="T234" s="155"/>
      <c r="U234" s="155"/>
      <c r="V234" s="155"/>
      <c r="W234" s="155"/>
      <c r="X234" s="155"/>
      <c r="Y234" s="155"/>
      <c r="Z234" s="155"/>
      <c r="AA234" s="155"/>
      <c r="AB234" s="155"/>
      <c r="AC234" s="155"/>
      <c r="AD234" s="155"/>
      <c r="AE234" s="155"/>
      <c r="AF234" s="155"/>
      <c r="AG234" s="155"/>
      <c r="AH234" s="155"/>
      <c r="AI234" s="126">
        <f>SUM(AJ234:AM234)</f>
        <v>0</v>
      </c>
      <c r="AJ234" s="126">
        <f>D234+J234-Q234-X234-AD234</f>
        <v>0</v>
      </c>
      <c r="AK234" s="126"/>
      <c r="AL234" s="126">
        <f>F234+M234-T234-AA234-AG234</f>
        <v>0</v>
      </c>
      <c r="AM234" s="126">
        <f>G234+N234-U234-AB234-AH234</f>
        <v>0</v>
      </c>
      <c r="AN234" s="126"/>
      <c r="AO234" s="130">
        <f t="shared" si="199"/>
        <v>13000</v>
      </c>
      <c r="AP234" s="131"/>
    </row>
    <row r="235" spans="1:42" s="132" customFormat="1" ht="14" collapsed="1">
      <c r="A235" s="170" t="s">
        <v>453</v>
      </c>
      <c r="B235" s="158" t="s">
        <v>610</v>
      </c>
      <c r="C235" s="145">
        <f t="shared" ref="C235:AB235" si="228">C236+C240+C243+C325+C328+C340+C343+C345+C355+C368+C370+C372+C385+C397+C408+C421+C431+C437+C439+C463+C477+C490+C494+C497+C500+C530+C535+C537+C539+C552+C554+C557+C569+C572+C575</f>
        <v>123457.20494900001</v>
      </c>
      <c r="D235" s="145">
        <f t="shared" si="228"/>
        <v>0</v>
      </c>
      <c r="E235" s="145">
        <f t="shared" si="228"/>
        <v>110109.92180900001</v>
      </c>
      <c r="F235" s="145">
        <f t="shared" si="228"/>
        <v>0</v>
      </c>
      <c r="G235" s="145">
        <f t="shared" si="228"/>
        <v>13347.28314</v>
      </c>
      <c r="H235" s="145">
        <f t="shared" si="228"/>
        <v>336468.31159399997</v>
      </c>
      <c r="I235" s="145">
        <f t="shared" si="228"/>
        <v>245589.84559399998</v>
      </c>
      <c r="J235" s="145">
        <f t="shared" si="228"/>
        <v>0</v>
      </c>
      <c r="K235" s="145">
        <f t="shared" si="228"/>
        <v>245589.84559399998</v>
      </c>
      <c r="L235" s="145">
        <f t="shared" si="228"/>
        <v>90878.466</v>
      </c>
      <c r="M235" s="145">
        <f t="shared" si="228"/>
        <v>0</v>
      </c>
      <c r="N235" s="145">
        <f t="shared" si="228"/>
        <v>90878.466</v>
      </c>
      <c r="O235" s="145">
        <f t="shared" si="228"/>
        <v>354175.81859299995</v>
      </c>
      <c r="P235" s="145">
        <f t="shared" si="228"/>
        <v>264176.75829299999</v>
      </c>
      <c r="Q235" s="145">
        <f t="shared" si="228"/>
        <v>0</v>
      </c>
      <c r="R235" s="145">
        <f t="shared" si="228"/>
        <v>264176.75829299999</v>
      </c>
      <c r="S235" s="145">
        <f t="shared" si="228"/>
        <v>89999.060300000012</v>
      </c>
      <c r="T235" s="145">
        <f t="shared" si="228"/>
        <v>0</v>
      </c>
      <c r="U235" s="145">
        <f t="shared" si="228"/>
        <v>89999.060300000012</v>
      </c>
      <c r="V235" s="145">
        <f t="shared" si="228"/>
        <v>11327.490244000001</v>
      </c>
      <c r="W235" s="145">
        <f t="shared" si="228"/>
        <v>7701.1348039999993</v>
      </c>
      <c r="X235" s="145">
        <f t="shared" si="228"/>
        <v>0</v>
      </c>
      <c r="Y235" s="145">
        <f t="shared" si="228"/>
        <v>7701.1348039999993</v>
      </c>
      <c r="Z235" s="145">
        <f t="shared" si="228"/>
        <v>3626.3554399999994</v>
      </c>
      <c r="AA235" s="145">
        <f t="shared" si="228"/>
        <v>0</v>
      </c>
      <c r="AB235" s="145">
        <f t="shared" si="228"/>
        <v>3626.3554399999994</v>
      </c>
      <c r="AC235" s="145">
        <f t="shared" ref="AC235:AH235" si="229">AC236+AC240+AC243+AC325+AC328+AC340+AC343+AC345+AC355+AC368+AC370+AC372+AC385+AC397+AC408+AC421+AC431+AC437+AC439+AC463+AC477+AC490+AC494+AC497+AC500+AC530</f>
        <v>0</v>
      </c>
      <c r="AD235" s="145">
        <f t="shared" si="229"/>
        <v>0</v>
      </c>
      <c r="AE235" s="145">
        <f t="shared" si="229"/>
        <v>0</v>
      </c>
      <c r="AF235" s="145">
        <f t="shared" si="229"/>
        <v>0</v>
      </c>
      <c r="AG235" s="145">
        <f t="shared" si="229"/>
        <v>0</v>
      </c>
      <c r="AH235" s="145">
        <f t="shared" si="229"/>
        <v>0</v>
      </c>
      <c r="AI235" s="145">
        <f t="shared" si="176"/>
        <v>94422.207706000016</v>
      </c>
      <c r="AJ235" s="145">
        <f>AJ236+AJ240+AJ243+AJ325+AJ328+AJ340+AJ343+AJ345+AJ355+AJ368+AJ370+AJ372+AJ385+AJ397+AJ408+AJ421+AJ431+AJ437+AJ439+AJ463+AJ477+AJ490+AJ494+AJ497+AJ500+AJ530+AJ535+AJ537+AJ539+AJ552+AJ554+AJ557+AJ569+AJ572+AJ575</f>
        <v>0</v>
      </c>
      <c r="AK235" s="145">
        <f>AK236+AK240+AK243+AK325+AK328+AK340+AK343+AK345+AK355+AK368+AK370+AK372+AK385+AK397+AK408+AK421+AK431+AK437+AK439+AK463+AK477+AK490+AK494+AK497+AK500+AK530+AK535+AK537+AK539+AK552+AK554+AK557+AK569+AK572+AK575</f>
        <v>83821.874306000012</v>
      </c>
      <c r="AL235" s="145">
        <f>AL236+AL240+AL243+AL325+AL328+AL340+AL343+AL345+AL355+AL368+AL370+AL372+AL385+AL397+AL408+AL421+AL431+AL437+AL439+AL463+AL477+AL490+AL494+AL497+AL500+AL530+AL535+AL537+AL539+AL552+AL554+AL557+AL569+AL572+AL575</f>
        <v>0</v>
      </c>
      <c r="AM235" s="145">
        <f>AM236+AM240+AM243+AM325+AM328+AM340+AM343+AM345+AM355+AM368+AM370+AM372+AM385+AM397+AM408+AM421+AM431+AM437+AM439+AM463+AM477+AM490+AM494+AM497+AM500+AM530+AM535+AM537+AM539+AM552+AM554+AM557+AM569+AM572+AM575</f>
        <v>10600.333400000001</v>
      </c>
      <c r="AN235" s="126"/>
      <c r="AO235" s="130">
        <f t="shared" si="199"/>
        <v>0</v>
      </c>
      <c r="AP235" s="131"/>
    </row>
    <row r="236" spans="1:42" s="117" customFormat="1" ht="28">
      <c r="A236" s="166" t="s">
        <v>318</v>
      </c>
      <c r="B236" s="137" t="s">
        <v>670</v>
      </c>
      <c r="C236" s="126">
        <f t="shared" ref="C236:H236" si="230">SUM(C237:C239)</f>
        <v>250.88320000000007</v>
      </c>
      <c r="D236" s="126">
        <f t="shared" si="230"/>
        <v>0</v>
      </c>
      <c r="E236" s="126">
        <f t="shared" si="230"/>
        <v>250.88320000000007</v>
      </c>
      <c r="F236" s="126">
        <f t="shared" si="230"/>
        <v>0</v>
      </c>
      <c r="G236" s="126">
        <f t="shared" si="230"/>
        <v>0</v>
      </c>
      <c r="H236" s="126">
        <f t="shared" si="230"/>
        <v>570</v>
      </c>
      <c r="I236" s="126">
        <f t="shared" ref="I236:AM236" si="231">SUM(I237:I239)</f>
        <v>570</v>
      </c>
      <c r="J236" s="126">
        <f t="shared" si="231"/>
        <v>0</v>
      </c>
      <c r="K236" s="126">
        <f t="shared" si="231"/>
        <v>570</v>
      </c>
      <c r="L236" s="126">
        <f t="shared" si="231"/>
        <v>0</v>
      </c>
      <c r="M236" s="126"/>
      <c r="N236" s="126">
        <f t="shared" si="231"/>
        <v>0</v>
      </c>
      <c r="O236" s="126">
        <f t="shared" si="231"/>
        <v>570</v>
      </c>
      <c r="P236" s="126">
        <f t="shared" si="231"/>
        <v>570</v>
      </c>
      <c r="Q236" s="126">
        <f t="shared" si="231"/>
        <v>0</v>
      </c>
      <c r="R236" s="126">
        <f t="shared" si="231"/>
        <v>570</v>
      </c>
      <c r="S236" s="126">
        <f t="shared" si="231"/>
        <v>0</v>
      </c>
      <c r="T236" s="126">
        <f t="shared" si="231"/>
        <v>0</v>
      </c>
      <c r="U236" s="126">
        <f t="shared" si="231"/>
        <v>0</v>
      </c>
      <c r="V236" s="126">
        <f t="shared" si="231"/>
        <v>250.88320000000007</v>
      </c>
      <c r="W236" s="126">
        <f t="shared" si="231"/>
        <v>250.88320000000007</v>
      </c>
      <c r="X236" s="126">
        <f t="shared" si="231"/>
        <v>0</v>
      </c>
      <c r="Y236" s="126">
        <f t="shared" si="231"/>
        <v>250.88320000000007</v>
      </c>
      <c r="Z236" s="126">
        <f t="shared" si="231"/>
        <v>0</v>
      </c>
      <c r="AA236" s="126">
        <f t="shared" si="231"/>
        <v>0</v>
      </c>
      <c r="AB236" s="126">
        <f t="shared" si="231"/>
        <v>0</v>
      </c>
      <c r="AC236" s="126">
        <f t="shared" si="231"/>
        <v>0</v>
      </c>
      <c r="AD236" s="126">
        <f t="shared" si="231"/>
        <v>0</v>
      </c>
      <c r="AE236" s="126">
        <f t="shared" si="231"/>
        <v>0</v>
      </c>
      <c r="AF236" s="126">
        <f t="shared" si="231"/>
        <v>0</v>
      </c>
      <c r="AG236" s="126">
        <f t="shared" si="231"/>
        <v>0</v>
      </c>
      <c r="AH236" s="126">
        <f t="shared" si="231"/>
        <v>0</v>
      </c>
      <c r="AI236" s="126">
        <f t="shared" si="176"/>
        <v>0</v>
      </c>
      <c r="AJ236" s="126">
        <f t="shared" si="231"/>
        <v>0</v>
      </c>
      <c r="AK236" s="126">
        <f t="shared" si="231"/>
        <v>0</v>
      </c>
      <c r="AL236" s="126">
        <f t="shared" si="231"/>
        <v>0</v>
      </c>
      <c r="AM236" s="126">
        <f t="shared" si="231"/>
        <v>0</v>
      </c>
      <c r="AN236" s="126"/>
      <c r="AO236" s="130">
        <f t="shared" si="199"/>
        <v>2.8421709430404007E-14</v>
      </c>
      <c r="AP236" s="116"/>
    </row>
    <row r="237" spans="1:42" s="117" customFormat="1" ht="14" hidden="1" outlineLevel="1">
      <c r="A237" s="166"/>
      <c r="B237" s="137" t="s">
        <v>671</v>
      </c>
      <c r="C237" s="126">
        <f t="shared" si="172"/>
        <v>6.32000000000005</v>
      </c>
      <c r="D237" s="126">
        <v>0</v>
      </c>
      <c r="E237" s="126">
        <v>6.32000000000005</v>
      </c>
      <c r="F237" s="126">
        <v>0</v>
      </c>
      <c r="G237" s="126">
        <v>0</v>
      </c>
      <c r="H237" s="126">
        <f>I237+L237</f>
        <v>0</v>
      </c>
      <c r="I237" s="126">
        <f>J237+K237</f>
        <v>0</v>
      </c>
      <c r="J237" s="126"/>
      <c r="K237" s="126">
        <v>0</v>
      </c>
      <c r="L237" s="126"/>
      <c r="M237" s="126"/>
      <c r="N237" s="126"/>
      <c r="O237" s="155">
        <f>P237+S237</f>
        <v>0</v>
      </c>
      <c r="P237" s="155">
        <f>Q237+R237</f>
        <v>0</v>
      </c>
      <c r="Q237" s="126"/>
      <c r="R237" s="126"/>
      <c r="S237" s="126"/>
      <c r="T237" s="126"/>
      <c r="U237" s="126"/>
      <c r="V237" s="126">
        <f>W237+Z237+AC237+AF237</f>
        <v>6.32000000000005</v>
      </c>
      <c r="W237" s="126">
        <f>X237+Y237</f>
        <v>6.32000000000005</v>
      </c>
      <c r="X237" s="126"/>
      <c r="Y237" s="126">
        <v>6.32000000000005</v>
      </c>
      <c r="Z237" s="126"/>
      <c r="AA237" s="126"/>
      <c r="AB237" s="126"/>
      <c r="AC237" s="126"/>
      <c r="AD237" s="126"/>
      <c r="AE237" s="126"/>
      <c r="AF237" s="126"/>
      <c r="AG237" s="126"/>
      <c r="AH237" s="126"/>
      <c r="AI237" s="126">
        <f t="shared" si="176"/>
        <v>0</v>
      </c>
      <c r="AJ237" s="126">
        <f t="shared" ref="AJ237:AK242" si="232">D237+J237-Q237-X237-AD237</f>
        <v>0</v>
      </c>
      <c r="AK237" s="126">
        <f t="shared" si="232"/>
        <v>0</v>
      </c>
      <c r="AL237" s="126">
        <f t="shared" ref="AL237:AM242" si="233">F237+M237-T237-AA237-AG237</f>
        <v>0</v>
      </c>
      <c r="AM237" s="126">
        <f t="shared" si="233"/>
        <v>0</v>
      </c>
      <c r="AN237" s="126"/>
      <c r="AO237" s="130">
        <f t="shared" si="199"/>
        <v>0</v>
      </c>
      <c r="AP237" s="116"/>
    </row>
    <row r="238" spans="1:42" s="117" customFormat="1" ht="14" hidden="1" outlineLevel="1">
      <c r="A238" s="136"/>
      <c r="B238" s="137" t="s">
        <v>672</v>
      </c>
      <c r="C238" s="126">
        <f t="shared" si="172"/>
        <v>23.244</v>
      </c>
      <c r="D238" s="126">
        <v>0</v>
      </c>
      <c r="E238" s="126">
        <v>23.244</v>
      </c>
      <c r="F238" s="126">
        <v>0</v>
      </c>
      <c r="G238" s="126">
        <v>0</v>
      </c>
      <c r="H238" s="126">
        <f>I238+L238</f>
        <v>95</v>
      </c>
      <c r="I238" s="126">
        <f>J238+K238</f>
        <v>95</v>
      </c>
      <c r="J238" s="126">
        <v>0</v>
      </c>
      <c r="K238" s="126">
        <v>95</v>
      </c>
      <c r="L238" s="126"/>
      <c r="M238" s="126"/>
      <c r="N238" s="126"/>
      <c r="O238" s="155">
        <f>P238+S238</f>
        <v>95</v>
      </c>
      <c r="P238" s="155">
        <f>Q238+R238</f>
        <v>95</v>
      </c>
      <c r="Q238" s="126"/>
      <c r="R238" s="126">
        <f>K238</f>
        <v>95</v>
      </c>
      <c r="S238" s="126"/>
      <c r="T238" s="126"/>
      <c r="U238" s="126"/>
      <c r="V238" s="126">
        <f>W238+Z238+AC238+AF238</f>
        <v>23.244</v>
      </c>
      <c r="W238" s="126">
        <f>X238+Y238</f>
        <v>23.244</v>
      </c>
      <c r="X238" s="126"/>
      <c r="Y238" s="126">
        <v>23.244</v>
      </c>
      <c r="Z238" s="126">
        <f>AA238+AB238</f>
        <v>0</v>
      </c>
      <c r="AA238" s="126"/>
      <c r="AB238" s="126"/>
      <c r="AC238" s="126">
        <f>AD238+AE238</f>
        <v>0</v>
      </c>
      <c r="AD238" s="126"/>
      <c r="AE238" s="126"/>
      <c r="AF238" s="126">
        <f>AG238+AH238</f>
        <v>0</v>
      </c>
      <c r="AG238" s="126"/>
      <c r="AH238" s="126"/>
      <c r="AI238" s="126">
        <f t="shared" si="176"/>
        <v>0</v>
      </c>
      <c r="AJ238" s="126">
        <f t="shared" si="232"/>
        <v>0</v>
      </c>
      <c r="AK238" s="126">
        <f t="shared" si="232"/>
        <v>0</v>
      </c>
      <c r="AL238" s="126">
        <f t="shared" si="233"/>
        <v>0</v>
      </c>
      <c r="AM238" s="126">
        <f t="shared" si="233"/>
        <v>0</v>
      </c>
      <c r="AN238" s="126"/>
      <c r="AO238" s="130">
        <f t="shared" si="199"/>
        <v>0</v>
      </c>
      <c r="AP238" s="116"/>
    </row>
    <row r="239" spans="1:42" s="117" customFormat="1" ht="14" hidden="1" outlineLevel="1">
      <c r="A239" s="136"/>
      <c r="B239" s="137" t="s">
        <v>673</v>
      </c>
      <c r="C239" s="126">
        <f t="shared" si="172"/>
        <v>221.31920000000002</v>
      </c>
      <c r="D239" s="126">
        <v>0</v>
      </c>
      <c r="E239" s="126">
        <v>221.31920000000002</v>
      </c>
      <c r="F239" s="126">
        <v>0</v>
      </c>
      <c r="G239" s="126">
        <v>0</v>
      </c>
      <c r="H239" s="126">
        <f>I239+L239</f>
        <v>475</v>
      </c>
      <c r="I239" s="126">
        <f>J239+K239</f>
        <v>475</v>
      </c>
      <c r="J239" s="126"/>
      <c r="K239" s="126">
        <v>475</v>
      </c>
      <c r="L239" s="126"/>
      <c r="M239" s="126"/>
      <c r="N239" s="126"/>
      <c r="O239" s="155">
        <f>P239+S239</f>
        <v>475</v>
      </c>
      <c r="P239" s="155">
        <f>Q239+R239</f>
        <v>475</v>
      </c>
      <c r="Q239" s="126"/>
      <c r="R239" s="126">
        <v>475</v>
      </c>
      <c r="S239" s="126"/>
      <c r="T239" s="126"/>
      <c r="U239" s="126"/>
      <c r="V239" s="126">
        <f>W239+Z239+AC239+AF239</f>
        <v>221.31920000000002</v>
      </c>
      <c r="W239" s="126">
        <f>X239+Y239</f>
        <v>221.31920000000002</v>
      </c>
      <c r="X239" s="126"/>
      <c r="Y239" s="126">
        <v>221.31920000000002</v>
      </c>
      <c r="Z239" s="126"/>
      <c r="AA239" s="126"/>
      <c r="AB239" s="126"/>
      <c r="AC239" s="126"/>
      <c r="AD239" s="126"/>
      <c r="AE239" s="126"/>
      <c r="AF239" s="126"/>
      <c r="AG239" s="126"/>
      <c r="AH239" s="126"/>
      <c r="AI239" s="126">
        <f t="shared" si="176"/>
        <v>0</v>
      </c>
      <c r="AJ239" s="126">
        <f t="shared" si="232"/>
        <v>0</v>
      </c>
      <c r="AK239" s="126">
        <f t="shared" si="232"/>
        <v>0</v>
      </c>
      <c r="AL239" s="126">
        <f t="shared" si="233"/>
        <v>0</v>
      </c>
      <c r="AM239" s="126">
        <f t="shared" si="233"/>
        <v>0</v>
      </c>
      <c r="AN239" s="126"/>
      <c r="AO239" s="130">
        <f t="shared" si="199"/>
        <v>0</v>
      </c>
      <c r="AP239" s="116"/>
    </row>
    <row r="240" spans="1:42" s="117" customFormat="1" ht="21.75" customHeight="1" collapsed="1">
      <c r="A240" s="136">
        <v>2</v>
      </c>
      <c r="B240" s="137" t="s">
        <v>674</v>
      </c>
      <c r="C240" s="126">
        <f t="shared" ref="C240:H240" si="234">SUM(C241:C242)</f>
        <v>130.70650000000001</v>
      </c>
      <c r="D240" s="126">
        <f t="shared" si="234"/>
        <v>0</v>
      </c>
      <c r="E240" s="126">
        <f t="shared" si="234"/>
        <v>130.70650000000001</v>
      </c>
      <c r="F240" s="126">
        <f t="shared" si="234"/>
        <v>0</v>
      </c>
      <c r="G240" s="126">
        <f t="shared" si="234"/>
        <v>0</v>
      </c>
      <c r="H240" s="126">
        <f t="shared" si="234"/>
        <v>0</v>
      </c>
      <c r="I240" s="126">
        <f t="shared" ref="I240:AM240" si="235">SUM(I241:I242)</f>
        <v>0</v>
      </c>
      <c r="J240" s="126">
        <f t="shared" si="235"/>
        <v>0</v>
      </c>
      <c r="K240" s="126">
        <f t="shared" si="235"/>
        <v>0</v>
      </c>
      <c r="L240" s="126">
        <f t="shared" si="235"/>
        <v>0</v>
      </c>
      <c r="M240" s="126">
        <f t="shared" si="235"/>
        <v>0</v>
      </c>
      <c r="N240" s="126">
        <f t="shared" si="235"/>
        <v>0</v>
      </c>
      <c r="O240" s="126">
        <f t="shared" si="235"/>
        <v>0</v>
      </c>
      <c r="P240" s="126">
        <f t="shared" si="235"/>
        <v>0</v>
      </c>
      <c r="Q240" s="126">
        <f t="shared" si="235"/>
        <v>0</v>
      </c>
      <c r="R240" s="126">
        <f t="shared" si="235"/>
        <v>0</v>
      </c>
      <c r="S240" s="126">
        <f t="shared" si="235"/>
        <v>0</v>
      </c>
      <c r="T240" s="126">
        <f t="shared" si="235"/>
        <v>0</v>
      </c>
      <c r="U240" s="126">
        <f t="shared" si="235"/>
        <v>0</v>
      </c>
      <c r="V240" s="126">
        <f t="shared" si="235"/>
        <v>130.70650000000001</v>
      </c>
      <c r="W240" s="126">
        <f t="shared" si="235"/>
        <v>130.70650000000001</v>
      </c>
      <c r="X240" s="126">
        <f t="shared" si="235"/>
        <v>0</v>
      </c>
      <c r="Y240" s="126">
        <f t="shared" si="235"/>
        <v>130.70650000000001</v>
      </c>
      <c r="Z240" s="126">
        <f t="shared" si="235"/>
        <v>0</v>
      </c>
      <c r="AA240" s="126">
        <f t="shared" si="235"/>
        <v>0</v>
      </c>
      <c r="AB240" s="126">
        <f t="shared" si="235"/>
        <v>0</v>
      </c>
      <c r="AC240" s="126">
        <f t="shared" si="235"/>
        <v>0</v>
      </c>
      <c r="AD240" s="126">
        <f t="shared" si="235"/>
        <v>0</v>
      </c>
      <c r="AE240" s="126">
        <f t="shared" si="235"/>
        <v>0</v>
      </c>
      <c r="AF240" s="126">
        <f t="shared" si="235"/>
        <v>0</v>
      </c>
      <c r="AG240" s="126">
        <f t="shared" si="235"/>
        <v>0</v>
      </c>
      <c r="AH240" s="126">
        <f t="shared" si="235"/>
        <v>0</v>
      </c>
      <c r="AI240" s="126">
        <f t="shared" si="176"/>
        <v>0</v>
      </c>
      <c r="AJ240" s="126">
        <f t="shared" si="235"/>
        <v>0</v>
      </c>
      <c r="AK240" s="126">
        <f t="shared" si="235"/>
        <v>0</v>
      </c>
      <c r="AL240" s="126">
        <f t="shared" si="235"/>
        <v>0</v>
      </c>
      <c r="AM240" s="126">
        <f t="shared" si="235"/>
        <v>0</v>
      </c>
      <c r="AN240" s="126"/>
      <c r="AO240" s="130">
        <f t="shared" si="199"/>
        <v>0</v>
      </c>
      <c r="AP240" s="116"/>
    </row>
    <row r="241" spans="1:42" s="117" customFormat="1" ht="14" hidden="1" outlineLevel="1">
      <c r="A241" s="136"/>
      <c r="B241" s="137" t="s">
        <v>675</v>
      </c>
      <c r="C241" s="126">
        <f t="shared" si="172"/>
        <v>130.70650000000001</v>
      </c>
      <c r="D241" s="126">
        <v>0</v>
      </c>
      <c r="E241" s="126">
        <v>130.70650000000001</v>
      </c>
      <c r="F241" s="126">
        <v>0</v>
      </c>
      <c r="G241" s="126">
        <v>0</v>
      </c>
      <c r="H241" s="126">
        <f>I241+L241</f>
        <v>0</v>
      </c>
      <c r="I241" s="126">
        <f>J241+K241</f>
        <v>0</v>
      </c>
      <c r="J241" s="126"/>
      <c r="K241" s="126">
        <v>0</v>
      </c>
      <c r="L241" s="126"/>
      <c r="M241" s="126"/>
      <c r="N241" s="126"/>
      <c r="O241" s="126">
        <f>P241+S241</f>
        <v>0</v>
      </c>
      <c r="P241" s="126">
        <f>Q241+R241</f>
        <v>0</v>
      </c>
      <c r="Q241" s="126"/>
      <c r="R241" s="126"/>
      <c r="S241" s="126"/>
      <c r="T241" s="126"/>
      <c r="U241" s="126"/>
      <c r="V241" s="126">
        <f>W241+Z241+AC241+AF241</f>
        <v>130.70650000000001</v>
      </c>
      <c r="W241" s="126">
        <f>X241+Y241</f>
        <v>130.70650000000001</v>
      </c>
      <c r="X241" s="126"/>
      <c r="Y241" s="126">
        <v>130.70650000000001</v>
      </c>
      <c r="Z241" s="126"/>
      <c r="AA241" s="126"/>
      <c r="AB241" s="126"/>
      <c r="AC241" s="126"/>
      <c r="AD241" s="126"/>
      <c r="AE241" s="126"/>
      <c r="AF241" s="126"/>
      <c r="AG241" s="126"/>
      <c r="AH241" s="126"/>
      <c r="AI241" s="126">
        <f t="shared" si="176"/>
        <v>0</v>
      </c>
      <c r="AJ241" s="126">
        <f t="shared" si="232"/>
        <v>0</v>
      </c>
      <c r="AK241" s="126">
        <f t="shared" si="232"/>
        <v>0</v>
      </c>
      <c r="AL241" s="126">
        <f t="shared" si="233"/>
        <v>0</v>
      </c>
      <c r="AM241" s="126">
        <f t="shared" si="233"/>
        <v>0</v>
      </c>
      <c r="AN241" s="126"/>
      <c r="AO241" s="130">
        <f t="shared" si="199"/>
        <v>0</v>
      </c>
      <c r="AP241" s="116"/>
    </row>
    <row r="242" spans="1:42" s="117" customFormat="1" ht="14" hidden="1" outlineLevel="1">
      <c r="A242" s="136"/>
      <c r="B242" s="137" t="s">
        <v>676</v>
      </c>
      <c r="C242" s="126">
        <f t="shared" si="172"/>
        <v>0</v>
      </c>
      <c r="D242" s="126">
        <v>0</v>
      </c>
      <c r="E242" s="126">
        <v>0</v>
      </c>
      <c r="F242" s="126">
        <v>0</v>
      </c>
      <c r="G242" s="126">
        <v>0</v>
      </c>
      <c r="H242" s="126">
        <f>I242+L242</f>
        <v>0</v>
      </c>
      <c r="I242" s="126">
        <f>J242+K242</f>
        <v>0</v>
      </c>
      <c r="J242" s="126"/>
      <c r="K242" s="126"/>
      <c r="L242" s="126"/>
      <c r="M242" s="126"/>
      <c r="N242" s="126"/>
      <c r="O242" s="126"/>
      <c r="P242" s="126"/>
      <c r="Q242" s="126"/>
      <c r="R242" s="126"/>
      <c r="S242" s="126"/>
      <c r="T242" s="126"/>
      <c r="U242" s="126"/>
      <c r="V242" s="126">
        <f>W242+Z242</f>
        <v>0</v>
      </c>
      <c r="W242" s="126">
        <f>X242+Y242</f>
        <v>0</v>
      </c>
      <c r="X242" s="126"/>
      <c r="Y242" s="126"/>
      <c r="Z242" s="126"/>
      <c r="AA242" s="126"/>
      <c r="AB242" s="126"/>
      <c r="AC242" s="126"/>
      <c r="AD242" s="126"/>
      <c r="AE242" s="126"/>
      <c r="AF242" s="126"/>
      <c r="AG242" s="126"/>
      <c r="AH242" s="126"/>
      <c r="AI242" s="126">
        <f t="shared" si="176"/>
        <v>0</v>
      </c>
      <c r="AJ242" s="126">
        <f t="shared" si="232"/>
        <v>0</v>
      </c>
      <c r="AK242" s="126">
        <f t="shared" si="232"/>
        <v>0</v>
      </c>
      <c r="AL242" s="126">
        <f t="shared" si="233"/>
        <v>0</v>
      </c>
      <c r="AM242" s="126">
        <f t="shared" si="233"/>
        <v>0</v>
      </c>
      <c r="AN242" s="126"/>
      <c r="AO242" s="130">
        <f t="shared" si="199"/>
        <v>0</v>
      </c>
      <c r="AP242" s="116"/>
    </row>
    <row r="243" spans="1:42" s="117" customFormat="1" ht="14" collapsed="1">
      <c r="A243" s="136">
        <v>3</v>
      </c>
      <c r="B243" s="137" t="s">
        <v>677</v>
      </c>
      <c r="C243" s="126">
        <f t="shared" ref="C243:AM243" si="236">C244+C259+C273+C276+C290+C307+C312+C317+C324</f>
        <v>29745.385340000001</v>
      </c>
      <c r="D243" s="126">
        <f t="shared" si="236"/>
        <v>0</v>
      </c>
      <c r="E243" s="126">
        <f t="shared" si="236"/>
        <v>26899.8429</v>
      </c>
      <c r="F243" s="126">
        <f t="shared" si="236"/>
        <v>0</v>
      </c>
      <c r="G243" s="126">
        <f t="shared" si="236"/>
        <v>2845.5424399999997</v>
      </c>
      <c r="H243" s="126">
        <f t="shared" si="236"/>
        <v>60923.286</v>
      </c>
      <c r="I243" s="126">
        <f t="shared" si="236"/>
        <v>15959.172999999999</v>
      </c>
      <c r="J243" s="126">
        <f t="shared" si="236"/>
        <v>0</v>
      </c>
      <c r="K243" s="126">
        <f t="shared" si="236"/>
        <v>15959.172999999999</v>
      </c>
      <c r="L243" s="126">
        <f t="shared" si="236"/>
        <v>44964.112999999998</v>
      </c>
      <c r="M243" s="126">
        <f t="shared" si="236"/>
        <v>0</v>
      </c>
      <c r="N243" s="126">
        <f t="shared" si="236"/>
        <v>44964.112999999998</v>
      </c>
      <c r="O243" s="126">
        <f t="shared" si="236"/>
        <v>56312.498599999999</v>
      </c>
      <c r="P243" s="126">
        <f t="shared" si="236"/>
        <v>11671</v>
      </c>
      <c r="Q243" s="126">
        <f t="shared" si="236"/>
        <v>0</v>
      </c>
      <c r="R243" s="126">
        <f t="shared" si="236"/>
        <v>11671</v>
      </c>
      <c r="S243" s="126">
        <f t="shared" si="236"/>
        <v>44641.498599999999</v>
      </c>
      <c r="T243" s="126">
        <f t="shared" si="236"/>
        <v>0</v>
      </c>
      <c r="U243" s="126">
        <f t="shared" si="236"/>
        <v>44641.498599999999</v>
      </c>
      <c r="V243" s="126">
        <f t="shared" si="236"/>
        <v>1810.4134399999998</v>
      </c>
      <c r="W243" s="126">
        <f t="shared" si="236"/>
        <v>0</v>
      </c>
      <c r="X243" s="126">
        <f t="shared" si="236"/>
        <v>0</v>
      </c>
      <c r="Y243" s="126">
        <f t="shared" si="236"/>
        <v>0</v>
      </c>
      <c r="Z243" s="126">
        <f t="shared" si="236"/>
        <v>1810.4134399999998</v>
      </c>
      <c r="AA243" s="126">
        <f t="shared" si="236"/>
        <v>0</v>
      </c>
      <c r="AB243" s="126">
        <f t="shared" si="236"/>
        <v>1810.4134399999998</v>
      </c>
      <c r="AC243" s="126">
        <f t="shared" si="236"/>
        <v>0</v>
      </c>
      <c r="AD243" s="126">
        <f t="shared" si="236"/>
        <v>0</v>
      </c>
      <c r="AE243" s="126">
        <f t="shared" si="236"/>
        <v>0</v>
      </c>
      <c r="AF243" s="126">
        <f t="shared" si="236"/>
        <v>0</v>
      </c>
      <c r="AG243" s="126">
        <f t="shared" si="236"/>
        <v>0</v>
      </c>
      <c r="AH243" s="126">
        <f t="shared" si="236"/>
        <v>0</v>
      </c>
      <c r="AI243" s="126">
        <f t="shared" si="176"/>
        <v>32545.759300000002</v>
      </c>
      <c r="AJ243" s="126">
        <f t="shared" si="236"/>
        <v>0</v>
      </c>
      <c r="AK243" s="126">
        <f t="shared" si="236"/>
        <v>31188.015899999999</v>
      </c>
      <c r="AL243" s="126">
        <f t="shared" si="236"/>
        <v>0</v>
      </c>
      <c r="AM243" s="126">
        <f t="shared" si="236"/>
        <v>1357.7434000000021</v>
      </c>
      <c r="AN243" s="126"/>
      <c r="AO243" s="130">
        <f t="shared" si="199"/>
        <v>0</v>
      </c>
      <c r="AP243" s="116"/>
    </row>
    <row r="244" spans="1:42" s="117" customFormat="1" ht="14">
      <c r="A244" s="154" t="s">
        <v>198</v>
      </c>
      <c r="B244" s="137" t="s">
        <v>678</v>
      </c>
      <c r="C244" s="126">
        <f t="shared" ref="C244:AM244" si="237">C245+C258</f>
        <v>281.71199999999988</v>
      </c>
      <c r="D244" s="126">
        <f t="shared" si="237"/>
        <v>0</v>
      </c>
      <c r="E244" s="126">
        <f t="shared" si="237"/>
        <v>198.11099999999988</v>
      </c>
      <c r="F244" s="126">
        <f t="shared" si="237"/>
        <v>0</v>
      </c>
      <c r="G244" s="126">
        <f t="shared" si="237"/>
        <v>83.600999999999971</v>
      </c>
      <c r="H244" s="126">
        <f t="shared" si="237"/>
        <v>9550</v>
      </c>
      <c r="I244" s="126">
        <f t="shared" si="237"/>
        <v>0</v>
      </c>
      <c r="J244" s="126">
        <f t="shared" si="237"/>
        <v>0</v>
      </c>
      <c r="K244" s="126">
        <f t="shared" si="237"/>
        <v>0</v>
      </c>
      <c r="L244" s="126">
        <f t="shared" si="237"/>
        <v>9550</v>
      </c>
      <c r="M244" s="126">
        <f t="shared" si="237"/>
        <v>0</v>
      </c>
      <c r="N244" s="126">
        <f t="shared" si="237"/>
        <v>9550</v>
      </c>
      <c r="O244" s="126">
        <f t="shared" si="237"/>
        <v>9605.107</v>
      </c>
      <c r="P244" s="126">
        <f t="shared" si="237"/>
        <v>0</v>
      </c>
      <c r="Q244" s="126">
        <f t="shared" si="237"/>
        <v>0</v>
      </c>
      <c r="R244" s="126">
        <f t="shared" si="237"/>
        <v>0</v>
      </c>
      <c r="S244" s="126">
        <f t="shared" si="237"/>
        <v>9605.107</v>
      </c>
      <c r="T244" s="126">
        <f t="shared" si="237"/>
        <v>0</v>
      </c>
      <c r="U244" s="126">
        <f t="shared" si="237"/>
        <v>9605.107</v>
      </c>
      <c r="V244" s="126">
        <f t="shared" si="237"/>
        <v>0</v>
      </c>
      <c r="W244" s="126">
        <f t="shared" si="237"/>
        <v>0</v>
      </c>
      <c r="X244" s="126">
        <f t="shared" si="237"/>
        <v>0</v>
      </c>
      <c r="Y244" s="126">
        <f t="shared" si="237"/>
        <v>0</v>
      </c>
      <c r="Z244" s="126">
        <f t="shared" si="237"/>
        <v>0</v>
      </c>
      <c r="AA244" s="126">
        <f t="shared" si="237"/>
        <v>0</v>
      </c>
      <c r="AB244" s="126">
        <f t="shared" si="237"/>
        <v>0</v>
      </c>
      <c r="AC244" s="126">
        <f t="shared" si="237"/>
        <v>0</v>
      </c>
      <c r="AD244" s="126">
        <f t="shared" si="237"/>
        <v>0</v>
      </c>
      <c r="AE244" s="126">
        <f t="shared" si="237"/>
        <v>0</v>
      </c>
      <c r="AF244" s="126">
        <f t="shared" si="237"/>
        <v>0</v>
      </c>
      <c r="AG244" s="126">
        <f t="shared" si="237"/>
        <v>0</v>
      </c>
      <c r="AH244" s="126">
        <f t="shared" si="237"/>
        <v>0</v>
      </c>
      <c r="AI244" s="126">
        <f t="shared" si="176"/>
        <v>226.60500000000047</v>
      </c>
      <c r="AJ244" s="126">
        <f t="shared" si="237"/>
        <v>0</v>
      </c>
      <c r="AK244" s="126">
        <f t="shared" si="237"/>
        <v>198.11099999999988</v>
      </c>
      <c r="AL244" s="126">
        <f t="shared" si="237"/>
        <v>0</v>
      </c>
      <c r="AM244" s="126">
        <f t="shared" si="237"/>
        <v>28.494000000000597</v>
      </c>
      <c r="AN244" s="126"/>
      <c r="AO244" s="130">
        <f t="shared" si="199"/>
        <v>-9.0949470177292824E-13</v>
      </c>
      <c r="AP244" s="116"/>
    </row>
    <row r="245" spans="1:42" s="117" customFormat="1" ht="14" hidden="1" outlineLevel="1">
      <c r="A245" s="136" t="s">
        <v>187</v>
      </c>
      <c r="B245" s="137" t="s">
        <v>679</v>
      </c>
      <c r="C245" s="126">
        <f t="shared" ref="C245:AH245" si="238">SUM(C246:C257)</f>
        <v>281.71199999999988</v>
      </c>
      <c r="D245" s="126">
        <f t="shared" si="238"/>
        <v>0</v>
      </c>
      <c r="E245" s="126">
        <f t="shared" si="238"/>
        <v>198.11099999999988</v>
      </c>
      <c r="F245" s="126">
        <f t="shared" si="238"/>
        <v>0</v>
      </c>
      <c r="G245" s="126">
        <f t="shared" si="238"/>
        <v>83.600999999999971</v>
      </c>
      <c r="H245" s="126">
        <f t="shared" si="238"/>
        <v>9550</v>
      </c>
      <c r="I245" s="126">
        <f t="shared" si="238"/>
        <v>0</v>
      </c>
      <c r="J245" s="126">
        <f t="shared" si="238"/>
        <v>0</v>
      </c>
      <c r="K245" s="126">
        <f t="shared" si="238"/>
        <v>0</v>
      </c>
      <c r="L245" s="126">
        <f t="shared" si="238"/>
        <v>9550</v>
      </c>
      <c r="M245" s="126">
        <f t="shared" si="238"/>
        <v>0</v>
      </c>
      <c r="N245" s="126">
        <f t="shared" si="238"/>
        <v>9550</v>
      </c>
      <c r="O245" s="126">
        <f t="shared" si="238"/>
        <v>9605.107</v>
      </c>
      <c r="P245" s="126">
        <f t="shared" si="238"/>
        <v>0</v>
      </c>
      <c r="Q245" s="126">
        <f t="shared" si="238"/>
        <v>0</v>
      </c>
      <c r="R245" s="126">
        <f t="shared" si="238"/>
        <v>0</v>
      </c>
      <c r="S245" s="126">
        <f t="shared" si="238"/>
        <v>9605.107</v>
      </c>
      <c r="T245" s="126">
        <f t="shared" si="238"/>
        <v>0</v>
      </c>
      <c r="U245" s="126">
        <f t="shared" si="238"/>
        <v>9605.107</v>
      </c>
      <c r="V245" s="126">
        <f t="shared" si="238"/>
        <v>0</v>
      </c>
      <c r="W245" s="126">
        <f t="shared" si="238"/>
        <v>0</v>
      </c>
      <c r="X245" s="126">
        <f t="shared" si="238"/>
        <v>0</v>
      </c>
      <c r="Y245" s="126">
        <f t="shared" si="238"/>
        <v>0</v>
      </c>
      <c r="Z245" s="126">
        <f t="shared" si="238"/>
        <v>0</v>
      </c>
      <c r="AA245" s="126">
        <f t="shared" si="238"/>
        <v>0</v>
      </c>
      <c r="AB245" s="126">
        <f t="shared" si="238"/>
        <v>0</v>
      </c>
      <c r="AC245" s="126">
        <f t="shared" si="238"/>
        <v>0</v>
      </c>
      <c r="AD245" s="126">
        <f t="shared" si="238"/>
        <v>0</v>
      </c>
      <c r="AE245" s="126">
        <f t="shared" si="238"/>
        <v>0</v>
      </c>
      <c r="AF245" s="126">
        <f t="shared" si="238"/>
        <v>0</v>
      </c>
      <c r="AG245" s="126">
        <f t="shared" si="238"/>
        <v>0</v>
      </c>
      <c r="AH245" s="126">
        <f t="shared" si="238"/>
        <v>0</v>
      </c>
      <c r="AI245" s="126">
        <f t="shared" si="176"/>
        <v>226.60500000000047</v>
      </c>
      <c r="AJ245" s="126">
        <f t="shared" ref="AJ245:AK277" si="239">D245+J245-Q245-X245-AD245</f>
        <v>0</v>
      </c>
      <c r="AK245" s="126">
        <f t="shared" si="239"/>
        <v>198.11099999999988</v>
      </c>
      <c r="AL245" s="126">
        <f t="shared" ref="AL245:AM277" si="240">F245+M245-T245-AA245-AG245</f>
        <v>0</v>
      </c>
      <c r="AM245" s="126">
        <f t="shared" si="240"/>
        <v>28.494000000000597</v>
      </c>
      <c r="AN245" s="126"/>
      <c r="AO245" s="130">
        <f t="shared" si="199"/>
        <v>-9.0949470177292824E-13</v>
      </c>
      <c r="AP245" s="116"/>
    </row>
    <row r="246" spans="1:42" s="117" customFormat="1" ht="14" hidden="1" outlineLevel="1">
      <c r="A246" s="136"/>
      <c r="B246" s="137" t="s">
        <v>337</v>
      </c>
      <c r="C246" s="126">
        <f t="shared" si="172"/>
        <v>0.49399999999999999</v>
      </c>
      <c r="D246" s="126">
        <v>0</v>
      </c>
      <c r="E246" s="126">
        <v>0</v>
      </c>
      <c r="F246" s="126">
        <v>0</v>
      </c>
      <c r="G246" s="126">
        <v>0.49399999999999999</v>
      </c>
      <c r="H246" s="126">
        <f t="shared" ref="H246:H257" si="241">I246+L246</f>
        <v>374</v>
      </c>
      <c r="I246" s="126">
        <f t="shared" ref="I246:I257" si="242">J246+K246</f>
        <v>0</v>
      </c>
      <c r="J246" s="126"/>
      <c r="K246" s="126">
        <v>0</v>
      </c>
      <c r="L246" s="126">
        <f t="shared" ref="L246:L255" si="243">M246+N246</f>
        <v>374</v>
      </c>
      <c r="M246" s="126"/>
      <c r="N246" s="126">
        <f>374</f>
        <v>374</v>
      </c>
      <c r="O246" s="126">
        <f t="shared" ref="O246:O255" si="244">P246+S246</f>
        <v>374</v>
      </c>
      <c r="P246" s="126"/>
      <c r="Q246" s="126"/>
      <c r="R246" s="126"/>
      <c r="S246" s="126">
        <f>T246+U246</f>
        <v>374</v>
      </c>
      <c r="T246" s="126"/>
      <c r="U246" s="126">
        <f>374</f>
        <v>374</v>
      </c>
      <c r="V246" s="126">
        <f t="shared" ref="V246:V255" si="245">W246+Z246+AC246+AF246</f>
        <v>0</v>
      </c>
      <c r="W246" s="126">
        <f t="shared" ref="W246:W255" si="246">X246+Y246</f>
        <v>0</v>
      </c>
      <c r="X246" s="126"/>
      <c r="Y246" s="126"/>
      <c r="Z246" s="126">
        <f t="shared" ref="Z246:Z255" si="247">AA246+AB246</f>
        <v>0</v>
      </c>
      <c r="AA246" s="126"/>
      <c r="AB246" s="126"/>
      <c r="AC246" s="126">
        <f t="shared" ref="AC246:AC258" si="248">AD246+AE246</f>
        <v>0</v>
      </c>
      <c r="AD246" s="126"/>
      <c r="AE246" s="126"/>
      <c r="AF246" s="126">
        <f t="shared" ref="AF246:AF258" si="249">AG246+AH246</f>
        <v>0</v>
      </c>
      <c r="AG246" s="126"/>
      <c r="AH246" s="126"/>
      <c r="AI246" s="126">
        <f t="shared" si="176"/>
        <v>0.49400000000002819</v>
      </c>
      <c r="AJ246" s="126">
        <f t="shared" si="239"/>
        <v>0</v>
      </c>
      <c r="AK246" s="126">
        <f t="shared" si="239"/>
        <v>0</v>
      </c>
      <c r="AL246" s="126">
        <f t="shared" si="240"/>
        <v>0</v>
      </c>
      <c r="AM246" s="126">
        <f t="shared" si="240"/>
        <v>0.49400000000002819</v>
      </c>
      <c r="AN246" s="126"/>
      <c r="AO246" s="130">
        <f t="shared" si="199"/>
        <v>0</v>
      </c>
      <c r="AP246" s="116"/>
    </row>
    <row r="247" spans="1:42" s="117" customFormat="1" ht="14" hidden="1" outlineLevel="1">
      <c r="A247" s="136"/>
      <c r="B247" s="137" t="s">
        <v>560</v>
      </c>
      <c r="C247" s="126">
        <f t="shared" si="172"/>
        <v>0</v>
      </c>
      <c r="D247" s="126">
        <v>0</v>
      </c>
      <c r="E247" s="126">
        <v>0</v>
      </c>
      <c r="F247" s="126">
        <v>0</v>
      </c>
      <c r="G247" s="126">
        <v>0</v>
      </c>
      <c r="H247" s="126">
        <f t="shared" si="241"/>
        <v>1464</v>
      </c>
      <c r="I247" s="126">
        <f t="shared" si="242"/>
        <v>0</v>
      </c>
      <c r="J247" s="126"/>
      <c r="K247" s="126"/>
      <c r="L247" s="126">
        <f t="shared" si="243"/>
        <v>1464</v>
      </c>
      <c r="M247" s="126"/>
      <c r="N247" s="126">
        <v>1464</v>
      </c>
      <c r="O247" s="126">
        <f t="shared" si="244"/>
        <v>1464</v>
      </c>
      <c r="P247" s="126"/>
      <c r="Q247" s="126"/>
      <c r="R247" s="126"/>
      <c r="S247" s="126">
        <f>T247+U247</f>
        <v>1464</v>
      </c>
      <c r="T247" s="126"/>
      <c r="U247" s="126">
        <f>N247+G247</f>
        <v>1464</v>
      </c>
      <c r="V247" s="126">
        <f t="shared" si="245"/>
        <v>0</v>
      </c>
      <c r="W247" s="126">
        <f t="shared" si="246"/>
        <v>0</v>
      </c>
      <c r="X247" s="126"/>
      <c r="Y247" s="126"/>
      <c r="Z247" s="126">
        <f t="shared" si="247"/>
        <v>0</v>
      </c>
      <c r="AA247" s="126"/>
      <c r="AB247" s="126"/>
      <c r="AC247" s="126">
        <f t="shared" si="248"/>
        <v>0</v>
      </c>
      <c r="AD247" s="126"/>
      <c r="AE247" s="126"/>
      <c r="AF247" s="126">
        <f t="shared" si="249"/>
        <v>0</v>
      </c>
      <c r="AG247" s="126"/>
      <c r="AH247" s="126"/>
      <c r="AI247" s="126">
        <f t="shared" si="176"/>
        <v>0</v>
      </c>
      <c r="AJ247" s="126">
        <f t="shared" si="239"/>
        <v>0</v>
      </c>
      <c r="AK247" s="126">
        <f t="shared" si="239"/>
        <v>0</v>
      </c>
      <c r="AL247" s="126">
        <f t="shared" si="240"/>
        <v>0</v>
      </c>
      <c r="AM247" s="126">
        <f t="shared" si="240"/>
        <v>0</v>
      </c>
      <c r="AN247" s="126"/>
      <c r="AO247" s="130">
        <f t="shared" si="199"/>
        <v>0</v>
      </c>
      <c r="AP247" s="116"/>
    </row>
    <row r="248" spans="1:42" s="117" customFormat="1" ht="14" hidden="1" outlineLevel="1">
      <c r="A248" s="136"/>
      <c r="B248" s="137" t="s">
        <v>561</v>
      </c>
      <c r="C248" s="126">
        <f t="shared" si="172"/>
        <v>0</v>
      </c>
      <c r="D248" s="126">
        <v>0</v>
      </c>
      <c r="E248" s="126">
        <v>0</v>
      </c>
      <c r="F248" s="126">
        <v>0</v>
      </c>
      <c r="G248" s="126">
        <v>0</v>
      </c>
      <c r="H248" s="126">
        <f t="shared" si="241"/>
        <v>611</v>
      </c>
      <c r="I248" s="126">
        <f t="shared" si="242"/>
        <v>0</v>
      </c>
      <c r="J248" s="126"/>
      <c r="K248" s="126">
        <v>0</v>
      </c>
      <c r="L248" s="126">
        <f t="shared" si="243"/>
        <v>611</v>
      </c>
      <c r="M248" s="126"/>
      <c r="N248" s="126">
        <v>611</v>
      </c>
      <c r="O248" s="126">
        <f t="shared" si="244"/>
        <v>611</v>
      </c>
      <c r="P248" s="126"/>
      <c r="Q248" s="126"/>
      <c r="R248" s="126"/>
      <c r="S248" s="126">
        <f t="shared" ref="S248:S255" si="250">T248+U248</f>
        <v>611</v>
      </c>
      <c r="T248" s="126"/>
      <c r="U248" s="126">
        <f>N248</f>
        <v>611</v>
      </c>
      <c r="V248" s="126">
        <f t="shared" si="245"/>
        <v>0</v>
      </c>
      <c r="W248" s="126">
        <f t="shared" si="246"/>
        <v>0</v>
      </c>
      <c r="X248" s="126"/>
      <c r="Y248" s="126"/>
      <c r="Z248" s="126">
        <f t="shared" si="247"/>
        <v>0</v>
      </c>
      <c r="AA248" s="126"/>
      <c r="AB248" s="126"/>
      <c r="AC248" s="126">
        <f t="shared" si="248"/>
        <v>0</v>
      </c>
      <c r="AD248" s="126"/>
      <c r="AE248" s="126"/>
      <c r="AF248" s="126">
        <f t="shared" si="249"/>
        <v>0</v>
      </c>
      <c r="AG248" s="126"/>
      <c r="AH248" s="126"/>
      <c r="AI248" s="126">
        <f t="shared" si="176"/>
        <v>0</v>
      </c>
      <c r="AJ248" s="126">
        <f t="shared" si="239"/>
        <v>0</v>
      </c>
      <c r="AK248" s="126">
        <f t="shared" si="239"/>
        <v>0</v>
      </c>
      <c r="AL248" s="126">
        <f t="shared" si="240"/>
        <v>0</v>
      </c>
      <c r="AM248" s="126">
        <f t="shared" si="240"/>
        <v>0</v>
      </c>
      <c r="AN248" s="126"/>
      <c r="AO248" s="130">
        <f t="shared" si="199"/>
        <v>0</v>
      </c>
      <c r="AP248" s="116"/>
    </row>
    <row r="249" spans="1:42" s="117" customFormat="1" ht="14" hidden="1" outlineLevel="1">
      <c r="A249" s="136"/>
      <c r="B249" s="137" t="s">
        <v>562</v>
      </c>
      <c r="C249" s="126">
        <f t="shared" si="172"/>
        <v>0</v>
      </c>
      <c r="D249" s="126">
        <v>0</v>
      </c>
      <c r="E249" s="126">
        <v>0</v>
      </c>
      <c r="F249" s="126">
        <v>0</v>
      </c>
      <c r="G249" s="126">
        <v>0</v>
      </c>
      <c r="H249" s="126">
        <f t="shared" si="241"/>
        <v>225</v>
      </c>
      <c r="I249" s="126">
        <f t="shared" si="242"/>
        <v>0</v>
      </c>
      <c r="J249" s="126"/>
      <c r="K249" s="126">
        <v>0</v>
      </c>
      <c r="L249" s="126">
        <f t="shared" si="243"/>
        <v>225</v>
      </c>
      <c r="M249" s="126"/>
      <c r="N249" s="126">
        <v>225</v>
      </c>
      <c r="O249" s="126">
        <f t="shared" si="244"/>
        <v>225</v>
      </c>
      <c r="P249" s="126"/>
      <c r="Q249" s="126"/>
      <c r="R249" s="126"/>
      <c r="S249" s="126">
        <f t="shared" si="250"/>
        <v>225</v>
      </c>
      <c r="T249" s="126"/>
      <c r="U249" s="126">
        <f>N249</f>
        <v>225</v>
      </c>
      <c r="V249" s="126">
        <f t="shared" si="245"/>
        <v>0</v>
      </c>
      <c r="W249" s="126">
        <f t="shared" si="246"/>
        <v>0</v>
      </c>
      <c r="X249" s="126"/>
      <c r="Y249" s="126"/>
      <c r="Z249" s="126">
        <f t="shared" si="247"/>
        <v>0</v>
      </c>
      <c r="AA249" s="126"/>
      <c r="AB249" s="126"/>
      <c r="AC249" s="126">
        <f t="shared" si="248"/>
        <v>0</v>
      </c>
      <c r="AD249" s="126"/>
      <c r="AE249" s="126"/>
      <c r="AF249" s="126">
        <f t="shared" si="249"/>
        <v>0</v>
      </c>
      <c r="AG249" s="126"/>
      <c r="AH249" s="126"/>
      <c r="AI249" s="126">
        <f t="shared" si="176"/>
        <v>0</v>
      </c>
      <c r="AJ249" s="126">
        <f t="shared" si="239"/>
        <v>0</v>
      </c>
      <c r="AK249" s="126">
        <f t="shared" si="239"/>
        <v>0</v>
      </c>
      <c r="AL249" s="126">
        <f t="shared" si="240"/>
        <v>0</v>
      </c>
      <c r="AM249" s="126">
        <f t="shared" si="240"/>
        <v>0</v>
      </c>
      <c r="AN249" s="126"/>
      <c r="AO249" s="130">
        <f t="shared" si="199"/>
        <v>0</v>
      </c>
      <c r="AP249" s="116"/>
    </row>
    <row r="250" spans="1:42" s="117" customFormat="1" ht="14" hidden="1" outlineLevel="1">
      <c r="A250" s="136"/>
      <c r="B250" s="137" t="s">
        <v>563</v>
      </c>
      <c r="C250" s="126">
        <f t="shared" si="172"/>
        <v>0</v>
      </c>
      <c r="D250" s="126">
        <v>0</v>
      </c>
      <c r="E250" s="126">
        <v>0</v>
      </c>
      <c r="F250" s="126">
        <v>0</v>
      </c>
      <c r="G250" s="126">
        <v>0</v>
      </c>
      <c r="H250" s="126">
        <f t="shared" si="241"/>
        <v>2728</v>
      </c>
      <c r="I250" s="126">
        <f t="shared" si="242"/>
        <v>0</v>
      </c>
      <c r="J250" s="126"/>
      <c r="K250" s="126">
        <v>0</v>
      </c>
      <c r="L250" s="126">
        <f t="shared" si="243"/>
        <v>2728</v>
      </c>
      <c r="M250" s="126"/>
      <c r="N250" s="126">
        <f>1400+1328</f>
        <v>2728</v>
      </c>
      <c r="O250" s="126">
        <f t="shared" si="244"/>
        <v>2728</v>
      </c>
      <c r="P250" s="126">
        <f>P251</f>
        <v>0</v>
      </c>
      <c r="Q250" s="126">
        <f>Q251</f>
        <v>0</v>
      </c>
      <c r="R250" s="126">
        <f>R251</f>
        <v>0</v>
      </c>
      <c r="S250" s="126">
        <f t="shared" si="250"/>
        <v>2728</v>
      </c>
      <c r="T250" s="126">
        <f>T251</f>
        <v>0</v>
      </c>
      <c r="U250" s="126">
        <f>N250</f>
        <v>2728</v>
      </c>
      <c r="V250" s="126">
        <f t="shared" si="245"/>
        <v>0</v>
      </c>
      <c r="W250" s="126">
        <f t="shared" si="246"/>
        <v>0</v>
      </c>
      <c r="X250" s="126"/>
      <c r="Y250" s="126"/>
      <c r="Z250" s="126">
        <f t="shared" si="247"/>
        <v>0</v>
      </c>
      <c r="AA250" s="126"/>
      <c r="AB250" s="126"/>
      <c r="AC250" s="126">
        <f t="shared" si="248"/>
        <v>0</v>
      </c>
      <c r="AD250" s="126"/>
      <c r="AE250" s="126"/>
      <c r="AF250" s="126">
        <f t="shared" si="249"/>
        <v>0</v>
      </c>
      <c r="AG250" s="126"/>
      <c r="AH250" s="126"/>
      <c r="AI250" s="126">
        <f t="shared" si="176"/>
        <v>0</v>
      </c>
      <c r="AJ250" s="126">
        <f t="shared" si="239"/>
        <v>0</v>
      </c>
      <c r="AK250" s="126">
        <f t="shared" si="239"/>
        <v>0</v>
      </c>
      <c r="AL250" s="126">
        <f t="shared" si="240"/>
        <v>0</v>
      </c>
      <c r="AM250" s="126">
        <f t="shared" si="240"/>
        <v>0</v>
      </c>
      <c r="AN250" s="126"/>
      <c r="AO250" s="130">
        <f t="shared" si="199"/>
        <v>0</v>
      </c>
      <c r="AP250" s="116"/>
    </row>
    <row r="251" spans="1:42" s="117" customFormat="1" ht="14" hidden="1" outlineLevel="1">
      <c r="A251" s="136"/>
      <c r="B251" s="137" t="s">
        <v>680</v>
      </c>
      <c r="C251" s="126">
        <f t="shared" si="172"/>
        <v>0</v>
      </c>
      <c r="D251" s="126">
        <v>0</v>
      </c>
      <c r="E251" s="126">
        <v>0</v>
      </c>
      <c r="F251" s="126">
        <v>0</v>
      </c>
      <c r="G251" s="126">
        <v>0</v>
      </c>
      <c r="H251" s="126">
        <f t="shared" si="241"/>
        <v>1552</v>
      </c>
      <c r="I251" s="126">
        <f t="shared" si="242"/>
        <v>0</v>
      </c>
      <c r="J251" s="126"/>
      <c r="K251" s="126">
        <v>0</v>
      </c>
      <c r="L251" s="126">
        <f t="shared" si="243"/>
        <v>1552</v>
      </c>
      <c r="M251" s="126"/>
      <c r="N251" s="126">
        <v>1552</v>
      </c>
      <c r="O251" s="126">
        <f t="shared" si="244"/>
        <v>1552</v>
      </c>
      <c r="P251" s="126"/>
      <c r="Q251" s="126"/>
      <c r="R251" s="126"/>
      <c r="S251" s="126">
        <f t="shared" si="250"/>
        <v>1552</v>
      </c>
      <c r="T251" s="126"/>
      <c r="U251" s="126">
        <f>N251</f>
        <v>1552</v>
      </c>
      <c r="V251" s="126">
        <f t="shared" si="245"/>
        <v>0</v>
      </c>
      <c r="W251" s="126">
        <f t="shared" si="246"/>
        <v>0</v>
      </c>
      <c r="X251" s="126"/>
      <c r="Y251" s="126"/>
      <c r="Z251" s="126">
        <f t="shared" si="247"/>
        <v>0</v>
      </c>
      <c r="AA251" s="126"/>
      <c r="AB251" s="126"/>
      <c r="AC251" s="126">
        <f t="shared" si="248"/>
        <v>0</v>
      </c>
      <c r="AD251" s="126"/>
      <c r="AE251" s="126"/>
      <c r="AF251" s="126">
        <f t="shared" si="249"/>
        <v>0</v>
      </c>
      <c r="AG251" s="126"/>
      <c r="AH251" s="126"/>
      <c r="AI251" s="126">
        <f t="shared" si="176"/>
        <v>0</v>
      </c>
      <c r="AJ251" s="126">
        <f t="shared" si="239"/>
        <v>0</v>
      </c>
      <c r="AK251" s="126">
        <f t="shared" si="239"/>
        <v>0</v>
      </c>
      <c r="AL251" s="126">
        <f t="shared" si="240"/>
        <v>0</v>
      </c>
      <c r="AM251" s="126">
        <f t="shared" si="240"/>
        <v>0</v>
      </c>
      <c r="AN251" s="126"/>
      <c r="AO251" s="130">
        <f t="shared" si="199"/>
        <v>0</v>
      </c>
      <c r="AP251" s="116"/>
    </row>
    <row r="252" spans="1:42" s="117" customFormat="1" ht="14" hidden="1" outlineLevel="1">
      <c r="A252" s="136"/>
      <c r="B252" s="137" t="s">
        <v>565</v>
      </c>
      <c r="C252" s="126">
        <f t="shared" si="172"/>
        <v>83.106999999999971</v>
      </c>
      <c r="D252" s="126">
        <v>0</v>
      </c>
      <c r="E252" s="126">
        <v>0</v>
      </c>
      <c r="F252" s="126">
        <v>0</v>
      </c>
      <c r="G252" s="126">
        <v>83.106999999999971</v>
      </c>
      <c r="H252" s="126">
        <f t="shared" si="241"/>
        <v>0</v>
      </c>
      <c r="I252" s="126"/>
      <c r="J252" s="126"/>
      <c r="K252" s="126"/>
      <c r="L252" s="126">
        <f t="shared" si="243"/>
        <v>0</v>
      </c>
      <c r="M252" s="126"/>
      <c r="N252" s="126"/>
      <c r="O252" s="126">
        <f t="shared" si="244"/>
        <v>83.106999999999971</v>
      </c>
      <c r="P252" s="126"/>
      <c r="Q252" s="126"/>
      <c r="R252" s="126"/>
      <c r="S252" s="126">
        <f>T252+U252</f>
        <v>83.106999999999971</v>
      </c>
      <c r="T252" s="126"/>
      <c r="U252" s="126">
        <f>G252</f>
        <v>83.106999999999971</v>
      </c>
      <c r="V252" s="126">
        <f t="shared" si="245"/>
        <v>0</v>
      </c>
      <c r="W252" s="126">
        <f t="shared" si="246"/>
        <v>0</v>
      </c>
      <c r="X252" s="126"/>
      <c r="Y252" s="126"/>
      <c r="Z252" s="126">
        <f t="shared" si="247"/>
        <v>0</v>
      </c>
      <c r="AA252" s="126"/>
      <c r="AB252" s="126"/>
      <c r="AC252" s="126">
        <f t="shared" si="248"/>
        <v>0</v>
      </c>
      <c r="AD252" s="126"/>
      <c r="AE252" s="126"/>
      <c r="AF252" s="126">
        <f t="shared" si="249"/>
        <v>0</v>
      </c>
      <c r="AG252" s="126"/>
      <c r="AH252" s="126"/>
      <c r="AI252" s="126">
        <f t="shared" si="176"/>
        <v>0</v>
      </c>
      <c r="AJ252" s="126">
        <f t="shared" si="239"/>
        <v>0</v>
      </c>
      <c r="AK252" s="126">
        <f t="shared" si="239"/>
        <v>0</v>
      </c>
      <c r="AL252" s="126">
        <f t="shared" si="240"/>
        <v>0</v>
      </c>
      <c r="AM252" s="126">
        <f t="shared" si="240"/>
        <v>0</v>
      </c>
      <c r="AN252" s="126"/>
      <c r="AO252" s="130">
        <f t="shared" si="199"/>
        <v>0</v>
      </c>
      <c r="AP252" s="116"/>
    </row>
    <row r="253" spans="1:42" s="117" customFormat="1" ht="14" hidden="1" outlineLevel="1">
      <c r="A253" s="136"/>
      <c r="B253" s="137" t="s">
        <v>566</v>
      </c>
      <c r="C253" s="126">
        <f t="shared" si="172"/>
        <v>0</v>
      </c>
      <c r="D253" s="126">
        <v>0</v>
      </c>
      <c r="E253" s="126">
        <v>0</v>
      </c>
      <c r="F253" s="126">
        <v>0</v>
      </c>
      <c r="G253" s="126">
        <v>0</v>
      </c>
      <c r="H253" s="126">
        <f t="shared" si="241"/>
        <v>893</v>
      </c>
      <c r="I253" s="126">
        <f t="shared" si="242"/>
        <v>0</v>
      </c>
      <c r="J253" s="126"/>
      <c r="K253" s="126">
        <v>0</v>
      </c>
      <c r="L253" s="126">
        <f t="shared" si="243"/>
        <v>893</v>
      </c>
      <c r="M253" s="126"/>
      <c r="N253" s="126">
        <f>500+393</f>
        <v>893</v>
      </c>
      <c r="O253" s="126">
        <f t="shared" si="244"/>
        <v>865</v>
      </c>
      <c r="P253" s="126"/>
      <c r="Q253" s="126"/>
      <c r="R253" s="126"/>
      <c r="S253" s="126">
        <f t="shared" si="250"/>
        <v>865</v>
      </c>
      <c r="T253" s="126"/>
      <c r="U253" s="126">
        <v>865</v>
      </c>
      <c r="V253" s="126">
        <f t="shared" si="245"/>
        <v>0</v>
      </c>
      <c r="W253" s="126">
        <f t="shared" si="246"/>
        <v>0</v>
      </c>
      <c r="X253" s="126"/>
      <c r="Y253" s="126"/>
      <c r="Z253" s="126">
        <f t="shared" si="247"/>
        <v>0</v>
      </c>
      <c r="AA253" s="126"/>
      <c r="AB253" s="126"/>
      <c r="AC253" s="126">
        <f t="shared" si="248"/>
        <v>0</v>
      </c>
      <c r="AD253" s="126"/>
      <c r="AE253" s="126"/>
      <c r="AF253" s="126">
        <f t="shared" si="249"/>
        <v>0</v>
      </c>
      <c r="AG253" s="126"/>
      <c r="AH253" s="126"/>
      <c r="AI253" s="126">
        <f t="shared" si="176"/>
        <v>28</v>
      </c>
      <c r="AJ253" s="126">
        <f t="shared" si="239"/>
        <v>0</v>
      </c>
      <c r="AK253" s="126">
        <f t="shared" si="239"/>
        <v>0</v>
      </c>
      <c r="AL253" s="126">
        <f t="shared" si="240"/>
        <v>0</v>
      </c>
      <c r="AM253" s="126">
        <f t="shared" si="240"/>
        <v>28</v>
      </c>
      <c r="AN253" s="126"/>
      <c r="AO253" s="130">
        <f t="shared" si="199"/>
        <v>0</v>
      </c>
      <c r="AP253" s="116"/>
    </row>
    <row r="254" spans="1:42" s="117" customFormat="1" ht="14" hidden="1" outlineLevel="1">
      <c r="A254" s="136"/>
      <c r="B254" s="137" t="s">
        <v>567</v>
      </c>
      <c r="C254" s="126">
        <f t="shared" ref="C254:C324" si="251">SUM(D254:G254)</f>
        <v>0</v>
      </c>
      <c r="D254" s="126">
        <v>0</v>
      </c>
      <c r="E254" s="126">
        <v>0</v>
      </c>
      <c r="F254" s="126">
        <v>0</v>
      </c>
      <c r="G254" s="126">
        <v>0</v>
      </c>
      <c r="H254" s="126">
        <f t="shared" si="241"/>
        <v>1703</v>
      </c>
      <c r="I254" s="126">
        <f t="shared" si="242"/>
        <v>0</v>
      </c>
      <c r="J254" s="126"/>
      <c r="K254" s="126">
        <v>0</v>
      </c>
      <c r="L254" s="126">
        <f t="shared" si="243"/>
        <v>1703</v>
      </c>
      <c r="M254" s="126"/>
      <c r="N254" s="126">
        <f>389+1314</f>
        <v>1703</v>
      </c>
      <c r="O254" s="126">
        <f t="shared" si="244"/>
        <v>1703</v>
      </c>
      <c r="P254" s="126"/>
      <c r="Q254" s="126"/>
      <c r="R254" s="126"/>
      <c r="S254" s="126">
        <f t="shared" si="250"/>
        <v>1703</v>
      </c>
      <c r="T254" s="126"/>
      <c r="U254" s="126">
        <f>N254</f>
        <v>1703</v>
      </c>
      <c r="V254" s="126">
        <f t="shared" si="245"/>
        <v>0</v>
      </c>
      <c r="W254" s="126">
        <f t="shared" si="246"/>
        <v>0</v>
      </c>
      <c r="X254" s="126"/>
      <c r="Y254" s="126"/>
      <c r="Z254" s="126">
        <f t="shared" si="247"/>
        <v>0</v>
      </c>
      <c r="AA254" s="126"/>
      <c r="AB254" s="126"/>
      <c r="AC254" s="126">
        <f t="shared" si="248"/>
        <v>0</v>
      </c>
      <c r="AD254" s="126"/>
      <c r="AE254" s="126"/>
      <c r="AF254" s="126">
        <f t="shared" si="249"/>
        <v>0</v>
      </c>
      <c r="AG254" s="126"/>
      <c r="AH254" s="126"/>
      <c r="AI254" s="126">
        <f t="shared" ref="AI254:AI324" si="252">SUM(AJ254:AM254)</f>
        <v>0</v>
      </c>
      <c r="AJ254" s="126">
        <f t="shared" si="239"/>
        <v>0</v>
      </c>
      <c r="AK254" s="126">
        <f t="shared" si="239"/>
        <v>0</v>
      </c>
      <c r="AL254" s="126">
        <f t="shared" si="240"/>
        <v>0</v>
      </c>
      <c r="AM254" s="126">
        <f t="shared" si="240"/>
        <v>0</v>
      </c>
      <c r="AN254" s="126"/>
      <c r="AO254" s="130">
        <f t="shared" si="199"/>
        <v>0</v>
      </c>
      <c r="AP254" s="116"/>
    </row>
    <row r="255" spans="1:42" s="117" customFormat="1" ht="14" hidden="1" outlineLevel="1">
      <c r="A255" s="136"/>
      <c r="B255" s="137" t="s">
        <v>568</v>
      </c>
      <c r="C255" s="126">
        <f t="shared" si="251"/>
        <v>0</v>
      </c>
      <c r="D255" s="126">
        <v>0</v>
      </c>
      <c r="E255" s="126">
        <v>0</v>
      </c>
      <c r="F255" s="126">
        <v>0</v>
      </c>
      <c r="G255" s="126">
        <v>0</v>
      </c>
      <c r="H255" s="126">
        <f t="shared" si="241"/>
        <v>0</v>
      </c>
      <c r="I255" s="126">
        <f t="shared" si="242"/>
        <v>0</v>
      </c>
      <c r="J255" s="126"/>
      <c r="K255" s="126">
        <v>0</v>
      </c>
      <c r="L255" s="126">
        <f t="shared" si="243"/>
        <v>0</v>
      </c>
      <c r="M255" s="126"/>
      <c r="N255" s="126"/>
      <c r="O255" s="126">
        <f t="shared" si="244"/>
        <v>0</v>
      </c>
      <c r="P255" s="126"/>
      <c r="Q255" s="126"/>
      <c r="R255" s="126"/>
      <c r="S255" s="126">
        <f t="shared" si="250"/>
        <v>0</v>
      </c>
      <c r="T255" s="126"/>
      <c r="U255" s="126"/>
      <c r="V255" s="126">
        <f t="shared" si="245"/>
        <v>0</v>
      </c>
      <c r="W255" s="126">
        <f t="shared" si="246"/>
        <v>0</v>
      </c>
      <c r="X255" s="126"/>
      <c r="Y255" s="126"/>
      <c r="Z255" s="126">
        <f t="shared" si="247"/>
        <v>0</v>
      </c>
      <c r="AA255" s="126"/>
      <c r="AB255" s="126"/>
      <c r="AC255" s="126">
        <f t="shared" si="248"/>
        <v>0</v>
      </c>
      <c r="AD255" s="126"/>
      <c r="AE255" s="126"/>
      <c r="AF255" s="126">
        <f t="shared" si="249"/>
        <v>0</v>
      </c>
      <c r="AG255" s="126"/>
      <c r="AH255" s="126"/>
      <c r="AI255" s="126">
        <f t="shared" si="252"/>
        <v>0</v>
      </c>
      <c r="AJ255" s="126">
        <f t="shared" si="239"/>
        <v>0</v>
      </c>
      <c r="AK255" s="126">
        <f t="shared" si="239"/>
        <v>0</v>
      </c>
      <c r="AL255" s="126">
        <f t="shared" si="240"/>
        <v>0</v>
      </c>
      <c r="AM255" s="126">
        <f t="shared" si="240"/>
        <v>0</v>
      </c>
      <c r="AN255" s="126"/>
      <c r="AO255" s="130">
        <f t="shared" si="199"/>
        <v>0</v>
      </c>
      <c r="AP255" s="116"/>
    </row>
    <row r="256" spans="1:42" s="117" customFormat="1" ht="14" hidden="1" outlineLevel="1">
      <c r="A256" s="136"/>
      <c r="B256" s="137" t="s">
        <v>681</v>
      </c>
      <c r="C256" s="126">
        <f t="shared" si="251"/>
        <v>0</v>
      </c>
      <c r="D256" s="126">
        <v>0</v>
      </c>
      <c r="E256" s="126">
        <v>0</v>
      </c>
      <c r="F256" s="126">
        <v>0</v>
      </c>
      <c r="G256" s="126">
        <v>0</v>
      </c>
      <c r="H256" s="126">
        <f t="shared" si="241"/>
        <v>0</v>
      </c>
      <c r="I256" s="126">
        <f t="shared" si="242"/>
        <v>0</v>
      </c>
      <c r="J256" s="126"/>
      <c r="K256" s="126">
        <f>8857-8857</f>
        <v>0</v>
      </c>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f t="shared" si="252"/>
        <v>0</v>
      </c>
      <c r="AJ256" s="126">
        <f t="shared" si="239"/>
        <v>0</v>
      </c>
      <c r="AK256" s="126">
        <f t="shared" si="239"/>
        <v>0</v>
      </c>
      <c r="AL256" s="126">
        <f t="shared" si="240"/>
        <v>0</v>
      </c>
      <c r="AM256" s="126">
        <f t="shared" si="240"/>
        <v>0</v>
      </c>
      <c r="AN256" s="126"/>
      <c r="AO256" s="130">
        <f t="shared" si="199"/>
        <v>0</v>
      </c>
      <c r="AP256" s="116"/>
    </row>
    <row r="257" spans="1:42" s="117" customFormat="1" ht="14" hidden="1" outlineLevel="1">
      <c r="A257" s="136"/>
      <c r="B257" s="137" t="s">
        <v>682</v>
      </c>
      <c r="C257" s="126">
        <f t="shared" si="251"/>
        <v>198.11099999999988</v>
      </c>
      <c r="D257" s="126">
        <v>0</v>
      </c>
      <c r="E257" s="126">
        <v>198.11099999999988</v>
      </c>
      <c r="F257" s="126">
        <v>0</v>
      </c>
      <c r="G257" s="126">
        <v>0</v>
      </c>
      <c r="H257" s="126">
        <f t="shared" si="241"/>
        <v>0</v>
      </c>
      <c r="I257" s="126">
        <f t="shared" si="242"/>
        <v>0</v>
      </c>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f t="shared" si="252"/>
        <v>198.11099999999988</v>
      </c>
      <c r="AJ257" s="126">
        <f t="shared" si="239"/>
        <v>0</v>
      </c>
      <c r="AK257" s="126">
        <f t="shared" si="239"/>
        <v>198.11099999999988</v>
      </c>
      <c r="AL257" s="126">
        <f t="shared" si="240"/>
        <v>0</v>
      </c>
      <c r="AM257" s="126">
        <f t="shared" si="240"/>
        <v>0</v>
      </c>
      <c r="AN257" s="126"/>
      <c r="AO257" s="130">
        <f t="shared" si="199"/>
        <v>0</v>
      </c>
      <c r="AP257" s="116"/>
    </row>
    <row r="258" spans="1:42" s="117" customFormat="1" ht="14" hidden="1" outlineLevel="1">
      <c r="A258" s="136" t="s">
        <v>187</v>
      </c>
      <c r="B258" s="137" t="s">
        <v>683</v>
      </c>
      <c r="C258" s="126">
        <f t="shared" si="251"/>
        <v>0</v>
      </c>
      <c r="D258" s="126">
        <v>0</v>
      </c>
      <c r="E258" s="126">
        <v>0</v>
      </c>
      <c r="F258" s="126">
        <v>0</v>
      </c>
      <c r="G258" s="126">
        <v>0</v>
      </c>
      <c r="H258" s="126">
        <f>I258+L258</f>
        <v>0</v>
      </c>
      <c r="I258" s="126">
        <f>J258+K258</f>
        <v>0</v>
      </c>
      <c r="J258" s="126">
        <v>0</v>
      </c>
      <c r="K258" s="126"/>
      <c r="L258" s="126"/>
      <c r="M258" s="126"/>
      <c r="N258" s="126"/>
      <c r="O258" s="126">
        <f>P258+S258</f>
        <v>0</v>
      </c>
      <c r="P258" s="126">
        <f>Q258+R258</f>
        <v>0</v>
      </c>
      <c r="Q258" s="126"/>
      <c r="R258" s="126"/>
      <c r="S258" s="126"/>
      <c r="T258" s="126"/>
      <c r="U258" s="126"/>
      <c r="V258" s="126">
        <f>W258+Z258+AC258+AF258</f>
        <v>0</v>
      </c>
      <c r="W258" s="126">
        <f>X258+Y258</f>
        <v>0</v>
      </c>
      <c r="X258" s="126"/>
      <c r="Y258" s="126"/>
      <c r="Z258" s="126">
        <f>AA258+AB258</f>
        <v>0</v>
      </c>
      <c r="AA258" s="126"/>
      <c r="AB258" s="126"/>
      <c r="AC258" s="126">
        <f t="shared" si="248"/>
        <v>0</v>
      </c>
      <c r="AD258" s="126"/>
      <c r="AE258" s="126"/>
      <c r="AF258" s="126">
        <f t="shared" si="249"/>
        <v>0</v>
      </c>
      <c r="AG258" s="126"/>
      <c r="AH258" s="126"/>
      <c r="AI258" s="126">
        <f t="shared" si="252"/>
        <v>0</v>
      </c>
      <c r="AJ258" s="126">
        <f t="shared" si="239"/>
        <v>0</v>
      </c>
      <c r="AK258" s="126">
        <f t="shared" si="239"/>
        <v>0</v>
      </c>
      <c r="AL258" s="126">
        <f t="shared" si="240"/>
        <v>0</v>
      </c>
      <c r="AM258" s="126">
        <f t="shared" si="240"/>
        <v>0</v>
      </c>
      <c r="AN258" s="126"/>
      <c r="AO258" s="130">
        <f t="shared" si="199"/>
        <v>0</v>
      </c>
      <c r="AP258" s="116"/>
    </row>
    <row r="259" spans="1:42" s="117" customFormat="1" ht="14" collapsed="1">
      <c r="A259" s="136" t="s">
        <v>197</v>
      </c>
      <c r="B259" s="137" t="s">
        <v>684</v>
      </c>
      <c r="C259" s="126">
        <f t="shared" ref="C259:AH259" si="253">SUM(C260:C272)</f>
        <v>2308.8609999999999</v>
      </c>
      <c r="D259" s="126">
        <f t="shared" si="253"/>
        <v>0</v>
      </c>
      <c r="E259" s="126">
        <f t="shared" si="253"/>
        <v>2300.92</v>
      </c>
      <c r="F259" s="126">
        <f t="shared" si="253"/>
        <v>0</v>
      </c>
      <c r="G259" s="126">
        <f t="shared" si="253"/>
        <v>7.9410000000000007</v>
      </c>
      <c r="H259" s="126">
        <f t="shared" si="253"/>
        <v>1982</v>
      </c>
      <c r="I259" s="126">
        <f t="shared" si="253"/>
        <v>0</v>
      </c>
      <c r="J259" s="126">
        <f t="shared" si="253"/>
        <v>0</v>
      </c>
      <c r="K259" s="126">
        <f t="shared" si="253"/>
        <v>0</v>
      </c>
      <c r="L259" s="126">
        <f t="shared" si="253"/>
        <v>1982</v>
      </c>
      <c r="M259" s="126">
        <f t="shared" si="253"/>
        <v>0</v>
      </c>
      <c r="N259" s="126">
        <f t="shared" si="253"/>
        <v>1982</v>
      </c>
      <c r="O259" s="126">
        <f t="shared" si="253"/>
        <v>1976.1636000000001</v>
      </c>
      <c r="P259" s="126">
        <f t="shared" si="253"/>
        <v>0</v>
      </c>
      <c r="Q259" s="126">
        <f t="shared" si="253"/>
        <v>0</v>
      </c>
      <c r="R259" s="126">
        <f t="shared" si="253"/>
        <v>0</v>
      </c>
      <c r="S259" s="126">
        <f t="shared" si="253"/>
        <v>1976.1636000000001</v>
      </c>
      <c r="T259" s="126">
        <f t="shared" si="253"/>
        <v>0</v>
      </c>
      <c r="U259" s="126">
        <f t="shared" si="253"/>
        <v>1976.1636000000001</v>
      </c>
      <c r="V259" s="126">
        <f t="shared" si="253"/>
        <v>0</v>
      </c>
      <c r="W259" s="126">
        <f t="shared" si="253"/>
        <v>0</v>
      </c>
      <c r="X259" s="126">
        <f t="shared" si="253"/>
        <v>0</v>
      </c>
      <c r="Y259" s="126">
        <f t="shared" si="253"/>
        <v>0</v>
      </c>
      <c r="Z259" s="126">
        <f t="shared" si="253"/>
        <v>0</v>
      </c>
      <c r="AA259" s="126">
        <f t="shared" si="253"/>
        <v>0</v>
      </c>
      <c r="AB259" s="126">
        <f t="shared" si="253"/>
        <v>0</v>
      </c>
      <c r="AC259" s="126">
        <f t="shared" si="253"/>
        <v>0</v>
      </c>
      <c r="AD259" s="126">
        <f t="shared" si="253"/>
        <v>0</v>
      </c>
      <c r="AE259" s="126">
        <f t="shared" si="253"/>
        <v>0</v>
      </c>
      <c r="AF259" s="126">
        <f t="shared" si="253"/>
        <v>0</v>
      </c>
      <c r="AG259" s="126">
        <f t="shared" si="253"/>
        <v>0</v>
      </c>
      <c r="AH259" s="126">
        <f t="shared" si="253"/>
        <v>0</v>
      </c>
      <c r="AI259" s="126">
        <f t="shared" si="252"/>
        <v>2314.6974</v>
      </c>
      <c r="AJ259" s="126">
        <f t="shared" si="239"/>
        <v>0</v>
      </c>
      <c r="AK259" s="126">
        <f t="shared" si="239"/>
        <v>2300.92</v>
      </c>
      <c r="AL259" s="126">
        <f t="shared" si="240"/>
        <v>0</v>
      </c>
      <c r="AM259" s="126">
        <f t="shared" si="240"/>
        <v>13.777399999999943</v>
      </c>
      <c r="AN259" s="126"/>
      <c r="AO259" s="130">
        <f t="shared" si="199"/>
        <v>0</v>
      </c>
      <c r="AP259" s="116"/>
    </row>
    <row r="260" spans="1:42" s="117" customFormat="1" ht="14" hidden="1" outlineLevel="1">
      <c r="A260" s="136"/>
      <c r="B260" s="137" t="s">
        <v>337</v>
      </c>
      <c r="C260" s="126">
        <f t="shared" si="251"/>
        <v>0</v>
      </c>
      <c r="D260" s="126">
        <v>0</v>
      </c>
      <c r="E260" s="126">
        <v>0</v>
      </c>
      <c r="F260" s="126">
        <v>0</v>
      </c>
      <c r="G260" s="126">
        <v>0</v>
      </c>
      <c r="H260" s="126">
        <f t="shared" ref="H260:H272" si="254">I260+L260</f>
        <v>295</v>
      </c>
      <c r="I260" s="126">
        <f t="shared" ref="I260:I265" si="255">J260+K260</f>
        <v>0</v>
      </c>
      <c r="J260" s="126"/>
      <c r="K260" s="126">
        <v>0</v>
      </c>
      <c r="L260" s="126">
        <f t="shared" ref="L260:L272" si="256">M260+N260</f>
        <v>295</v>
      </c>
      <c r="M260" s="126"/>
      <c r="N260" s="126">
        <f>209+86</f>
        <v>295</v>
      </c>
      <c r="O260" s="126">
        <f t="shared" ref="O260:O272" si="257">P260+S260</f>
        <v>281.2226</v>
      </c>
      <c r="P260" s="126"/>
      <c r="Q260" s="126"/>
      <c r="R260" s="126"/>
      <c r="S260" s="126">
        <f t="shared" ref="S260:S270" si="258">T260+U260</f>
        <v>281.2226</v>
      </c>
      <c r="T260" s="126"/>
      <c r="U260" s="126">
        <f>281.2226</f>
        <v>281.2226</v>
      </c>
      <c r="V260" s="126">
        <f t="shared" ref="V260:V272" si="259">W260+Z260+AC260+AF260</f>
        <v>0</v>
      </c>
      <c r="W260" s="126">
        <f t="shared" ref="W260:W272" si="260">X260+Y260</f>
        <v>0</v>
      </c>
      <c r="X260" s="126"/>
      <c r="Y260" s="126"/>
      <c r="Z260" s="126">
        <f t="shared" ref="Z260:Z272" si="261">AA260+AB260</f>
        <v>0</v>
      </c>
      <c r="AA260" s="126"/>
      <c r="AB260" s="126"/>
      <c r="AC260" s="126">
        <f t="shared" ref="AC260:AC272" si="262">AD260+AE260</f>
        <v>0</v>
      </c>
      <c r="AD260" s="126"/>
      <c r="AE260" s="126"/>
      <c r="AF260" s="126">
        <f t="shared" ref="AF260:AF272" si="263">AG260+AH260</f>
        <v>0</v>
      </c>
      <c r="AG260" s="126"/>
      <c r="AH260" s="126"/>
      <c r="AI260" s="126">
        <f t="shared" si="252"/>
        <v>13.7774</v>
      </c>
      <c r="AJ260" s="126">
        <f t="shared" si="239"/>
        <v>0</v>
      </c>
      <c r="AK260" s="126">
        <f t="shared" si="239"/>
        <v>0</v>
      </c>
      <c r="AL260" s="126">
        <f t="shared" si="240"/>
        <v>0</v>
      </c>
      <c r="AM260" s="126">
        <f t="shared" si="240"/>
        <v>13.7774</v>
      </c>
      <c r="AN260" s="126"/>
      <c r="AO260" s="130">
        <f t="shared" si="199"/>
        <v>0</v>
      </c>
      <c r="AP260" s="116"/>
    </row>
    <row r="261" spans="1:42" s="117" customFormat="1" ht="14" hidden="1" outlineLevel="1">
      <c r="A261" s="136"/>
      <c r="B261" s="137" t="s">
        <v>560</v>
      </c>
      <c r="C261" s="126">
        <f t="shared" si="251"/>
        <v>0</v>
      </c>
      <c r="D261" s="126">
        <v>0</v>
      </c>
      <c r="E261" s="126">
        <v>0</v>
      </c>
      <c r="F261" s="126">
        <v>0</v>
      </c>
      <c r="G261" s="126">
        <v>0</v>
      </c>
      <c r="H261" s="126">
        <f t="shared" si="254"/>
        <v>334</v>
      </c>
      <c r="I261" s="126">
        <f t="shared" si="255"/>
        <v>0</v>
      </c>
      <c r="J261" s="126"/>
      <c r="K261" s="126"/>
      <c r="L261" s="126">
        <f t="shared" si="256"/>
        <v>334</v>
      </c>
      <c r="M261" s="126"/>
      <c r="N261" s="126">
        <v>334</v>
      </c>
      <c r="O261" s="126">
        <f t="shared" si="257"/>
        <v>334</v>
      </c>
      <c r="P261" s="126"/>
      <c r="Q261" s="126"/>
      <c r="R261" s="126"/>
      <c r="S261" s="126">
        <f t="shared" si="258"/>
        <v>334</v>
      </c>
      <c r="T261" s="126"/>
      <c r="U261" s="126">
        <f>N261</f>
        <v>334</v>
      </c>
      <c r="V261" s="126">
        <f t="shared" si="259"/>
        <v>0</v>
      </c>
      <c r="W261" s="126">
        <f t="shared" si="260"/>
        <v>0</v>
      </c>
      <c r="X261" s="126"/>
      <c r="Y261" s="126"/>
      <c r="Z261" s="126">
        <f t="shared" si="261"/>
        <v>0</v>
      </c>
      <c r="AA261" s="126"/>
      <c r="AB261" s="126"/>
      <c r="AC261" s="126">
        <f t="shared" si="262"/>
        <v>0</v>
      </c>
      <c r="AD261" s="126"/>
      <c r="AE261" s="126"/>
      <c r="AF261" s="126">
        <f t="shared" si="263"/>
        <v>0</v>
      </c>
      <c r="AG261" s="126"/>
      <c r="AH261" s="126"/>
      <c r="AI261" s="126">
        <f t="shared" si="252"/>
        <v>0</v>
      </c>
      <c r="AJ261" s="126">
        <f t="shared" si="239"/>
        <v>0</v>
      </c>
      <c r="AK261" s="126">
        <f t="shared" si="239"/>
        <v>0</v>
      </c>
      <c r="AL261" s="126">
        <f t="shared" si="240"/>
        <v>0</v>
      </c>
      <c r="AM261" s="126">
        <f t="shared" si="240"/>
        <v>0</v>
      </c>
      <c r="AN261" s="126"/>
      <c r="AO261" s="130">
        <f t="shared" si="199"/>
        <v>0</v>
      </c>
      <c r="AP261" s="116"/>
    </row>
    <row r="262" spans="1:42" s="117" customFormat="1" ht="14" hidden="1" outlineLevel="1">
      <c r="A262" s="136"/>
      <c r="B262" s="137" t="s">
        <v>561</v>
      </c>
      <c r="C262" s="126">
        <f t="shared" si="251"/>
        <v>7.9410000000000007</v>
      </c>
      <c r="D262" s="126">
        <v>0</v>
      </c>
      <c r="E262" s="126">
        <v>0</v>
      </c>
      <c r="F262" s="126">
        <v>0</v>
      </c>
      <c r="G262" s="126">
        <f>12.89-4.949</f>
        <v>7.9410000000000007</v>
      </c>
      <c r="H262" s="126">
        <f t="shared" si="254"/>
        <v>19</v>
      </c>
      <c r="I262" s="126">
        <f t="shared" si="255"/>
        <v>0</v>
      </c>
      <c r="J262" s="126"/>
      <c r="K262" s="126">
        <v>0</v>
      </c>
      <c r="L262" s="126">
        <f t="shared" si="256"/>
        <v>19</v>
      </c>
      <c r="M262" s="126"/>
      <c r="N262" s="126">
        <f>32-13</f>
        <v>19</v>
      </c>
      <c r="O262" s="126">
        <f t="shared" si="257"/>
        <v>26.941000000000003</v>
      </c>
      <c r="P262" s="126"/>
      <c r="Q262" s="126"/>
      <c r="R262" s="126"/>
      <c r="S262" s="126">
        <f t="shared" si="258"/>
        <v>26.941000000000003</v>
      </c>
      <c r="T262" s="126"/>
      <c r="U262" s="126">
        <f>G262+N262</f>
        <v>26.941000000000003</v>
      </c>
      <c r="V262" s="126">
        <f t="shared" si="259"/>
        <v>0</v>
      </c>
      <c r="W262" s="126">
        <f t="shared" si="260"/>
        <v>0</v>
      </c>
      <c r="X262" s="126"/>
      <c r="Y262" s="126"/>
      <c r="Z262" s="126">
        <f t="shared" si="261"/>
        <v>0</v>
      </c>
      <c r="AA262" s="126"/>
      <c r="AB262" s="126"/>
      <c r="AC262" s="126">
        <f t="shared" si="262"/>
        <v>0</v>
      </c>
      <c r="AD262" s="126"/>
      <c r="AE262" s="126"/>
      <c r="AF262" s="126">
        <f t="shared" si="263"/>
        <v>0</v>
      </c>
      <c r="AG262" s="126"/>
      <c r="AH262" s="126"/>
      <c r="AI262" s="126">
        <f t="shared" si="252"/>
        <v>0</v>
      </c>
      <c r="AJ262" s="126">
        <f t="shared" si="239"/>
        <v>0</v>
      </c>
      <c r="AK262" s="126">
        <f t="shared" si="239"/>
        <v>0</v>
      </c>
      <c r="AL262" s="126">
        <f t="shared" si="240"/>
        <v>0</v>
      </c>
      <c r="AM262" s="126">
        <f t="shared" si="240"/>
        <v>0</v>
      </c>
      <c r="AN262" s="126"/>
      <c r="AO262" s="130">
        <f t="shared" si="199"/>
        <v>0</v>
      </c>
      <c r="AP262" s="116"/>
    </row>
    <row r="263" spans="1:42" s="117" customFormat="1" ht="14" hidden="1" outlineLevel="1">
      <c r="A263" s="136"/>
      <c r="B263" s="137" t="s">
        <v>562</v>
      </c>
      <c r="C263" s="126">
        <f t="shared" si="251"/>
        <v>0</v>
      </c>
      <c r="D263" s="126">
        <v>0</v>
      </c>
      <c r="E263" s="126">
        <v>0</v>
      </c>
      <c r="F263" s="126">
        <v>0</v>
      </c>
      <c r="G263" s="126">
        <v>0</v>
      </c>
      <c r="H263" s="126">
        <f t="shared" si="254"/>
        <v>447</v>
      </c>
      <c r="I263" s="126">
        <f t="shared" si="255"/>
        <v>0</v>
      </c>
      <c r="J263" s="126"/>
      <c r="K263" s="126">
        <v>0</v>
      </c>
      <c r="L263" s="126">
        <f t="shared" si="256"/>
        <v>447</v>
      </c>
      <c r="M263" s="126"/>
      <c r="N263" s="126">
        <v>447</v>
      </c>
      <c r="O263" s="126">
        <f t="shared" si="257"/>
        <v>447</v>
      </c>
      <c r="P263" s="126"/>
      <c r="Q263" s="126"/>
      <c r="R263" s="126"/>
      <c r="S263" s="126">
        <f t="shared" si="258"/>
        <v>447</v>
      </c>
      <c r="T263" s="126"/>
      <c r="U263" s="126">
        <f>N263</f>
        <v>447</v>
      </c>
      <c r="V263" s="126">
        <f t="shared" si="259"/>
        <v>0</v>
      </c>
      <c r="W263" s="126">
        <f t="shared" si="260"/>
        <v>0</v>
      </c>
      <c r="X263" s="126"/>
      <c r="Y263" s="126"/>
      <c r="Z263" s="126">
        <f t="shared" si="261"/>
        <v>0</v>
      </c>
      <c r="AA263" s="126"/>
      <c r="AB263" s="126"/>
      <c r="AC263" s="126">
        <f t="shared" si="262"/>
        <v>0</v>
      </c>
      <c r="AD263" s="126"/>
      <c r="AE263" s="126"/>
      <c r="AF263" s="126">
        <f t="shared" si="263"/>
        <v>0</v>
      </c>
      <c r="AG263" s="126"/>
      <c r="AH263" s="126"/>
      <c r="AI263" s="126">
        <f t="shared" si="252"/>
        <v>0</v>
      </c>
      <c r="AJ263" s="126">
        <f t="shared" si="239"/>
        <v>0</v>
      </c>
      <c r="AK263" s="126">
        <f t="shared" si="239"/>
        <v>0</v>
      </c>
      <c r="AL263" s="126">
        <f t="shared" si="240"/>
        <v>0</v>
      </c>
      <c r="AM263" s="126">
        <f t="shared" si="240"/>
        <v>0</v>
      </c>
      <c r="AN263" s="126"/>
      <c r="AO263" s="130">
        <f t="shared" si="199"/>
        <v>0</v>
      </c>
      <c r="AP263" s="116"/>
    </row>
    <row r="264" spans="1:42" s="117" customFormat="1" ht="14" hidden="1" outlineLevel="1">
      <c r="A264" s="136"/>
      <c r="B264" s="137" t="s">
        <v>563</v>
      </c>
      <c r="C264" s="126">
        <f t="shared" si="251"/>
        <v>0</v>
      </c>
      <c r="D264" s="126">
        <v>0</v>
      </c>
      <c r="E264" s="126">
        <v>0</v>
      </c>
      <c r="F264" s="126">
        <v>0</v>
      </c>
      <c r="G264" s="126">
        <v>0</v>
      </c>
      <c r="H264" s="126">
        <f t="shared" si="254"/>
        <v>416</v>
      </c>
      <c r="I264" s="126">
        <f t="shared" si="255"/>
        <v>0</v>
      </c>
      <c r="J264" s="126"/>
      <c r="K264" s="126">
        <v>0</v>
      </c>
      <c r="L264" s="126">
        <f t="shared" si="256"/>
        <v>416</v>
      </c>
      <c r="M264" s="126"/>
      <c r="N264" s="126">
        <v>416</v>
      </c>
      <c r="O264" s="126">
        <f t="shared" si="257"/>
        <v>416</v>
      </c>
      <c r="P264" s="126">
        <f>P265</f>
        <v>0</v>
      </c>
      <c r="Q264" s="126">
        <f>Q265</f>
        <v>0</v>
      </c>
      <c r="R264" s="126">
        <f>R265</f>
        <v>0</v>
      </c>
      <c r="S264" s="126">
        <f t="shared" si="258"/>
        <v>416</v>
      </c>
      <c r="T264" s="126">
        <f>T265</f>
        <v>0</v>
      </c>
      <c r="U264" s="126">
        <f>N264</f>
        <v>416</v>
      </c>
      <c r="V264" s="126">
        <f t="shared" si="259"/>
        <v>0</v>
      </c>
      <c r="W264" s="126">
        <f t="shared" si="260"/>
        <v>0</v>
      </c>
      <c r="X264" s="126"/>
      <c r="Y264" s="126"/>
      <c r="Z264" s="126">
        <f t="shared" si="261"/>
        <v>0</v>
      </c>
      <c r="AA264" s="126"/>
      <c r="AB264" s="126"/>
      <c r="AC264" s="126">
        <f t="shared" si="262"/>
        <v>0</v>
      </c>
      <c r="AD264" s="126"/>
      <c r="AE264" s="126"/>
      <c r="AF264" s="126">
        <f t="shared" si="263"/>
        <v>0</v>
      </c>
      <c r="AG264" s="126"/>
      <c r="AH264" s="126"/>
      <c r="AI264" s="126">
        <f t="shared" si="252"/>
        <v>0</v>
      </c>
      <c r="AJ264" s="126">
        <f t="shared" si="239"/>
        <v>0</v>
      </c>
      <c r="AK264" s="126">
        <f t="shared" si="239"/>
        <v>0</v>
      </c>
      <c r="AL264" s="126">
        <f t="shared" si="240"/>
        <v>0</v>
      </c>
      <c r="AM264" s="126">
        <f t="shared" si="240"/>
        <v>0</v>
      </c>
      <c r="AN264" s="126"/>
      <c r="AO264" s="130">
        <f t="shared" si="199"/>
        <v>0</v>
      </c>
      <c r="AP264" s="116"/>
    </row>
    <row r="265" spans="1:42" s="117" customFormat="1" ht="17.25" hidden="1" customHeight="1" outlineLevel="1">
      <c r="A265" s="136"/>
      <c r="B265" s="137" t="s">
        <v>680</v>
      </c>
      <c r="C265" s="126">
        <f t="shared" si="251"/>
        <v>0</v>
      </c>
      <c r="D265" s="126">
        <v>0</v>
      </c>
      <c r="E265" s="126">
        <v>0</v>
      </c>
      <c r="F265" s="126">
        <v>0</v>
      </c>
      <c r="G265" s="126">
        <v>0</v>
      </c>
      <c r="H265" s="126">
        <f t="shared" si="254"/>
        <v>371</v>
      </c>
      <c r="I265" s="126">
        <f t="shared" si="255"/>
        <v>0</v>
      </c>
      <c r="J265" s="126"/>
      <c r="K265" s="126">
        <v>0</v>
      </c>
      <c r="L265" s="126">
        <f t="shared" si="256"/>
        <v>371</v>
      </c>
      <c r="M265" s="126"/>
      <c r="N265" s="126">
        <v>371</v>
      </c>
      <c r="O265" s="126">
        <f t="shared" si="257"/>
        <v>371</v>
      </c>
      <c r="P265" s="126"/>
      <c r="Q265" s="126"/>
      <c r="R265" s="126"/>
      <c r="S265" s="126">
        <f t="shared" si="258"/>
        <v>371</v>
      </c>
      <c r="T265" s="126"/>
      <c r="U265" s="126">
        <f>N265</f>
        <v>371</v>
      </c>
      <c r="V265" s="126">
        <f t="shared" si="259"/>
        <v>0</v>
      </c>
      <c r="W265" s="126">
        <f t="shared" si="260"/>
        <v>0</v>
      </c>
      <c r="X265" s="126"/>
      <c r="Y265" s="126"/>
      <c r="Z265" s="126">
        <f t="shared" si="261"/>
        <v>0</v>
      </c>
      <c r="AA265" s="126"/>
      <c r="AB265" s="126"/>
      <c r="AC265" s="126">
        <f t="shared" si="262"/>
        <v>0</v>
      </c>
      <c r="AD265" s="126"/>
      <c r="AE265" s="126"/>
      <c r="AF265" s="126">
        <f t="shared" si="263"/>
        <v>0</v>
      </c>
      <c r="AG265" s="126"/>
      <c r="AH265" s="126"/>
      <c r="AI265" s="126">
        <f t="shared" si="252"/>
        <v>0</v>
      </c>
      <c r="AJ265" s="126">
        <f t="shared" si="239"/>
        <v>0</v>
      </c>
      <c r="AK265" s="126">
        <f t="shared" si="239"/>
        <v>0</v>
      </c>
      <c r="AL265" s="126">
        <f t="shared" si="240"/>
        <v>0</v>
      </c>
      <c r="AM265" s="126">
        <f t="shared" si="240"/>
        <v>0</v>
      </c>
      <c r="AN265" s="126"/>
      <c r="AO265" s="130">
        <f t="shared" si="199"/>
        <v>0</v>
      </c>
      <c r="AP265" s="116"/>
    </row>
    <row r="266" spans="1:42" s="117" customFormat="1" ht="14" hidden="1" outlineLevel="1">
      <c r="A266" s="136"/>
      <c r="B266" s="137" t="s">
        <v>566</v>
      </c>
      <c r="C266" s="126">
        <f t="shared" si="251"/>
        <v>0</v>
      </c>
      <c r="D266" s="126">
        <v>0</v>
      </c>
      <c r="E266" s="126">
        <v>0</v>
      </c>
      <c r="F266" s="126">
        <v>0</v>
      </c>
      <c r="G266" s="126">
        <v>0</v>
      </c>
      <c r="H266" s="126">
        <f t="shared" si="254"/>
        <v>0</v>
      </c>
      <c r="I266" s="126">
        <f>J266+K266</f>
        <v>0</v>
      </c>
      <c r="J266" s="126"/>
      <c r="K266" s="126">
        <v>0</v>
      </c>
      <c r="L266" s="126">
        <f t="shared" si="256"/>
        <v>0</v>
      </c>
      <c r="M266" s="126"/>
      <c r="N266" s="126">
        <v>0</v>
      </c>
      <c r="O266" s="126">
        <f t="shared" si="257"/>
        <v>0</v>
      </c>
      <c r="P266" s="126"/>
      <c r="Q266" s="126"/>
      <c r="R266" s="126"/>
      <c r="S266" s="126">
        <f t="shared" si="258"/>
        <v>0</v>
      </c>
      <c r="T266" s="126"/>
      <c r="U266" s="126"/>
      <c r="V266" s="126">
        <f t="shared" si="259"/>
        <v>0</v>
      </c>
      <c r="W266" s="126">
        <f t="shared" si="260"/>
        <v>0</v>
      </c>
      <c r="X266" s="126"/>
      <c r="Y266" s="126"/>
      <c r="Z266" s="126">
        <f t="shared" si="261"/>
        <v>0</v>
      </c>
      <c r="AA266" s="126"/>
      <c r="AB266" s="126"/>
      <c r="AC266" s="126">
        <f t="shared" si="262"/>
        <v>0</v>
      </c>
      <c r="AD266" s="126"/>
      <c r="AE266" s="126"/>
      <c r="AF266" s="126">
        <f t="shared" si="263"/>
        <v>0</v>
      </c>
      <c r="AG266" s="126"/>
      <c r="AH266" s="126"/>
      <c r="AI266" s="126">
        <f t="shared" si="252"/>
        <v>0</v>
      </c>
      <c r="AJ266" s="126">
        <f t="shared" si="239"/>
        <v>0</v>
      </c>
      <c r="AK266" s="126">
        <f t="shared" si="239"/>
        <v>0</v>
      </c>
      <c r="AL266" s="126">
        <f t="shared" si="240"/>
        <v>0</v>
      </c>
      <c r="AM266" s="126">
        <f t="shared" si="240"/>
        <v>0</v>
      </c>
      <c r="AN266" s="126"/>
      <c r="AO266" s="130">
        <f t="shared" si="199"/>
        <v>0</v>
      </c>
      <c r="AP266" s="116"/>
    </row>
    <row r="267" spans="1:42" s="117" customFormat="1" ht="14" hidden="1" outlineLevel="1">
      <c r="A267" s="136"/>
      <c r="B267" s="137" t="s">
        <v>567</v>
      </c>
      <c r="C267" s="126">
        <f t="shared" si="251"/>
        <v>0</v>
      </c>
      <c r="D267" s="126"/>
      <c r="E267" s="126"/>
      <c r="F267" s="126"/>
      <c r="G267" s="126"/>
      <c r="H267" s="126">
        <f t="shared" si="254"/>
        <v>83</v>
      </c>
      <c r="I267" s="126"/>
      <c r="J267" s="126"/>
      <c r="K267" s="126"/>
      <c r="L267" s="126">
        <f t="shared" si="256"/>
        <v>83</v>
      </c>
      <c r="M267" s="126"/>
      <c r="N267" s="126">
        <f>190-107</f>
        <v>83</v>
      </c>
      <c r="O267" s="126">
        <f t="shared" si="257"/>
        <v>83</v>
      </c>
      <c r="P267" s="126"/>
      <c r="Q267" s="126"/>
      <c r="R267" s="126"/>
      <c r="S267" s="126">
        <f t="shared" si="258"/>
        <v>83</v>
      </c>
      <c r="T267" s="126"/>
      <c r="U267" s="126">
        <f>N267</f>
        <v>83</v>
      </c>
      <c r="V267" s="126"/>
      <c r="W267" s="126"/>
      <c r="X267" s="126"/>
      <c r="Y267" s="126"/>
      <c r="Z267" s="126"/>
      <c r="AA267" s="126"/>
      <c r="AB267" s="126"/>
      <c r="AC267" s="126"/>
      <c r="AD267" s="126"/>
      <c r="AE267" s="126"/>
      <c r="AF267" s="126"/>
      <c r="AG267" s="126"/>
      <c r="AH267" s="126"/>
      <c r="AI267" s="126">
        <f t="shared" si="252"/>
        <v>0</v>
      </c>
      <c r="AJ267" s="126"/>
      <c r="AK267" s="126"/>
      <c r="AL267" s="126"/>
      <c r="AM267" s="126"/>
      <c r="AN267" s="126"/>
      <c r="AO267" s="130">
        <f t="shared" si="199"/>
        <v>0</v>
      </c>
      <c r="AP267" s="116"/>
    </row>
    <row r="268" spans="1:42" s="117" customFormat="1" ht="14" hidden="1" outlineLevel="1">
      <c r="A268" s="136"/>
      <c r="B268" s="137" t="s">
        <v>568</v>
      </c>
      <c r="C268" s="126">
        <f t="shared" si="251"/>
        <v>0</v>
      </c>
      <c r="D268" s="126">
        <v>0</v>
      </c>
      <c r="E268" s="126">
        <v>0</v>
      </c>
      <c r="F268" s="126">
        <v>0</v>
      </c>
      <c r="G268" s="126">
        <v>0</v>
      </c>
      <c r="H268" s="126">
        <f t="shared" si="254"/>
        <v>0</v>
      </c>
      <c r="I268" s="126">
        <f>J268+K268</f>
        <v>0</v>
      </c>
      <c r="J268" s="126"/>
      <c r="K268" s="126">
        <v>0</v>
      </c>
      <c r="L268" s="126">
        <f t="shared" si="256"/>
        <v>0</v>
      </c>
      <c r="M268" s="126"/>
      <c r="N268" s="126">
        <v>0</v>
      </c>
      <c r="O268" s="126">
        <f t="shared" si="257"/>
        <v>0</v>
      </c>
      <c r="P268" s="126"/>
      <c r="Q268" s="126"/>
      <c r="R268" s="126"/>
      <c r="S268" s="126">
        <f t="shared" si="258"/>
        <v>0</v>
      </c>
      <c r="T268" s="126"/>
      <c r="U268" s="126"/>
      <c r="V268" s="126">
        <f t="shared" si="259"/>
        <v>0</v>
      </c>
      <c r="W268" s="126">
        <f t="shared" si="260"/>
        <v>0</v>
      </c>
      <c r="X268" s="126"/>
      <c r="Y268" s="126"/>
      <c r="Z268" s="126">
        <f t="shared" si="261"/>
        <v>0</v>
      </c>
      <c r="AA268" s="126"/>
      <c r="AB268" s="126"/>
      <c r="AC268" s="126">
        <f t="shared" si="262"/>
        <v>0</v>
      </c>
      <c r="AD268" s="126"/>
      <c r="AE268" s="126"/>
      <c r="AF268" s="126">
        <f t="shared" si="263"/>
        <v>0</v>
      </c>
      <c r="AG268" s="126"/>
      <c r="AH268" s="126"/>
      <c r="AI268" s="126">
        <f t="shared" si="252"/>
        <v>0</v>
      </c>
      <c r="AJ268" s="126">
        <f t="shared" si="239"/>
        <v>0</v>
      </c>
      <c r="AK268" s="126">
        <f t="shared" si="239"/>
        <v>0</v>
      </c>
      <c r="AL268" s="126">
        <f t="shared" si="240"/>
        <v>0</v>
      </c>
      <c r="AM268" s="126">
        <f t="shared" si="240"/>
        <v>0</v>
      </c>
      <c r="AN268" s="126"/>
      <c r="AO268" s="130">
        <f t="shared" si="199"/>
        <v>0</v>
      </c>
      <c r="AP268" s="116"/>
    </row>
    <row r="269" spans="1:42" s="117" customFormat="1" ht="14" hidden="1" outlineLevel="1">
      <c r="A269" s="136"/>
      <c r="B269" s="137" t="s">
        <v>565</v>
      </c>
      <c r="C269" s="126">
        <f t="shared" si="251"/>
        <v>0</v>
      </c>
      <c r="D269" s="126"/>
      <c r="E269" s="126"/>
      <c r="F269" s="126"/>
      <c r="G269" s="126"/>
      <c r="H269" s="126">
        <f t="shared" si="254"/>
        <v>17</v>
      </c>
      <c r="I269" s="126"/>
      <c r="J269" s="126"/>
      <c r="K269" s="126"/>
      <c r="L269" s="126">
        <f t="shared" si="256"/>
        <v>17</v>
      </c>
      <c r="M269" s="126"/>
      <c r="N269" s="126">
        <f>17</f>
        <v>17</v>
      </c>
      <c r="O269" s="126">
        <f t="shared" si="257"/>
        <v>17</v>
      </c>
      <c r="P269" s="126"/>
      <c r="Q269" s="126"/>
      <c r="R269" s="126"/>
      <c r="S269" s="126">
        <f t="shared" si="258"/>
        <v>17</v>
      </c>
      <c r="T269" s="126"/>
      <c r="U269" s="126">
        <f>N269</f>
        <v>17</v>
      </c>
      <c r="V269" s="126"/>
      <c r="W269" s="126"/>
      <c r="X269" s="126"/>
      <c r="Y269" s="126"/>
      <c r="Z269" s="126"/>
      <c r="AA269" s="126"/>
      <c r="AB269" s="126"/>
      <c r="AC269" s="126"/>
      <c r="AD269" s="126"/>
      <c r="AE269" s="126"/>
      <c r="AF269" s="126"/>
      <c r="AG269" s="126"/>
      <c r="AH269" s="126"/>
      <c r="AI269" s="126">
        <f t="shared" si="252"/>
        <v>0</v>
      </c>
      <c r="AJ269" s="126"/>
      <c r="AK269" s="126"/>
      <c r="AL269" s="126"/>
      <c r="AM269" s="126"/>
      <c r="AN269" s="126"/>
      <c r="AO269" s="130">
        <f t="shared" si="199"/>
        <v>0</v>
      </c>
      <c r="AP269" s="116"/>
    </row>
    <row r="270" spans="1:42" s="117" customFormat="1" ht="14" hidden="1" outlineLevel="1">
      <c r="A270" s="136"/>
      <c r="B270" s="137" t="s">
        <v>665</v>
      </c>
      <c r="C270" s="126">
        <f t="shared" si="251"/>
        <v>0</v>
      </c>
      <c r="D270" s="126">
        <v>0</v>
      </c>
      <c r="E270" s="126">
        <v>0</v>
      </c>
      <c r="F270" s="126">
        <v>0</v>
      </c>
      <c r="G270" s="126">
        <v>0</v>
      </c>
      <c r="H270" s="126">
        <f t="shared" si="254"/>
        <v>0</v>
      </c>
      <c r="I270" s="126">
        <f>J270+K270</f>
        <v>0</v>
      </c>
      <c r="J270" s="126"/>
      <c r="K270" s="126">
        <v>0</v>
      </c>
      <c r="L270" s="126">
        <f t="shared" si="256"/>
        <v>0</v>
      </c>
      <c r="M270" s="147"/>
      <c r="N270" s="126"/>
      <c r="O270" s="126">
        <f t="shared" si="257"/>
        <v>0</v>
      </c>
      <c r="P270" s="126">
        <f>Q270+R270</f>
        <v>0</v>
      </c>
      <c r="Q270" s="126"/>
      <c r="R270" s="126"/>
      <c r="S270" s="126">
        <f t="shared" si="258"/>
        <v>0</v>
      </c>
      <c r="T270" s="126"/>
      <c r="U270" s="126"/>
      <c r="V270" s="126">
        <f t="shared" si="259"/>
        <v>0</v>
      </c>
      <c r="W270" s="126">
        <f>X270+Y270</f>
        <v>0</v>
      </c>
      <c r="X270" s="126"/>
      <c r="Y270" s="126"/>
      <c r="Z270" s="126">
        <f>AA270+AB270</f>
        <v>0</v>
      </c>
      <c r="AA270" s="126"/>
      <c r="AB270" s="126"/>
      <c r="AC270" s="126">
        <f t="shared" si="262"/>
        <v>0</v>
      </c>
      <c r="AD270" s="126"/>
      <c r="AE270" s="126"/>
      <c r="AF270" s="126">
        <f t="shared" si="263"/>
        <v>0</v>
      </c>
      <c r="AG270" s="126"/>
      <c r="AH270" s="126"/>
      <c r="AI270" s="126">
        <f t="shared" si="252"/>
        <v>0</v>
      </c>
      <c r="AJ270" s="126">
        <f t="shared" si="239"/>
        <v>0</v>
      </c>
      <c r="AK270" s="126">
        <f t="shared" si="239"/>
        <v>0</v>
      </c>
      <c r="AL270" s="126">
        <f t="shared" si="240"/>
        <v>0</v>
      </c>
      <c r="AM270" s="126">
        <f t="shared" si="240"/>
        <v>0</v>
      </c>
      <c r="AN270" s="126"/>
      <c r="AO270" s="130">
        <f t="shared" si="199"/>
        <v>0</v>
      </c>
      <c r="AP270" s="116"/>
    </row>
    <row r="271" spans="1:42" s="117" customFormat="1" ht="14" hidden="1" outlineLevel="1">
      <c r="A271" s="136"/>
      <c r="B271" s="137" t="s">
        <v>682</v>
      </c>
      <c r="C271" s="126">
        <f>SUM(D271:G271)</f>
        <v>2295.971</v>
      </c>
      <c r="D271" s="126">
        <v>0</v>
      </c>
      <c r="E271" s="126">
        <v>2295.971</v>
      </c>
      <c r="F271" s="126">
        <v>0</v>
      </c>
      <c r="G271" s="126">
        <v>0</v>
      </c>
      <c r="H271" s="126">
        <f>I271+L271</f>
        <v>0</v>
      </c>
      <c r="I271" s="126">
        <f>J271+K271</f>
        <v>0</v>
      </c>
      <c r="J271" s="126"/>
      <c r="K271" s="126"/>
      <c r="L271" s="126">
        <f>M271+N271</f>
        <v>0</v>
      </c>
      <c r="M271" s="126"/>
      <c r="N271" s="126"/>
      <c r="O271" s="126">
        <f>P271+S271</f>
        <v>0</v>
      </c>
      <c r="P271" s="126"/>
      <c r="Q271" s="126"/>
      <c r="R271" s="126"/>
      <c r="S271" s="126"/>
      <c r="T271" s="126"/>
      <c r="U271" s="126"/>
      <c r="V271" s="126">
        <f>W271+Z271+AC271+AF271</f>
        <v>0</v>
      </c>
      <c r="W271" s="126">
        <f>X271+Y271</f>
        <v>0</v>
      </c>
      <c r="X271" s="126"/>
      <c r="Y271" s="126"/>
      <c r="Z271" s="126">
        <f>AA271+AB271</f>
        <v>0</v>
      </c>
      <c r="AA271" s="126"/>
      <c r="AB271" s="126"/>
      <c r="AC271" s="126">
        <f>AD271+AE271</f>
        <v>0</v>
      </c>
      <c r="AD271" s="126"/>
      <c r="AE271" s="126"/>
      <c r="AF271" s="126">
        <f>AG271+AH271</f>
        <v>0</v>
      </c>
      <c r="AG271" s="126"/>
      <c r="AH271" s="126"/>
      <c r="AI271" s="126">
        <f>SUM(AJ271:AM271)</f>
        <v>2295.971</v>
      </c>
      <c r="AJ271" s="126">
        <f>D271+J271-Q271-X271-AD271</f>
        <v>0</v>
      </c>
      <c r="AK271" s="126">
        <f>E271+K271-R271-Y271-AE271</f>
        <v>2295.971</v>
      </c>
      <c r="AL271" s="126">
        <f>F271+M271-T271-AA271-AG271</f>
        <v>0</v>
      </c>
      <c r="AM271" s="126">
        <f>G271+N271-U271-AB271-AH271</f>
        <v>0</v>
      </c>
      <c r="AN271" s="126"/>
      <c r="AO271" s="130">
        <f t="shared" ref="AO271:AO334" si="264">C271+H271-O271-V271-AI271</f>
        <v>0</v>
      </c>
      <c r="AP271" s="116"/>
    </row>
    <row r="272" spans="1:42" s="117" customFormat="1" ht="14" hidden="1" outlineLevel="1">
      <c r="A272" s="136"/>
      <c r="B272" s="137" t="s">
        <v>604</v>
      </c>
      <c r="C272" s="126">
        <f t="shared" si="251"/>
        <v>4.9489999999999998</v>
      </c>
      <c r="D272" s="126">
        <v>0</v>
      </c>
      <c r="E272" s="126">
        <f>4.949</f>
        <v>4.9489999999999998</v>
      </c>
      <c r="F272" s="126">
        <v>0</v>
      </c>
      <c r="G272" s="126">
        <f>4.949-4.949</f>
        <v>0</v>
      </c>
      <c r="H272" s="126">
        <f t="shared" si="254"/>
        <v>0</v>
      </c>
      <c r="I272" s="126">
        <f>J272+K272</f>
        <v>0</v>
      </c>
      <c r="J272" s="126"/>
      <c r="K272" s="126"/>
      <c r="L272" s="126">
        <f t="shared" si="256"/>
        <v>0</v>
      </c>
      <c r="M272" s="126"/>
      <c r="N272" s="126"/>
      <c r="O272" s="126">
        <f t="shared" si="257"/>
        <v>0</v>
      </c>
      <c r="P272" s="126"/>
      <c r="Q272" s="126"/>
      <c r="R272" s="126"/>
      <c r="S272" s="126"/>
      <c r="T272" s="126"/>
      <c r="U272" s="126"/>
      <c r="V272" s="126">
        <f t="shared" si="259"/>
        <v>0</v>
      </c>
      <c r="W272" s="126">
        <f t="shared" si="260"/>
        <v>0</v>
      </c>
      <c r="X272" s="126"/>
      <c r="Y272" s="126"/>
      <c r="Z272" s="126">
        <f t="shared" si="261"/>
        <v>0</v>
      </c>
      <c r="AA272" s="126"/>
      <c r="AB272" s="126"/>
      <c r="AC272" s="126">
        <f t="shared" si="262"/>
        <v>0</v>
      </c>
      <c r="AD272" s="126"/>
      <c r="AE272" s="126"/>
      <c r="AF272" s="126">
        <f t="shared" si="263"/>
        <v>0</v>
      </c>
      <c r="AG272" s="126"/>
      <c r="AH272" s="126"/>
      <c r="AI272" s="126">
        <f t="shared" si="252"/>
        <v>4.9489999999999998</v>
      </c>
      <c r="AJ272" s="126">
        <f t="shared" si="239"/>
        <v>0</v>
      </c>
      <c r="AK272" s="126">
        <f t="shared" si="239"/>
        <v>4.9489999999999998</v>
      </c>
      <c r="AL272" s="126">
        <f t="shared" si="240"/>
        <v>0</v>
      </c>
      <c r="AM272" s="126">
        <f t="shared" si="240"/>
        <v>0</v>
      </c>
      <c r="AN272" s="126"/>
      <c r="AO272" s="130">
        <f t="shared" si="264"/>
        <v>0</v>
      </c>
      <c r="AP272" s="116"/>
    </row>
    <row r="273" spans="1:42" s="117" customFormat="1" ht="28" collapsed="1">
      <c r="A273" s="136" t="s">
        <v>685</v>
      </c>
      <c r="B273" s="137" t="s">
        <v>686</v>
      </c>
      <c r="C273" s="126">
        <f t="shared" ref="C273:AH273" si="265">C274+C275</f>
        <v>1062</v>
      </c>
      <c r="D273" s="126">
        <f t="shared" si="265"/>
        <v>0</v>
      </c>
      <c r="E273" s="126">
        <f t="shared" si="265"/>
        <v>1062</v>
      </c>
      <c r="F273" s="126">
        <f t="shared" si="265"/>
        <v>0</v>
      </c>
      <c r="G273" s="126">
        <f t="shared" si="265"/>
        <v>0</v>
      </c>
      <c r="H273" s="126">
        <f t="shared" si="265"/>
        <v>4711</v>
      </c>
      <c r="I273" s="126">
        <f t="shared" si="265"/>
        <v>4711</v>
      </c>
      <c r="J273" s="126">
        <f t="shared" si="265"/>
        <v>0</v>
      </c>
      <c r="K273" s="126">
        <f t="shared" si="265"/>
        <v>4711</v>
      </c>
      <c r="L273" s="126">
        <f t="shared" si="265"/>
        <v>0</v>
      </c>
      <c r="M273" s="126">
        <f t="shared" si="265"/>
        <v>0</v>
      </c>
      <c r="N273" s="126">
        <f t="shared" si="265"/>
        <v>0</v>
      </c>
      <c r="O273" s="126">
        <f t="shared" si="265"/>
        <v>4711</v>
      </c>
      <c r="P273" s="126">
        <f t="shared" si="265"/>
        <v>4711</v>
      </c>
      <c r="Q273" s="126">
        <f t="shared" si="265"/>
        <v>0</v>
      </c>
      <c r="R273" s="126">
        <f t="shared" si="265"/>
        <v>4711</v>
      </c>
      <c r="S273" s="126">
        <f t="shared" si="265"/>
        <v>0</v>
      </c>
      <c r="T273" s="126">
        <f t="shared" si="265"/>
        <v>0</v>
      </c>
      <c r="U273" s="126">
        <f t="shared" si="265"/>
        <v>0</v>
      </c>
      <c r="V273" s="126">
        <f t="shared" si="265"/>
        <v>0</v>
      </c>
      <c r="W273" s="126">
        <f t="shared" si="265"/>
        <v>0</v>
      </c>
      <c r="X273" s="126">
        <f t="shared" si="265"/>
        <v>0</v>
      </c>
      <c r="Y273" s="126">
        <f t="shared" si="265"/>
        <v>0</v>
      </c>
      <c r="Z273" s="126">
        <f t="shared" si="265"/>
        <v>0</v>
      </c>
      <c r="AA273" s="126">
        <f t="shared" si="265"/>
        <v>0</v>
      </c>
      <c r="AB273" s="126">
        <f t="shared" si="265"/>
        <v>0</v>
      </c>
      <c r="AC273" s="126">
        <f t="shared" si="265"/>
        <v>0</v>
      </c>
      <c r="AD273" s="126">
        <f t="shared" si="265"/>
        <v>0</v>
      </c>
      <c r="AE273" s="126">
        <f t="shared" si="265"/>
        <v>0</v>
      </c>
      <c r="AF273" s="126">
        <f t="shared" si="265"/>
        <v>0</v>
      </c>
      <c r="AG273" s="126">
        <f t="shared" si="265"/>
        <v>0</v>
      </c>
      <c r="AH273" s="126">
        <f t="shared" si="265"/>
        <v>0</v>
      </c>
      <c r="AI273" s="126">
        <f t="shared" si="252"/>
        <v>1062</v>
      </c>
      <c r="AJ273" s="126">
        <f t="shared" si="239"/>
        <v>0</v>
      </c>
      <c r="AK273" s="126">
        <f t="shared" si="239"/>
        <v>1062</v>
      </c>
      <c r="AL273" s="126">
        <f t="shared" si="240"/>
        <v>0</v>
      </c>
      <c r="AM273" s="126">
        <f t="shared" si="240"/>
        <v>0</v>
      </c>
      <c r="AN273" s="126"/>
      <c r="AO273" s="130">
        <f t="shared" si="264"/>
        <v>0</v>
      </c>
      <c r="AP273" s="116"/>
    </row>
    <row r="274" spans="1:42" s="117" customFormat="1" ht="14" hidden="1" outlineLevel="1">
      <c r="A274" s="136"/>
      <c r="B274" s="137" t="s">
        <v>687</v>
      </c>
      <c r="C274" s="126">
        <f t="shared" si="251"/>
        <v>0</v>
      </c>
      <c r="D274" s="126">
        <v>0</v>
      </c>
      <c r="E274" s="126">
        <v>0</v>
      </c>
      <c r="F274" s="126">
        <v>0</v>
      </c>
      <c r="G274" s="126">
        <v>0</v>
      </c>
      <c r="H274" s="126">
        <f>I274+L274</f>
        <v>4711</v>
      </c>
      <c r="I274" s="126">
        <f>J274+K274</f>
        <v>4711</v>
      </c>
      <c r="J274" s="126"/>
      <c r="K274" s="126">
        <v>4711</v>
      </c>
      <c r="L274" s="126"/>
      <c r="M274" s="126"/>
      <c r="N274" s="126"/>
      <c r="O274" s="126">
        <f>P274+S274</f>
        <v>4711</v>
      </c>
      <c r="P274" s="126">
        <f>Q274+R274</f>
        <v>4711</v>
      </c>
      <c r="Q274" s="126"/>
      <c r="R274" s="126">
        <f>K274</f>
        <v>4711</v>
      </c>
      <c r="S274" s="126"/>
      <c r="T274" s="126"/>
      <c r="U274" s="126"/>
      <c r="V274" s="126"/>
      <c r="W274" s="126"/>
      <c r="X274" s="126"/>
      <c r="Y274" s="126"/>
      <c r="Z274" s="126"/>
      <c r="AA274" s="126"/>
      <c r="AB274" s="126"/>
      <c r="AC274" s="126"/>
      <c r="AD274" s="126"/>
      <c r="AE274" s="126"/>
      <c r="AF274" s="126"/>
      <c r="AG274" s="126"/>
      <c r="AH274" s="126"/>
      <c r="AI274" s="126">
        <f t="shared" si="252"/>
        <v>0</v>
      </c>
      <c r="AJ274" s="126">
        <f t="shared" si="239"/>
        <v>0</v>
      </c>
      <c r="AK274" s="126">
        <f t="shared" si="239"/>
        <v>0</v>
      </c>
      <c r="AL274" s="126">
        <f t="shared" si="240"/>
        <v>0</v>
      </c>
      <c r="AM274" s="126">
        <f t="shared" si="240"/>
        <v>0</v>
      </c>
      <c r="AN274" s="126"/>
      <c r="AO274" s="130">
        <f t="shared" si="264"/>
        <v>0</v>
      </c>
      <c r="AP274" s="116"/>
    </row>
    <row r="275" spans="1:42" s="117" customFormat="1" ht="14" hidden="1" outlineLevel="1">
      <c r="A275" s="136"/>
      <c r="B275" s="137" t="s">
        <v>688</v>
      </c>
      <c r="C275" s="126">
        <f t="shared" si="251"/>
        <v>1062</v>
      </c>
      <c r="D275" s="126">
        <v>0</v>
      </c>
      <c r="E275" s="126">
        <v>1062</v>
      </c>
      <c r="F275" s="126">
        <v>0</v>
      </c>
      <c r="G275" s="126">
        <v>0</v>
      </c>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f t="shared" si="252"/>
        <v>1062</v>
      </c>
      <c r="AJ275" s="126">
        <f t="shared" si="239"/>
        <v>0</v>
      </c>
      <c r="AK275" s="126">
        <f t="shared" si="239"/>
        <v>1062</v>
      </c>
      <c r="AL275" s="126">
        <f t="shared" si="240"/>
        <v>0</v>
      </c>
      <c r="AM275" s="126">
        <f t="shared" si="240"/>
        <v>0</v>
      </c>
      <c r="AN275" s="126"/>
      <c r="AO275" s="130">
        <f t="shared" si="264"/>
        <v>0</v>
      </c>
      <c r="AP275" s="116"/>
    </row>
    <row r="276" spans="1:42" s="117" customFormat="1" ht="14" collapsed="1">
      <c r="A276" s="151" t="s">
        <v>689</v>
      </c>
      <c r="B276" s="147" t="s">
        <v>690</v>
      </c>
      <c r="C276" s="155">
        <f t="shared" ref="C276:H276" si="266">SUM(C277:C289)</f>
        <v>174.35599999999977</v>
      </c>
      <c r="D276" s="155">
        <f t="shared" si="266"/>
        <v>0</v>
      </c>
      <c r="E276" s="155">
        <f t="shared" si="266"/>
        <v>0</v>
      </c>
      <c r="F276" s="155">
        <f t="shared" si="266"/>
        <v>0</v>
      </c>
      <c r="G276" s="155">
        <f t="shared" si="266"/>
        <v>174.35599999999977</v>
      </c>
      <c r="H276" s="155">
        <f t="shared" si="266"/>
        <v>679</v>
      </c>
      <c r="I276" s="155">
        <f t="shared" ref="I276:AH276" si="267">SUM(I277:I289)</f>
        <v>52</v>
      </c>
      <c r="J276" s="155">
        <f t="shared" si="267"/>
        <v>0</v>
      </c>
      <c r="K276" s="155">
        <f t="shared" si="267"/>
        <v>52</v>
      </c>
      <c r="L276" s="155">
        <f t="shared" si="267"/>
        <v>627</v>
      </c>
      <c r="M276" s="155">
        <f t="shared" si="267"/>
        <v>0</v>
      </c>
      <c r="N276" s="155">
        <f t="shared" si="267"/>
        <v>627</v>
      </c>
      <c r="O276" s="155">
        <f t="shared" si="267"/>
        <v>795</v>
      </c>
      <c r="P276" s="155">
        <f t="shared" si="267"/>
        <v>0</v>
      </c>
      <c r="Q276" s="155">
        <f t="shared" si="267"/>
        <v>0</v>
      </c>
      <c r="R276" s="155">
        <f t="shared" si="267"/>
        <v>0</v>
      </c>
      <c r="S276" s="155">
        <f t="shared" si="267"/>
        <v>795</v>
      </c>
      <c r="T276" s="155">
        <f t="shared" si="267"/>
        <v>0</v>
      </c>
      <c r="U276" s="155">
        <f t="shared" si="267"/>
        <v>795</v>
      </c>
      <c r="V276" s="155">
        <f t="shared" si="267"/>
        <v>0</v>
      </c>
      <c r="W276" s="155">
        <f t="shared" si="267"/>
        <v>0</v>
      </c>
      <c r="X276" s="155">
        <f t="shared" si="267"/>
        <v>0</v>
      </c>
      <c r="Y276" s="155">
        <f t="shared" si="267"/>
        <v>0</v>
      </c>
      <c r="Z276" s="155">
        <f t="shared" si="267"/>
        <v>0</v>
      </c>
      <c r="AA276" s="155">
        <f t="shared" si="267"/>
        <v>0</v>
      </c>
      <c r="AB276" s="155">
        <f t="shared" si="267"/>
        <v>0</v>
      </c>
      <c r="AC276" s="155">
        <f t="shared" si="267"/>
        <v>0</v>
      </c>
      <c r="AD276" s="155">
        <f t="shared" si="267"/>
        <v>0</v>
      </c>
      <c r="AE276" s="155">
        <f t="shared" si="267"/>
        <v>0</v>
      </c>
      <c r="AF276" s="155">
        <f t="shared" si="267"/>
        <v>0</v>
      </c>
      <c r="AG276" s="155">
        <f t="shared" si="267"/>
        <v>0</v>
      </c>
      <c r="AH276" s="155">
        <f t="shared" si="267"/>
        <v>0</v>
      </c>
      <c r="AI276" s="155">
        <f t="shared" si="252"/>
        <v>58.355999999999767</v>
      </c>
      <c r="AJ276" s="155">
        <f t="shared" si="239"/>
        <v>0</v>
      </c>
      <c r="AK276" s="155">
        <f t="shared" si="239"/>
        <v>52</v>
      </c>
      <c r="AL276" s="155">
        <f t="shared" si="240"/>
        <v>0</v>
      </c>
      <c r="AM276" s="155">
        <f t="shared" si="240"/>
        <v>6.3559999999997672</v>
      </c>
      <c r="AN276" s="126"/>
      <c r="AO276" s="130">
        <f t="shared" si="264"/>
        <v>0</v>
      </c>
      <c r="AP276" s="116"/>
    </row>
    <row r="277" spans="1:42" s="117" customFormat="1" ht="14" hidden="1" outlineLevel="1">
      <c r="A277" s="136"/>
      <c r="B277" s="137" t="s">
        <v>337</v>
      </c>
      <c r="C277" s="126">
        <f t="shared" si="251"/>
        <v>0</v>
      </c>
      <c r="D277" s="126">
        <v>0</v>
      </c>
      <c r="E277" s="126">
        <v>0</v>
      </c>
      <c r="F277" s="126">
        <v>0</v>
      </c>
      <c r="G277" s="126">
        <v>0</v>
      </c>
      <c r="H277" s="126">
        <f t="shared" ref="H277:H305" si="268">I277+L277</f>
        <v>0</v>
      </c>
      <c r="I277" s="126">
        <f>J277+K277</f>
        <v>0</v>
      </c>
      <c r="J277" s="126">
        <v>0</v>
      </c>
      <c r="K277" s="126"/>
      <c r="L277" s="126">
        <f>M277+N277</f>
        <v>0</v>
      </c>
      <c r="M277" s="126"/>
      <c r="N277" s="126"/>
      <c r="O277" s="126">
        <f t="shared" ref="O277:O304" si="269">P277+S277</f>
        <v>0</v>
      </c>
      <c r="P277" s="126"/>
      <c r="Q277" s="126"/>
      <c r="R277" s="126"/>
      <c r="S277" s="126">
        <f>T277+U277</f>
        <v>0</v>
      </c>
      <c r="T277" s="126"/>
      <c r="U277" s="126"/>
      <c r="V277" s="126">
        <f t="shared" ref="V277:V289" si="270">W277+Z277+AC277+AF277</f>
        <v>0</v>
      </c>
      <c r="W277" s="126">
        <f t="shared" ref="W277:W289" si="271">X277+Y277</f>
        <v>0</v>
      </c>
      <c r="X277" s="126"/>
      <c r="Y277" s="126"/>
      <c r="Z277" s="126">
        <f t="shared" ref="Z277:Z289" si="272">AA277+AB277</f>
        <v>0</v>
      </c>
      <c r="AA277" s="126"/>
      <c r="AB277" s="126"/>
      <c r="AC277" s="126">
        <f t="shared" ref="AC277:AC289" si="273">AD277+AE277</f>
        <v>0</v>
      </c>
      <c r="AD277" s="126"/>
      <c r="AE277" s="126"/>
      <c r="AF277" s="126">
        <f t="shared" ref="AF277:AF289" si="274">AG277+AH277</f>
        <v>0</v>
      </c>
      <c r="AG277" s="126"/>
      <c r="AH277" s="126"/>
      <c r="AI277" s="126">
        <f t="shared" si="252"/>
        <v>0</v>
      </c>
      <c r="AJ277" s="126">
        <f t="shared" si="239"/>
        <v>0</v>
      </c>
      <c r="AK277" s="126">
        <f t="shared" si="239"/>
        <v>0</v>
      </c>
      <c r="AL277" s="126">
        <f t="shared" si="240"/>
        <v>0</v>
      </c>
      <c r="AM277" s="126">
        <f t="shared" si="240"/>
        <v>0</v>
      </c>
      <c r="AN277" s="126"/>
      <c r="AO277" s="130">
        <f t="shared" si="264"/>
        <v>0</v>
      </c>
      <c r="AP277" s="116"/>
    </row>
    <row r="278" spans="1:42" s="117" customFormat="1" ht="14" hidden="1" outlineLevel="1">
      <c r="A278" s="136"/>
      <c r="B278" s="137" t="s">
        <v>560</v>
      </c>
      <c r="C278" s="126">
        <f t="shared" si="251"/>
        <v>0</v>
      </c>
      <c r="D278" s="126">
        <v>0</v>
      </c>
      <c r="E278" s="126">
        <v>0</v>
      </c>
      <c r="F278" s="126">
        <v>0</v>
      </c>
      <c r="G278" s="126">
        <v>0</v>
      </c>
      <c r="H278" s="126">
        <f t="shared" si="268"/>
        <v>246</v>
      </c>
      <c r="I278" s="126">
        <f t="shared" ref="I278:I289" si="275">J278+K278</f>
        <v>0</v>
      </c>
      <c r="J278" s="126">
        <v>0</v>
      </c>
      <c r="K278" s="126"/>
      <c r="L278" s="126">
        <f t="shared" ref="L278:L287" si="276">M278+N278</f>
        <v>246</v>
      </c>
      <c r="M278" s="126"/>
      <c r="N278" s="126">
        <v>246</v>
      </c>
      <c r="O278" s="126">
        <f t="shared" si="269"/>
        <v>246</v>
      </c>
      <c r="P278" s="126"/>
      <c r="Q278" s="126"/>
      <c r="R278" s="126"/>
      <c r="S278" s="126">
        <f>T278+U278</f>
        <v>246</v>
      </c>
      <c r="T278" s="126"/>
      <c r="U278" s="126">
        <f>N278+G278</f>
        <v>246</v>
      </c>
      <c r="V278" s="126">
        <f t="shared" si="270"/>
        <v>0</v>
      </c>
      <c r="W278" s="126">
        <f t="shared" si="271"/>
        <v>0</v>
      </c>
      <c r="X278" s="126"/>
      <c r="Y278" s="126"/>
      <c r="Z278" s="126">
        <f t="shared" si="272"/>
        <v>0</v>
      </c>
      <c r="AA278" s="126"/>
      <c r="AB278" s="126"/>
      <c r="AC278" s="126">
        <f t="shared" si="273"/>
        <v>0</v>
      </c>
      <c r="AD278" s="126"/>
      <c r="AE278" s="126"/>
      <c r="AF278" s="126">
        <f t="shared" si="274"/>
        <v>0</v>
      </c>
      <c r="AG278" s="126"/>
      <c r="AH278" s="126"/>
      <c r="AI278" s="126">
        <f t="shared" si="252"/>
        <v>0</v>
      </c>
      <c r="AJ278" s="126">
        <f t="shared" ref="AJ278:AK305" si="277">D278+J278-Q278-X278-AD278</f>
        <v>0</v>
      </c>
      <c r="AK278" s="126">
        <f t="shared" si="277"/>
        <v>0</v>
      </c>
      <c r="AL278" s="126">
        <f t="shared" ref="AL278:AM305" si="278">F278+M278-T278-AA278-AG278</f>
        <v>0</v>
      </c>
      <c r="AM278" s="126">
        <f t="shared" si="278"/>
        <v>0</v>
      </c>
      <c r="AN278" s="126"/>
      <c r="AO278" s="130">
        <f t="shared" si="264"/>
        <v>0</v>
      </c>
      <c r="AP278" s="116"/>
    </row>
    <row r="279" spans="1:42" s="117" customFormat="1" ht="14" hidden="1" outlineLevel="1">
      <c r="A279" s="136"/>
      <c r="B279" s="137" t="s">
        <v>561</v>
      </c>
      <c r="C279" s="126">
        <f t="shared" si="251"/>
        <v>0</v>
      </c>
      <c r="D279" s="126">
        <v>0</v>
      </c>
      <c r="E279" s="126">
        <v>0</v>
      </c>
      <c r="F279" s="126">
        <v>0</v>
      </c>
      <c r="G279" s="126">
        <v>0</v>
      </c>
      <c r="H279" s="126">
        <f t="shared" si="268"/>
        <v>0</v>
      </c>
      <c r="I279" s="126">
        <f t="shared" si="275"/>
        <v>0</v>
      </c>
      <c r="J279" s="126">
        <v>0</v>
      </c>
      <c r="K279" s="126"/>
      <c r="L279" s="126">
        <f t="shared" si="276"/>
        <v>0</v>
      </c>
      <c r="M279" s="126"/>
      <c r="N279" s="126"/>
      <c r="O279" s="126">
        <f t="shared" si="269"/>
        <v>0</v>
      </c>
      <c r="P279" s="126"/>
      <c r="Q279" s="126"/>
      <c r="R279" s="126"/>
      <c r="S279" s="126">
        <f t="shared" ref="S279:S286" si="279">T279+U279</f>
        <v>0</v>
      </c>
      <c r="T279" s="126"/>
      <c r="U279" s="126"/>
      <c r="V279" s="126">
        <f t="shared" si="270"/>
        <v>0</v>
      </c>
      <c r="W279" s="126">
        <f t="shared" si="271"/>
        <v>0</v>
      </c>
      <c r="X279" s="126"/>
      <c r="Y279" s="126"/>
      <c r="Z279" s="126">
        <f t="shared" si="272"/>
        <v>0</v>
      </c>
      <c r="AA279" s="126"/>
      <c r="AB279" s="126"/>
      <c r="AC279" s="126">
        <f t="shared" si="273"/>
        <v>0</v>
      </c>
      <c r="AD279" s="126"/>
      <c r="AE279" s="126"/>
      <c r="AF279" s="126">
        <f t="shared" si="274"/>
        <v>0</v>
      </c>
      <c r="AG279" s="126"/>
      <c r="AH279" s="126"/>
      <c r="AI279" s="126">
        <f t="shared" si="252"/>
        <v>0</v>
      </c>
      <c r="AJ279" s="126">
        <f t="shared" si="277"/>
        <v>0</v>
      </c>
      <c r="AK279" s="126">
        <f t="shared" si="277"/>
        <v>0</v>
      </c>
      <c r="AL279" s="126">
        <f t="shared" si="278"/>
        <v>0</v>
      </c>
      <c r="AM279" s="126">
        <f t="shared" si="278"/>
        <v>0</v>
      </c>
      <c r="AN279" s="126"/>
      <c r="AO279" s="130">
        <f t="shared" si="264"/>
        <v>0</v>
      </c>
      <c r="AP279" s="116"/>
    </row>
    <row r="280" spans="1:42" s="117" customFormat="1" ht="14" hidden="1" outlineLevel="1">
      <c r="A280" s="136"/>
      <c r="B280" s="137" t="s">
        <v>562</v>
      </c>
      <c r="C280" s="126">
        <f t="shared" si="251"/>
        <v>0</v>
      </c>
      <c r="D280" s="126">
        <v>0</v>
      </c>
      <c r="E280" s="126">
        <v>0</v>
      </c>
      <c r="F280" s="126">
        <v>0</v>
      </c>
      <c r="G280" s="126">
        <v>0</v>
      </c>
      <c r="H280" s="126">
        <f t="shared" si="268"/>
        <v>0</v>
      </c>
      <c r="I280" s="126">
        <f t="shared" si="275"/>
        <v>0</v>
      </c>
      <c r="J280" s="126">
        <v>0</v>
      </c>
      <c r="K280" s="126"/>
      <c r="L280" s="126">
        <f t="shared" si="276"/>
        <v>0</v>
      </c>
      <c r="M280" s="126"/>
      <c r="N280" s="126"/>
      <c r="O280" s="126">
        <f t="shared" si="269"/>
        <v>0</v>
      </c>
      <c r="P280" s="126"/>
      <c r="Q280" s="126"/>
      <c r="R280" s="126"/>
      <c r="S280" s="126">
        <f t="shared" si="279"/>
        <v>0</v>
      </c>
      <c r="T280" s="126"/>
      <c r="U280" s="126">
        <f>N280</f>
        <v>0</v>
      </c>
      <c r="V280" s="126">
        <f t="shared" si="270"/>
        <v>0</v>
      </c>
      <c r="W280" s="126">
        <f t="shared" si="271"/>
        <v>0</v>
      </c>
      <c r="X280" s="126"/>
      <c r="Y280" s="126"/>
      <c r="Z280" s="126">
        <f t="shared" si="272"/>
        <v>0</v>
      </c>
      <c r="AA280" s="126"/>
      <c r="AB280" s="126"/>
      <c r="AC280" s="126">
        <f t="shared" si="273"/>
        <v>0</v>
      </c>
      <c r="AD280" s="126"/>
      <c r="AE280" s="126"/>
      <c r="AF280" s="126">
        <f t="shared" si="274"/>
        <v>0</v>
      </c>
      <c r="AG280" s="126"/>
      <c r="AH280" s="126"/>
      <c r="AI280" s="126">
        <f t="shared" si="252"/>
        <v>0</v>
      </c>
      <c r="AJ280" s="126">
        <f t="shared" si="277"/>
        <v>0</v>
      </c>
      <c r="AK280" s="126">
        <f t="shared" si="277"/>
        <v>0</v>
      </c>
      <c r="AL280" s="126">
        <f t="shared" si="278"/>
        <v>0</v>
      </c>
      <c r="AM280" s="126">
        <f t="shared" si="278"/>
        <v>0</v>
      </c>
      <c r="AN280" s="126"/>
      <c r="AO280" s="130">
        <f t="shared" si="264"/>
        <v>0</v>
      </c>
      <c r="AP280" s="116"/>
    </row>
    <row r="281" spans="1:42" s="117" customFormat="1" ht="14" hidden="1" outlineLevel="1">
      <c r="A281" s="136"/>
      <c r="B281" s="137" t="s">
        <v>563</v>
      </c>
      <c r="C281" s="126">
        <f t="shared" si="251"/>
        <v>0</v>
      </c>
      <c r="D281" s="126">
        <v>0</v>
      </c>
      <c r="E281" s="126">
        <v>0</v>
      </c>
      <c r="F281" s="126">
        <v>0</v>
      </c>
      <c r="G281" s="126">
        <v>0</v>
      </c>
      <c r="H281" s="126">
        <f t="shared" si="268"/>
        <v>0</v>
      </c>
      <c r="I281" s="126">
        <f t="shared" si="275"/>
        <v>0</v>
      </c>
      <c r="J281" s="126">
        <v>0</v>
      </c>
      <c r="K281" s="126"/>
      <c r="L281" s="126">
        <f t="shared" si="276"/>
        <v>0</v>
      </c>
      <c r="M281" s="126"/>
      <c r="N281" s="126"/>
      <c r="O281" s="126">
        <f t="shared" si="269"/>
        <v>0</v>
      </c>
      <c r="P281" s="126">
        <f>Q281+R281</f>
        <v>0</v>
      </c>
      <c r="Q281" s="126"/>
      <c r="R281" s="126"/>
      <c r="S281" s="126">
        <f t="shared" si="279"/>
        <v>0</v>
      </c>
      <c r="T281" s="126"/>
      <c r="U281" s="126"/>
      <c r="V281" s="126">
        <f t="shared" si="270"/>
        <v>0</v>
      </c>
      <c r="W281" s="126">
        <f t="shared" si="271"/>
        <v>0</v>
      </c>
      <c r="X281" s="126"/>
      <c r="Y281" s="126"/>
      <c r="Z281" s="126">
        <f t="shared" si="272"/>
        <v>0</v>
      </c>
      <c r="AA281" s="126"/>
      <c r="AB281" s="126"/>
      <c r="AC281" s="126">
        <f t="shared" si="273"/>
        <v>0</v>
      </c>
      <c r="AD281" s="126"/>
      <c r="AE281" s="126"/>
      <c r="AF281" s="126">
        <f t="shared" si="274"/>
        <v>0</v>
      </c>
      <c r="AG281" s="126"/>
      <c r="AH281" s="126"/>
      <c r="AI281" s="126">
        <f t="shared" si="252"/>
        <v>0</v>
      </c>
      <c r="AJ281" s="126">
        <f t="shared" si="277"/>
        <v>0</v>
      </c>
      <c r="AK281" s="126">
        <f t="shared" si="277"/>
        <v>0</v>
      </c>
      <c r="AL281" s="126">
        <f t="shared" si="278"/>
        <v>0</v>
      </c>
      <c r="AM281" s="126">
        <f t="shared" si="278"/>
        <v>0</v>
      </c>
      <c r="AN281" s="126"/>
      <c r="AO281" s="130">
        <f t="shared" si="264"/>
        <v>0</v>
      </c>
      <c r="AP281" s="116"/>
    </row>
    <row r="282" spans="1:42" s="117" customFormat="1" ht="14" hidden="1" outlineLevel="1">
      <c r="A282" s="136"/>
      <c r="B282" s="137" t="s">
        <v>680</v>
      </c>
      <c r="C282" s="126">
        <f t="shared" si="251"/>
        <v>0</v>
      </c>
      <c r="D282" s="126">
        <v>0</v>
      </c>
      <c r="E282" s="126">
        <v>0</v>
      </c>
      <c r="F282" s="126">
        <v>0</v>
      </c>
      <c r="G282" s="126">
        <v>0</v>
      </c>
      <c r="H282" s="126">
        <f t="shared" si="268"/>
        <v>64</v>
      </c>
      <c r="I282" s="126">
        <f t="shared" si="275"/>
        <v>0</v>
      </c>
      <c r="J282" s="126">
        <v>0</v>
      </c>
      <c r="K282" s="126"/>
      <c r="L282" s="126">
        <f t="shared" si="276"/>
        <v>64</v>
      </c>
      <c r="M282" s="126"/>
      <c r="N282" s="126">
        <v>64</v>
      </c>
      <c r="O282" s="126">
        <f t="shared" si="269"/>
        <v>64</v>
      </c>
      <c r="P282" s="126"/>
      <c r="Q282" s="126"/>
      <c r="R282" s="126"/>
      <c r="S282" s="126">
        <f t="shared" si="279"/>
        <v>64</v>
      </c>
      <c r="T282" s="126"/>
      <c r="U282" s="126">
        <f>N282</f>
        <v>64</v>
      </c>
      <c r="V282" s="126">
        <f t="shared" si="270"/>
        <v>0</v>
      </c>
      <c r="W282" s="126">
        <f t="shared" si="271"/>
        <v>0</v>
      </c>
      <c r="X282" s="126"/>
      <c r="Y282" s="126"/>
      <c r="Z282" s="126">
        <f t="shared" si="272"/>
        <v>0</v>
      </c>
      <c r="AA282" s="126"/>
      <c r="AB282" s="126"/>
      <c r="AC282" s="126">
        <f t="shared" si="273"/>
        <v>0</v>
      </c>
      <c r="AD282" s="126"/>
      <c r="AE282" s="126"/>
      <c r="AF282" s="126">
        <f t="shared" si="274"/>
        <v>0</v>
      </c>
      <c r="AG282" s="126"/>
      <c r="AH282" s="126"/>
      <c r="AI282" s="126">
        <f t="shared" si="252"/>
        <v>0</v>
      </c>
      <c r="AJ282" s="126">
        <f t="shared" si="277"/>
        <v>0</v>
      </c>
      <c r="AK282" s="126">
        <f t="shared" si="277"/>
        <v>0</v>
      </c>
      <c r="AL282" s="126">
        <f t="shared" si="278"/>
        <v>0</v>
      </c>
      <c r="AM282" s="126">
        <f t="shared" si="278"/>
        <v>0</v>
      </c>
      <c r="AN282" s="126"/>
      <c r="AO282" s="130">
        <f t="shared" si="264"/>
        <v>0</v>
      </c>
      <c r="AP282" s="116"/>
    </row>
    <row r="283" spans="1:42" s="117" customFormat="1" ht="14" hidden="1" outlineLevel="1">
      <c r="A283" s="136"/>
      <c r="B283" s="137" t="s">
        <v>565</v>
      </c>
      <c r="C283" s="126">
        <f t="shared" si="251"/>
        <v>174.35599999999977</v>
      </c>
      <c r="D283" s="126">
        <v>0</v>
      </c>
      <c r="E283" s="126">
        <v>0</v>
      </c>
      <c r="F283" s="126">
        <v>0</v>
      </c>
      <c r="G283" s="126">
        <v>174.35599999999977</v>
      </c>
      <c r="H283" s="126">
        <f t="shared" si="268"/>
        <v>0</v>
      </c>
      <c r="I283" s="126">
        <f t="shared" si="275"/>
        <v>0</v>
      </c>
      <c r="J283" s="126"/>
      <c r="K283" s="126"/>
      <c r="L283" s="126">
        <f t="shared" si="276"/>
        <v>0</v>
      </c>
      <c r="M283" s="126"/>
      <c r="N283" s="126"/>
      <c r="O283" s="126">
        <f t="shared" si="269"/>
        <v>168</v>
      </c>
      <c r="P283" s="126"/>
      <c r="Q283" s="126"/>
      <c r="R283" s="126"/>
      <c r="S283" s="126">
        <f>T283+U283</f>
        <v>168</v>
      </c>
      <c r="T283" s="126"/>
      <c r="U283" s="126">
        <f>168</f>
        <v>168</v>
      </c>
      <c r="V283" s="126">
        <f t="shared" si="270"/>
        <v>0</v>
      </c>
      <c r="W283" s="126">
        <f t="shared" si="271"/>
        <v>0</v>
      </c>
      <c r="X283" s="126"/>
      <c r="Y283" s="126"/>
      <c r="Z283" s="126">
        <f t="shared" si="272"/>
        <v>0</v>
      </c>
      <c r="AA283" s="126"/>
      <c r="AB283" s="126"/>
      <c r="AC283" s="126">
        <f t="shared" si="273"/>
        <v>0</v>
      </c>
      <c r="AD283" s="126"/>
      <c r="AE283" s="126"/>
      <c r="AF283" s="126">
        <f t="shared" si="274"/>
        <v>0</v>
      </c>
      <c r="AG283" s="126"/>
      <c r="AH283" s="126"/>
      <c r="AI283" s="126">
        <f t="shared" si="252"/>
        <v>6.3559999999997672</v>
      </c>
      <c r="AJ283" s="126">
        <f t="shared" si="277"/>
        <v>0</v>
      </c>
      <c r="AK283" s="126">
        <f t="shared" si="277"/>
        <v>0</v>
      </c>
      <c r="AL283" s="126">
        <f t="shared" si="278"/>
        <v>0</v>
      </c>
      <c r="AM283" s="126">
        <f t="shared" si="278"/>
        <v>6.3559999999997672</v>
      </c>
      <c r="AN283" s="126"/>
      <c r="AO283" s="130">
        <f t="shared" si="264"/>
        <v>0</v>
      </c>
      <c r="AP283" s="116"/>
    </row>
    <row r="284" spans="1:42" s="117" customFormat="1" ht="14" hidden="1" outlineLevel="1">
      <c r="A284" s="136"/>
      <c r="B284" s="137" t="s">
        <v>566</v>
      </c>
      <c r="C284" s="126">
        <f t="shared" si="251"/>
        <v>0</v>
      </c>
      <c r="D284" s="126">
        <v>0</v>
      </c>
      <c r="E284" s="126">
        <v>0</v>
      </c>
      <c r="F284" s="126">
        <v>0</v>
      </c>
      <c r="G284" s="126">
        <v>0</v>
      </c>
      <c r="H284" s="126">
        <f t="shared" si="268"/>
        <v>0</v>
      </c>
      <c r="I284" s="126">
        <f t="shared" si="275"/>
        <v>0</v>
      </c>
      <c r="J284" s="126">
        <v>0</v>
      </c>
      <c r="K284" s="126"/>
      <c r="L284" s="126">
        <f t="shared" si="276"/>
        <v>0</v>
      </c>
      <c r="M284" s="126"/>
      <c r="N284" s="126"/>
      <c r="O284" s="126">
        <f t="shared" si="269"/>
        <v>0</v>
      </c>
      <c r="P284" s="126"/>
      <c r="Q284" s="126"/>
      <c r="R284" s="126"/>
      <c r="S284" s="126">
        <f t="shared" si="279"/>
        <v>0</v>
      </c>
      <c r="T284" s="126"/>
      <c r="U284" s="126"/>
      <c r="V284" s="126">
        <f t="shared" si="270"/>
        <v>0</v>
      </c>
      <c r="W284" s="126">
        <f t="shared" si="271"/>
        <v>0</v>
      </c>
      <c r="X284" s="126"/>
      <c r="Y284" s="126"/>
      <c r="Z284" s="126">
        <f t="shared" si="272"/>
        <v>0</v>
      </c>
      <c r="AA284" s="126"/>
      <c r="AB284" s="126"/>
      <c r="AC284" s="126">
        <f t="shared" si="273"/>
        <v>0</v>
      </c>
      <c r="AD284" s="126"/>
      <c r="AE284" s="126"/>
      <c r="AF284" s="126">
        <f t="shared" si="274"/>
        <v>0</v>
      </c>
      <c r="AG284" s="126"/>
      <c r="AH284" s="126"/>
      <c r="AI284" s="126">
        <f t="shared" si="252"/>
        <v>0</v>
      </c>
      <c r="AJ284" s="126">
        <f t="shared" si="277"/>
        <v>0</v>
      </c>
      <c r="AK284" s="126">
        <f t="shared" si="277"/>
        <v>0</v>
      </c>
      <c r="AL284" s="126">
        <f t="shared" si="278"/>
        <v>0</v>
      </c>
      <c r="AM284" s="126">
        <f t="shared" si="278"/>
        <v>0</v>
      </c>
      <c r="AN284" s="126"/>
      <c r="AO284" s="130">
        <f t="shared" si="264"/>
        <v>0</v>
      </c>
      <c r="AP284" s="116"/>
    </row>
    <row r="285" spans="1:42" s="117" customFormat="1" ht="14" hidden="1" outlineLevel="1">
      <c r="A285" s="136"/>
      <c r="B285" s="137" t="s">
        <v>567</v>
      </c>
      <c r="C285" s="126">
        <f t="shared" si="251"/>
        <v>0</v>
      </c>
      <c r="D285" s="126">
        <v>0</v>
      </c>
      <c r="E285" s="126">
        <v>0</v>
      </c>
      <c r="F285" s="126">
        <v>0</v>
      </c>
      <c r="G285" s="126">
        <v>0</v>
      </c>
      <c r="H285" s="126">
        <f t="shared" si="268"/>
        <v>317</v>
      </c>
      <c r="I285" s="126">
        <f t="shared" si="275"/>
        <v>0</v>
      </c>
      <c r="J285" s="126">
        <v>0</v>
      </c>
      <c r="K285" s="126"/>
      <c r="L285" s="126">
        <f t="shared" si="276"/>
        <v>317</v>
      </c>
      <c r="M285" s="126"/>
      <c r="N285" s="126">
        <f>369-52</f>
        <v>317</v>
      </c>
      <c r="O285" s="126">
        <f t="shared" si="269"/>
        <v>317</v>
      </c>
      <c r="P285" s="126">
        <v>0</v>
      </c>
      <c r="Q285" s="126">
        <v>0</v>
      </c>
      <c r="R285" s="126">
        <v>0</v>
      </c>
      <c r="S285" s="126">
        <f t="shared" si="279"/>
        <v>317</v>
      </c>
      <c r="T285" s="126">
        <v>0</v>
      </c>
      <c r="U285" s="126">
        <v>317</v>
      </c>
      <c r="V285" s="126">
        <f t="shared" si="270"/>
        <v>0</v>
      </c>
      <c r="W285" s="126">
        <f t="shared" si="271"/>
        <v>0</v>
      </c>
      <c r="X285" s="126"/>
      <c r="Y285" s="126"/>
      <c r="Z285" s="126">
        <f t="shared" si="272"/>
        <v>0</v>
      </c>
      <c r="AA285" s="126"/>
      <c r="AB285" s="126"/>
      <c r="AC285" s="126">
        <f t="shared" si="273"/>
        <v>0</v>
      </c>
      <c r="AD285" s="126"/>
      <c r="AE285" s="126"/>
      <c r="AF285" s="126">
        <f t="shared" si="274"/>
        <v>0</v>
      </c>
      <c r="AG285" s="126"/>
      <c r="AH285" s="126"/>
      <c r="AI285" s="126">
        <f t="shared" si="252"/>
        <v>0</v>
      </c>
      <c r="AJ285" s="126">
        <f t="shared" si="277"/>
        <v>0</v>
      </c>
      <c r="AK285" s="126">
        <f t="shared" si="277"/>
        <v>0</v>
      </c>
      <c r="AL285" s="126">
        <f t="shared" si="278"/>
        <v>0</v>
      </c>
      <c r="AM285" s="126">
        <f t="shared" si="278"/>
        <v>0</v>
      </c>
      <c r="AN285" s="126"/>
      <c r="AO285" s="130">
        <f t="shared" si="264"/>
        <v>0</v>
      </c>
      <c r="AP285" s="116"/>
    </row>
    <row r="286" spans="1:42" s="117" customFormat="1" ht="14" hidden="1" outlineLevel="1">
      <c r="A286" s="136"/>
      <c r="B286" s="137" t="s">
        <v>568</v>
      </c>
      <c r="C286" s="126">
        <f t="shared" si="251"/>
        <v>0</v>
      </c>
      <c r="D286" s="126">
        <v>0</v>
      </c>
      <c r="E286" s="126">
        <v>0</v>
      </c>
      <c r="F286" s="126">
        <v>0</v>
      </c>
      <c r="G286" s="126">
        <v>0</v>
      </c>
      <c r="H286" s="126">
        <f t="shared" si="268"/>
        <v>0</v>
      </c>
      <c r="I286" s="126">
        <f t="shared" si="275"/>
        <v>0</v>
      </c>
      <c r="J286" s="126">
        <v>0</v>
      </c>
      <c r="K286" s="126"/>
      <c r="L286" s="126">
        <f t="shared" si="276"/>
        <v>0</v>
      </c>
      <c r="M286" s="126"/>
      <c r="N286" s="126"/>
      <c r="O286" s="126">
        <f t="shared" si="269"/>
        <v>0</v>
      </c>
      <c r="P286" s="126">
        <v>0</v>
      </c>
      <c r="Q286" s="126">
        <v>0</v>
      </c>
      <c r="R286" s="126">
        <v>0</v>
      </c>
      <c r="S286" s="126">
        <f t="shared" si="279"/>
        <v>0</v>
      </c>
      <c r="T286" s="126">
        <v>0</v>
      </c>
      <c r="U286" s="126"/>
      <c r="V286" s="126">
        <f t="shared" si="270"/>
        <v>0</v>
      </c>
      <c r="W286" s="126">
        <f t="shared" si="271"/>
        <v>0</v>
      </c>
      <c r="X286" s="126"/>
      <c r="Y286" s="126"/>
      <c r="Z286" s="126">
        <f t="shared" si="272"/>
        <v>0</v>
      </c>
      <c r="AA286" s="126"/>
      <c r="AB286" s="126"/>
      <c r="AC286" s="126">
        <f t="shared" si="273"/>
        <v>0</v>
      </c>
      <c r="AD286" s="126"/>
      <c r="AE286" s="126"/>
      <c r="AF286" s="126">
        <f t="shared" si="274"/>
        <v>0</v>
      </c>
      <c r="AG286" s="126"/>
      <c r="AH286" s="126"/>
      <c r="AI286" s="126">
        <f t="shared" si="252"/>
        <v>0</v>
      </c>
      <c r="AJ286" s="126">
        <f t="shared" si="277"/>
        <v>0</v>
      </c>
      <c r="AK286" s="126">
        <f t="shared" si="277"/>
        <v>0</v>
      </c>
      <c r="AL286" s="126">
        <f t="shared" si="278"/>
        <v>0</v>
      </c>
      <c r="AM286" s="126">
        <f t="shared" si="278"/>
        <v>0</v>
      </c>
      <c r="AN286" s="126"/>
      <c r="AO286" s="130">
        <f t="shared" si="264"/>
        <v>0</v>
      </c>
      <c r="AP286" s="116"/>
    </row>
    <row r="287" spans="1:42" s="117" customFormat="1" ht="14" hidden="1" outlineLevel="1">
      <c r="A287" s="136"/>
      <c r="B287" s="147" t="s">
        <v>681</v>
      </c>
      <c r="C287" s="155">
        <f t="shared" si="251"/>
        <v>0</v>
      </c>
      <c r="D287" s="155">
        <v>0</v>
      </c>
      <c r="E287" s="155">
        <v>0</v>
      </c>
      <c r="F287" s="155">
        <v>0</v>
      </c>
      <c r="G287" s="155">
        <v>0</v>
      </c>
      <c r="H287" s="155">
        <f t="shared" si="268"/>
        <v>0</v>
      </c>
      <c r="I287" s="155">
        <f t="shared" si="275"/>
        <v>0</v>
      </c>
      <c r="J287" s="155">
        <v>0</v>
      </c>
      <c r="K287" s="155"/>
      <c r="L287" s="155">
        <f t="shared" si="276"/>
        <v>0</v>
      </c>
      <c r="M287" s="155"/>
      <c r="N287" s="155"/>
      <c r="O287" s="155">
        <f t="shared" si="269"/>
        <v>0</v>
      </c>
      <c r="P287" s="155">
        <f>Q287+R287</f>
        <v>0</v>
      </c>
      <c r="Q287" s="155"/>
      <c r="R287" s="155"/>
      <c r="S287" s="155"/>
      <c r="T287" s="155"/>
      <c r="U287" s="155"/>
      <c r="V287" s="155">
        <f t="shared" si="270"/>
        <v>0</v>
      </c>
      <c r="W287" s="155">
        <f t="shared" si="271"/>
        <v>0</v>
      </c>
      <c r="X287" s="155"/>
      <c r="Y287" s="155"/>
      <c r="Z287" s="155">
        <f t="shared" si="272"/>
        <v>0</v>
      </c>
      <c r="AA287" s="155"/>
      <c r="AB287" s="155"/>
      <c r="AC287" s="126">
        <f t="shared" si="273"/>
        <v>0</v>
      </c>
      <c r="AD287" s="126"/>
      <c r="AE287" s="126"/>
      <c r="AF287" s="126">
        <f t="shared" si="274"/>
        <v>0</v>
      </c>
      <c r="AG287" s="155"/>
      <c r="AH287" s="155"/>
      <c r="AI287" s="155">
        <f t="shared" si="252"/>
        <v>0</v>
      </c>
      <c r="AJ287" s="155">
        <f t="shared" si="277"/>
        <v>0</v>
      </c>
      <c r="AK287" s="155">
        <f t="shared" si="277"/>
        <v>0</v>
      </c>
      <c r="AL287" s="155">
        <f t="shared" si="278"/>
        <v>0</v>
      </c>
      <c r="AM287" s="155">
        <f t="shared" si="278"/>
        <v>0</v>
      </c>
      <c r="AN287" s="126"/>
      <c r="AO287" s="130">
        <f t="shared" si="264"/>
        <v>0</v>
      </c>
      <c r="AP287" s="116"/>
    </row>
    <row r="288" spans="1:42" s="117" customFormat="1" ht="14" hidden="1" outlineLevel="1">
      <c r="A288" s="139"/>
      <c r="B288" s="147" t="s">
        <v>691</v>
      </c>
      <c r="C288" s="155">
        <f>SUM(D288:G288)</f>
        <v>0</v>
      </c>
      <c r="D288" s="155">
        <v>0</v>
      </c>
      <c r="E288" s="155">
        <v>0</v>
      </c>
      <c r="F288" s="155">
        <v>0</v>
      </c>
      <c r="G288" s="155">
        <v>0</v>
      </c>
      <c r="H288" s="155">
        <f t="shared" si="268"/>
        <v>0</v>
      </c>
      <c r="I288" s="155">
        <f>J288+K288</f>
        <v>0</v>
      </c>
      <c r="J288" s="155"/>
      <c r="K288" s="155"/>
      <c r="L288" s="155">
        <v>0</v>
      </c>
      <c r="M288" s="155">
        <v>0</v>
      </c>
      <c r="N288" s="155">
        <v>0</v>
      </c>
      <c r="O288" s="155">
        <f>P288+S288</f>
        <v>0</v>
      </c>
      <c r="P288" s="155"/>
      <c r="Q288" s="155"/>
      <c r="R288" s="155"/>
      <c r="S288" s="155"/>
      <c r="T288" s="155"/>
      <c r="U288" s="155"/>
      <c r="V288" s="155">
        <f>W288+Z288+AC288+AF288</f>
        <v>0</v>
      </c>
      <c r="W288" s="155">
        <f>X288+Y288</f>
        <v>0</v>
      </c>
      <c r="X288" s="155"/>
      <c r="Y288" s="155"/>
      <c r="Z288" s="155">
        <f>AA288+AB288</f>
        <v>0</v>
      </c>
      <c r="AA288" s="155"/>
      <c r="AB288" s="155"/>
      <c r="AC288" s="126">
        <f>AD288+AE288</f>
        <v>0</v>
      </c>
      <c r="AD288" s="126"/>
      <c r="AE288" s="126"/>
      <c r="AF288" s="126">
        <f>AG288+AH288</f>
        <v>0</v>
      </c>
      <c r="AG288" s="155"/>
      <c r="AH288" s="155"/>
      <c r="AI288" s="155">
        <f>SUM(AJ288:AM288)</f>
        <v>0</v>
      </c>
      <c r="AJ288" s="155">
        <f>D288+J288-Q288-X288-AD288</f>
        <v>0</v>
      </c>
      <c r="AK288" s="155">
        <f>E288+K288-R288-Y288-AE288</f>
        <v>0</v>
      </c>
      <c r="AL288" s="155">
        <f>F288+M288-T288-AA288-AG288</f>
        <v>0</v>
      </c>
      <c r="AM288" s="155">
        <f>G288+N288-U288-AB288-AH288</f>
        <v>0</v>
      </c>
      <c r="AN288" s="126"/>
      <c r="AO288" s="130">
        <f t="shared" si="264"/>
        <v>0</v>
      </c>
      <c r="AP288" s="116"/>
    </row>
    <row r="289" spans="1:42" s="117" customFormat="1" ht="14" hidden="1" outlineLevel="1">
      <c r="A289" s="139"/>
      <c r="B289" s="147" t="s">
        <v>594</v>
      </c>
      <c r="C289" s="155">
        <f t="shared" si="251"/>
        <v>0</v>
      </c>
      <c r="D289" s="155">
        <v>0</v>
      </c>
      <c r="E289" s="155">
        <v>0</v>
      </c>
      <c r="F289" s="155">
        <v>0</v>
      </c>
      <c r="G289" s="155">
        <v>0</v>
      </c>
      <c r="H289" s="155">
        <f t="shared" si="268"/>
        <v>52</v>
      </c>
      <c r="I289" s="155">
        <f t="shared" si="275"/>
        <v>52</v>
      </c>
      <c r="J289" s="155"/>
      <c r="K289" s="155">
        <f>52</f>
        <v>52</v>
      </c>
      <c r="L289" s="155">
        <v>0</v>
      </c>
      <c r="M289" s="155">
        <v>0</v>
      </c>
      <c r="N289" s="155">
        <v>0</v>
      </c>
      <c r="O289" s="155">
        <f t="shared" si="269"/>
        <v>0</v>
      </c>
      <c r="P289" s="155"/>
      <c r="Q289" s="155"/>
      <c r="R289" s="155"/>
      <c r="S289" s="155"/>
      <c r="T289" s="155"/>
      <c r="U289" s="155"/>
      <c r="V289" s="155">
        <f t="shared" si="270"/>
        <v>0</v>
      </c>
      <c r="W289" s="155">
        <f t="shared" si="271"/>
        <v>0</v>
      </c>
      <c r="X289" s="155"/>
      <c r="Y289" s="155"/>
      <c r="Z289" s="155">
        <f t="shared" si="272"/>
        <v>0</v>
      </c>
      <c r="AA289" s="155"/>
      <c r="AB289" s="155"/>
      <c r="AC289" s="126">
        <f t="shared" si="273"/>
        <v>0</v>
      </c>
      <c r="AD289" s="126"/>
      <c r="AE289" s="126"/>
      <c r="AF289" s="126">
        <f t="shared" si="274"/>
        <v>0</v>
      </c>
      <c r="AG289" s="155"/>
      <c r="AH289" s="155"/>
      <c r="AI289" s="155">
        <f t="shared" si="252"/>
        <v>52</v>
      </c>
      <c r="AJ289" s="155">
        <f t="shared" si="277"/>
        <v>0</v>
      </c>
      <c r="AK289" s="155">
        <f t="shared" si="277"/>
        <v>52</v>
      </c>
      <c r="AL289" s="155">
        <f t="shared" si="278"/>
        <v>0</v>
      </c>
      <c r="AM289" s="155">
        <f t="shared" si="278"/>
        <v>0</v>
      </c>
      <c r="AN289" s="126"/>
      <c r="AO289" s="130">
        <f t="shared" si="264"/>
        <v>0</v>
      </c>
      <c r="AP289" s="116"/>
    </row>
    <row r="290" spans="1:42" s="117" customFormat="1" ht="28" collapsed="1">
      <c r="A290" s="154" t="s">
        <v>692</v>
      </c>
      <c r="B290" s="173" t="s">
        <v>693</v>
      </c>
      <c r="C290" s="126">
        <f t="shared" ref="C290:AM290" si="280">SUM(C291:C302)+C305+C306</f>
        <v>19789.906340000001</v>
      </c>
      <c r="D290" s="126">
        <f t="shared" si="280"/>
        <v>0</v>
      </c>
      <c r="E290" s="126">
        <f t="shared" si="280"/>
        <v>17282.811900000001</v>
      </c>
      <c r="F290" s="126">
        <f t="shared" si="280"/>
        <v>0</v>
      </c>
      <c r="G290" s="126">
        <f t="shared" si="280"/>
        <v>2507.0944399999998</v>
      </c>
      <c r="H290" s="126">
        <f t="shared" si="280"/>
        <v>35806.286</v>
      </c>
      <c r="I290" s="126">
        <f t="shared" si="280"/>
        <v>4368.5129999999999</v>
      </c>
      <c r="J290" s="126">
        <f t="shared" si="280"/>
        <v>0</v>
      </c>
      <c r="K290" s="126">
        <f t="shared" si="280"/>
        <v>4368.5129999999999</v>
      </c>
      <c r="L290" s="126">
        <f t="shared" si="280"/>
        <v>31437.773000000001</v>
      </c>
      <c r="M290" s="126">
        <f t="shared" si="280"/>
        <v>0</v>
      </c>
      <c r="N290" s="126">
        <f t="shared" si="280"/>
        <v>31437.773000000001</v>
      </c>
      <c r="O290" s="126">
        <f t="shared" si="280"/>
        <v>33754.275999999998</v>
      </c>
      <c r="P290" s="126">
        <f t="shared" si="280"/>
        <v>2844</v>
      </c>
      <c r="Q290" s="126">
        <f t="shared" si="280"/>
        <v>0</v>
      </c>
      <c r="R290" s="126">
        <f t="shared" si="280"/>
        <v>2844</v>
      </c>
      <c r="S290" s="126">
        <f t="shared" si="280"/>
        <v>30910.275999999998</v>
      </c>
      <c r="T290" s="126">
        <f t="shared" si="280"/>
        <v>0</v>
      </c>
      <c r="U290" s="126">
        <f t="shared" si="280"/>
        <v>30910.275999999998</v>
      </c>
      <c r="V290" s="126">
        <f t="shared" si="280"/>
        <v>1737.8634399999999</v>
      </c>
      <c r="W290" s="126">
        <f t="shared" si="280"/>
        <v>0</v>
      </c>
      <c r="X290" s="126">
        <f t="shared" si="280"/>
        <v>0</v>
      </c>
      <c r="Y290" s="126">
        <f t="shared" si="280"/>
        <v>0</v>
      </c>
      <c r="Z290" s="126">
        <f t="shared" si="280"/>
        <v>1737.8634399999999</v>
      </c>
      <c r="AA290" s="126">
        <f t="shared" si="280"/>
        <v>0</v>
      </c>
      <c r="AB290" s="126">
        <f t="shared" si="280"/>
        <v>1737.8634399999999</v>
      </c>
      <c r="AC290" s="126">
        <f t="shared" si="280"/>
        <v>0</v>
      </c>
      <c r="AD290" s="126">
        <f t="shared" si="280"/>
        <v>0</v>
      </c>
      <c r="AE290" s="126">
        <f t="shared" si="280"/>
        <v>0</v>
      </c>
      <c r="AF290" s="126">
        <f t="shared" si="280"/>
        <v>0</v>
      </c>
      <c r="AG290" s="126">
        <f t="shared" si="280"/>
        <v>0</v>
      </c>
      <c r="AH290" s="126">
        <f t="shared" si="280"/>
        <v>0</v>
      </c>
      <c r="AI290" s="126">
        <f t="shared" si="280"/>
        <v>20104.052900000002</v>
      </c>
      <c r="AJ290" s="126">
        <f t="shared" si="280"/>
        <v>0</v>
      </c>
      <c r="AK290" s="126">
        <f t="shared" si="280"/>
        <v>18807.3249</v>
      </c>
      <c r="AL290" s="126">
        <f t="shared" si="280"/>
        <v>0</v>
      </c>
      <c r="AM290" s="126">
        <f t="shared" si="280"/>
        <v>1296.7280000000017</v>
      </c>
      <c r="AN290" s="126"/>
      <c r="AO290" s="130">
        <f t="shared" si="264"/>
        <v>0</v>
      </c>
      <c r="AP290" s="116"/>
    </row>
    <row r="291" spans="1:42" s="117" customFormat="1" ht="14" hidden="1" outlineLevel="1">
      <c r="A291" s="136"/>
      <c r="B291" s="137" t="s">
        <v>337</v>
      </c>
      <c r="C291" s="126">
        <f t="shared" si="251"/>
        <v>285.91244000000006</v>
      </c>
      <c r="D291" s="126">
        <v>0</v>
      </c>
      <c r="E291" s="126">
        <v>0</v>
      </c>
      <c r="F291" s="126">
        <v>0</v>
      </c>
      <c r="G291" s="126">
        <v>285.91244000000006</v>
      </c>
      <c r="H291" s="126">
        <f t="shared" si="268"/>
        <v>2610</v>
      </c>
      <c r="I291" s="126">
        <f t="shared" ref="I291:I304" si="281">J291+K291</f>
        <v>0</v>
      </c>
      <c r="J291" s="126"/>
      <c r="K291" s="126">
        <v>0</v>
      </c>
      <c r="L291" s="126">
        <f t="shared" ref="L291:L304" si="282">M291+N291</f>
        <v>2610</v>
      </c>
      <c r="M291" s="126"/>
      <c r="N291" s="126">
        <f>3701-476-615</f>
        <v>2610</v>
      </c>
      <c r="O291" s="126">
        <f t="shared" si="269"/>
        <v>2460.3670000000002</v>
      </c>
      <c r="P291" s="126"/>
      <c r="Q291" s="126"/>
      <c r="R291" s="126"/>
      <c r="S291" s="126">
        <f t="shared" ref="S291:S300" si="283">T291+U291</f>
        <v>2460.3670000000002</v>
      </c>
      <c r="T291" s="126"/>
      <c r="U291" s="126">
        <f>2460.367</f>
        <v>2460.3670000000002</v>
      </c>
      <c r="V291" s="126">
        <f t="shared" ref="V291:V305" si="284">W291+Z291+AC291+AF291</f>
        <v>285.91244000000006</v>
      </c>
      <c r="W291" s="126">
        <f t="shared" ref="W291:W296" si="285">X291+Y291</f>
        <v>0</v>
      </c>
      <c r="X291" s="126"/>
      <c r="Y291" s="126"/>
      <c r="Z291" s="126">
        <f t="shared" ref="Z291:Z304" si="286">AA291+AB291</f>
        <v>285.91244000000006</v>
      </c>
      <c r="AA291" s="126"/>
      <c r="AB291" s="126">
        <f>G291</f>
        <v>285.91244000000006</v>
      </c>
      <c r="AC291" s="126">
        <f t="shared" ref="AC291:AC305" si="287">AD291+AE291</f>
        <v>0</v>
      </c>
      <c r="AD291" s="126"/>
      <c r="AE291" s="126"/>
      <c r="AF291" s="126">
        <f t="shared" ref="AF291:AF305" si="288">AG291+AH291</f>
        <v>0</v>
      </c>
      <c r="AG291" s="126"/>
      <c r="AH291" s="126"/>
      <c r="AI291" s="126">
        <f t="shared" si="252"/>
        <v>149.63299999999981</v>
      </c>
      <c r="AJ291" s="126">
        <f t="shared" si="277"/>
        <v>0</v>
      </c>
      <c r="AK291" s="126">
        <f t="shared" si="277"/>
        <v>0</v>
      </c>
      <c r="AL291" s="126">
        <f t="shared" si="278"/>
        <v>0</v>
      </c>
      <c r="AM291" s="126">
        <f t="shared" si="278"/>
        <v>149.63299999999981</v>
      </c>
      <c r="AN291" s="126"/>
      <c r="AO291" s="130">
        <f t="shared" si="264"/>
        <v>0</v>
      </c>
      <c r="AP291" s="116"/>
    </row>
    <row r="292" spans="1:42" s="117" customFormat="1" ht="14" hidden="1" outlineLevel="1">
      <c r="A292" s="136"/>
      <c r="B292" s="137" t="s">
        <v>694</v>
      </c>
      <c r="C292" s="126">
        <f t="shared" si="251"/>
        <v>742</v>
      </c>
      <c r="D292" s="126">
        <v>0</v>
      </c>
      <c r="E292" s="126">
        <v>0</v>
      </c>
      <c r="F292" s="126">
        <v>0</v>
      </c>
      <c r="G292" s="126">
        <f>742</f>
        <v>742</v>
      </c>
      <c r="H292" s="126">
        <f t="shared" si="268"/>
        <v>5097</v>
      </c>
      <c r="I292" s="126">
        <f t="shared" si="281"/>
        <v>0</v>
      </c>
      <c r="J292" s="126"/>
      <c r="K292" s="126"/>
      <c r="L292" s="126">
        <f t="shared" si="282"/>
        <v>5097</v>
      </c>
      <c r="M292" s="126"/>
      <c r="N292" s="126">
        <f>6561-1464</f>
        <v>5097</v>
      </c>
      <c r="O292" s="126">
        <f t="shared" si="269"/>
        <v>4931.5</v>
      </c>
      <c r="P292" s="126"/>
      <c r="Q292" s="126"/>
      <c r="R292" s="126"/>
      <c r="S292" s="126">
        <f t="shared" si="283"/>
        <v>4931.5</v>
      </c>
      <c r="T292" s="126"/>
      <c r="U292" s="126">
        <f>4931.5</f>
        <v>4931.5</v>
      </c>
      <c r="V292" s="126">
        <f t="shared" si="284"/>
        <v>742</v>
      </c>
      <c r="W292" s="126">
        <f t="shared" si="285"/>
        <v>0</v>
      </c>
      <c r="X292" s="126"/>
      <c r="Y292" s="126"/>
      <c r="Z292" s="126">
        <f t="shared" si="286"/>
        <v>742</v>
      </c>
      <c r="AA292" s="126"/>
      <c r="AB292" s="126">
        <v>742</v>
      </c>
      <c r="AC292" s="126">
        <f t="shared" si="287"/>
        <v>0</v>
      </c>
      <c r="AD292" s="126"/>
      <c r="AE292" s="126"/>
      <c r="AF292" s="126">
        <f t="shared" si="288"/>
        <v>0</v>
      </c>
      <c r="AG292" s="126"/>
      <c r="AH292" s="126"/>
      <c r="AI292" s="126">
        <f t="shared" si="252"/>
        <v>165.5</v>
      </c>
      <c r="AJ292" s="126">
        <f t="shared" si="277"/>
        <v>0</v>
      </c>
      <c r="AK292" s="126">
        <f t="shared" si="277"/>
        <v>0</v>
      </c>
      <c r="AL292" s="126">
        <f t="shared" si="278"/>
        <v>0</v>
      </c>
      <c r="AM292" s="126">
        <f t="shared" si="278"/>
        <v>165.5</v>
      </c>
      <c r="AN292" s="126"/>
      <c r="AO292" s="130">
        <f t="shared" si="264"/>
        <v>0</v>
      </c>
      <c r="AP292" s="116"/>
    </row>
    <row r="293" spans="1:42" s="117" customFormat="1" ht="14" hidden="1" outlineLevel="1">
      <c r="A293" s="136"/>
      <c r="B293" s="137" t="s">
        <v>561</v>
      </c>
      <c r="C293" s="126">
        <f t="shared" si="251"/>
        <v>0</v>
      </c>
      <c r="D293" s="126">
        <v>0</v>
      </c>
      <c r="E293" s="126">
        <v>0</v>
      </c>
      <c r="F293" s="126">
        <v>0</v>
      </c>
      <c r="G293" s="126">
        <f>120.158-120.158</f>
        <v>0</v>
      </c>
      <c r="H293" s="126">
        <f t="shared" si="268"/>
        <v>2025</v>
      </c>
      <c r="I293" s="126">
        <f t="shared" si="281"/>
        <v>0</v>
      </c>
      <c r="J293" s="126"/>
      <c r="K293" s="126">
        <v>0</v>
      </c>
      <c r="L293" s="126">
        <f t="shared" si="282"/>
        <v>2025</v>
      </c>
      <c r="M293" s="126"/>
      <c r="N293" s="126">
        <f>2907-598-284</f>
        <v>2025</v>
      </c>
      <c r="O293" s="126">
        <f t="shared" si="269"/>
        <v>2025</v>
      </c>
      <c r="P293" s="126"/>
      <c r="Q293" s="126"/>
      <c r="R293" s="126"/>
      <c r="S293" s="126">
        <f t="shared" si="283"/>
        <v>2025</v>
      </c>
      <c r="T293" s="126"/>
      <c r="U293" s="126">
        <f>N293</f>
        <v>2025</v>
      </c>
      <c r="V293" s="126">
        <f t="shared" si="284"/>
        <v>0</v>
      </c>
      <c r="W293" s="126">
        <f t="shared" si="285"/>
        <v>0</v>
      </c>
      <c r="X293" s="126"/>
      <c r="Y293" s="126"/>
      <c r="Z293" s="126">
        <f t="shared" si="286"/>
        <v>0</v>
      </c>
      <c r="AA293" s="126"/>
      <c r="AB293" s="126"/>
      <c r="AC293" s="126">
        <f t="shared" si="287"/>
        <v>0</v>
      </c>
      <c r="AD293" s="126"/>
      <c r="AE293" s="126"/>
      <c r="AF293" s="126">
        <f t="shared" si="288"/>
        <v>0</v>
      </c>
      <c r="AG293" s="126"/>
      <c r="AH293" s="126"/>
      <c r="AI293" s="126">
        <f t="shared" si="252"/>
        <v>0</v>
      </c>
      <c r="AJ293" s="126">
        <f t="shared" si="277"/>
        <v>0</v>
      </c>
      <c r="AK293" s="126">
        <f t="shared" si="277"/>
        <v>0</v>
      </c>
      <c r="AL293" s="126">
        <f t="shared" si="278"/>
        <v>0</v>
      </c>
      <c r="AM293" s="126">
        <f t="shared" si="278"/>
        <v>0</v>
      </c>
      <c r="AN293" s="126"/>
      <c r="AO293" s="130">
        <f t="shared" si="264"/>
        <v>0</v>
      </c>
      <c r="AP293" s="116"/>
    </row>
    <row r="294" spans="1:42" s="117" customFormat="1" ht="14" hidden="1" outlineLevel="1">
      <c r="A294" s="136"/>
      <c r="B294" s="137" t="s">
        <v>562</v>
      </c>
      <c r="C294" s="126">
        <f t="shared" si="251"/>
        <v>87.246000000000095</v>
      </c>
      <c r="D294" s="126">
        <v>0</v>
      </c>
      <c r="E294" s="126">
        <v>0</v>
      </c>
      <c r="F294" s="126">
        <v>0</v>
      </c>
      <c r="G294" s="126">
        <v>87.246000000000095</v>
      </c>
      <c r="H294" s="126">
        <f t="shared" si="268"/>
        <v>1368.2860000000001</v>
      </c>
      <c r="I294" s="126">
        <f t="shared" si="281"/>
        <v>0</v>
      </c>
      <c r="J294" s="126"/>
      <c r="K294" s="126">
        <v>0</v>
      </c>
      <c r="L294" s="126">
        <f t="shared" si="282"/>
        <v>1368.2860000000001</v>
      </c>
      <c r="M294" s="126"/>
      <c r="N294" s="126">
        <f>1706-337.714</f>
        <v>1368.2860000000001</v>
      </c>
      <c r="O294" s="126">
        <f t="shared" si="269"/>
        <v>1311.6089999999999</v>
      </c>
      <c r="P294" s="126"/>
      <c r="Q294" s="126"/>
      <c r="R294" s="126"/>
      <c r="S294" s="126">
        <f t="shared" si="283"/>
        <v>1311.6089999999999</v>
      </c>
      <c r="T294" s="126"/>
      <c r="U294" s="126">
        <f>1311.609</f>
        <v>1311.6089999999999</v>
      </c>
      <c r="V294" s="126">
        <f t="shared" si="284"/>
        <v>0</v>
      </c>
      <c r="W294" s="126">
        <f t="shared" si="285"/>
        <v>0</v>
      </c>
      <c r="X294" s="126"/>
      <c r="Y294" s="126"/>
      <c r="Z294" s="126">
        <f t="shared" si="286"/>
        <v>0</v>
      </c>
      <c r="AA294" s="126"/>
      <c r="AB294" s="126"/>
      <c r="AC294" s="126">
        <f t="shared" si="287"/>
        <v>0</v>
      </c>
      <c r="AD294" s="126"/>
      <c r="AE294" s="126"/>
      <c r="AF294" s="126">
        <f t="shared" si="288"/>
        <v>0</v>
      </c>
      <c r="AG294" s="126"/>
      <c r="AH294" s="126"/>
      <c r="AI294" s="126">
        <f t="shared" si="252"/>
        <v>143.92300000000023</v>
      </c>
      <c r="AJ294" s="126">
        <f t="shared" si="277"/>
        <v>0</v>
      </c>
      <c r="AK294" s="126">
        <f t="shared" si="277"/>
        <v>0</v>
      </c>
      <c r="AL294" s="126">
        <f t="shared" si="278"/>
        <v>0</v>
      </c>
      <c r="AM294" s="126">
        <f t="shared" si="278"/>
        <v>143.92300000000023</v>
      </c>
      <c r="AN294" s="126"/>
      <c r="AO294" s="130">
        <f t="shared" si="264"/>
        <v>0</v>
      </c>
      <c r="AP294" s="116"/>
    </row>
    <row r="295" spans="1:42" s="117" customFormat="1" ht="14" hidden="1" outlineLevel="1">
      <c r="A295" s="136"/>
      <c r="B295" s="137" t="s">
        <v>563</v>
      </c>
      <c r="C295" s="126">
        <f t="shared" si="251"/>
        <v>479.26500000000033</v>
      </c>
      <c r="D295" s="126">
        <v>0</v>
      </c>
      <c r="E295" s="126">
        <v>0</v>
      </c>
      <c r="F295" s="126">
        <v>0</v>
      </c>
      <c r="G295" s="126">
        <v>479.26500000000033</v>
      </c>
      <c r="H295" s="126">
        <f t="shared" si="268"/>
        <v>4521</v>
      </c>
      <c r="I295" s="126">
        <f t="shared" si="281"/>
        <v>0</v>
      </c>
      <c r="J295" s="126"/>
      <c r="K295" s="126">
        <v>0</v>
      </c>
      <c r="L295" s="126">
        <f t="shared" si="282"/>
        <v>4521</v>
      </c>
      <c r="M295" s="126"/>
      <c r="N295" s="126">
        <f>5849-1328</f>
        <v>4521</v>
      </c>
      <c r="O295" s="126">
        <f t="shared" si="269"/>
        <v>4568.7</v>
      </c>
      <c r="P295" s="126">
        <f>Q295+R295</f>
        <v>0</v>
      </c>
      <c r="Q295" s="126"/>
      <c r="R295" s="126"/>
      <c r="S295" s="126">
        <f t="shared" si="283"/>
        <v>4568.7</v>
      </c>
      <c r="T295" s="126"/>
      <c r="U295" s="126">
        <f>4568.7</f>
        <v>4568.7</v>
      </c>
      <c r="V295" s="126">
        <f t="shared" si="284"/>
        <v>0</v>
      </c>
      <c r="W295" s="126">
        <f t="shared" si="285"/>
        <v>0</v>
      </c>
      <c r="X295" s="126"/>
      <c r="Y295" s="126"/>
      <c r="Z295" s="126">
        <f t="shared" si="286"/>
        <v>0</v>
      </c>
      <c r="AA295" s="126"/>
      <c r="AB295" s="126"/>
      <c r="AC295" s="126">
        <f t="shared" si="287"/>
        <v>0</v>
      </c>
      <c r="AD295" s="126"/>
      <c r="AE295" s="126"/>
      <c r="AF295" s="126">
        <f t="shared" si="288"/>
        <v>0</v>
      </c>
      <c r="AG295" s="126"/>
      <c r="AH295" s="126"/>
      <c r="AI295" s="126">
        <f t="shared" si="252"/>
        <v>431.56500000000051</v>
      </c>
      <c r="AJ295" s="126">
        <f t="shared" si="277"/>
        <v>0</v>
      </c>
      <c r="AK295" s="126">
        <f t="shared" si="277"/>
        <v>0</v>
      </c>
      <c r="AL295" s="126">
        <f t="shared" si="278"/>
        <v>0</v>
      </c>
      <c r="AM295" s="126">
        <f t="shared" si="278"/>
        <v>431.56500000000051</v>
      </c>
      <c r="AN295" s="126"/>
      <c r="AO295" s="130">
        <f t="shared" si="264"/>
        <v>0</v>
      </c>
      <c r="AP295" s="116"/>
    </row>
    <row r="296" spans="1:42" s="117" customFormat="1" ht="14" hidden="1" outlineLevel="1">
      <c r="A296" s="136"/>
      <c r="B296" s="137" t="s">
        <v>680</v>
      </c>
      <c r="C296" s="126">
        <f t="shared" si="251"/>
        <v>413</v>
      </c>
      <c r="D296" s="126">
        <v>0</v>
      </c>
      <c r="E296" s="126">
        <v>0</v>
      </c>
      <c r="F296" s="126">
        <v>0</v>
      </c>
      <c r="G296" s="126">
        <f>1740-1327</f>
        <v>413</v>
      </c>
      <c r="H296" s="126">
        <f t="shared" si="268"/>
        <v>3767</v>
      </c>
      <c r="I296" s="126">
        <f t="shared" si="281"/>
        <v>0</v>
      </c>
      <c r="J296" s="126"/>
      <c r="K296" s="126">
        <v>0</v>
      </c>
      <c r="L296" s="126">
        <f t="shared" si="282"/>
        <v>3767</v>
      </c>
      <c r="M296" s="126"/>
      <c r="N296" s="126">
        <f>5417-1650</f>
        <v>3767</v>
      </c>
      <c r="O296" s="126">
        <f t="shared" si="269"/>
        <v>3479</v>
      </c>
      <c r="P296" s="126"/>
      <c r="Q296" s="126"/>
      <c r="R296" s="126"/>
      <c r="S296" s="126">
        <f t="shared" si="283"/>
        <v>3479</v>
      </c>
      <c r="T296" s="126"/>
      <c r="U296" s="126">
        <v>3479</v>
      </c>
      <c r="V296" s="126">
        <f t="shared" si="284"/>
        <v>701</v>
      </c>
      <c r="W296" s="126">
        <f t="shared" si="285"/>
        <v>0</v>
      </c>
      <c r="X296" s="126"/>
      <c r="Y296" s="126"/>
      <c r="Z296" s="126">
        <f t="shared" si="286"/>
        <v>701</v>
      </c>
      <c r="AA296" s="126"/>
      <c r="AB296" s="126">
        <f>701</f>
        <v>701</v>
      </c>
      <c r="AC296" s="126">
        <f t="shared" si="287"/>
        <v>0</v>
      </c>
      <c r="AD296" s="126"/>
      <c r="AE296" s="126"/>
      <c r="AF296" s="126">
        <f t="shared" si="288"/>
        <v>0</v>
      </c>
      <c r="AG296" s="126"/>
      <c r="AH296" s="126"/>
      <c r="AI296" s="126">
        <f t="shared" si="252"/>
        <v>0</v>
      </c>
      <c r="AJ296" s="126">
        <f t="shared" si="277"/>
        <v>0</v>
      </c>
      <c r="AK296" s="126">
        <f t="shared" si="277"/>
        <v>0</v>
      </c>
      <c r="AL296" s="126">
        <f t="shared" si="278"/>
        <v>0</v>
      </c>
      <c r="AM296" s="126">
        <f t="shared" si="278"/>
        <v>0</v>
      </c>
      <c r="AN296" s="126"/>
      <c r="AO296" s="130">
        <f t="shared" si="264"/>
        <v>0</v>
      </c>
      <c r="AP296" s="116"/>
    </row>
    <row r="297" spans="1:42" s="117" customFormat="1" ht="14" hidden="1" outlineLevel="1">
      <c r="A297" s="136"/>
      <c r="B297" s="137" t="s">
        <v>565</v>
      </c>
      <c r="C297" s="126">
        <f t="shared" si="251"/>
        <v>0</v>
      </c>
      <c r="D297" s="126">
        <v>0</v>
      </c>
      <c r="E297" s="126">
        <v>0</v>
      </c>
      <c r="F297" s="126">
        <v>0</v>
      </c>
      <c r="G297" s="126"/>
      <c r="H297" s="126">
        <f t="shared" si="268"/>
        <v>1171</v>
      </c>
      <c r="I297" s="126"/>
      <c r="J297" s="126"/>
      <c r="K297" s="126"/>
      <c r="L297" s="126">
        <f t="shared" si="282"/>
        <v>1171</v>
      </c>
      <c r="M297" s="126"/>
      <c r="N297" s="126">
        <f>1171</f>
        <v>1171</v>
      </c>
      <c r="O297" s="126">
        <f t="shared" si="269"/>
        <v>899</v>
      </c>
      <c r="P297" s="126"/>
      <c r="Q297" s="126"/>
      <c r="R297" s="126"/>
      <c r="S297" s="126">
        <f>T297+U297</f>
        <v>899</v>
      </c>
      <c r="T297" s="126"/>
      <c r="U297" s="126">
        <v>899</v>
      </c>
      <c r="V297" s="126">
        <f t="shared" si="284"/>
        <v>0</v>
      </c>
      <c r="W297" s="126"/>
      <c r="X297" s="126"/>
      <c r="Y297" s="126"/>
      <c r="Z297" s="126">
        <f t="shared" si="286"/>
        <v>0</v>
      </c>
      <c r="AA297" s="126"/>
      <c r="AB297" s="126"/>
      <c r="AC297" s="126">
        <f t="shared" si="287"/>
        <v>0</v>
      </c>
      <c r="AD297" s="126"/>
      <c r="AE297" s="126"/>
      <c r="AF297" s="126">
        <f t="shared" si="288"/>
        <v>0</v>
      </c>
      <c r="AG297" s="126"/>
      <c r="AH297" s="126"/>
      <c r="AI297" s="126">
        <f t="shared" si="252"/>
        <v>272</v>
      </c>
      <c r="AJ297" s="126">
        <f t="shared" si="277"/>
        <v>0</v>
      </c>
      <c r="AK297" s="126">
        <f t="shared" si="277"/>
        <v>0</v>
      </c>
      <c r="AL297" s="126">
        <f t="shared" si="278"/>
        <v>0</v>
      </c>
      <c r="AM297" s="126">
        <f t="shared" si="278"/>
        <v>272</v>
      </c>
      <c r="AN297" s="126"/>
      <c r="AO297" s="130">
        <f t="shared" si="264"/>
        <v>0</v>
      </c>
      <c r="AP297" s="116"/>
    </row>
    <row r="298" spans="1:42" s="117" customFormat="1" ht="14" hidden="1" outlineLevel="1">
      <c r="A298" s="136"/>
      <c r="B298" s="137" t="s">
        <v>566</v>
      </c>
      <c r="C298" s="126">
        <f t="shared" si="251"/>
        <v>8.9509999999998495</v>
      </c>
      <c r="D298" s="126">
        <v>0</v>
      </c>
      <c r="E298" s="126">
        <v>0</v>
      </c>
      <c r="F298" s="126">
        <v>0</v>
      </c>
      <c r="G298" s="126">
        <f>8.95099999999985</f>
        <v>8.9509999999998495</v>
      </c>
      <c r="H298" s="126">
        <f t="shared" si="268"/>
        <v>3130</v>
      </c>
      <c r="I298" s="126">
        <f t="shared" si="281"/>
        <v>0</v>
      </c>
      <c r="J298" s="126"/>
      <c r="K298" s="126">
        <v>0</v>
      </c>
      <c r="L298" s="126">
        <f t="shared" si="282"/>
        <v>3130</v>
      </c>
      <c r="M298" s="126"/>
      <c r="N298" s="126">
        <f>3523-393</f>
        <v>3130</v>
      </c>
      <c r="O298" s="126">
        <f t="shared" si="269"/>
        <v>2996.5929999999998</v>
      </c>
      <c r="P298" s="126"/>
      <c r="Q298" s="126"/>
      <c r="R298" s="126"/>
      <c r="S298" s="126">
        <f t="shared" si="283"/>
        <v>2996.5929999999998</v>
      </c>
      <c r="T298" s="126"/>
      <c r="U298" s="126">
        <v>2996.5929999999998</v>
      </c>
      <c r="V298" s="126">
        <f t="shared" si="284"/>
        <v>8.9509999999998495</v>
      </c>
      <c r="W298" s="126">
        <f t="shared" ref="W298:W304" si="289">X298+Y298</f>
        <v>0</v>
      </c>
      <c r="X298" s="126"/>
      <c r="Y298" s="126"/>
      <c r="Z298" s="126">
        <f t="shared" si="286"/>
        <v>8.9509999999998495</v>
      </c>
      <c r="AA298" s="126"/>
      <c r="AB298" s="126">
        <f>G298</f>
        <v>8.9509999999998495</v>
      </c>
      <c r="AC298" s="126">
        <f t="shared" si="287"/>
        <v>0</v>
      </c>
      <c r="AD298" s="126"/>
      <c r="AE298" s="126"/>
      <c r="AF298" s="126">
        <f t="shared" si="288"/>
        <v>0</v>
      </c>
      <c r="AG298" s="126"/>
      <c r="AH298" s="126"/>
      <c r="AI298" s="126">
        <f t="shared" si="252"/>
        <v>133.40700000000032</v>
      </c>
      <c r="AJ298" s="126">
        <f t="shared" si="277"/>
        <v>0</v>
      </c>
      <c r="AK298" s="126">
        <f t="shared" si="277"/>
        <v>0</v>
      </c>
      <c r="AL298" s="126">
        <f t="shared" si="278"/>
        <v>0</v>
      </c>
      <c r="AM298" s="126">
        <f t="shared" si="278"/>
        <v>133.40700000000032</v>
      </c>
      <c r="AN298" s="126"/>
      <c r="AO298" s="130">
        <f t="shared" si="264"/>
        <v>0</v>
      </c>
      <c r="AP298" s="116"/>
    </row>
    <row r="299" spans="1:42" s="117" customFormat="1" ht="14" hidden="1" outlineLevel="1">
      <c r="A299" s="136"/>
      <c r="B299" s="137" t="s">
        <v>567</v>
      </c>
      <c r="C299" s="126">
        <f t="shared" si="251"/>
        <v>490.7199999999998</v>
      </c>
      <c r="D299" s="126">
        <v>0</v>
      </c>
      <c r="E299" s="126">
        <v>0</v>
      </c>
      <c r="F299" s="126">
        <v>0</v>
      </c>
      <c r="G299" s="126">
        <v>490.7199999999998</v>
      </c>
      <c r="H299" s="126">
        <f t="shared" si="268"/>
        <v>1388.28</v>
      </c>
      <c r="I299" s="126">
        <f t="shared" si="281"/>
        <v>0</v>
      </c>
      <c r="J299" s="126"/>
      <c r="K299" s="126">
        <v>0</v>
      </c>
      <c r="L299" s="126">
        <f t="shared" si="282"/>
        <v>1388.28</v>
      </c>
      <c r="M299" s="126"/>
      <c r="N299" s="126">
        <f>3437-1207-841.72</f>
        <v>1388.28</v>
      </c>
      <c r="O299" s="126">
        <f t="shared" si="269"/>
        <v>1878.9999999999998</v>
      </c>
      <c r="P299" s="126"/>
      <c r="Q299" s="126"/>
      <c r="R299" s="126"/>
      <c r="S299" s="126">
        <f t="shared" si="283"/>
        <v>1878.9999999999998</v>
      </c>
      <c r="T299" s="126"/>
      <c r="U299" s="126">
        <f>G299+N299</f>
        <v>1878.9999999999998</v>
      </c>
      <c r="V299" s="126">
        <f t="shared" si="284"/>
        <v>0</v>
      </c>
      <c r="W299" s="126">
        <f t="shared" si="289"/>
        <v>0</v>
      </c>
      <c r="X299" s="126"/>
      <c r="Y299" s="126"/>
      <c r="Z299" s="126">
        <f t="shared" si="286"/>
        <v>0</v>
      </c>
      <c r="AA299" s="126"/>
      <c r="AB299" s="126"/>
      <c r="AC299" s="126">
        <f t="shared" si="287"/>
        <v>0</v>
      </c>
      <c r="AD299" s="126"/>
      <c r="AE299" s="126"/>
      <c r="AF299" s="126">
        <f t="shared" si="288"/>
        <v>0</v>
      </c>
      <c r="AG299" s="126"/>
      <c r="AH299" s="126"/>
      <c r="AI299" s="126">
        <f t="shared" si="252"/>
        <v>0</v>
      </c>
      <c r="AJ299" s="126">
        <f t="shared" si="277"/>
        <v>0</v>
      </c>
      <c r="AK299" s="126">
        <f t="shared" si="277"/>
        <v>0</v>
      </c>
      <c r="AL299" s="126">
        <f t="shared" si="278"/>
        <v>0</v>
      </c>
      <c r="AM299" s="126">
        <f t="shared" si="278"/>
        <v>0</v>
      </c>
      <c r="AN299" s="126"/>
      <c r="AO299" s="130">
        <f t="shared" si="264"/>
        <v>0</v>
      </c>
      <c r="AP299" s="116"/>
    </row>
    <row r="300" spans="1:42" s="117" customFormat="1" ht="14" hidden="1" outlineLevel="1">
      <c r="A300" s="136"/>
      <c r="B300" s="137" t="s">
        <v>568</v>
      </c>
      <c r="C300" s="126">
        <f t="shared" si="251"/>
        <v>0</v>
      </c>
      <c r="D300" s="126">
        <v>0</v>
      </c>
      <c r="E300" s="126"/>
      <c r="F300" s="126">
        <v>0</v>
      </c>
      <c r="G300" s="126">
        <f>1108-1108</f>
        <v>0</v>
      </c>
      <c r="H300" s="126">
        <f t="shared" si="268"/>
        <v>6360.2070000000003</v>
      </c>
      <c r="I300" s="126">
        <f t="shared" si="281"/>
        <v>0</v>
      </c>
      <c r="J300" s="126"/>
      <c r="K300" s="126">
        <v>0</v>
      </c>
      <c r="L300" s="126">
        <f t="shared" si="282"/>
        <v>6360.2070000000003</v>
      </c>
      <c r="M300" s="126"/>
      <c r="N300" s="126">
        <f>6546-185.793</f>
        <v>6360.2070000000003</v>
      </c>
      <c r="O300" s="126">
        <f t="shared" si="269"/>
        <v>6359.5069999999996</v>
      </c>
      <c r="P300" s="126"/>
      <c r="Q300" s="126"/>
      <c r="R300" s="126"/>
      <c r="S300" s="126">
        <f t="shared" si="283"/>
        <v>6359.5069999999996</v>
      </c>
      <c r="T300" s="126"/>
      <c r="U300" s="126">
        <f>6359.507</f>
        <v>6359.5069999999996</v>
      </c>
      <c r="V300" s="126">
        <f t="shared" si="284"/>
        <v>0</v>
      </c>
      <c r="W300" s="126">
        <f t="shared" si="289"/>
        <v>0</v>
      </c>
      <c r="X300" s="126"/>
      <c r="Y300" s="126"/>
      <c r="Z300" s="126">
        <f t="shared" si="286"/>
        <v>0</v>
      </c>
      <c r="AA300" s="126"/>
      <c r="AB300" s="126"/>
      <c r="AC300" s="126">
        <f t="shared" si="287"/>
        <v>0</v>
      </c>
      <c r="AD300" s="126"/>
      <c r="AE300" s="126"/>
      <c r="AF300" s="126">
        <f t="shared" si="288"/>
        <v>0</v>
      </c>
      <c r="AG300" s="126"/>
      <c r="AH300" s="126"/>
      <c r="AI300" s="126">
        <f t="shared" si="252"/>
        <v>0.7000000000007276</v>
      </c>
      <c r="AJ300" s="126">
        <f t="shared" si="277"/>
        <v>0</v>
      </c>
      <c r="AK300" s="126">
        <f t="shared" si="277"/>
        <v>0</v>
      </c>
      <c r="AL300" s="126">
        <f t="shared" si="278"/>
        <v>0</v>
      </c>
      <c r="AM300" s="126">
        <f t="shared" si="278"/>
        <v>0.7000000000007276</v>
      </c>
      <c r="AN300" s="126"/>
      <c r="AO300" s="130">
        <f t="shared" si="264"/>
        <v>0</v>
      </c>
      <c r="AP300" s="116"/>
    </row>
    <row r="301" spans="1:42" s="117" customFormat="1" ht="14" hidden="1" outlineLevel="1">
      <c r="A301" s="136"/>
      <c r="B301" s="137" t="s">
        <v>695</v>
      </c>
      <c r="C301" s="126">
        <f t="shared" si="251"/>
        <v>162</v>
      </c>
      <c r="D301" s="126">
        <v>0</v>
      </c>
      <c r="E301" s="126">
        <f>162</f>
        <v>162</v>
      </c>
      <c r="F301" s="126">
        <v>0</v>
      </c>
      <c r="G301" s="126">
        <v>0</v>
      </c>
      <c r="H301" s="126">
        <f t="shared" si="268"/>
        <v>1301</v>
      </c>
      <c r="I301" s="126">
        <f t="shared" si="281"/>
        <v>1301</v>
      </c>
      <c r="J301" s="126"/>
      <c r="K301" s="126">
        <f>847+454</f>
        <v>1301</v>
      </c>
      <c r="L301" s="126">
        <f t="shared" si="282"/>
        <v>0</v>
      </c>
      <c r="M301" s="126"/>
      <c r="N301" s="126"/>
      <c r="O301" s="126">
        <f t="shared" si="269"/>
        <v>1463</v>
      </c>
      <c r="P301" s="126">
        <f>Q301+R301</f>
        <v>1463</v>
      </c>
      <c r="Q301" s="126"/>
      <c r="R301" s="126">
        <f>E301+K301</f>
        <v>1463</v>
      </c>
      <c r="S301" s="126"/>
      <c r="T301" s="126"/>
      <c r="U301" s="126"/>
      <c r="V301" s="126">
        <f t="shared" si="284"/>
        <v>0</v>
      </c>
      <c r="W301" s="126">
        <f t="shared" si="289"/>
        <v>0</v>
      </c>
      <c r="X301" s="126"/>
      <c r="Y301" s="126"/>
      <c r="Z301" s="126">
        <f t="shared" si="286"/>
        <v>0</v>
      </c>
      <c r="AA301" s="126"/>
      <c r="AB301" s="126"/>
      <c r="AC301" s="126">
        <f t="shared" si="287"/>
        <v>0</v>
      </c>
      <c r="AD301" s="126"/>
      <c r="AE301" s="126"/>
      <c r="AF301" s="126">
        <f t="shared" si="288"/>
        <v>0</v>
      </c>
      <c r="AG301" s="126"/>
      <c r="AH301" s="126"/>
      <c r="AI301" s="126">
        <f t="shared" si="252"/>
        <v>0</v>
      </c>
      <c r="AJ301" s="126">
        <f t="shared" si="277"/>
        <v>0</v>
      </c>
      <c r="AK301" s="126">
        <f t="shared" si="277"/>
        <v>0</v>
      </c>
      <c r="AL301" s="126">
        <f t="shared" si="278"/>
        <v>0</v>
      </c>
      <c r="AM301" s="126">
        <f t="shared" si="278"/>
        <v>0</v>
      </c>
      <c r="AN301" s="126"/>
      <c r="AO301" s="130">
        <f t="shared" si="264"/>
        <v>0</v>
      </c>
      <c r="AP301" s="116"/>
    </row>
    <row r="302" spans="1:42" s="117" customFormat="1" ht="14" hidden="1" outlineLevel="1">
      <c r="A302" s="136"/>
      <c r="B302" s="137" t="s">
        <v>696</v>
      </c>
      <c r="C302" s="126">
        <f t="shared" si="251"/>
        <v>0</v>
      </c>
      <c r="D302" s="126">
        <v>0</v>
      </c>
      <c r="E302" s="126">
        <f>289-289</f>
        <v>0</v>
      </c>
      <c r="F302" s="126">
        <v>0</v>
      </c>
      <c r="G302" s="126">
        <v>0</v>
      </c>
      <c r="H302" s="126">
        <f t="shared" si="268"/>
        <v>1381</v>
      </c>
      <c r="I302" s="126">
        <f t="shared" si="281"/>
        <v>1381</v>
      </c>
      <c r="J302" s="126"/>
      <c r="K302" s="126">
        <f>1756-375</f>
        <v>1381</v>
      </c>
      <c r="L302" s="126">
        <f t="shared" si="282"/>
        <v>0</v>
      </c>
      <c r="M302" s="126"/>
      <c r="N302" s="126"/>
      <c r="O302" s="126">
        <f t="shared" si="269"/>
        <v>1381</v>
      </c>
      <c r="P302" s="126">
        <f>Q302+R302</f>
        <v>1381</v>
      </c>
      <c r="Q302" s="126"/>
      <c r="R302" s="126">
        <f>1381</f>
        <v>1381</v>
      </c>
      <c r="S302" s="126"/>
      <c r="T302" s="126"/>
      <c r="U302" s="126"/>
      <c r="V302" s="126">
        <f t="shared" si="284"/>
        <v>0</v>
      </c>
      <c r="W302" s="126">
        <f t="shared" si="289"/>
        <v>0</v>
      </c>
      <c r="X302" s="126"/>
      <c r="Y302" s="126"/>
      <c r="Z302" s="126">
        <f t="shared" si="286"/>
        <v>0</v>
      </c>
      <c r="AA302" s="126"/>
      <c r="AB302" s="126"/>
      <c r="AC302" s="126">
        <f t="shared" si="287"/>
        <v>0</v>
      </c>
      <c r="AD302" s="126"/>
      <c r="AE302" s="126"/>
      <c r="AF302" s="126">
        <f t="shared" si="288"/>
        <v>0</v>
      </c>
      <c r="AG302" s="126"/>
      <c r="AH302" s="126"/>
      <c r="AI302" s="126">
        <f t="shared" si="252"/>
        <v>0</v>
      </c>
      <c r="AJ302" s="126">
        <f t="shared" si="277"/>
        <v>0</v>
      </c>
      <c r="AK302" s="126">
        <f t="shared" si="277"/>
        <v>0</v>
      </c>
      <c r="AL302" s="126">
        <f t="shared" si="278"/>
        <v>0</v>
      </c>
      <c r="AM302" s="126">
        <f t="shared" si="278"/>
        <v>0</v>
      </c>
      <c r="AN302" s="126"/>
      <c r="AO302" s="130">
        <f t="shared" si="264"/>
        <v>0</v>
      </c>
      <c r="AP302" s="116"/>
    </row>
    <row r="303" spans="1:42" s="177" customFormat="1" ht="14" hidden="1" outlineLevel="2">
      <c r="A303" s="174"/>
      <c r="B303" s="169" t="s">
        <v>697</v>
      </c>
      <c r="C303" s="175">
        <f t="shared" si="251"/>
        <v>257</v>
      </c>
      <c r="D303" s="175">
        <v>0</v>
      </c>
      <c r="E303" s="175">
        <v>257</v>
      </c>
      <c r="F303" s="175">
        <v>0</v>
      </c>
      <c r="G303" s="175">
        <v>0</v>
      </c>
      <c r="H303" s="175">
        <f t="shared" si="268"/>
        <v>0</v>
      </c>
      <c r="I303" s="175">
        <f t="shared" si="281"/>
        <v>0</v>
      </c>
      <c r="J303" s="175"/>
      <c r="K303" s="175"/>
      <c r="L303" s="175">
        <f t="shared" si="282"/>
        <v>0</v>
      </c>
      <c r="M303" s="175"/>
      <c r="N303" s="175"/>
      <c r="O303" s="175">
        <f t="shared" si="269"/>
        <v>0</v>
      </c>
      <c r="P303" s="175">
        <f>Q303+R303</f>
        <v>0</v>
      </c>
      <c r="Q303" s="175"/>
      <c r="R303" s="175"/>
      <c r="S303" s="175"/>
      <c r="T303" s="175"/>
      <c r="U303" s="175"/>
      <c r="V303" s="175">
        <f t="shared" si="284"/>
        <v>0</v>
      </c>
      <c r="W303" s="175">
        <f t="shared" si="289"/>
        <v>0</v>
      </c>
      <c r="X303" s="175"/>
      <c r="Y303" s="175"/>
      <c r="Z303" s="175">
        <f t="shared" si="286"/>
        <v>0</v>
      </c>
      <c r="AA303" s="175"/>
      <c r="AB303" s="175"/>
      <c r="AC303" s="175">
        <f t="shared" si="287"/>
        <v>0</v>
      </c>
      <c r="AD303" s="175"/>
      <c r="AE303" s="175"/>
      <c r="AF303" s="175">
        <f t="shared" si="288"/>
        <v>0</v>
      </c>
      <c r="AG303" s="175"/>
      <c r="AH303" s="175"/>
      <c r="AI303" s="175">
        <f t="shared" si="252"/>
        <v>257</v>
      </c>
      <c r="AJ303" s="175">
        <f t="shared" si="277"/>
        <v>0</v>
      </c>
      <c r="AK303" s="175">
        <f t="shared" si="277"/>
        <v>257</v>
      </c>
      <c r="AL303" s="175">
        <f t="shared" si="278"/>
        <v>0</v>
      </c>
      <c r="AM303" s="175">
        <f t="shared" si="278"/>
        <v>0</v>
      </c>
      <c r="AN303" s="126"/>
      <c r="AO303" s="130">
        <f t="shared" si="264"/>
        <v>0</v>
      </c>
      <c r="AP303" s="176"/>
    </row>
    <row r="304" spans="1:42" s="177" customFormat="1" ht="14" hidden="1" outlineLevel="2">
      <c r="A304" s="174"/>
      <c r="B304" s="169" t="s">
        <v>698</v>
      </c>
      <c r="C304" s="175">
        <f t="shared" si="251"/>
        <v>288</v>
      </c>
      <c r="D304" s="175">
        <v>0</v>
      </c>
      <c r="E304" s="175">
        <v>288</v>
      </c>
      <c r="F304" s="175">
        <v>0</v>
      </c>
      <c r="G304" s="175">
        <v>0</v>
      </c>
      <c r="H304" s="175">
        <f t="shared" si="268"/>
        <v>0</v>
      </c>
      <c r="I304" s="175">
        <f t="shared" si="281"/>
        <v>0</v>
      </c>
      <c r="J304" s="175"/>
      <c r="K304" s="175"/>
      <c r="L304" s="175">
        <f t="shared" si="282"/>
        <v>0</v>
      </c>
      <c r="M304" s="175"/>
      <c r="N304" s="175"/>
      <c r="O304" s="175">
        <f t="shared" si="269"/>
        <v>0</v>
      </c>
      <c r="P304" s="175">
        <f>Q304+R304</f>
        <v>0</v>
      </c>
      <c r="Q304" s="175"/>
      <c r="R304" s="175"/>
      <c r="S304" s="175"/>
      <c r="T304" s="175"/>
      <c r="U304" s="175"/>
      <c r="V304" s="175">
        <f t="shared" si="284"/>
        <v>0</v>
      </c>
      <c r="W304" s="175">
        <f t="shared" si="289"/>
        <v>0</v>
      </c>
      <c r="X304" s="175"/>
      <c r="Y304" s="175"/>
      <c r="Z304" s="175">
        <f t="shared" si="286"/>
        <v>0</v>
      </c>
      <c r="AA304" s="175"/>
      <c r="AB304" s="175"/>
      <c r="AC304" s="175">
        <f t="shared" si="287"/>
        <v>0</v>
      </c>
      <c r="AD304" s="175"/>
      <c r="AE304" s="175"/>
      <c r="AF304" s="175">
        <f t="shared" si="288"/>
        <v>0</v>
      </c>
      <c r="AG304" s="175"/>
      <c r="AH304" s="175"/>
      <c r="AI304" s="175">
        <f t="shared" si="252"/>
        <v>288</v>
      </c>
      <c r="AJ304" s="175">
        <f t="shared" si="277"/>
        <v>0</v>
      </c>
      <c r="AK304" s="175">
        <f t="shared" si="277"/>
        <v>288</v>
      </c>
      <c r="AL304" s="175">
        <f t="shared" si="278"/>
        <v>0</v>
      </c>
      <c r="AM304" s="175">
        <f t="shared" si="278"/>
        <v>0</v>
      </c>
      <c r="AN304" s="126"/>
      <c r="AO304" s="130">
        <f t="shared" si="264"/>
        <v>0</v>
      </c>
      <c r="AP304" s="176"/>
    </row>
    <row r="305" spans="1:42" s="117" customFormat="1" ht="14" hidden="1" outlineLevel="1">
      <c r="A305" s="136"/>
      <c r="B305" s="137" t="s">
        <v>699</v>
      </c>
      <c r="C305" s="126">
        <f t="shared" si="251"/>
        <v>14276.414000000001</v>
      </c>
      <c r="D305" s="126">
        <v>0</v>
      </c>
      <c r="E305" s="126">
        <v>14276.414000000001</v>
      </c>
      <c r="F305" s="126">
        <v>0</v>
      </c>
      <c r="G305" s="126">
        <v>0</v>
      </c>
      <c r="H305" s="126">
        <f t="shared" si="268"/>
        <v>0</v>
      </c>
      <c r="I305" s="126">
        <f>J305+K305</f>
        <v>0</v>
      </c>
      <c r="J305" s="126"/>
      <c r="K305" s="126">
        <v>0</v>
      </c>
      <c r="L305" s="126">
        <f>M305+N305</f>
        <v>0</v>
      </c>
      <c r="M305" s="126"/>
      <c r="N305" s="126"/>
      <c r="O305" s="126">
        <f>P305+S305</f>
        <v>0</v>
      </c>
      <c r="P305" s="126">
        <v>0</v>
      </c>
      <c r="Q305" s="126"/>
      <c r="R305" s="126">
        <v>0</v>
      </c>
      <c r="S305" s="126"/>
      <c r="T305" s="126"/>
      <c r="U305" s="126"/>
      <c r="V305" s="126">
        <f t="shared" si="284"/>
        <v>0</v>
      </c>
      <c r="W305" s="126">
        <f>X305+Y305</f>
        <v>0</v>
      </c>
      <c r="X305" s="126"/>
      <c r="Y305" s="126"/>
      <c r="Z305" s="126">
        <f>AA305+AB305</f>
        <v>0</v>
      </c>
      <c r="AA305" s="126"/>
      <c r="AB305" s="126"/>
      <c r="AC305" s="126">
        <f t="shared" si="287"/>
        <v>0</v>
      </c>
      <c r="AD305" s="126"/>
      <c r="AE305" s="126"/>
      <c r="AF305" s="126">
        <f t="shared" si="288"/>
        <v>0</v>
      </c>
      <c r="AG305" s="126"/>
      <c r="AH305" s="126"/>
      <c r="AI305" s="126">
        <f t="shared" si="252"/>
        <v>14276.414000000001</v>
      </c>
      <c r="AJ305" s="126">
        <f t="shared" si="277"/>
        <v>0</v>
      </c>
      <c r="AK305" s="126">
        <f t="shared" si="277"/>
        <v>14276.414000000001</v>
      </c>
      <c r="AL305" s="126">
        <f t="shared" si="278"/>
        <v>0</v>
      </c>
      <c r="AM305" s="126">
        <f t="shared" si="278"/>
        <v>0</v>
      </c>
      <c r="AN305" s="126"/>
      <c r="AO305" s="130">
        <f t="shared" si="264"/>
        <v>0</v>
      </c>
      <c r="AP305" s="116"/>
    </row>
    <row r="306" spans="1:42" s="117" customFormat="1" ht="14" hidden="1" outlineLevel="1">
      <c r="A306" s="136"/>
      <c r="B306" s="137" t="s">
        <v>604</v>
      </c>
      <c r="C306" s="126">
        <f>SUM(D306:G306)</f>
        <v>2844.3978999999999</v>
      </c>
      <c r="D306" s="126">
        <v>0</v>
      </c>
      <c r="E306" s="126">
        <f>289+120.158+1327.2399+1108</f>
        <v>2844.3978999999999</v>
      </c>
      <c r="F306" s="126">
        <v>0</v>
      </c>
      <c r="G306" s="126">
        <f>120.158-120.158</f>
        <v>0</v>
      </c>
      <c r="H306" s="126">
        <f>I306+L306</f>
        <v>1686.5129999999999</v>
      </c>
      <c r="I306" s="126">
        <f>J306+K306</f>
        <v>1686.5129999999999</v>
      </c>
      <c r="J306" s="126"/>
      <c r="K306" s="126">
        <f>375+284+841.72+185.793</f>
        <v>1686.5129999999999</v>
      </c>
      <c r="L306" s="126">
        <f>M306+N306</f>
        <v>0</v>
      </c>
      <c r="M306" s="126"/>
      <c r="N306" s="126"/>
      <c r="O306" s="126">
        <f>P306+S306</f>
        <v>0</v>
      </c>
      <c r="P306" s="126">
        <v>0</v>
      </c>
      <c r="Q306" s="126"/>
      <c r="R306" s="126">
        <v>0</v>
      </c>
      <c r="S306" s="126"/>
      <c r="T306" s="126"/>
      <c r="U306" s="126"/>
      <c r="V306" s="126">
        <f>W306+Z306+AC306+AF306</f>
        <v>0</v>
      </c>
      <c r="W306" s="126">
        <f>X306+Y306</f>
        <v>0</v>
      </c>
      <c r="X306" s="126"/>
      <c r="Y306" s="126"/>
      <c r="Z306" s="126">
        <f>AA306+AB306</f>
        <v>0</v>
      </c>
      <c r="AA306" s="126"/>
      <c r="AB306" s="126"/>
      <c r="AC306" s="126">
        <f>AD306+AE306</f>
        <v>0</v>
      </c>
      <c r="AD306" s="126"/>
      <c r="AE306" s="126"/>
      <c r="AF306" s="126">
        <f>AG306+AH306</f>
        <v>0</v>
      </c>
      <c r="AG306" s="126"/>
      <c r="AH306" s="126"/>
      <c r="AI306" s="126">
        <f>SUM(AJ306:AM306)</f>
        <v>4530.9108999999999</v>
      </c>
      <c r="AJ306" s="126">
        <f>D306+J306-Q306-X306-AD306</f>
        <v>0</v>
      </c>
      <c r="AK306" s="126">
        <f>E306+K306-R306-Y306-AE306</f>
        <v>4530.9108999999999</v>
      </c>
      <c r="AL306" s="126">
        <f>F306+M306-T306-AA306-AG306</f>
        <v>0</v>
      </c>
      <c r="AM306" s="126">
        <f>G306+N306-U306-AB306-AH306</f>
        <v>0</v>
      </c>
      <c r="AN306" s="126"/>
      <c r="AO306" s="130">
        <f t="shared" si="264"/>
        <v>0</v>
      </c>
      <c r="AP306" s="116"/>
    </row>
    <row r="307" spans="1:42" s="117" customFormat="1" ht="28" collapsed="1">
      <c r="A307" s="151" t="s">
        <v>700</v>
      </c>
      <c r="B307" s="178" t="s">
        <v>701</v>
      </c>
      <c r="C307" s="179">
        <f>SUM(C308:C311)</f>
        <v>0</v>
      </c>
      <c r="D307" s="179">
        <f>SUM(D308:D311)</f>
        <v>0</v>
      </c>
      <c r="E307" s="179">
        <f>SUM(E308:E311)</f>
        <v>0</v>
      </c>
      <c r="F307" s="179">
        <f>SUM(F308:F311)</f>
        <v>0</v>
      </c>
      <c r="G307" s="179">
        <f>SUM(G308:G311)</f>
        <v>0</v>
      </c>
      <c r="H307" s="179">
        <f t="shared" ref="H307:AM307" si="290">SUM(H308:H311)</f>
        <v>5942</v>
      </c>
      <c r="I307" s="179">
        <f t="shared" si="290"/>
        <v>5942</v>
      </c>
      <c r="J307" s="179">
        <f t="shared" si="290"/>
        <v>0</v>
      </c>
      <c r="K307" s="179">
        <f t="shared" si="290"/>
        <v>5942</v>
      </c>
      <c r="L307" s="179">
        <f t="shared" si="290"/>
        <v>0</v>
      </c>
      <c r="M307" s="179">
        <f t="shared" si="290"/>
        <v>0</v>
      </c>
      <c r="N307" s="179">
        <f t="shared" si="290"/>
        <v>0</v>
      </c>
      <c r="O307" s="179">
        <f t="shared" si="290"/>
        <v>3896</v>
      </c>
      <c r="P307" s="179">
        <f t="shared" si="290"/>
        <v>3896</v>
      </c>
      <c r="Q307" s="179">
        <f t="shared" si="290"/>
        <v>0</v>
      </c>
      <c r="R307" s="179">
        <f t="shared" si="290"/>
        <v>3896</v>
      </c>
      <c r="S307" s="179">
        <f t="shared" si="290"/>
        <v>0</v>
      </c>
      <c r="T307" s="179">
        <f t="shared" si="290"/>
        <v>0</v>
      </c>
      <c r="U307" s="179">
        <f t="shared" si="290"/>
        <v>0</v>
      </c>
      <c r="V307" s="179">
        <f t="shared" si="290"/>
        <v>0</v>
      </c>
      <c r="W307" s="179">
        <f t="shared" si="290"/>
        <v>0</v>
      </c>
      <c r="X307" s="179">
        <f t="shared" si="290"/>
        <v>0</v>
      </c>
      <c r="Y307" s="179">
        <f t="shared" si="290"/>
        <v>0</v>
      </c>
      <c r="Z307" s="179">
        <f t="shared" si="290"/>
        <v>0</v>
      </c>
      <c r="AA307" s="179">
        <f t="shared" si="290"/>
        <v>0</v>
      </c>
      <c r="AB307" s="179">
        <f t="shared" si="290"/>
        <v>0</v>
      </c>
      <c r="AC307" s="179">
        <f t="shared" si="290"/>
        <v>0</v>
      </c>
      <c r="AD307" s="179">
        <f t="shared" si="290"/>
        <v>0</v>
      </c>
      <c r="AE307" s="179">
        <f t="shared" si="290"/>
        <v>0</v>
      </c>
      <c r="AF307" s="179">
        <f t="shared" si="290"/>
        <v>0</v>
      </c>
      <c r="AG307" s="179">
        <f t="shared" si="290"/>
        <v>0</v>
      </c>
      <c r="AH307" s="179">
        <f t="shared" si="290"/>
        <v>0</v>
      </c>
      <c r="AI307" s="179">
        <f t="shared" si="252"/>
        <v>2046</v>
      </c>
      <c r="AJ307" s="179">
        <f t="shared" si="290"/>
        <v>0</v>
      </c>
      <c r="AK307" s="179">
        <f t="shared" si="290"/>
        <v>2046</v>
      </c>
      <c r="AL307" s="179">
        <f t="shared" si="290"/>
        <v>0</v>
      </c>
      <c r="AM307" s="179">
        <f t="shared" si="290"/>
        <v>0</v>
      </c>
      <c r="AN307" s="126"/>
      <c r="AO307" s="130">
        <f t="shared" si="264"/>
        <v>0</v>
      </c>
      <c r="AP307" s="116"/>
    </row>
    <row r="308" spans="1:42" s="117" customFormat="1" ht="14" hidden="1" outlineLevel="1">
      <c r="A308" s="139"/>
      <c r="B308" s="137" t="s">
        <v>696</v>
      </c>
      <c r="C308" s="180">
        <f t="shared" si="251"/>
        <v>0</v>
      </c>
      <c r="D308" s="180">
        <v>0</v>
      </c>
      <c r="E308" s="180">
        <v>0</v>
      </c>
      <c r="F308" s="180">
        <v>0</v>
      </c>
      <c r="G308" s="180">
        <v>0</v>
      </c>
      <c r="H308" s="180">
        <f>I308+L308</f>
        <v>3896</v>
      </c>
      <c r="I308" s="180">
        <f>J308+K308</f>
        <v>3896</v>
      </c>
      <c r="J308" s="180"/>
      <c r="K308" s="180">
        <f>5942-2046</f>
        <v>3896</v>
      </c>
      <c r="L308" s="180">
        <f>M308+N308</f>
        <v>0</v>
      </c>
      <c r="M308" s="180"/>
      <c r="N308" s="180"/>
      <c r="O308" s="180">
        <f>P308+S308</f>
        <v>3896</v>
      </c>
      <c r="P308" s="180">
        <f>Q308+R308</f>
        <v>3896</v>
      </c>
      <c r="Q308" s="180"/>
      <c r="R308" s="180">
        <f>3896</f>
        <v>3896</v>
      </c>
      <c r="S308" s="180">
        <f>T308+U308</f>
        <v>0</v>
      </c>
      <c r="T308" s="180">
        <f>U308+V308</f>
        <v>0</v>
      </c>
      <c r="U308" s="180"/>
      <c r="V308" s="180">
        <f>W308+Z308+AC308+AF308</f>
        <v>0</v>
      </c>
      <c r="W308" s="180">
        <f>X308+Y308</f>
        <v>0</v>
      </c>
      <c r="X308" s="180"/>
      <c r="Y308" s="180"/>
      <c r="Z308" s="180">
        <f>AA308+AB308</f>
        <v>0</v>
      </c>
      <c r="AA308" s="180"/>
      <c r="AB308" s="180"/>
      <c r="AC308" s="126">
        <f>AD308+AE308</f>
        <v>0</v>
      </c>
      <c r="AD308" s="126"/>
      <c r="AE308" s="126"/>
      <c r="AF308" s="126">
        <f>AG308+AH308</f>
        <v>0</v>
      </c>
      <c r="AG308" s="180"/>
      <c r="AH308" s="180"/>
      <c r="AI308" s="180">
        <f t="shared" si="252"/>
        <v>0</v>
      </c>
      <c r="AJ308" s="180">
        <f>D308+J308-Q308-X308-AD308</f>
        <v>0</v>
      </c>
      <c r="AK308" s="180">
        <f>E308+K308-R308-Y308-AE308</f>
        <v>0</v>
      </c>
      <c r="AL308" s="180">
        <f t="shared" ref="AL308:AM324" si="291">F308+M308-T308-AA308-AG308</f>
        <v>0</v>
      </c>
      <c r="AM308" s="180">
        <f t="shared" si="291"/>
        <v>0</v>
      </c>
      <c r="AN308" s="126"/>
      <c r="AO308" s="130">
        <f t="shared" si="264"/>
        <v>0</v>
      </c>
      <c r="AP308" s="116"/>
    </row>
    <row r="309" spans="1:42" s="117" customFormat="1" ht="14" hidden="1" outlineLevel="1">
      <c r="A309" s="139"/>
      <c r="B309" s="137" t="s">
        <v>681</v>
      </c>
      <c r="C309" s="180">
        <f t="shared" si="251"/>
        <v>0</v>
      </c>
      <c r="D309" s="180">
        <v>0</v>
      </c>
      <c r="E309" s="180">
        <v>0</v>
      </c>
      <c r="F309" s="180">
        <v>0</v>
      </c>
      <c r="G309" s="180">
        <v>0</v>
      </c>
      <c r="H309" s="180">
        <f>I309+L309</f>
        <v>0</v>
      </c>
      <c r="I309" s="180">
        <f>J309+K309</f>
        <v>0</v>
      </c>
      <c r="J309" s="180"/>
      <c r="K309" s="180">
        <v>0</v>
      </c>
      <c r="L309" s="180">
        <f>M309+N309</f>
        <v>0</v>
      </c>
      <c r="M309" s="180"/>
      <c r="N309" s="180"/>
      <c r="O309" s="180">
        <f>P309+S309</f>
        <v>0</v>
      </c>
      <c r="P309" s="180">
        <f>Q309+R309</f>
        <v>0</v>
      </c>
      <c r="Q309" s="180"/>
      <c r="R309" s="180"/>
      <c r="S309" s="180">
        <f>T309+U309</f>
        <v>0</v>
      </c>
      <c r="T309" s="180"/>
      <c r="U309" s="180"/>
      <c r="V309" s="180">
        <f>W309+Z309+AC309+AF309</f>
        <v>0</v>
      </c>
      <c r="W309" s="180"/>
      <c r="X309" s="180"/>
      <c r="Y309" s="180"/>
      <c r="Z309" s="180"/>
      <c r="AA309" s="180"/>
      <c r="AB309" s="180"/>
      <c r="AC309" s="126">
        <f>AD309+AE309</f>
        <v>0</v>
      </c>
      <c r="AD309" s="126"/>
      <c r="AE309" s="126"/>
      <c r="AF309" s="126">
        <f>AG309+AH309</f>
        <v>0</v>
      </c>
      <c r="AG309" s="180"/>
      <c r="AH309" s="180"/>
      <c r="AI309" s="180">
        <f t="shared" si="252"/>
        <v>0</v>
      </c>
      <c r="AJ309" s="180">
        <f t="shared" ref="AJ309:AK324" si="292">D309+J309-Q309-X309-AD309</f>
        <v>0</v>
      </c>
      <c r="AK309" s="180">
        <f t="shared" si="292"/>
        <v>0</v>
      </c>
      <c r="AL309" s="180">
        <f t="shared" si="291"/>
        <v>0</v>
      </c>
      <c r="AM309" s="180">
        <f t="shared" si="291"/>
        <v>0</v>
      </c>
      <c r="AN309" s="126"/>
      <c r="AO309" s="130">
        <f t="shared" si="264"/>
        <v>0</v>
      </c>
      <c r="AP309" s="116"/>
    </row>
    <row r="310" spans="1:42" s="117" customFormat="1" ht="14" hidden="1" outlineLevel="1">
      <c r="A310" s="139"/>
      <c r="B310" s="137" t="s">
        <v>702</v>
      </c>
      <c r="C310" s="126">
        <f t="shared" si="251"/>
        <v>0</v>
      </c>
      <c r="D310" s="180">
        <v>0</v>
      </c>
      <c r="E310" s="180">
        <v>0</v>
      </c>
      <c r="F310" s="180">
        <v>0</v>
      </c>
      <c r="G310" s="180">
        <v>0</v>
      </c>
      <c r="H310" s="180">
        <f>I310+L310</f>
        <v>0</v>
      </c>
      <c r="I310" s="180">
        <f>J310+K310</f>
        <v>0</v>
      </c>
      <c r="J310" s="180"/>
      <c r="K310" s="180"/>
      <c r="L310" s="180">
        <f>M310+N310</f>
        <v>0</v>
      </c>
      <c r="M310" s="180"/>
      <c r="N310" s="180"/>
      <c r="O310" s="126">
        <f>P310+S310</f>
        <v>0</v>
      </c>
      <c r="P310" s="126"/>
      <c r="Q310" s="126"/>
      <c r="R310" s="126"/>
      <c r="S310" s="126">
        <f>T310+U310</f>
        <v>0</v>
      </c>
      <c r="T310" s="180"/>
      <c r="U310" s="180"/>
      <c r="V310" s="180"/>
      <c r="W310" s="180"/>
      <c r="X310" s="180"/>
      <c r="Y310" s="180"/>
      <c r="Z310" s="180"/>
      <c r="AA310" s="180"/>
      <c r="AB310" s="180"/>
      <c r="AC310" s="126"/>
      <c r="AD310" s="126"/>
      <c r="AE310" s="126"/>
      <c r="AF310" s="126"/>
      <c r="AG310" s="180"/>
      <c r="AH310" s="180"/>
      <c r="AI310" s="126">
        <f t="shared" si="252"/>
        <v>0</v>
      </c>
      <c r="AJ310" s="126">
        <f t="shared" si="292"/>
        <v>0</v>
      </c>
      <c r="AK310" s="126">
        <f t="shared" si="292"/>
        <v>0</v>
      </c>
      <c r="AL310" s="126">
        <f t="shared" si="291"/>
        <v>0</v>
      </c>
      <c r="AM310" s="126">
        <f t="shared" si="291"/>
        <v>0</v>
      </c>
      <c r="AN310" s="126"/>
      <c r="AO310" s="130">
        <f t="shared" si="264"/>
        <v>0</v>
      </c>
      <c r="AP310" s="116"/>
    </row>
    <row r="311" spans="1:42" s="117" customFormat="1" ht="14" hidden="1" outlineLevel="1">
      <c r="A311" s="139"/>
      <c r="B311" s="137" t="s">
        <v>604</v>
      </c>
      <c r="C311" s="180">
        <f t="shared" si="251"/>
        <v>0</v>
      </c>
      <c r="D311" s="180">
        <v>0</v>
      </c>
      <c r="E311" s="180">
        <v>0</v>
      </c>
      <c r="F311" s="180">
        <v>0</v>
      </c>
      <c r="G311" s="180">
        <v>0</v>
      </c>
      <c r="H311" s="180">
        <f>I311+L311</f>
        <v>2046</v>
      </c>
      <c r="I311" s="180">
        <f>J311+K311</f>
        <v>2046</v>
      </c>
      <c r="J311" s="180"/>
      <c r="K311" s="180">
        <f>2046</f>
        <v>2046</v>
      </c>
      <c r="L311" s="180">
        <f>M311+N311</f>
        <v>0</v>
      </c>
      <c r="M311" s="180"/>
      <c r="N311" s="180"/>
      <c r="O311" s="180">
        <f>P311+S311</f>
        <v>0</v>
      </c>
      <c r="P311" s="180">
        <f>Q311+R311</f>
        <v>0</v>
      </c>
      <c r="Q311" s="180"/>
      <c r="R311" s="180"/>
      <c r="S311" s="180">
        <f>T311+U311</f>
        <v>0</v>
      </c>
      <c r="T311" s="180"/>
      <c r="U311" s="180"/>
      <c r="V311" s="180">
        <f>W311+Z311+AC311+AF311</f>
        <v>0</v>
      </c>
      <c r="W311" s="180">
        <f>X311+Y311</f>
        <v>0</v>
      </c>
      <c r="X311" s="180"/>
      <c r="Y311" s="180"/>
      <c r="Z311" s="180">
        <f>AA311+AB311</f>
        <v>0</v>
      </c>
      <c r="AA311" s="180"/>
      <c r="AB311" s="180"/>
      <c r="AC311" s="126">
        <f>AD311+AE311</f>
        <v>0</v>
      </c>
      <c r="AD311" s="126"/>
      <c r="AE311" s="126"/>
      <c r="AF311" s="126">
        <f>AG311+AH311</f>
        <v>0</v>
      </c>
      <c r="AG311" s="180"/>
      <c r="AH311" s="180"/>
      <c r="AI311" s="180">
        <f t="shared" si="252"/>
        <v>2046</v>
      </c>
      <c r="AJ311" s="180">
        <f t="shared" si="292"/>
        <v>0</v>
      </c>
      <c r="AK311" s="180">
        <f t="shared" si="292"/>
        <v>2046</v>
      </c>
      <c r="AL311" s="180">
        <f t="shared" si="291"/>
        <v>0</v>
      </c>
      <c r="AM311" s="180">
        <f t="shared" si="291"/>
        <v>0</v>
      </c>
      <c r="AN311" s="126"/>
      <c r="AO311" s="130">
        <f t="shared" si="264"/>
        <v>0</v>
      </c>
      <c r="AP311" s="116"/>
    </row>
    <row r="312" spans="1:42" s="117" customFormat="1" ht="28" collapsed="1">
      <c r="A312" s="151" t="s">
        <v>703</v>
      </c>
      <c r="B312" s="178" t="s">
        <v>704</v>
      </c>
      <c r="C312" s="179">
        <f>SUM(C313:C316)</f>
        <v>1140.55</v>
      </c>
      <c r="D312" s="179">
        <f>SUM(D313:D316)</f>
        <v>0</v>
      </c>
      <c r="E312" s="179">
        <f>SUM(E313:E316)</f>
        <v>1068</v>
      </c>
      <c r="F312" s="179">
        <f>SUM(F313:F316)</f>
        <v>0</v>
      </c>
      <c r="G312" s="179">
        <f>SUM(G313:G316)</f>
        <v>72.55</v>
      </c>
      <c r="H312" s="179">
        <f t="shared" ref="H312:AH312" si="293">SUM(H313:H316)</f>
        <v>674</v>
      </c>
      <c r="I312" s="179">
        <f t="shared" si="293"/>
        <v>665.66</v>
      </c>
      <c r="J312" s="179">
        <f t="shared" si="293"/>
        <v>0</v>
      </c>
      <c r="K312" s="179">
        <f t="shared" si="293"/>
        <v>665.66</v>
      </c>
      <c r="L312" s="179">
        <f t="shared" si="293"/>
        <v>8.34</v>
      </c>
      <c r="M312" s="179">
        <f t="shared" si="293"/>
        <v>0</v>
      </c>
      <c r="N312" s="179">
        <f t="shared" si="293"/>
        <v>8.34</v>
      </c>
      <c r="O312" s="179">
        <f t="shared" si="293"/>
        <v>8.34</v>
      </c>
      <c r="P312" s="179">
        <f t="shared" si="293"/>
        <v>0</v>
      </c>
      <c r="Q312" s="179">
        <f t="shared" si="293"/>
        <v>0</v>
      </c>
      <c r="R312" s="179">
        <f t="shared" si="293"/>
        <v>0</v>
      </c>
      <c r="S312" s="179">
        <f t="shared" si="293"/>
        <v>8.34</v>
      </c>
      <c r="T312" s="179">
        <f t="shared" si="293"/>
        <v>0</v>
      </c>
      <c r="U312" s="179">
        <f t="shared" si="293"/>
        <v>8.34</v>
      </c>
      <c r="V312" s="179">
        <f t="shared" si="293"/>
        <v>72.55</v>
      </c>
      <c r="W312" s="179">
        <f t="shared" si="293"/>
        <v>0</v>
      </c>
      <c r="X312" s="179">
        <f t="shared" si="293"/>
        <v>0</v>
      </c>
      <c r="Y312" s="179">
        <f t="shared" si="293"/>
        <v>0</v>
      </c>
      <c r="Z312" s="179">
        <f t="shared" si="293"/>
        <v>72.55</v>
      </c>
      <c r="AA312" s="179">
        <f t="shared" si="293"/>
        <v>0</v>
      </c>
      <c r="AB312" s="179">
        <f t="shared" si="293"/>
        <v>72.55</v>
      </c>
      <c r="AC312" s="179">
        <f t="shared" si="293"/>
        <v>0</v>
      </c>
      <c r="AD312" s="179">
        <f t="shared" si="293"/>
        <v>0</v>
      </c>
      <c r="AE312" s="179">
        <f t="shared" si="293"/>
        <v>0</v>
      </c>
      <c r="AF312" s="179">
        <f t="shared" si="293"/>
        <v>0</v>
      </c>
      <c r="AG312" s="179">
        <f t="shared" si="293"/>
        <v>0</v>
      </c>
      <c r="AH312" s="179">
        <f t="shared" si="293"/>
        <v>0</v>
      </c>
      <c r="AI312" s="179">
        <f t="shared" si="252"/>
        <v>1733.6599999999999</v>
      </c>
      <c r="AJ312" s="179">
        <f t="shared" si="292"/>
        <v>0</v>
      </c>
      <c r="AK312" s="179">
        <f t="shared" si="292"/>
        <v>1733.6599999999999</v>
      </c>
      <c r="AL312" s="179">
        <f t="shared" si="291"/>
        <v>0</v>
      </c>
      <c r="AM312" s="179">
        <f t="shared" si="291"/>
        <v>0</v>
      </c>
      <c r="AN312" s="126"/>
      <c r="AO312" s="130">
        <f t="shared" si="264"/>
        <v>0</v>
      </c>
      <c r="AP312" s="116"/>
    </row>
    <row r="313" spans="1:42" s="117" customFormat="1" ht="14" hidden="1" outlineLevel="1">
      <c r="A313" s="139"/>
      <c r="B313" s="137" t="s">
        <v>681</v>
      </c>
      <c r="C313" s="180">
        <f t="shared" si="251"/>
        <v>0</v>
      </c>
      <c r="D313" s="180">
        <v>0</v>
      </c>
      <c r="E313" s="180">
        <v>0</v>
      </c>
      <c r="F313" s="180">
        <v>0</v>
      </c>
      <c r="G313" s="180">
        <v>0</v>
      </c>
      <c r="H313" s="180">
        <f>I313+L313</f>
        <v>0</v>
      </c>
      <c r="I313" s="180">
        <f>J313+K313</f>
        <v>0</v>
      </c>
      <c r="J313" s="180"/>
      <c r="K313" s="180"/>
      <c r="L313" s="180">
        <f>M313+N313</f>
        <v>0</v>
      </c>
      <c r="M313" s="180"/>
      <c r="N313" s="180"/>
      <c r="O313" s="180">
        <f>P313+S313</f>
        <v>0</v>
      </c>
      <c r="P313" s="180">
        <f>Q313+R313</f>
        <v>0</v>
      </c>
      <c r="Q313" s="180"/>
      <c r="R313" s="180"/>
      <c r="S313" s="180"/>
      <c r="T313" s="180"/>
      <c r="U313" s="180"/>
      <c r="V313" s="180">
        <f>W313+Z313+AC313+AF313</f>
        <v>0</v>
      </c>
      <c r="W313" s="180">
        <f>X313+Y313</f>
        <v>0</v>
      </c>
      <c r="X313" s="180"/>
      <c r="Y313" s="180"/>
      <c r="Z313" s="180">
        <f>AA313+AB313</f>
        <v>0</v>
      </c>
      <c r="AA313" s="180"/>
      <c r="AB313" s="180"/>
      <c r="AC313" s="126">
        <f>AD313+AE313</f>
        <v>0</v>
      </c>
      <c r="AD313" s="126"/>
      <c r="AE313" s="126"/>
      <c r="AF313" s="126">
        <f>AG313+AH313</f>
        <v>0</v>
      </c>
      <c r="AG313" s="180"/>
      <c r="AH313" s="180"/>
      <c r="AI313" s="180">
        <f t="shared" si="252"/>
        <v>0</v>
      </c>
      <c r="AJ313" s="180">
        <f t="shared" si="292"/>
        <v>0</v>
      </c>
      <c r="AK313" s="180">
        <f t="shared" si="292"/>
        <v>0</v>
      </c>
      <c r="AL313" s="180">
        <f t="shared" si="291"/>
        <v>0</v>
      </c>
      <c r="AM313" s="180">
        <f t="shared" si="291"/>
        <v>0</v>
      </c>
      <c r="AN313" s="126"/>
      <c r="AO313" s="130">
        <f t="shared" si="264"/>
        <v>0</v>
      </c>
      <c r="AP313" s="116"/>
    </row>
    <row r="314" spans="1:42" s="117" customFormat="1" ht="14" hidden="1" outlineLevel="1">
      <c r="A314" s="139"/>
      <c r="B314" s="137" t="s">
        <v>705</v>
      </c>
      <c r="C314" s="180">
        <f t="shared" si="251"/>
        <v>0</v>
      </c>
      <c r="D314" s="180">
        <v>0</v>
      </c>
      <c r="E314" s="180">
        <f>1068-1068</f>
        <v>0</v>
      </c>
      <c r="F314" s="180">
        <v>0</v>
      </c>
      <c r="G314" s="180">
        <v>0</v>
      </c>
      <c r="H314" s="126">
        <f>I314+L314</f>
        <v>0</v>
      </c>
      <c r="I314" s="126">
        <f>J314+K314</f>
        <v>0</v>
      </c>
      <c r="J314" s="180"/>
      <c r="K314" s="180">
        <f>640-640</f>
        <v>0</v>
      </c>
      <c r="L314" s="180"/>
      <c r="M314" s="180"/>
      <c r="N314" s="180"/>
      <c r="O314" s="180">
        <f>P314+S314</f>
        <v>0</v>
      </c>
      <c r="P314" s="180">
        <f>Q314+R314</f>
        <v>0</v>
      </c>
      <c r="Q314" s="180"/>
      <c r="R314" s="180"/>
      <c r="S314" s="180"/>
      <c r="T314" s="180"/>
      <c r="U314" s="180"/>
      <c r="V314" s="180"/>
      <c r="W314" s="180">
        <f t="shared" ref="W314:W315" si="294">X314+Y314</f>
        <v>0</v>
      </c>
      <c r="X314" s="180"/>
      <c r="Y314" s="180"/>
      <c r="Z314" s="180">
        <f t="shared" ref="Z314:Z315" si="295">AA314+AB314</f>
        <v>0</v>
      </c>
      <c r="AA314" s="180"/>
      <c r="AB314" s="180"/>
      <c r="AC314" s="126"/>
      <c r="AD314" s="126"/>
      <c r="AE314" s="126"/>
      <c r="AF314" s="126"/>
      <c r="AG314" s="180"/>
      <c r="AH314" s="180"/>
      <c r="AI314" s="180">
        <f t="shared" si="252"/>
        <v>0</v>
      </c>
      <c r="AJ314" s="180">
        <f t="shared" si="292"/>
        <v>0</v>
      </c>
      <c r="AK314" s="180">
        <f t="shared" si="292"/>
        <v>0</v>
      </c>
      <c r="AL314" s="180">
        <f t="shared" si="291"/>
        <v>0</v>
      </c>
      <c r="AM314" s="180">
        <f t="shared" si="291"/>
        <v>0</v>
      </c>
      <c r="AN314" s="126"/>
      <c r="AO314" s="130">
        <f t="shared" si="264"/>
        <v>0</v>
      </c>
      <c r="AP314" s="116"/>
    </row>
    <row r="315" spans="1:42" s="117" customFormat="1" ht="14" hidden="1" outlineLevel="1">
      <c r="A315" s="139"/>
      <c r="B315" s="137" t="s">
        <v>680</v>
      </c>
      <c r="C315" s="126">
        <f t="shared" ref="C315" si="296">SUM(D315:G315)</f>
        <v>72.55</v>
      </c>
      <c r="D315" s="180">
        <v>0</v>
      </c>
      <c r="E315" s="180">
        <v>0</v>
      </c>
      <c r="F315" s="180">
        <v>0</v>
      </c>
      <c r="G315" s="180">
        <v>72.55</v>
      </c>
      <c r="H315" s="126">
        <f>I315+L315</f>
        <v>8.34</v>
      </c>
      <c r="I315" s="126">
        <f>J315+K315</f>
        <v>0</v>
      </c>
      <c r="J315" s="180"/>
      <c r="K315" s="180"/>
      <c r="L315" s="180">
        <f>M315+N315</f>
        <v>8.34</v>
      </c>
      <c r="M315" s="180"/>
      <c r="N315" s="180">
        <f>34-25.66</f>
        <v>8.34</v>
      </c>
      <c r="O315" s="126">
        <f>P315+S315</f>
        <v>8.34</v>
      </c>
      <c r="P315" s="126"/>
      <c r="Q315" s="126"/>
      <c r="R315" s="126"/>
      <c r="S315" s="126">
        <f>T315+U315</f>
        <v>8.34</v>
      </c>
      <c r="T315" s="180"/>
      <c r="U315" s="180">
        <v>8.34</v>
      </c>
      <c r="V315" s="180">
        <f>W315+Z315+AC315+AF315</f>
        <v>72.55</v>
      </c>
      <c r="W315" s="180">
        <f t="shared" si="294"/>
        <v>0</v>
      </c>
      <c r="X315" s="180"/>
      <c r="Y315" s="180"/>
      <c r="Z315" s="180">
        <f t="shared" si="295"/>
        <v>72.55</v>
      </c>
      <c r="AA315" s="180"/>
      <c r="AB315" s="180">
        <f>G315</f>
        <v>72.55</v>
      </c>
      <c r="AC315" s="126">
        <f>AD315+AE315</f>
        <v>0</v>
      </c>
      <c r="AD315" s="126"/>
      <c r="AE315" s="126"/>
      <c r="AF315" s="126">
        <f>AG315+AH315</f>
        <v>0</v>
      </c>
      <c r="AG315" s="180"/>
      <c r="AH315" s="180"/>
      <c r="AI315" s="126">
        <f t="shared" ref="AI315" si="297">SUM(AJ315:AM315)</f>
        <v>0</v>
      </c>
      <c r="AJ315" s="126">
        <f t="shared" si="292"/>
        <v>0</v>
      </c>
      <c r="AK315" s="126">
        <f t="shared" si="292"/>
        <v>0</v>
      </c>
      <c r="AL315" s="126">
        <f t="shared" si="291"/>
        <v>0</v>
      </c>
      <c r="AM315" s="126">
        <f t="shared" si="291"/>
        <v>0</v>
      </c>
      <c r="AN315" s="126"/>
      <c r="AO315" s="130">
        <f t="shared" si="264"/>
        <v>0</v>
      </c>
      <c r="AP315" s="116"/>
    </row>
    <row r="316" spans="1:42" s="117" customFormat="1" ht="14" hidden="1" outlineLevel="1">
      <c r="A316" s="139"/>
      <c r="B316" s="137" t="s">
        <v>604</v>
      </c>
      <c r="C316" s="126">
        <f t="shared" si="251"/>
        <v>1068</v>
      </c>
      <c r="D316" s="180">
        <v>0</v>
      </c>
      <c r="E316" s="180">
        <f>1068</f>
        <v>1068</v>
      </c>
      <c r="F316" s="180">
        <v>0</v>
      </c>
      <c r="G316" s="180"/>
      <c r="H316" s="126">
        <f>I316+L316</f>
        <v>665.66</v>
      </c>
      <c r="I316" s="126">
        <f>J316+K316</f>
        <v>665.66</v>
      </c>
      <c r="J316" s="180"/>
      <c r="K316" s="180">
        <f>640+25.66</f>
        <v>665.66</v>
      </c>
      <c r="L316" s="180">
        <f>M316+N316</f>
        <v>0</v>
      </c>
      <c r="M316" s="180"/>
      <c r="N316" s="180">
        <v>0</v>
      </c>
      <c r="O316" s="126">
        <f>P316+S316</f>
        <v>0</v>
      </c>
      <c r="P316" s="126"/>
      <c r="Q316" s="126"/>
      <c r="R316" s="126"/>
      <c r="S316" s="126">
        <f>T316+U316</f>
        <v>0</v>
      </c>
      <c r="T316" s="180"/>
      <c r="U316" s="180"/>
      <c r="V316" s="180">
        <f>W316+Z316+AC316+AF316</f>
        <v>0</v>
      </c>
      <c r="W316" s="180"/>
      <c r="X316" s="180"/>
      <c r="Y316" s="180"/>
      <c r="Z316" s="180"/>
      <c r="AA316" s="180"/>
      <c r="AB316" s="180">
        <f>G316</f>
        <v>0</v>
      </c>
      <c r="AC316" s="126">
        <f>AD316+AE316</f>
        <v>0</v>
      </c>
      <c r="AD316" s="126"/>
      <c r="AE316" s="126"/>
      <c r="AF316" s="126">
        <f>AG316+AH316</f>
        <v>0</v>
      </c>
      <c r="AG316" s="180"/>
      <c r="AH316" s="180"/>
      <c r="AI316" s="126">
        <f t="shared" si="252"/>
        <v>1733.6599999999999</v>
      </c>
      <c r="AJ316" s="126">
        <f t="shared" si="292"/>
        <v>0</v>
      </c>
      <c r="AK316" s="126">
        <f t="shared" si="292"/>
        <v>1733.6599999999999</v>
      </c>
      <c r="AL316" s="126">
        <f t="shared" si="291"/>
        <v>0</v>
      </c>
      <c r="AM316" s="126">
        <f t="shared" si="291"/>
        <v>0</v>
      </c>
      <c r="AN316" s="126"/>
      <c r="AO316" s="130">
        <f t="shared" si="264"/>
        <v>0</v>
      </c>
      <c r="AP316" s="116"/>
    </row>
    <row r="317" spans="1:42" s="117" customFormat="1" ht="28" collapsed="1">
      <c r="A317" s="139" t="s">
        <v>706</v>
      </c>
      <c r="B317" s="137" t="s">
        <v>707</v>
      </c>
      <c r="C317" s="180">
        <f>SUM(C318:C323)</f>
        <v>0</v>
      </c>
      <c r="D317" s="180">
        <f t="shared" ref="D317:AM317" si="298">SUM(D318:D323)</f>
        <v>0</v>
      </c>
      <c r="E317" s="180">
        <f t="shared" si="298"/>
        <v>0</v>
      </c>
      <c r="F317" s="180">
        <f t="shared" si="298"/>
        <v>0</v>
      </c>
      <c r="G317" s="180">
        <f t="shared" si="298"/>
        <v>0</v>
      </c>
      <c r="H317" s="180">
        <f t="shared" si="298"/>
        <v>1579</v>
      </c>
      <c r="I317" s="180">
        <f t="shared" si="298"/>
        <v>220</v>
      </c>
      <c r="J317" s="180">
        <f t="shared" si="298"/>
        <v>0</v>
      </c>
      <c r="K317" s="180">
        <f t="shared" si="298"/>
        <v>220</v>
      </c>
      <c r="L317" s="180">
        <f t="shared" si="298"/>
        <v>1359</v>
      </c>
      <c r="M317" s="180">
        <f t="shared" si="298"/>
        <v>0</v>
      </c>
      <c r="N317" s="180">
        <f t="shared" si="298"/>
        <v>1359</v>
      </c>
      <c r="O317" s="180">
        <f t="shared" si="298"/>
        <v>1566.6120000000001</v>
      </c>
      <c r="P317" s="180">
        <f t="shared" si="298"/>
        <v>220</v>
      </c>
      <c r="Q317" s="180">
        <f t="shared" si="298"/>
        <v>0</v>
      </c>
      <c r="R317" s="180">
        <f t="shared" si="298"/>
        <v>220</v>
      </c>
      <c r="S317" s="180">
        <f t="shared" si="298"/>
        <v>1346.6120000000001</v>
      </c>
      <c r="T317" s="180">
        <f t="shared" si="298"/>
        <v>0</v>
      </c>
      <c r="U317" s="180">
        <f t="shared" si="298"/>
        <v>1346.6120000000001</v>
      </c>
      <c r="V317" s="180">
        <f t="shared" si="298"/>
        <v>0</v>
      </c>
      <c r="W317" s="180">
        <f t="shared" si="298"/>
        <v>0</v>
      </c>
      <c r="X317" s="180">
        <f t="shared" si="298"/>
        <v>0</v>
      </c>
      <c r="Y317" s="180">
        <f t="shared" si="298"/>
        <v>0</v>
      </c>
      <c r="Z317" s="180">
        <f t="shared" si="298"/>
        <v>0</v>
      </c>
      <c r="AA317" s="180">
        <f t="shared" si="298"/>
        <v>0</v>
      </c>
      <c r="AB317" s="180">
        <f t="shared" si="298"/>
        <v>0</v>
      </c>
      <c r="AC317" s="180">
        <f t="shared" si="298"/>
        <v>0</v>
      </c>
      <c r="AD317" s="180">
        <f t="shared" si="298"/>
        <v>0</v>
      </c>
      <c r="AE317" s="180">
        <f t="shared" si="298"/>
        <v>0</v>
      </c>
      <c r="AF317" s="180">
        <f t="shared" si="298"/>
        <v>0</v>
      </c>
      <c r="AG317" s="180">
        <f t="shared" si="298"/>
        <v>0</v>
      </c>
      <c r="AH317" s="180">
        <f t="shared" si="298"/>
        <v>0</v>
      </c>
      <c r="AI317" s="180">
        <f t="shared" si="298"/>
        <v>12.388000000000051</v>
      </c>
      <c r="AJ317" s="180">
        <f t="shared" si="298"/>
        <v>0</v>
      </c>
      <c r="AK317" s="180">
        <f t="shared" si="298"/>
        <v>0</v>
      </c>
      <c r="AL317" s="180">
        <f t="shared" si="298"/>
        <v>0</v>
      </c>
      <c r="AM317" s="180">
        <f t="shared" si="298"/>
        <v>12.388000000000051</v>
      </c>
      <c r="AN317" s="126"/>
      <c r="AO317" s="130">
        <f t="shared" si="264"/>
        <v>-1.3145040611561853E-13</v>
      </c>
      <c r="AP317" s="116"/>
    </row>
    <row r="318" spans="1:42" s="117" customFormat="1" ht="14" hidden="1" outlineLevel="1">
      <c r="A318" s="139"/>
      <c r="B318" s="137" t="s">
        <v>681</v>
      </c>
      <c r="C318" s="126">
        <f t="shared" ref="C318:C319" si="299">SUM(D318:G318)</f>
        <v>0</v>
      </c>
      <c r="D318" s="180">
        <v>0</v>
      </c>
      <c r="E318" s="180">
        <v>0</v>
      </c>
      <c r="F318" s="180">
        <v>0</v>
      </c>
      <c r="G318" s="180">
        <v>0</v>
      </c>
      <c r="H318" s="126">
        <f>I318+L318</f>
        <v>180</v>
      </c>
      <c r="I318" s="126">
        <f>J318+K318</f>
        <v>180</v>
      </c>
      <c r="J318" s="180"/>
      <c r="K318" s="180">
        <v>180</v>
      </c>
      <c r="L318" s="180">
        <f>M318+N318</f>
        <v>0</v>
      </c>
      <c r="M318" s="180"/>
      <c r="N318" s="180"/>
      <c r="O318" s="126">
        <f>P318+S318</f>
        <v>180</v>
      </c>
      <c r="P318" s="126">
        <f>Q318+R318</f>
        <v>180</v>
      </c>
      <c r="Q318" s="126"/>
      <c r="R318" s="126">
        <f>K318</f>
        <v>180</v>
      </c>
      <c r="S318" s="126">
        <f>T318+U318</f>
        <v>0</v>
      </c>
      <c r="T318" s="180"/>
      <c r="U318" s="180"/>
      <c r="V318" s="180"/>
      <c r="W318" s="180"/>
      <c r="X318" s="180"/>
      <c r="Y318" s="180"/>
      <c r="Z318" s="180"/>
      <c r="AA318" s="180"/>
      <c r="AB318" s="180"/>
      <c r="AC318" s="126"/>
      <c r="AD318" s="126"/>
      <c r="AE318" s="126"/>
      <c r="AF318" s="126"/>
      <c r="AG318" s="180"/>
      <c r="AH318" s="180"/>
      <c r="AI318" s="126">
        <f t="shared" ref="AI318:AI321" si="300">SUM(AJ318:AM318)</f>
        <v>0</v>
      </c>
      <c r="AJ318" s="126">
        <f>D318+J318-Q318-X318-AD318</f>
        <v>0</v>
      </c>
      <c r="AK318" s="126">
        <f>E318+K318-R318-Y318-AE318</f>
        <v>0</v>
      </c>
      <c r="AL318" s="126">
        <f>F318+M318-T318-AA318-AG318</f>
        <v>0</v>
      </c>
      <c r="AM318" s="126">
        <f>G318+N318-U318-AB318-AH318</f>
        <v>0</v>
      </c>
      <c r="AN318" s="126"/>
      <c r="AO318" s="130">
        <f t="shared" si="264"/>
        <v>0</v>
      </c>
      <c r="AP318" s="116"/>
    </row>
    <row r="319" spans="1:42" s="117" customFormat="1" ht="14" hidden="1" outlineLevel="1">
      <c r="A319" s="139"/>
      <c r="B319" s="137" t="s">
        <v>708</v>
      </c>
      <c r="C319" s="180">
        <f t="shared" si="299"/>
        <v>0</v>
      </c>
      <c r="D319" s="180"/>
      <c r="E319" s="180"/>
      <c r="F319" s="180"/>
      <c r="G319" s="180"/>
      <c r="H319" s="126">
        <f>I319+L319</f>
        <v>40</v>
      </c>
      <c r="I319" s="126">
        <f>J319+K319</f>
        <v>40</v>
      </c>
      <c r="J319" s="180"/>
      <c r="K319" s="180">
        <v>40</v>
      </c>
      <c r="L319" s="180">
        <f>M319+N319</f>
        <v>0</v>
      </c>
      <c r="M319" s="180"/>
      <c r="N319" s="180"/>
      <c r="O319" s="126">
        <f>P319+S319</f>
        <v>40</v>
      </c>
      <c r="P319" s="126">
        <f>Q319+R319</f>
        <v>40</v>
      </c>
      <c r="Q319" s="180"/>
      <c r="R319" s="180">
        <f>K319</f>
        <v>40</v>
      </c>
      <c r="S319" s="126">
        <f>T319+U319</f>
        <v>0</v>
      </c>
      <c r="T319" s="180"/>
      <c r="U319" s="180"/>
      <c r="V319" s="180"/>
      <c r="W319" s="180"/>
      <c r="X319" s="180"/>
      <c r="Y319" s="180"/>
      <c r="Z319" s="180"/>
      <c r="AA319" s="180"/>
      <c r="AB319" s="180"/>
      <c r="AC319" s="126"/>
      <c r="AD319" s="126"/>
      <c r="AE319" s="126"/>
      <c r="AF319" s="126"/>
      <c r="AG319" s="180"/>
      <c r="AH319" s="180"/>
      <c r="AI319" s="126">
        <f t="shared" si="300"/>
        <v>0</v>
      </c>
      <c r="AJ319" s="180"/>
      <c r="AK319" s="126">
        <f>E319+K319-R319-Y319-AE319</f>
        <v>0</v>
      </c>
      <c r="AL319" s="180"/>
      <c r="AM319" s="126">
        <f>G319+N319-U319-AB319-AH319</f>
        <v>0</v>
      </c>
      <c r="AN319" s="126"/>
      <c r="AO319" s="130">
        <f t="shared" si="264"/>
        <v>0</v>
      </c>
      <c r="AP319" s="116"/>
    </row>
    <row r="320" spans="1:42" s="117" customFormat="1" ht="14" hidden="1" outlineLevel="1">
      <c r="A320" s="139"/>
      <c r="B320" s="137" t="s">
        <v>337</v>
      </c>
      <c r="C320" s="126">
        <f t="shared" ref="C320:C321" si="301">SUM(D320:G320)</f>
        <v>0</v>
      </c>
      <c r="D320" s="180">
        <v>0</v>
      </c>
      <c r="E320" s="180">
        <v>0</v>
      </c>
      <c r="F320" s="180">
        <v>0</v>
      </c>
      <c r="G320" s="180">
        <v>0</v>
      </c>
      <c r="H320" s="126">
        <f>I320+L320</f>
        <v>26</v>
      </c>
      <c r="I320" s="126">
        <f>J320+K320</f>
        <v>0</v>
      </c>
      <c r="J320" s="180"/>
      <c r="K320" s="180"/>
      <c r="L320" s="180">
        <f>M320+N320</f>
        <v>26</v>
      </c>
      <c r="M320" s="180"/>
      <c r="N320" s="180">
        <f>10+16</f>
        <v>26</v>
      </c>
      <c r="O320" s="126">
        <f>P320+S320</f>
        <v>25.98</v>
      </c>
      <c r="P320" s="126"/>
      <c r="Q320" s="126"/>
      <c r="R320" s="126"/>
      <c r="S320" s="126">
        <f>T320+U320</f>
        <v>25.98</v>
      </c>
      <c r="T320" s="180"/>
      <c r="U320" s="180">
        <f>25.98</f>
        <v>25.98</v>
      </c>
      <c r="V320" s="180"/>
      <c r="W320" s="180"/>
      <c r="X320" s="180"/>
      <c r="Y320" s="180"/>
      <c r="Z320" s="180"/>
      <c r="AA320" s="180"/>
      <c r="AB320" s="180"/>
      <c r="AC320" s="126"/>
      <c r="AD320" s="126"/>
      <c r="AE320" s="126"/>
      <c r="AF320" s="126"/>
      <c r="AG320" s="180"/>
      <c r="AH320" s="180"/>
      <c r="AI320" s="126">
        <f t="shared" si="300"/>
        <v>1.9999999999999574E-2</v>
      </c>
      <c r="AJ320" s="126">
        <f>D320+J320-Q320-X320-AD320</f>
        <v>0</v>
      </c>
      <c r="AK320" s="126">
        <f>E320+K320-R320-Y320-AE320</f>
        <v>0</v>
      </c>
      <c r="AL320" s="126">
        <f>F320+M320-T320-AA320-AG320</f>
        <v>0</v>
      </c>
      <c r="AM320" s="126">
        <f>G320+N320-U320-AB320-AH320</f>
        <v>1.9999999999999574E-2</v>
      </c>
      <c r="AN320" s="126"/>
      <c r="AO320" s="130">
        <f t="shared" si="264"/>
        <v>0</v>
      </c>
      <c r="AP320" s="116"/>
    </row>
    <row r="321" spans="1:42" s="117" customFormat="1" ht="14" hidden="1" outlineLevel="1">
      <c r="A321" s="139"/>
      <c r="B321" s="137" t="s">
        <v>709</v>
      </c>
      <c r="C321" s="180">
        <f t="shared" si="301"/>
        <v>0</v>
      </c>
      <c r="D321" s="180"/>
      <c r="E321" s="180"/>
      <c r="F321" s="180"/>
      <c r="G321" s="180"/>
      <c r="H321" s="126">
        <f>I321+L321</f>
        <v>703</v>
      </c>
      <c r="I321" s="126"/>
      <c r="J321" s="180"/>
      <c r="K321" s="180"/>
      <c r="L321" s="180">
        <f>M321+N321</f>
        <v>703</v>
      </c>
      <c r="M321" s="180"/>
      <c r="N321" s="180">
        <f>590+113</f>
        <v>703</v>
      </c>
      <c r="O321" s="126">
        <f>P321+S321</f>
        <v>690.63199999999995</v>
      </c>
      <c r="P321" s="180"/>
      <c r="Q321" s="180"/>
      <c r="R321" s="180"/>
      <c r="S321" s="126">
        <f>T321+U321</f>
        <v>690.63199999999995</v>
      </c>
      <c r="T321" s="180"/>
      <c r="U321" s="180">
        <f>690.632</f>
        <v>690.63199999999995</v>
      </c>
      <c r="V321" s="180"/>
      <c r="W321" s="180"/>
      <c r="X321" s="180"/>
      <c r="Y321" s="180"/>
      <c r="Z321" s="180"/>
      <c r="AA321" s="180"/>
      <c r="AB321" s="180"/>
      <c r="AC321" s="126"/>
      <c r="AD321" s="126"/>
      <c r="AE321" s="126"/>
      <c r="AF321" s="126"/>
      <c r="AG321" s="180"/>
      <c r="AH321" s="180"/>
      <c r="AI321" s="180">
        <f t="shared" si="300"/>
        <v>12.368000000000052</v>
      </c>
      <c r="AJ321" s="180"/>
      <c r="AK321" s="126">
        <f>E321+K321-R321-Y321-AE321</f>
        <v>0</v>
      </c>
      <c r="AL321" s="180"/>
      <c r="AM321" s="126">
        <f>G321+N321-U321-AB321-AH321</f>
        <v>12.368000000000052</v>
      </c>
      <c r="AN321" s="126"/>
      <c r="AO321" s="130">
        <f t="shared" si="264"/>
        <v>0</v>
      </c>
      <c r="AP321" s="116"/>
    </row>
    <row r="322" spans="1:42" s="117" customFormat="1" ht="14" hidden="1" outlineLevel="1">
      <c r="A322" s="139"/>
      <c r="B322" s="137" t="s">
        <v>702</v>
      </c>
      <c r="C322" s="126">
        <f t="shared" si="251"/>
        <v>0</v>
      </c>
      <c r="D322" s="180">
        <v>0</v>
      </c>
      <c r="E322" s="180">
        <v>0</v>
      </c>
      <c r="F322" s="180">
        <v>0</v>
      </c>
      <c r="G322" s="180">
        <v>0</v>
      </c>
      <c r="H322" s="126">
        <f>I322+L322</f>
        <v>630</v>
      </c>
      <c r="I322" s="126">
        <f>J322+K322</f>
        <v>0</v>
      </c>
      <c r="J322" s="180"/>
      <c r="K322" s="180"/>
      <c r="L322" s="180">
        <f>M322+N322</f>
        <v>630</v>
      </c>
      <c r="M322" s="180"/>
      <c r="N322" s="180">
        <f>630</f>
        <v>630</v>
      </c>
      <c r="O322" s="126">
        <f>P322+S322</f>
        <v>630</v>
      </c>
      <c r="P322" s="126"/>
      <c r="Q322" s="126"/>
      <c r="R322" s="126"/>
      <c r="S322" s="126">
        <f>T322+U322</f>
        <v>630</v>
      </c>
      <c r="T322" s="180"/>
      <c r="U322" s="180">
        <f>N322</f>
        <v>630</v>
      </c>
      <c r="V322" s="180"/>
      <c r="W322" s="180"/>
      <c r="X322" s="180"/>
      <c r="Y322" s="180"/>
      <c r="Z322" s="180"/>
      <c r="AA322" s="180"/>
      <c r="AB322" s="180"/>
      <c r="AC322" s="126"/>
      <c r="AD322" s="126"/>
      <c r="AE322" s="126"/>
      <c r="AF322" s="126"/>
      <c r="AG322" s="180"/>
      <c r="AH322" s="180"/>
      <c r="AI322" s="126">
        <f t="shared" si="252"/>
        <v>0</v>
      </c>
      <c r="AJ322" s="126">
        <f>D322+J322-Q322-X322-AD322</f>
        <v>0</v>
      </c>
      <c r="AK322" s="126">
        <f>E322+K322-R322-Y322-AE322</f>
        <v>0</v>
      </c>
      <c r="AL322" s="126">
        <f>F322+M322-T322-AA322-AG322</f>
        <v>0</v>
      </c>
      <c r="AM322" s="126">
        <f>G322+N322-U322-AB322-AH322</f>
        <v>0</v>
      </c>
      <c r="AN322" s="126"/>
      <c r="AO322" s="130">
        <f t="shared" si="264"/>
        <v>0</v>
      </c>
      <c r="AP322" s="116"/>
    </row>
    <row r="323" spans="1:42" s="117" customFormat="1" ht="14" hidden="1" outlineLevel="1">
      <c r="A323" s="139"/>
      <c r="B323" s="137" t="s">
        <v>604</v>
      </c>
      <c r="C323" s="180">
        <f t="shared" si="251"/>
        <v>0</v>
      </c>
      <c r="D323" s="180"/>
      <c r="E323" s="180"/>
      <c r="F323" s="180"/>
      <c r="G323" s="180"/>
      <c r="H323" s="126"/>
      <c r="I323" s="126"/>
      <c r="J323" s="180"/>
      <c r="K323" s="180"/>
      <c r="L323" s="180"/>
      <c r="M323" s="180"/>
      <c r="N323" s="180"/>
      <c r="O323" s="180"/>
      <c r="P323" s="180"/>
      <c r="Q323" s="180"/>
      <c r="R323" s="180"/>
      <c r="S323" s="180"/>
      <c r="T323" s="180"/>
      <c r="U323" s="180"/>
      <c r="V323" s="180"/>
      <c r="W323" s="180"/>
      <c r="X323" s="180"/>
      <c r="Y323" s="180"/>
      <c r="Z323" s="180"/>
      <c r="AA323" s="180"/>
      <c r="AB323" s="180"/>
      <c r="AC323" s="126"/>
      <c r="AD323" s="126"/>
      <c r="AE323" s="126"/>
      <c r="AF323" s="126"/>
      <c r="AG323" s="180"/>
      <c r="AH323" s="180"/>
      <c r="AI323" s="180">
        <f t="shared" si="252"/>
        <v>0</v>
      </c>
      <c r="AJ323" s="180"/>
      <c r="AK323" s="126">
        <f>E323+K323-R323-Y323-AE323</f>
        <v>0</v>
      </c>
      <c r="AL323" s="180"/>
      <c r="AM323" s="180"/>
      <c r="AN323" s="126"/>
      <c r="AO323" s="130">
        <f t="shared" si="264"/>
        <v>0</v>
      </c>
      <c r="AP323" s="116"/>
    </row>
    <row r="324" spans="1:42" s="117" customFormat="1" ht="14" collapsed="1">
      <c r="A324" s="139" t="s">
        <v>710</v>
      </c>
      <c r="B324" s="137" t="s">
        <v>688</v>
      </c>
      <c r="C324" s="180">
        <f t="shared" si="251"/>
        <v>4988</v>
      </c>
      <c r="D324" s="180">
        <v>0</v>
      </c>
      <c r="E324" s="180">
        <v>4988</v>
      </c>
      <c r="F324" s="180">
        <v>0</v>
      </c>
      <c r="G324" s="180">
        <v>0</v>
      </c>
      <c r="H324" s="126">
        <f>I324+L324</f>
        <v>0</v>
      </c>
      <c r="I324" s="126">
        <f>J324+K324</f>
        <v>0</v>
      </c>
      <c r="J324" s="180"/>
      <c r="K324" s="180"/>
      <c r="L324" s="180"/>
      <c r="M324" s="180"/>
      <c r="N324" s="180"/>
      <c r="O324" s="180"/>
      <c r="P324" s="180"/>
      <c r="Q324" s="180"/>
      <c r="R324" s="180"/>
      <c r="S324" s="180"/>
      <c r="T324" s="180"/>
      <c r="U324" s="180"/>
      <c r="V324" s="180"/>
      <c r="W324" s="180"/>
      <c r="X324" s="180"/>
      <c r="Y324" s="180"/>
      <c r="Z324" s="180"/>
      <c r="AA324" s="180"/>
      <c r="AB324" s="180"/>
      <c r="AC324" s="126"/>
      <c r="AD324" s="126"/>
      <c r="AE324" s="126"/>
      <c r="AF324" s="126"/>
      <c r="AG324" s="180"/>
      <c r="AH324" s="180"/>
      <c r="AI324" s="180">
        <f t="shared" si="252"/>
        <v>4988</v>
      </c>
      <c r="AJ324" s="180">
        <f t="shared" si="292"/>
        <v>0</v>
      </c>
      <c r="AK324" s="180">
        <f t="shared" si="292"/>
        <v>4988</v>
      </c>
      <c r="AL324" s="180">
        <f t="shared" si="291"/>
        <v>0</v>
      </c>
      <c r="AM324" s="180">
        <f t="shared" si="291"/>
        <v>0</v>
      </c>
      <c r="AN324" s="126"/>
      <c r="AO324" s="130">
        <f t="shared" si="264"/>
        <v>0</v>
      </c>
      <c r="AP324" s="116"/>
    </row>
    <row r="325" spans="1:42" s="117" customFormat="1" ht="28">
      <c r="A325" s="136">
        <v>4</v>
      </c>
      <c r="B325" s="137" t="s">
        <v>711</v>
      </c>
      <c r="C325" s="126">
        <f t="shared" ref="C325:H325" si="302">SUM(C326:C327)</f>
        <v>0</v>
      </c>
      <c r="D325" s="126">
        <f t="shared" si="302"/>
        <v>0</v>
      </c>
      <c r="E325" s="126">
        <f t="shared" si="302"/>
        <v>0</v>
      </c>
      <c r="F325" s="126">
        <f t="shared" si="302"/>
        <v>0</v>
      </c>
      <c r="G325" s="126">
        <f t="shared" si="302"/>
        <v>0</v>
      </c>
      <c r="H325" s="126">
        <f t="shared" si="302"/>
        <v>1840</v>
      </c>
      <c r="I325" s="126">
        <f t="shared" ref="I325:AM325" si="303">SUM(I326:I327)</f>
        <v>1840</v>
      </c>
      <c r="J325" s="126">
        <f t="shared" si="303"/>
        <v>0</v>
      </c>
      <c r="K325" s="126">
        <f t="shared" si="303"/>
        <v>1840</v>
      </c>
      <c r="L325" s="126">
        <f t="shared" si="303"/>
        <v>0</v>
      </c>
      <c r="M325" s="126">
        <f t="shared" si="303"/>
        <v>0</v>
      </c>
      <c r="N325" s="126">
        <f t="shared" si="303"/>
        <v>0</v>
      </c>
      <c r="O325" s="126">
        <f t="shared" si="303"/>
        <v>996</v>
      </c>
      <c r="P325" s="126">
        <f t="shared" si="303"/>
        <v>996</v>
      </c>
      <c r="Q325" s="126">
        <f t="shared" si="303"/>
        <v>0</v>
      </c>
      <c r="R325" s="126">
        <f t="shared" si="303"/>
        <v>996</v>
      </c>
      <c r="S325" s="126">
        <f t="shared" si="303"/>
        <v>0</v>
      </c>
      <c r="T325" s="126">
        <f t="shared" si="303"/>
        <v>0</v>
      </c>
      <c r="U325" s="126">
        <f t="shared" si="303"/>
        <v>0</v>
      </c>
      <c r="V325" s="126">
        <f t="shared" si="303"/>
        <v>0</v>
      </c>
      <c r="W325" s="126">
        <f t="shared" si="303"/>
        <v>0</v>
      </c>
      <c r="X325" s="126">
        <f t="shared" si="303"/>
        <v>0</v>
      </c>
      <c r="Y325" s="126">
        <f t="shared" si="303"/>
        <v>0</v>
      </c>
      <c r="Z325" s="126">
        <f t="shared" si="303"/>
        <v>0</v>
      </c>
      <c r="AA325" s="126">
        <f t="shared" si="303"/>
        <v>0</v>
      </c>
      <c r="AB325" s="126">
        <f t="shared" si="303"/>
        <v>0</v>
      </c>
      <c r="AC325" s="126">
        <f t="shared" si="303"/>
        <v>0</v>
      </c>
      <c r="AD325" s="126">
        <f t="shared" si="303"/>
        <v>0</v>
      </c>
      <c r="AE325" s="126">
        <f t="shared" si="303"/>
        <v>0</v>
      </c>
      <c r="AF325" s="126">
        <f t="shared" si="303"/>
        <v>0</v>
      </c>
      <c r="AG325" s="126">
        <f t="shared" si="303"/>
        <v>0</v>
      </c>
      <c r="AH325" s="126">
        <f t="shared" si="303"/>
        <v>0</v>
      </c>
      <c r="AI325" s="126">
        <f t="shared" ref="AI325:AI393" si="304">SUM(AJ325:AM325)</f>
        <v>844</v>
      </c>
      <c r="AJ325" s="126">
        <f t="shared" si="303"/>
        <v>0</v>
      </c>
      <c r="AK325" s="126">
        <f t="shared" si="303"/>
        <v>844</v>
      </c>
      <c r="AL325" s="126">
        <f t="shared" si="303"/>
        <v>0</v>
      </c>
      <c r="AM325" s="126">
        <f t="shared" si="303"/>
        <v>0</v>
      </c>
      <c r="AN325" s="126"/>
      <c r="AO325" s="130">
        <f t="shared" si="264"/>
        <v>0</v>
      </c>
      <c r="AP325" s="116"/>
    </row>
    <row r="326" spans="1:42" s="117" customFormat="1" ht="14" hidden="1" outlineLevel="1">
      <c r="A326" s="136"/>
      <c r="B326" s="137" t="s">
        <v>712</v>
      </c>
      <c r="C326" s="180">
        <f t="shared" ref="C326:C393" si="305">SUM(D326:G326)</f>
        <v>0</v>
      </c>
      <c r="D326" s="126">
        <v>0</v>
      </c>
      <c r="E326" s="126">
        <v>0</v>
      </c>
      <c r="F326" s="126">
        <v>0</v>
      </c>
      <c r="G326" s="126">
        <v>0</v>
      </c>
      <c r="H326" s="126">
        <f>I326+L326</f>
        <v>996</v>
      </c>
      <c r="I326" s="126">
        <f>J326+K326</f>
        <v>996</v>
      </c>
      <c r="J326" s="126"/>
      <c r="K326" s="126">
        <v>996</v>
      </c>
      <c r="L326" s="126"/>
      <c r="M326" s="126"/>
      <c r="N326" s="126"/>
      <c r="O326" s="126">
        <f>P326+S326</f>
        <v>996</v>
      </c>
      <c r="P326" s="126">
        <f>Q326+R326</f>
        <v>996</v>
      </c>
      <c r="Q326" s="126"/>
      <c r="R326" s="126">
        <v>996</v>
      </c>
      <c r="S326" s="126"/>
      <c r="T326" s="126"/>
      <c r="U326" s="126"/>
      <c r="V326" s="126">
        <f>W326+Z326+AC326+AF326</f>
        <v>0</v>
      </c>
      <c r="W326" s="126"/>
      <c r="X326" s="126"/>
      <c r="Y326" s="126"/>
      <c r="Z326" s="126"/>
      <c r="AA326" s="126"/>
      <c r="AB326" s="126"/>
      <c r="AC326" s="126">
        <f>AD326+AE326</f>
        <v>0</v>
      </c>
      <c r="AD326" s="126"/>
      <c r="AE326" s="126"/>
      <c r="AF326" s="126">
        <f>AG326+AH326</f>
        <v>0</v>
      </c>
      <c r="AG326" s="126"/>
      <c r="AH326" s="126"/>
      <c r="AI326" s="180">
        <f t="shared" si="304"/>
        <v>0</v>
      </c>
      <c r="AJ326" s="180">
        <f>D326+J326-Q326-X326-AD326</f>
        <v>0</v>
      </c>
      <c r="AK326" s="180">
        <f>E326+K326-R326-Y326-AE326</f>
        <v>0</v>
      </c>
      <c r="AL326" s="180">
        <f>F326+M326-T326-AA326-AG326</f>
        <v>0</v>
      </c>
      <c r="AM326" s="180">
        <f>G326+N326-U326-AB326-AH326</f>
        <v>0</v>
      </c>
      <c r="AN326" s="126"/>
      <c r="AO326" s="130">
        <f t="shared" si="264"/>
        <v>0</v>
      </c>
      <c r="AP326" s="116"/>
    </row>
    <row r="327" spans="1:42" s="117" customFormat="1" ht="14" hidden="1" outlineLevel="1">
      <c r="A327" s="136"/>
      <c r="B327" s="137" t="s">
        <v>682</v>
      </c>
      <c r="C327" s="180">
        <f t="shared" si="305"/>
        <v>0</v>
      </c>
      <c r="D327" s="126">
        <v>0</v>
      </c>
      <c r="E327" s="126">
        <v>0</v>
      </c>
      <c r="F327" s="126">
        <v>0</v>
      </c>
      <c r="G327" s="126">
        <v>0</v>
      </c>
      <c r="H327" s="126">
        <f>I327+L327</f>
        <v>844</v>
      </c>
      <c r="I327" s="126">
        <f>J327+K327</f>
        <v>844</v>
      </c>
      <c r="J327" s="126"/>
      <c r="K327" s="126">
        <v>844</v>
      </c>
      <c r="L327" s="126"/>
      <c r="M327" s="126"/>
      <c r="N327" s="126"/>
      <c r="O327" s="126"/>
      <c r="P327" s="126"/>
      <c r="Q327" s="126"/>
      <c r="R327" s="126"/>
      <c r="S327" s="126"/>
      <c r="T327" s="126"/>
      <c r="U327" s="126"/>
      <c r="V327" s="126">
        <f>W327+Z327+AC327+AF327</f>
        <v>0</v>
      </c>
      <c r="W327" s="126">
        <f>X327+Y327</f>
        <v>0</v>
      </c>
      <c r="X327" s="126"/>
      <c r="Y327" s="126"/>
      <c r="Z327" s="126">
        <f>AA327+AB327</f>
        <v>0</v>
      </c>
      <c r="AA327" s="126"/>
      <c r="AB327" s="126"/>
      <c r="AC327" s="126"/>
      <c r="AD327" s="126"/>
      <c r="AE327" s="126"/>
      <c r="AF327" s="126"/>
      <c r="AG327" s="126"/>
      <c r="AH327" s="126"/>
      <c r="AI327" s="180">
        <f t="shared" si="304"/>
        <v>844</v>
      </c>
      <c r="AJ327" s="180">
        <f>D327+J327-Q327-X327-AD327</f>
        <v>0</v>
      </c>
      <c r="AK327" s="180">
        <f>E327+K327-R327-Y327-AE327</f>
        <v>844</v>
      </c>
      <c r="AL327" s="180">
        <f>F327+M327-T327-AA327-AG327</f>
        <v>0</v>
      </c>
      <c r="AM327" s="180">
        <f>G327+N327-U327-AB327-AH327</f>
        <v>0</v>
      </c>
      <c r="AN327" s="126"/>
      <c r="AO327" s="130">
        <f t="shared" si="264"/>
        <v>0</v>
      </c>
      <c r="AP327" s="116"/>
    </row>
    <row r="328" spans="1:42" s="117" customFormat="1" ht="28" collapsed="1">
      <c r="A328" s="136">
        <v>5</v>
      </c>
      <c r="B328" s="137" t="s">
        <v>713</v>
      </c>
      <c r="C328" s="126">
        <f t="shared" ref="C328:AH328" si="306">SUM(C329:C339)</f>
        <v>4821.25</v>
      </c>
      <c r="D328" s="126">
        <f t="shared" si="306"/>
        <v>0</v>
      </c>
      <c r="E328" s="126">
        <f t="shared" si="306"/>
        <v>3281.65</v>
      </c>
      <c r="F328" s="126">
        <f t="shared" si="306"/>
        <v>0</v>
      </c>
      <c r="G328" s="126">
        <f t="shared" si="306"/>
        <v>1539.6000000000001</v>
      </c>
      <c r="H328" s="126">
        <f t="shared" si="306"/>
        <v>1963</v>
      </c>
      <c r="I328" s="126">
        <f t="shared" si="306"/>
        <v>1888</v>
      </c>
      <c r="J328" s="126">
        <f t="shared" si="306"/>
        <v>0</v>
      </c>
      <c r="K328" s="126">
        <f t="shared" si="306"/>
        <v>1888</v>
      </c>
      <c r="L328" s="126">
        <f t="shared" si="306"/>
        <v>75</v>
      </c>
      <c r="M328" s="126">
        <f t="shared" si="306"/>
        <v>0</v>
      </c>
      <c r="N328" s="126">
        <f t="shared" si="306"/>
        <v>75</v>
      </c>
      <c r="O328" s="126">
        <f t="shared" si="306"/>
        <v>834.57999999999993</v>
      </c>
      <c r="P328" s="126">
        <f t="shared" si="306"/>
        <v>716</v>
      </c>
      <c r="Q328" s="126">
        <f t="shared" si="306"/>
        <v>0</v>
      </c>
      <c r="R328" s="126">
        <f t="shared" si="306"/>
        <v>716</v>
      </c>
      <c r="S328" s="126">
        <f t="shared" si="306"/>
        <v>118.58</v>
      </c>
      <c r="T328" s="126">
        <f t="shared" si="306"/>
        <v>0</v>
      </c>
      <c r="U328" s="126">
        <f t="shared" si="306"/>
        <v>118.58</v>
      </c>
      <c r="V328" s="126">
        <f t="shared" si="306"/>
        <v>364.59999999999997</v>
      </c>
      <c r="W328" s="126">
        <f t="shared" si="306"/>
        <v>0</v>
      </c>
      <c r="X328" s="126">
        <f t="shared" si="306"/>
        <v>0</v>
      </c>
      <c r="Y328" s="126">
        <f t="shared" si="306"/>
        <v>0</v>
      </c>
      <c r="Z328" s="126">
        <f t="shared" si="306"/>
        <v>364.59999999999997</v>
      </c>
      <c r="AA328" s="126">
        <f t="shared" si="306"/>
        <v>0</v>
      </c>
      <c r="AB328" s="126">
        <f t="shared" si="306"/>
        <v>364.59999999999997</v>
      </c>
      <c r="AC328" s="126">
        <f t="shared" si="306"/>
        <v>0</v>
      </c>
      <c r="AD328" s="126">
        <f t="shared" si="306"/>
        <v>0</v>
      </c>
      <c r="AE328" s="126">
        <f t="shared" si="306"/>
        <v>0</v>
      </c>
      <c r="AF328" s="126">
        <f t="shared" si="306"/>
        <v>0</v>
      </c>
      <c r="AG328" s="126">
        <f t="shared" si="306"/>
        <v>0</v>
      </c>
      <c r="AH328" s="126">
        <f t="shared" si="306"/>
        <v>0</v>
      </c>
      <c r="AI328" s="126">
        <f t="shared" si="304"/>
        <v>5585.07</v>
      </c>
      <c r="AJ328" s="126">
        <f>SUM(AJ329:AJ339)</f>
        <v>0</v>
      </c>
      <c r="AK328" s="126">
        <f>SUM(AK329:AK339)</f>
        <v>4453.6499999999996</v>
      </c>
      <c r="AL328" s="126">
        <f>SUM(AL329:AL339)</f>
        <v>0</v>
      </c>
      <c r="AM328" s="126">
        <f>SUM(AM329:AM339)</f>
        <v>1131.4199999999998</v>
      </c>
      <c r="AN328" s="126"/>
      <c r="AO328" s="130">
        <f t="shared" si="264"/>
        <v>0</v>
      </c>
      <c r="AP328" s="116"/>
    </row>
    <row r="329" spans="1:42" s="117" customFormat="1" ht="14" hidden="1" outlineLevel="1">
      <c r="A329" s="136"/>
      <c r="B329" s="137" t="s">
        <v>316</v>
      </c>
      <c r="C329" s="126">
        <f t="shared" si="305"/>
        <v>0</v>
      </c>
      <c r="D329" s="126">
        <v>0</v>
      </c>
      <c r="E329" s="126">
        <f>2459-2459</f>
        <v>0</v>
      </c>
      <c r="F329" s="126">
        <v>0</v>
      </c>
      <c r="G329" s="126">
        <v>0</v>
      </c>
      <c r="H329" s="126">
        <f>I329+L329</f>
        <v>716</v>
      </c>
      <c r="I329" s="126">
        <f>J329+K329</f>
        <v>716</v>
      </c>
      <c r="J329" s="126"/>
      <c r="K329" s="126">
        <f>1888-1172</f>
        <v>716</v>
      </c>
      <c r="L329" s="126">
        <f t="shared" ref="L329:L338" si="307">M329+N329</f>
        <v>0</v>
      </c>
      <c r="M329" s="126"/>
      <c r="N329" s="126"/>
      <c r="O329" s="126">
        <f t="shared" ref="O329:O338" si="308">P329+S329</f>
        <v>716</v>
      </c>
      <c r="P329" s="126">
        <f>Q329+R329</f>
        <v>716</v>
      </c>
      <c r="Q329" s="126"/>
      <c r="R329" s="126">
        <v>716</v>
      </c>
      <c r="S329" s="126">
        <f t="shared" ref="S329:S338" si="309">T329+U329</f>
        <v>0</v>
      </c>
      <c r="T329" s="126"/>
      <c r="U329" s="126"/>
      <c r="V329" s="126">
        <f>W329+Z329</f>
        <v>0</v>
      </c>
      <c r="W329" s="126">
        <f>X329+Y329</f>
        <v>0</v>
      </c>
      <c r="X329" s="126"/>
      <c r="Y329" s="126"/>
      <c r="Z329" s="126"/>
      <c r="AA329" s="126"/>
      <c r="AB329" s="126"/>
      <c r="AC329" s="126"/>
      <c r="AD329" s="126"/>
      <c r="AE329" s="126"/>
      <c r="AF329" s="126"/>
      <c r="AG329" s="126"/>
      <c r="AH329" s="126"/>
      <c r="AI329" s="126">
        <f t="shared" si="304"/>
        <v>0</v>
      </c>
      <c r="AJ329" s="126">
        <f>D329+J329-Q329-X329-AD329</f>
        <v>0</v>
      </c>
      <c r="AK329" s="126">
        <f>E329+K329-R329-Y329-AE329</f>
        <v>0</v>
      </c>
      <c r="AL329" s="126">
        <f>F329+M329-T329-AA329-AG329</f>
        <v>0</v>
      </c>
      <c r="AM329" s="126">
        <f>G329+N329-U329-AB329-AH329</f>
        <v>0</v>
      </c>
      <c r="AN329" s="126"/>
      <c r="AO329" s="130">
        <f t="shared" si="264"/>
        <v>0</v>
      </c>
      <c r="AP329" s="116"/>
    </row>
    <row r="330" spans="1:42" s="117" customFormat="1" ht="14" hidden="1" outlineLevel="1">
      <c r="A330" s="136"/>
      <c r="B330" s="137" t="s">
        <v>337</v>
      </c>
      <c r="C330" s="126">
        <f t="shared" si="305"/>
        <v>167.4</v>
      </c>
      <c r="D330" s="126">
        <v>0</v>
      </c>
      <c r="E330" s="126">
        <v>0</v>
      </c>
      <c r="F330" s="126">
        <v>0</v>
      </c>
      <c r="G330" s="126">
        <v>167.4</v>
      </c>
      <c r="H330" s="126">
        <f t="shared" ref="H330:H338" si="310">I330+L330</f>
        <v>24</v>
      </c>
      <c r="I330" s="126"/>
      <c r="J330" s="126"/>
      <c r="K330" s="126"/>
      <c r="L330" s="126">
        <f t="shared" si="307"/>
        <v>24</v>
      </c>
      <c r="M330" s="126"/>
      <c r="N330" s="126">
        <v>24</v>
      </c>
      <c r="O330" s="126">
        <f t="shared" si="308"/>
        <v>0</v>
      </c>
      <c r="P330" s="126"/>
      <c r="Q330" s="126"/>
      <c r="R330" s="126"/>
      <c r="S330" s="126">
        <f t="shared" si="309"/>
        <v>0</v>
      </c>
      <c r="T330" s="126"/>
      <c r="U330" s="126"/>
      <c r="V330" s="126">
        <f t="shared" ref="V330:V338" si="311">W330+Z330</f>
        <v>167.4</v>
      </c>
      <c r="W330" s="126">
        <f t="shared" ref="W330:W338" si="312">X330+Y330</f>
        <v>0</v>
      </c>
      <c r="X330" s="126"/>
      <c r="Y330" s="126"/>
      <c r="Z330" s="126">
        <f>AA330+AB330</f>
        <v>167.4</v>
      </c>
      <c r="AA330" s="126"/>
      <c r="AB330" s="126">
        <f>G330</f>
        <v>167.4</v>
      </c>
      <c r="AC330" s="126"/>
      <c r="AD330" s="126"/>
      <c r="AE330" s="126"/>
      <c r="AF330" s="126"/>
      <c r="AG330" s="126"/>
      <c r="AH330" s="126"/>
      <c r="AI330" s="126">
        <f t="shared" si="304"/>
        <v>24</v>
      </c>
      <c r="AJ330" s="126">
        <f t="shared" ref="AJ330:AK346" si="313">D330+J330-Q330-X330-AD330</f>
        <v>0</v>
      </c>
      <c r="AK330" s="126">
        <f t="shared" si="313"/>
        <v>0</v>
      </c>
      <c r="AL330" s="126">
        <f t="shared" ref="AL330:AM346" si="314">F330+M330-T330-AA330-AG330</f>
        <v>0</v>
      </c>
      <c r="AM330" s="126">
        <f t="shared" si="314"/>
        <v>24</v>
      </c>
      <c r="AN330" s="126"/>
      <c r="AO330" s="130">
        <f t="shared" si="264"/>
        <v>0</v>
      </c>
      <c r="AP330" s="116"/>
    </row>
    <row r="331" spans="1:42" s="117" customFormat="1" ht="14" hidden="1" outlineLevel="1">
      <c r="A331" s="136"/>
      <c r="B331" s="137" t="s">
        <v>560</v>
      </c>
      <c r="C331" s="126">
        <f t="shared" si="305"/>
        <v>180</v>
      </c>
      <c r="D331" s="126">
        <v>0</v>
      </c>
      <c r="E331" s="126">
        <v>0</v>
      </c>
      <c r="F331" s="126">
        <v>0</v>
      </c>
      <c r="G331" s="126">
        <v>180</v>
      </c>
      <c r="H331" s="126">
        <f t="shared" si="310"/>
        <v>21</v>
      </c>
      <c r="I331" s="126"/>
      <c r="J331" s="126"/>
      <c r="K331" s="126"/>
      <c r="L331" s="126">
        <f t="shared" si="307"/>
        <v>21</v>
      </c>
      <c r="M331" s="126"/>
      <c r="N331" s="126">
        <v>21</v>
      </c>
      <c r="O331" s="126">
        <f t="shared" si="308"/>
        <v>0</v>
      </c>
      <c r="P331" s="126"/>
      <c r="Q331" s="126"/>
      <c r="R331" s="126"/>
      <c r="S331" s="126">
        <f t="shared" si="309"/>
        <v>0</v>
      </c>
      <c r="T331" s="126"/>
      <c r="U331" s="126"/>
      <c r="V331" s="126">
        <f t="shared" si="311"/>
        <v>180</v>
      </c>
      <c r="W331" s="126">
        <f t="shared" si="312"/>
        <v>0</v>
      </c>
      <c r="X331" s="126"/>
      <c r="Y331" s="126"/>
      <c r="Z331" s="126">
        <f>AA331+AB331</f>
        <v>180</v>
      </c>
      <c r="AA331" s="126"/>
      <c r="AB331" s="126">
        <f>G331</f>
        <v>180</v>
      </c>
      <c r="AC331" s="126"/>
      <c r="AD331" s="126"/>
      <c r="AE331" s="126"/>
      <c r="AF331" s="126"/>
      <c r="AG331" s="126"/>
      <c r="AH331" s="126"/>
      <c r="AI331" s="126">
        <f t="shared" si="304"/>
        <v>21</v>
      </c>
      <c r="AJ331" s="126">
        <f t="shared" si="313"/>
        <v>0</v>
      </c>
      <c r="AK331" s="126">
        <f t="shared" si="313"/>
        <v>0</v>
      </c>
      <c r="AL331" s="126">
        <f t="shared" si="314"/>
        <v>0</v>
      </c>
      <c r="AM331" s="126">
        <f t="shared" si="314"/>
        <v>21</v>
      </c>
      <c r="AN331" s="126"/>
      <c r="AO331" s="130">
        <f t="shared" si="264"/>
        <v>0</v>
      </c>
      <c r="AP331" s="116"/>
    </row>
    <row r="332" spans="1:42" s="117" customFormat="1" ht="14" hidden="1" outlineLevel="1">
      <c r="A332" s="136"/>
      <c r="B332" s="137" t="s">
        <v>561</v>
      </c>
      <c r="C332" s="126">
        <f t="shared" si="305"/>
        <v>0</v>
      </c>
      <c r="D332" s="126">
        <v>0</v>
      </c>
      <c r="E332" s="126">
        <v>0</v>
      </c>
      <c r="F332" s="126">
        <v>0</v>
      </c>
      <c r="G332" s="126">
        <v>0</v>
      </c>
      <c r="H332" s="126">
        <f t="shared" si="310"/>
        <v>12</v>
      </c>
      <c r="I332" s="126"/>
      <c r="J332" s="126"/>
      <c r="K332" s="126"/>
      <c r="L332" s="126">
        <f t="shared" si="307"/>
        <v>12</v>
      </c>
      <c r="M332" s="126"/>
      <c r="N332" s="126">
        <v>12</v>
      </c>
      <c r="O332" s="126">
        <f t="shared" si="308"/>
        <v>11.1</v>
      </c>
      <c r="P332" s="126"/>
      <c r="Q332" s="126"/>
      <c r="R332" s="126"/>
      <c r="S332" s="126">
        <f t="shared" si="309"/>
        <v>11.1</v>
      </c>
      <c r="T332" s="126"/>
      <c r="U332" s="126">
        <f>11.1</f>
        <v>11.1</v>
      </c>
      <c r="V332" s="126">
        <f t="shared" si="311"/>
        <v>0</v>
      </c>
      <c r="W332" s="126">
        <f t="shared" si="312"/>
        <v>0</v>
      </c>
      <c r="X332" s="126"/>
      <c r="Y332" s="126"/>
      <c r="Z332" s="126"/>
      <c r="AA332" s="126"/>
      <c r="AB332" s="126"/>
      <c r="AC332" s="126"/>
      <c r="AD332" s="126"/>
      <c r="AE332" s="126"/>
      <c r="AF332" s="126"/>
      <c r="AG332" s="126"/>
      <c r="AH332" s="126"/>
      <c r="AI332" s="126">
        <f t="shared" si="304"/>
        <v>0.90000000000000036</v>
      </c>
      <c r="AJ332" s="126">
        <f t="shared" si="313"/>
        <v>0</v>
      </c>
      <c r="AK332" s="126">
        <f t="shared" si="313"/>
        <v>0</v>
      </c>
      <c r="AL332" s="126">
        <f t="shared" si="314"/>
        <v>0</v>
      </c>
      <c r="AM332" s="126">
        <f t="shared" si="314"/>
        <v>0.90000000000000036</v>
      </c>
      <c r="AN332" s="126"/>
      <c r="AO332" s="130">
        <f t="shared" si="264"/>
        <v>0</v>
      </c>
      <c r="AP332" s="116"/>
    </row>
    <row r="333" spans="1:42" s="148" customFormat="1" ht="14" hidden="1" outlineLevel="1">
      <c r="A333" s="136"/>
      <c r="B333" s="137" t="s">
        <v>562</v>
      </c>
      <c r="C333" s="126">
        <f t="shared" si="305"/>
        <v>270</v>
      </c>
      <c r="D333" s="126">
        <v>0</v>
      </c>
      <c r="E333" s="126">
        <v>0</v>
      </c>
      <c r="F333" s="126">
        <v>0</v>
      </c>
      <c r="G333" s="126">
        <f>270</f>
        <v>270</v>
      </c>
      <c r="H333" s="126">
        <f t="shared" si="310"/>
        <v>2</v>
      </c>
      <c r="I333" s="126"/>
      <c r="J333" s="126"/>
      <c r="K333" s="126"/>
      <c r="L333" s="126">
        <f t="shared" si="307"/>
        <v>2</v>
      </c>
      <c r="M333" s="126"/>
      <c r="N333" s="126">
        <v>2</v>
      </c>
      <c r="O333" s="126">
        <f t="shared" si="308"/>
        <v>0</v>
      </c>
      <c r="P333" s="126"/>
      <c r="Q333" s="126"/>
      <c r="R333" s="126"/>
      <c r="S333" s="126">
        <f t="shared" si="309"/>
        <v>0</v>
      </c>
      <c r="T333" s="126"/>
      <c r="U333" s="126">
        <f>0</f>
        <v>0</v>
      </c>
      <c r="V333" s="126">
        <f t="shared" si="311"/>
        <v>0</v>
      </c>
      <c r="W333" s="126">
        <f t="shared" si="312"/>
        <v>0</v>
      </c>
      <c r="X333" s="126"/>
      <c r="Y333" s="126"/>
      <c r="Z333" s="126"/>
      <c r="AA333" s="126"/>
      <c r="AB333" s="126"/>
      <c r="AC333" s="126"/>
      <c r="AD333" s="126"/>
      <c r="AE333" s="126"/>
      <c r="AF333" s="126"/>
      <c r="AG333" s="126"/>
      <c r="AH333" s="126"/>
      <c r="AI333" s="126">
        <f t="shared" si="304"/>
        <v>272</v>
      </c>
      <c r="AJ333" s="126">
        <f t="shared" si="313"/>
        <v>0</v>
      </c>
      <c r="AK333" s="126">
        <f t="shared" si="313"/>
        <v>0</v>
      </c>
      <c r="AL333" s="126">
        <f t="shared" si="314"/>
        <v>0</v>
      </c>
      <c r="AM333" s="126">
        <f t="shared" si="314"/>
        <v>272</v>
      </c>
      <c r="AN333" s="126"/>
      <c r="AO333" s="130">
        <f t="shared" si="264"/>
        <v>0</v>
      </c>
      <c r="AP333" s="116"/>
    </row>
    <row r="334" spans="1:42" s="117" customFormat="1" ht="14" hidden="1" outlineLevel="1">
      <c r="A334" s="136"/>
      <c r="B334" s="137" t="s">
        <v>563</v>
      </c>
      <c r="C334" s="126">
        <f t="shared" si="305"/>
        <v>905</v>
      </c>
      <c r="D334" s="126">
        <v>0</v>
      </c>
      <c r="E334" s="126">
        <v>0</v>
      </c>
      <c r="F334" s="126">
        <v>0</v>
      </c>
      <c r="G334" s="126">
        <v>905</v>
      </c>
      <c r="H334" s="126">
        <f t="shared" si="310"/>
        <v>8</v>
      </c>
      <c r="I334" s="126"/>
      <c r="J334" s="126"/>
      <c r="K334" s="126"/>
      <c r="L334" s="126">
        <f t="shared" si="307"/>
        <v>8</v>
      </c>
      <c r="M334" s="126"/>
      <c r="N334" s="126">
        <f>8</f>
        <v>8</v>
      </c>
      <c r="O334" s="126">
        <f t="shared" si="308"/>
        <v>100.68</v>
      </c>
      <c r="P334" s="126"/>
      <c r="Q334" s="126"/>
      <c r="R334" s="126"/>
      <c r="S334" s="126">
        <f t="shared" si="309"/>
        <v>100.68</v>
      </c>
      <c r="T334" s="126"/>
      <c r="U334" s="126">
        <f>N334+92.68</f>
        <v>100.68</v>
      </c>
      <c r="V334" s="126">
        <f t="shared" si="311"/>
        <v>0</v>
      </c>
      <c r="W334" s="126">
        <f t="shared" si="312"/>
        <v>0</v>
      </c>
      <c r="X334" s="126"/>
      <c r="Y334" s="126"/>
      <c r="Z334" s="126"/>
      <c r="AA334" s="126"/>
      <c r="AB334" s="126"/>
      <c r="AC334" s="126"/>
      <c r="AD334" s="126"/>
      <c r="AE334" s="126"/>
      <c r="AF334" s="126"/>
      <c r="AG334" s="126"/>
      <c r="AH334" s="126"/>
      <c r="AI334" s="126">
        <f t="shared" si="304"/>
        <v>812.31999999999994</v>
      </c>
      <c r="AJ334" s="126">
        <f t="shared" si="313"/>
        <v>0</v>
      </c>
      <c r="AK334" s="126">
        <f t="shared" si="313"/>
        <v>0</v>
      </c>
      <c r="AL334" s="126">
        <f t="shared" si="314"/>
        <v>0</v>
      </c>
      <c r="AM334" s="126">
        <f t="shared" si="314"/>
        <v>812.31999999999994</v>
      </c>
      <c r="AN334" s="126"/>
      <c r="AO334" s="130">
        <f t="shared" si="264"/>
        <v>0</v>
      </c>
      <c r="AP334" s="116"/>
    </row>
    <row r="335" spans="1:42" s="117" customFormat="1" ht="14" hidden="1" outlineLevel="1">
      <c r="A335" s="136"/>
      <c r="B335" s="137" t="s">
        <v>680</v>
      </c>
      <c r="C335" s="126">
        <f t="shared" si="305"/>
        <v>0</v>
      </c>
      <c r="D335" s="126">
        <v>0</v>
      </c>
      <c r="E335" s="126">
        <v>0</v>
      </c>
      <c r="F335" s="126">
        <v>0</v>
      </c>
      <c r="G335" s="126">
        <v>0</v>
      </c>
      <c r="H335" s="126">
        <f t="shared" si="310"/>
        <v>3</v>
      </c>
      <c r="I335" s="126"/>
      <c r="J335" s="126"/>
      <c r="K335" s="126"/>
      <c r="L335" s="126">
        <f t="shared" si="307"/>
        <v>3</v>
      </c>
      <c r="M335" s="126"/>
      <c r="N335" s="126">
        <v>3</v>
      </c>
      <c r="O335" s="126">
        <f t="shared" si="308"/>
        <v>3</v>
      </c>
      <c r="P335" s="126"/>
      <c r="Q335" s="126"/>
      <c r="R335" s="126"/>
      <c r="S335" s="126">
        <f t="shared" si="309"/>
        <v>3</v>
      </c>
      <c r="T335" s="126"/>
      <c r="U335" s="126">
        <f>N335</f>
        <v>3</v>
      </c>
      <c r="V335" s="126">
        <f t="shared" si="311"/>
        <v>0</v>
      </c>
      <c r="W335" s="126">
        <f t="shared" si="312"/>
        <v>0</v>
      </c>
      <c r="X335" s="126"/>
      <c r="Y335" s="126"/>
      <c r="Z335" s="126"/>
      <c r="AA335" s="126"/>
      <c r="AB335" s="126"/>
      <c r="AC335" s="126"/>
      <c r="AD335" s="126"/>
      <c r="AE335" s="126"/>
      <c r="AF335" s="126"/>
      <c r="AG335" s="126"/>
      <c r="AH335" s="126"/>
      <c r="AI335" s="126">
        <f t="shared" si="304"/>
        <v>0</v>
      </c>
      <c r="AJ335" s="126">
        <f t="shared" si="313"/>
        <v>0</v>
      </c>
      <c r="AK335" s="126">
        <f t="shared" si="313"/>
        <v>0</v>
      </c>
      <c r="AL335" s="126">
        <f t="shared" si="314"/>
        <v>0</v>
      </c>
      <c r="AM335" s="126">
        <f t="shared" si="314"/>
        <v>0</v>
      </c>
      <c r="AN335" s="126"/>
      <c r="AO335" s="130">
        <f t="shared" ref="AO335:AO398" si="315">C335+H335-O335-V335-AI335</f>
        <v>0</v>
      </c>
      <c r="AP335" s="116"/>
    </row>
    <row r="336" spans="1:42" s="117" customFormat="1" ht="14" hidden="1" outlineLevel="1">
      <c r="A336" s="136"/>
      <c r="B336" s="137" t="s">
        <v>565</v>
      </c>
      <c r="C336" s="126">
        <f t="shared" si="305"/>
        <v>0</v>
      </c>
      <c r="D336" s="126">
        <v>0</v>
      </c>
      <c r="E336" s="126">
        <v>0</v>
      </c>
      <c r="F336" s="126">
        <v>0</v>
      </c>
      <c r="G336" s="126">
        <v>0</v>
      </c>
      <c r="H336" s="126">
        <f t="shared" si="310"/>
        <v>0</v>
      </c>
      <c r="I336" s="126"/>
      <c r="J336" s="126"/>
      <c r="K336" s="126"/>
      <c r="L336" s="126">
        <f t="shared" si="307"/>
        <v>0</v>
      </c>
      <c r="M336" s="126"/>
      <c r="N336" s="126"/>
      <c r="O336" s="126">
        <f t="shared" si="308"/>
        <v>0</v>
      </c>
      <c r="P336" s="126"/>
      <c r="Q336" s="126"/>
      <c r="R336" s="126"/>
      <c r="S336" s="126">
        <f t="shared" si="309"/>
        <v>0</v>
      </c>
      <c r="T336" s="126"/>
      <c r="U336" s="126"/>
      <c r="V336" s="126">
        <f t="shared" si="311"/>
        <v>0</v>
      </c>
      <c r="W336" s="126">
        <f t="shared" si="312"/>
        <v>0</v>
      </c>
      <c r="X336" s="126"/>
      <c r="Y336" s="126"/>
      <c r="Z336" s="126"/>
      <c r="AA336" s="126"/>
      <c r="AB336" s="126"/>
      <c r="AC336" s="126"/>
      <c r="AD336" s="126"/>
      <c r="AE336" s="126"/>
      <c r="AF336" s="126"/>
      <c r="AG336" s="126"/>
      <c r="AH336" s="126"/>
      <c r="AI336" s="126">
        <f t="shared" si="304"/>
        <v>0</v>
      </c>
      <c r="AJ336" s="126">
        <f t="shared" si="313"/>
        <v>0</v>
      </c>
      <c r="AK336" s="126">
        <f t="shared" si="313"/>
        <v>0</v>
      </c>
      <c r="AL336" s="126">
        <f t="shared" si="314"/>
        <v>0</v>
      </c>
      <c r="AM336" s="126">
        <f t="shared" si="314"/>
        <v>0</v>
      </c>
      <c r="AN336" s="126"/>
      <c r="AO336" s="130">
        <f t="shared" si="315"/>
        <v>0</v>
      </c>
      <c r="AP336" s="116"/>
    </row>
    <row r="337" spans="1:42" s="117" customFormat="1" ht="14" hidden="1" outlineLevel="1">
      <c r="A337" s="136"/>
      <c r="B337" s="137" t="s">
        <v>566</v>
      </c>
      <c r="C337" s="126">
        <f t="shared" si="305"/>
        <v>17.2</v>
      </c>
      <c r="D337" s="126">
        <v>0</v>
      </c>
      <c r="E337" s="126">
        <v>0</v>
      </c>
      <c r="F337" s="126">
        <v>0</v>
      </c>
      <c r="G337" s="126">
        <v>17.2</v>
      </c>
      <c r="H337" s="126">
        <f t="shared" si="310"/>
        <v>5</v>
      </c>
      <c r="I337" s="126"/>
      <c r="J337" s="126"/>
      <c r="K337" s="126"/>
      <c r="L337" s="126">
        <f t="shared" si="307"/>
        <v>5</v>
      </c>
      <c r="M337" s="126"/>
      <c r="N337" s="126">
        <v>5</v>
      </c>
      <c r="O337" s="126">
        <f t="shared" si="308"/>
        <v>3.8</v>
      </c>
      <c r="P337" s="126"/>
      <c r="Q337" s="126"/>
      <c r="R337" s="126"/>
      <c r="S337" s="126">
        <f t="shared" si="309"/>
        <v>3.8</v>
      </c>
      <c r="T337" s="126"/>
      <c r="U337" s="126">
        <v>3.8</v>
      </c>
      <c r="V337" s="126">
        <f t="shared" si="311"/>
        <v>17.2</v>
      </c>
      <c r="W337" s="126">
        <f>X337+Y337</f>
        <v>0</v>
      </c>
      <c r="X337" s="126"/>
      <c r="Y337" s="126"/>
      <c r="Z337" s="126">
        <f>AA337+AB337</f>
        <v>17.2</v>
      </c>
      <c r="AA337" s="126"/>
      <c r="AB337" s="126">
        <v>17.2</v>
      </c>
      <c r="AC337" s="126"/>
      <c r="AD337" s="126"/>
      <c r="AE337" s="126"/>
      <c r="AF337" s="126"/>
      <c r="AG337" s="126"/>
      <c r="AH337" s="126"/>
      <c r="AI337" s="126">
        <f t="shared" si="304"/>
        <v>1.1999999999999993</v>
      </c>
      <c r="AJ337" s="126">
        <f t="shared" si="313"/>
        <v>0</v>
      </c>
      <c r="AK337" s="126">
        <f t="shared" si="313"/>
        <v>0</v>
      </c>
      <c r="AL337" s="126">
        <f t="shared" si="314"/>
        <v>0</v>
      </c>
      <c r="AM337" s="126">
        <f t="shared" si="314"/>
        <v>1.1999999999999993</v>
      </c>
      <c r="AN337" s="126"/>
      <c r="AO337" s="130">
        <f t="shared" si="315"/>
        <v>0</v>
      </c>
      <c r="AP337" s="116"/>
    </row>
    <row r="338" spans="1:42" s="117" customFormat="1" ht="14" hidden="1" outlineLevel="1">
      <c r="A338" s="136"/>
      <c r="B338" s="137" t="s">
        <v>567</v>
      </c>
      <c r="C338" s="126">
        <f t="shared" si="305"/>
        <v>0</v>
      </c>
      <c r="D338" s="126">
        <v>0</v>
      </c>
      <c r="E338" s="126">
        <v>0</v>
      </c>
      <c r="F338" s="126">
        <v>0</v>
      </c>
      <c r="G338" s="126">
        <f>162.65-162.65</f>
        <v>0</v>
      </c>
      <c r="H338" s="126">
        <f t="shared" si="310"/>
        <v>0</v>
      </c>
      <c r="I338" s="126"/>
      <c r="J338" s="126"/>
      <c r="K338" s="126"/>
      <c r="L338" s="126">
        <f t="shared" si="307"/>
        <v>0</v>
      </c>
      <c r="M338" s="126"/>
      <c r="N338" s="126"/>
      <c r="O338" s="126">
        <f t="shared" si="308"/>
        <v>0</v>
      </c>
      <c r="P338" s="126"/>
      <c r="Q338" s="126"/>
      <c r="R338" s="126"/>
      <c r="S338" s="126">
        <f t="shared" si="309"/>
        <v>0</v>
      </c>
      <c r="T338" s="126"/>
      <c r="U338" s="126"/>
      <c r="V338" s="126">
        <f t="shared" si="311"/>
        <v>0</v>
      </c>
      <c r="W338" s="126">
        <f t="shared" si="312"/>
        <v>0</v>
      </c>
      <c r="X338" s="126"/>
      <c r="Y338" s="126"/>
      <c r="Z338" s="126">
        <f>AA338+AB338</f>
        <v>0</v>
      </c>
      <c r="AA338" s="126"/>
      <c r="AB338" s="126">
        <f>G338</f>
        <v>0</v>
      </c>
      <c r="AC338" s="126"/>
      <c r="AD338" s="126"/>
      <c r="AE338" s="126"/>
      <c r="AF338" s="126"/>
      <c r="AG338" s="126"/>
      <c r="AH338" s="126"/>
      <c r="AI338" s="126">
        <f t="shared" si="304"/>
        <v>0</v>
      </c>
      <c r="AJ338" s="126">
        <f t="shared" si="313"/>
        <v>0</v>
      </c>
      <c r="AK338" s="126">
        <f t="shared" si="313"/>
        <v>0</v>
      </c>
      <c r="AL338" s="126">
        <f t="shared" si="314"/>
        <v>0</v>
      </c>
      <c r="AM338" s="126">
        <f t="shared" si="314"/>
        <v>0</v>
      </c>
      <c r="AN338" s="126"/>
      <c r="AO338" s="130">
        <f t="shared" si="315"/>
        <v>0</v>
      </c>
      <c r="AP338" s="116"/>
    </row>
    <row r="339" spans="1:42" s="117" customFormat="1" ht="14" hidden="1" outlineLevel="1">
      <c r="A339" s="136"/>
      <c r="B339" s="137" t="s">
        <v>604</v>
      </c>
      <c r="C339" s="126">
        <f>SUM(D339:G339)</f>
        <v>3281.65</v>
      </c>
      <c r="D339" s="126">
        <v>0</v>
      </c>
      <c r="E339" s="126">
        <f>2459+162.65+660</f>
        <v>3281.65</v>
      </c>
      <c r="F339" s="126">
        <v>0</v>
      </c>
      <c r="G339" s="126">
        <f>162.65-162.65</f>
        <v>0</v>
      </c>
      <c r="H339" s="126">
        <f>I339+L339</f>
        <v>1172</v>
      </c>
      <c r="I339" s="126">
        <f>J339+K339</f>
        <v>1172</v>
      </c>
      <c r="J339" s="126"/>
      <c r="K339" s="126">
        <v>1172</v>
      </c>
      <c r="L339" s="126">
        <f>M339+N339</f>
        <v>0</v>
      </c>
      <c r="M339" s="126"/>
      <c r="N339" s="126"/>
      <c r="O339" s="126">
        <f>P339+S339</f>
        <v>0</v>
      </c>
      <c r="P339" s="126"/>
      <c r="Q339" s="126"/>
      <c r="R339" s="126"/>
      <c r="S339" s="126">
        <f>T339+U339</f>
        <v>0</v>
      </c>
      <c r="T339" s="126"/>
      <c r="U339" s="126"/>
      <c r="V339" s="126">
        <f>W339+Z339</f>
        <v>0</v>
      </c>
      <c r="W339" s="126">
        <f>X339+Y339</f>
        <v>0</v>
      </c>
      <c r="X339" s="126"/>
      <c r="Y339" s="126"/>
      <c r="Z339" s="126"/>
      <c r="AA339" s="126"/>
      <c r="AB339" s="126"/>
      <c r="AC339" s="126"/>
      <c r="AD339" s="126"/>
      <c r="AE339" s="126"/>
      <c r="AF339" s="126"/>
      <c r="AG339" s="126"/>
      <c r="AH339" s="126"/>
      <c r="AI339" s="126">
        <f>SUM(AJ339:AM339)</f>
        <v>4453.6499999999996</v>
      </c>
      <c r="AJ339" s="126">
        <f>D339+J339-Q339-X339-AD339</f>
        <v>0</v>
      </c>
      <c r="AK339" s="126">
        <f>E339+K339-R339-Y339-AE339</f>
        <v>4453.6499999999996</v>
      </c>
      <c r="AL339" s="126">
        <f>F339+M339-T339-AA339-AG339</f>
        <v>0</v>
      </c>
      <c r="AM339" s="126">
        <f>G339+N339-U339-AB339-AH339</f>
        <v>0</v>
      </c>
      <c r="AN339" s="126"/>
      <c r="AO339" s="130">
        <f t="shared" si="315"/>
        <v>0</v>
      </c>
      <c r="AP339" s="116"/>
    </row>
    <row r="340" spans="1:42" s="117" customFormat="1" ht="42" collapsed="1">
      <c r="A340" s="151">
        <v>6</v>
      </c>
      <c r="B340" s="181" t="s">
        <v>714</v>
      </c>
      <c r="C340" s="180">
        <f>C341+C342</f>
        <v>866</v>
      </c>
      <c r="D340" s="180">
        <f t="shared" ref="D340:AM340" si="316">D341+D342</f>
        <v>0</v>
      </c>
      <c r="E340" s="180">
        <f t="shared" si="316"/>
        <v>866</v>
      </c>
      <c r="F340" s="180">
        <f t="shared" si="316"/>
        <v>0</v>
      </c>
      <c r="G340" s="180">
        <f t="shared" si="316"/>
        <v>0</v>
      </c>
      <c r="H340" s="180">
        <f t="shared" si="316"/>
        <v>42981</v>
      </c>
      <c r="I340" s="180">
        <f t="shared" si="316"/>
        <v>42981</v>
      </c>
      <c r="J340" s="180">
        <f t="shared" si="316"/>
        <v>0</v>
      </c>
      <c r="K340" s="180">
        <f t="shared" si="316"/>
        <v>42981</v>
      </c>
      <c r="L340" s="180">
        <f t="shared" si="316"/>
        <v>0</v>
      </c>
      <c r="M340" s="180">
        <f t="shared" si="316"/>
        <v>0</v>
      </c>
      <c r="N340" s="180">
        <f t="shared" si="316"/>
        <v>0</v>
      </c>
      <c r="O340" s="180">
        <f t="shared" si="316"/>
        <v>24803</v>
      </c>
      <c r="P340" s="180">
        <f t="shared" si="316"/>
        <v>24803</v>
      </c>
      <c r="Q340" s="180">
        <f t="shared" si="316"/>
        <v>0</v>
      </c>
      <c r="R340" s="180">
        <f t="shared" si="316"/>
        <v>24803</v>
      </c>
      <c r="S340" s="180">
        <f t="shared" si="316"/>
        <v>0</v>
      </c>
      <c r="T340" s="180">
        <f t="shared" si="316"/>
        <v>0</v>
      </c>
      <c r="U340" s="180">
        <f t="shared" si="316"/>
        <v>0</v>
      </c>
      <c r="V340" s="180">
        <f t="shared" si="316"/>
        <v>0</v>
      </c>
      <c r="W340" s="180">
        <f t="shared" si="316"/>
        <v>0</v>
      </c>
      <c r="X340" s="180">
        <f t="shared" si="316"/>
        <v>0</v>
      </c>
      <c r="Y340" s="180">
        <f t="shared" si="316"/>
        <v>0</v>
      </c>
      <c r="Z340" s="180">
        <f t="shared" si="316"/>
        <v>0</v>
      </c>
      <c r="AA340" s="180">
        <f t="shared" si="316"/>
        <v>0</v>
      </c>
      <c r="AB340" s="180">
        <f t="shared" si="316"/>
        <v>0</v>
      </c>
      <c r="AC340" s="180">
        <f t="shared" si="316"/>
        <v>0</v>
      </c>
      <c r="AD340" s="180">
        <f t="shared" si="316"/>
        <v>0</v>
      </c>
      <c r="AE340" s="180">
        <f t="shared" si="316"/>
        <v>0</v>
      </c>
      <c r="AF340" s="180">
        <f t="shared" si="316"/>
        <v>0</v>
      </c>
      <c r="AG340" s="180">
        <f t="shared" si="316"/>
        <v>0</v>
      </c>
      <c r="AH340" s="180">
        <f t="shared" si="316"/>
        <v>0</v>
      </c>
      <c r="AI340" s="180">
        <f t="shared" si="316"/>
        <v>19044</v>
      </c>
      <c r="AJ340" s="180">
        <f t="shared" si="316"/>
        <v>0</v>
      </c>
      <c r="AK340" s="180">
        <f t="shared" si="316"/>
        <v>19044</v>
      </c>
      <c r="AL340" s="180">
        <f t="shared" si="316"/>
        <v>0</v>
      </c>
      <c r="AM340" s="180">
        <f t="shared" si="316"/>
        <v>0</v>
      </c>
      <c r="AN340" s="126"/>
      <c r="AO340" s="130">
        <f t="shared" si="315"/>
        <v>0</v>
      </c>
      <c r="AP340" s="116"/>
    </row>
    <row r="341" spans="1:42" s="117" customFormat="1" ht="14" hidden="1" outlineLevel="1">
      <c r="A341" s="139"/>
      <c r="B341" s="178" t="s">
        <v>715</v>
      </c>
      <c r="C341" s="179">
        <f t="shared" ref="C341:C342" si="317">SUM(D341:G341)</f>
        <v>0</v>
      </c>
      <c r="D341" s="179">
        <v>0</v>
      </c>
      <c r="E341" s="179">
        <f>329-329</f>
        <v>0</v>
      </c>
      <c r="F341" s="179">
        <v>0</v>
      </c>
      <c r="G341" s="179">
        <v>0</v>
      </c>
      <c r="H341" s="179">
        <f>I341+L341</f>
        <v>24474</v>
      </c>
      <c r="I341" s="179">
        <f>J341+K341</f>
        <v>24474</v>
      </c>
      <c r="J341" s="179"/>
      <c r="K341" s="126">
        <f>42981-18507</f>
        <v>24474</v>
      </c>
      <c r="L341" s="179">
        <f>M341+N341</f>
        <v>0</v>
      </c>
      <c r="M341" s="179"/>
      <c r="N341" s="179"/>
      <c r="O341" s="179">
        <f>P341+S341</f>
        <v>24474</v>
      </c>
      <c r="P341" s="179">
        <f>Q341+R341</f>
        <v>24474</v>
      </c>
      <c r="Q341" s="179"/>
      <c r="R341" s="179">
        <v>24474</v>
      </c>
      <c r="S341" s="179"/>
      <c r="T341" s="179"/>
      <c r="U341" s="179"/>
      <c r="V341" s="179">
        <f>W341+Z341+AC341+AF341</f>
        <v>0</v>
      </c>
      <c r="W341" s="179">
        <f>X341+Y341</f>
        <v>0</v>
      </c>
      <c r="X341" s="179"/>
      <c r="Y341" s="179"/>
      <c r="Z341" s="179">
        <f>AA341+AB341</f>
        <v>0</v>
      </c>
      <c r="AA341" s="179"/>
      <c r="AB341" s="179"/>
      <c r="AC341" s="126">
        <f>AD341+AE341</f>
        <v>0</v>
      </c>
      <c r="AD341" s="126"/>
      <c r="AE341" s="126"/>
      <c r="AF341" s="126">
        <f>AG341+AH341</f>
        <v>0</v>
      </c>
      <c r="AG341" s="179"/>
      <c r="AH341" s="179"/>
      <c r="AI341" s="179">
        <f t="shared" ref="AI341" si="318">SUM(AJ341:AM341)</f>
        <v>0</v>
      </c>
      <c r="AJ341" s="179">
        <f t="shared" ref="AJ341:AK342" si="319">D341+J341-Q341-X341-AD341</f>
        <v>0</v>
      </c>
      <c r="AK341" s="179">
        <f t="shared" si="319"/>
        <v>0</v>
      </c>
      <c r="AL341" s="179">
        <f t="shared" ref="AL341:AM342" si="320">F341+M341-T341-AA341-AG341</f>
        <v>0</v>
      </c>
      <c r="AM341" s="179">
        <f t="shared" si="320"/>
        <v>0</v>
      </c>
      <c r="AN341" s="126"/>
      <c r="AO341" s="130">
        <f t="shared" si="315"/>
        <v>0</v>
      </c>
      <c r="AP341" s="116"/>
    </row>
    <row r="342" spans="1:42" s="117" customFormat="1" ht="14" hidden="1" outlineLevel="1">
      <c r="A342" s="139"/>
      <c r="B342" s="178" t="s">
        <v>716</v>
      </c>
      <c r="C342" s="179">
        <f t="shared" si="317"/>
        <v>866</v>
      </c>
      <c r="D342" s="179">
        <v>0</v>
      </c>
      <c r="E342" s="179">
        <f>329+537</f>
        <v>866</v>
      </c>
      <c r="F342" s="179">
        <v>0</v>
      </c>
      <c r="G342" s="179">
        <v>0</v>
      </c>
      <c r="H342" s="179">
        <f>I342+L342</f>
        <v>18507</v>
      </c>
      <c r="I342" s="179">
        <f>J342+K342</f>
        <v>18507</v>
      </c>
      <c r="J342" s="179"/>
      <c r="K342" s="126">
        <v>18507</v>
      </c>
      <c r="L342" s="179">
        <f>M342+N342</f>
        <v>0</v>
      </c>
      <c r="M342" s="179"/>
      <c r="N342" s="179"/>
      <c r="O342" s="179">
        <f>P342+S342</f>
        <v>329</v>
      </c>
      <c r="P342" s="179">
        <f>Q342+R342</f>
        <v>329</v>
      </c>
      <c r="Q342" s="179"/>
      <c r="R342" s="179">
        <v>329</v>
      </c>
      <c r="S342" s="179"/>
      <c r="T342" s="179"/>
      <c r="U342" s="179"/>
      <c r="V342" s="179">
        <f>W342+Z342+AC342+AF342</f>
        <v>0</v>
      </c>
      <c r="W342" s="179">
        <f>X342+Y342</f>
        <v>0</v>
      </c>
      <c r="X342" s="179"/>
      <c r="Y342" s="179"/>
      <c r="Z342" s="179">
        <f>AA342+AB342</f>
        <v>0</v>
      </c>
      <c r="AA342" s="179"/>
      <c r="AB342" s="179"/>
      <c r="AC342" s="126">
        <f>AD342+AE342</f>
        <v>0</v>
      </c>
      <c r="AD342" s="126"/>
      <c r="AE342" s="126"/>
      <c r="AF342" s="126">
        <f>AG342+AH342</f>
        <v>0</v>
      </c>
      <c r="AG342" s="179"/>
      <c r="AH342" s="179"/>
      <c r="AI342" s="179">
        <f t="shared" ref="AI342" si="321">SUM(AJ342:AM342)</f>
        <v>19044</v>
      </c>
      <c r="AJ342" s="179">
        <f t="shared" si="319"/>
        <v>0</v>
      </c>
      <c r="AK342" s="179">
        <f t="shared" si="319"/>
        <v>19044</v>
      </c>
      <c r="AL342" s="179">
        <f t="shared" si="320"/>
        <v>0</v>
      </c>
      <c r="AM342" s="179">
        <f t="shared" si="320"/>
        <v>0</v>
      </c>
      <c r="AN342" s="126"/>
      <c r="AO342" s="130">
        <f t="shared" si="315"/>
        <v>0</v>
      </c>
      <c r="AP342" s="116"/>
    </row>
    <row r="343" spans="1:42" s="117" customFormat="1" ht="14" collapsed="1">
      <c r="A343" s="151">
        <v>7</v>
      </c>
      <c r="B343" s="182" t="s">
        <v>717</v>
      </c>
      <c r="C343" s="180">
        <f t="shared" si="305"/>
        <v>0</v>
      </c>
      <c r="D343" s="180">
        <v>0</v>
      </c>
      <c r="E343" s="180">
        <v>0</v>
      </c>
      <c r="F343" s="180">
        <v>0</v>
      </c>
      <c r="G343" s="180">
        <v>0</v>
      </c>
      <c r="H343" s="180">
        <f t="shared" ref="H343:AH343" si="322">SUM(H344:H344)</f>
        <v>16307</v>
      </c>
      <c r="I343" s="180">
        <f t="shared" si="322"/>
        <v>16307</v>
      </c>
      <c r="J343" s="180">
        <f t="shared" si="322"/>
        <v>0</v>
      </c>
      <c r="K343" s="180">
        <f t="shared" si="322"/>
        <v>16307</v>
      </c>
      <c r="L343" s="180">
        <f t="shared" si="322"/>
        <v>0</v>
      </c>
      <c r="M343" s="180">
        <f t="shared" si="322"/>
        <v>0</v>
      </c>
      <c r="N343" s="180">
        <f t="shared" si="322"/>
        <v>0</v>
      </c>
      <c r="O343" s="180">
        <f t="shared" si="322"/>
        <v>16307</v>
      </c>
      <c r="P343" s="180">
        <f t="shared" si="322"/>
        <v>16307</v>
      </c>
      <c r="Q343" s="180">
        <f t="shared" si="322"/>
        <v>0</v>
      </c>
      <c r="R343" s="180">
        <f t="shared" si="322"/>
        <v>16307</v>
      </c>
      <c r="S343" s="180">
        <f t="shared" si="322"/>
        <v>0</v>
      </c>
      <c r="T343" s="180">
        <f t="shared" si="322"/>
        <v>0</v>
      </c>
      <c r="U343" s="180">
        <f t="shared" si="322"/>
        <v>0</v>
      </c>
      <c r="V343" s="180">
        <f t="shared" si="322"/>
        <v>0</v>
      </c>
      <c r="W343" s="180">
        <f t="shared" si="322"/>
        <v>0</v>
      </c>
      <c r="X343" s="180">
        <f t="shared" si="322"/>
        <v>0</v>
      </c>
      <c r="Y343" s="180">
        <f t="shared" si="322"/>
        <v>0</v>
      </c>
      <c r="Z343" s="180">
        <f t="shared" si="322"/>
        <v>0</v>
      </c>
      <c r="AA343" s="180">
        <f t="shared" si="322"/>
        <v>0</v>
      </c>
      <c r="AB343" s="180">
        <f t="shared" si="322"/>
        <v>0</v>
      </c>
      <c r="AC343" s="180">
        <f t="shared" si="322"/>
        <v>0</v>
      </c>
      <c r="AD343" s="180">
        <f t="shared" si="322"/>
        <v>0</v>
      </c>
      <c r="AE343" s="180">
        <f t="shared" si="322"/>
        <v>0</v>
      </c>
      <c r="AF343" s="180">
        <f t="shared" si="322"/>
        <v>0</v>
      </c>
      <c r="AG343" s="180">
        <f t="shared" si="322"/>
        <v>0</v>
      </c>
      <c r="AH343" s="180">
        <f t="shared" si="322"/>
        <v>0</v>
      </c>
      <c r="AI343" s="180">
        <f t="shared" si="304"/>
        <v>0</v>
      </c>
      <c r="AJ343" s="180">
        <f t="shared" si="313"/>
        <v>0</v>
      </c>
      <c r="AK343" s="180">
        <f t="shared" si="313"/>
        <v>0</v>
      </c>
      <c r="AL343" s="180">
        <f t="shared" si="314"/>
        <v>0</v>
      </c>
      <c r="AM343" s="180">
        <f t="shared" si="314"/>
        <v>0</v>
      </c>
      <c r="AN343" s="126"/>
      <c r="AO343" s="130">
        <f t="shared" si="315"/>
        <v>0</v>
      </c>
      <c r="AP343" s="116"/>
    </row>
    <row r="344" spans="1:42" s="117" customFormat="1" ht="14" hidden="1" outlineLevel="1">
      <c r="A344" s="139"/>
      <c r="B344" s="178" t="s">
        <v>715</v>
      </c>
      <c r="C344" s="179">
        <f t="shared" si="305"/>
        <v>0</v>
      </c>
      <c r="D344" s="179">
        <v>0</v>
      </c>
      <c r="E344" s="179">
        <v>0</v>
      </c>
      <c r="F344" s="179">
        <v>0</v>
      </c>
      <c r="G344" s="179">
        <v>0</v>
      </c>
      <c r="H344" s="179">
        <f>I344+L344</f>
        <v>16307</v>
      </c>
      <c r="I344" s="179">
        <f>J344+K344</f>
        <v>16307</v>
      </c>
      <c r="J344" s="179"/>
      <c r="K344" s="126">
        <v>16307</v>
      </c>
      <c r="L344" s="179">
        <f>M344+N344</f>
        <v>0</v>
      </c>
      <c r="M344" s="179"/>
      <c r="N344" s="179"/>
      <c r="O344" s="179">
        <f>P344+S344</f>
        <v>16307</v>
      </c>
      <c r="P344" s="179">
        <f>Q344+R344</f>
        <v>16307</v>
      </c>
      <c r="Q344" s="179"/>
      <c r="R344" s="126">
        <v>16307</v>
      </c>
      <c r="S344" s="179"/>
      <c r="T344" s="179"/>
      <c r="U344" s="179"/>
      <c r="V344" s="179">
        <f>W344+Z344+AC344+AF344</f>
        <v>0</v>
      </c>
      <c r="W344" s="179">
        <f>X344+Y344</f>
        <v>0</v>
      </c>
      <c r="X344" s="179"/>
      <c r="Y344" s="179"/>
      <c r="Z344" s="179">
        <f>AA344+AB344</f>
        <v>0</v>
      </c>
      <c r="AA344" s="179"/>
      <c r="AB344" s="179"/>
      <c r="AC344" s="126">
        <f>AD344+AE344</f>
        <v>0</v>
      </c>
      <c r="AD344" s="126"/>
      <c r="AE344" s="126"/>
      <c r="AF344" s="126">
        <f>AG344+AH344</f>
        <v>0</v>
      </c>
      <c r="AG344" s="179"/>
      <c r="AH344" s="179"/>
      <c r="AI344" s="179">
        <f t="shared" si="304"/>
        <v>0</v>
      </c>
      <c r="AJ344" s="179">
        <f t="shared" si="313"/>
        <v>0</v>
      </c>
      <c r="AK344" s="179">
        <f t="shared" si="313"/>
        <v>0</v>
      </c>
      <c r="AL344" s="179">
        <f t="shared" si="314"/>
        <v>0</v>
      </c>
      <c r="AM344" s="179">
        <f t="shared" si="314"/>
        <v>0</v>
      </c>
      <c r="AN344" s="126"/>
      <c r="AO344" s="130">
        <f t="shared" si="315"/>
        <v>0</v>
      </c>
      <c r="AP344" s="116"/>
    </row>
    <row r="345" spans="1:42" s="117" customFormat="1" ht="28" collapsed="1">
      <c r="A345" s="136">
        <v>8</v>
      </c>
      <c r="B345" s="137" t="s">
        <v>718</v>
      </c>
      <c r="C345" s="126">
        <f t="shared" ref="C345:AH345" si="323">SUM(C346:C354)</f>
        <v>0</v>
      </c>
      <c r="D345" s="126">
        <f t="shared" si="323"/>
        <v>0</v>
      </c>
      <c r="E345" s="126">
        <f t="shared" si="323"/>
        <v>0</v>
      </c>
      <c r="F345" s="126">
        <f t="shared" si="323"/>
        <v>0</v>
      </c>
      <c r="G345" s="126">
        <f t="shared" si="323"/>
        <v>0</v>
      </c>
      <c r="H345" s="126">
        <f t="shared" si="323"/>
        <v>400</v>
      </c>
      <c r="I345" s="126">
        <f t="shared" si="323"/>
        <v>0</v>
      </c>
      <c r="J345" s="126">
        <f t="shared" si="323"/>
        <v>0</v>
      </c>
      <c r="K345" s="126">
        <f t="shared" si="323"/>
        <v>0</v>
      </c>
      <c r="L345" s="126">
        <f t="shared" si="323"/>
        <v>400</v>
      </c>
      <c r="M345" s="126">
        <f t="shared" si="323"/>
        <v>0</v>
      </c>
      <c r="N345" s="126">
        <f t="shared" si="323"/>
        <v>400</v>
      </c>
      <c r="O345" s="126">
        <f t="shared" si="323"/>
        <v>399</v>
      </c>
      <c r="P345" s="126">
        <f t="shared" si="323"/>
        <v>0</v>
      </c>
      <c r="Q345" s="126">
        <f t="shared" si="323"/>
        <v>0</v>
      </c>
      <c r="R345" s="126">
        <f t="shared" si="323"/>
        <v>0</v>
      </c>
      <c r="S345" s="126">
        <f t="shared" si="323"/>
        <v>399</v>
      </c>
      <c r="T345" s="126">
        <f t="shared" si="323"/>
        <v>0</v>
      </c>
      <c r="U345" s="126">
        <f t="shared" si="323"/>
        <v>399</v>
      </c>
      <c r="V345" s="126">
        <f t="shared" si="323"/>
        <v>0</v>
      </c>
      <c r="W345" s="126">
        <f t="shared" si="323"/>
        <v>0</v>
      </c>
      <c r="X345" s="126">
        <f t="shared" si="323"/>
        <v>0</v>
      </c>
      <c r="Y345" s="126">
        <f t="shared" si="323"/>
        <v>0</v>
      </c>
      <c r="Z345" s="126">
        <f t="shared" si="323"/>
        <v>0</v>
      </c>
      <c r="AA345" s="126">
        <f t="shared" si="323"/>
        <v>0</v>
      </c>
      <c r="AB345" s="126">
        <f t="shared" si="323"/>
        <v>0</v>
      </c>
      <c r="AC345" s="126">
        <f t="shared" si="323"/>
        <v>0</v>
      </c>
      <c r="AD345" s="126">
        <f t="shared" si="323"/>
        <v>0</v>
      </c>
      <c r="AE345" s="126">
        <f t="shared" si="323"/>
        <v>0</v>
      </c>
      <c r="AF345" s="126">
        <f t="shared" si="323"/>
        <v>0</v>
      </c>
      <c r="AG345" s="126">
        <f t="shared" si="323"/>
        <v>0</v>
      </c>
      <c r="AH345" s="126">
        <f t="shared" si="323"/>
        <v>0</v>
      </c>
      <c r="AI345" s="179">
        <f t="shared" si="304"/>
        <v>1</v>
      </c>
      <c r="AJ345" s="179">
        <f t="shared" si="313"/>
        <v>0</v>
      </c>
      <c r="AK345" s="179">
        <f t="shared" si="313"/>
        <v>0</v>
      </c>
      <c r="AL345" s="179">
        <f t="shared" si="314"/>
        <v>0</v>
      </c>
      <c r="AM345" s="179">
        <f t="shared" si="314"/>
        <v>1</v>
      </c>
      <c r="AN345" s="126"/>
      <c r="AO345" s="130">
        <f t="shared" si="315"/>
        <v>0</v>
      </c>
      <c r="AP345" s="116"/>
    </row>
    <row r="346" spans="1:42" s="117" customFormat="1" ht="14" hidden="1" outlineLevel="1">
      <c r="A346" s="136"/>
      <c r="B346" s="137" t="s">
        <v>337</v>
      </c>
      <c r="C346" s="179">
        <f t="shared" si="305"/>
        <v>0</v>
      </c>
      <c r="D346" s="126">
        <v>0</v>
      </c>
      <c r="E346" s="126">
        <v>0</v>
      </c>
      <c r="F346" s="126">
        <v>0</v>
      </c>
      <c r="G346" s="126">
        <v>0</v>
      </c>
      <c r="H346" s="179">
        <f>I346+L346</f>
        <v>200</v>
      </c>
      <c r="I346" s="179">
        <f>J346+K346</f>
        <v>0</v>
      </c>
      <c r="J346" s="126"/>
      <c r="K346" s="126"/>
      <c r="L346" s="179">
        <f>M346+N346</f>
        <v>200</v>
      </c>
      <c r="M346" s="126"/>
      <c r="N346" s="126">
        <v>200</v>
      </c>
      <c r="O346" s="126">
        <f t="shared" ref="O346:O354" si="324">P346+S346</f>
        <v>200</v>
      </c>
      <c r="P346" s="126">
        <f t="shared" ref="P346:P354" si="325">Q346+R346</f>
        <v>0</v>
      </c>
      <c r="Q346" s="126"/>
      <c r="R346" s="126"/>
      <c r="S346" s="126">
        <f t="shared" ref="S346:S354" si="326">T346+U346</f>
        <v>200</v>
      </c>
      <c r="T346" s="126"/>
      <c r="U346" s="126">
        <f>N346</f>
        <v>200</v>
      </c>
      <c r="V346" s="126"/>
      <c r="W346" s="126"/>
      <c r="X346" s="126"/>
      <c r="Y346" s="126"/>
      <c r="Z346" s="126"/>
      <c r="AA346" s="126"/>
      <c r="AB346" s="126"/>
      <c r="AC346" s="126"/>
      <c r="AD346" s="126"/>
      <c r="AE346" s="126"/>
      <c r="AF346" s="126"/>
      <c r="AG346" s="126"/>
      <c r="AH346" s="126"/>
      <c r="AI346" s="179">
        <f t="shared" si="304"/>
        <v>0</v>
      </c>
      <c r="AJ346" s="179">
        <f t="shared" si="313"/>
        <v>0</v>
      </c>
      <c r="AK346" s="179">
        <f t="shared" si="313"/>
        <v>0</v>
      </c>
      <c r="AL346" s="179">
        <f t="shared" si="314"/>
        <v>0</v>
      </c>
      <c r="AM346" s="179">
        <f t="shared" si="314"/>
        <v>0</v>
      </c>
      <c r="AN346" s="126"/>
      <c r="AO346" s="130">
        <f t="shared" si="315"/>
        <v>0</v>
      </c>
      <c r="AP346" s="116"/>
    </row>
    <row r="347" spans="1:42" s="117" customFormat="1" ht="14" hidden="1" outlineLevel="1">
      <c r="A347" s="136"/>
      <c r="B347" s="137" t="s">
        <v>560</v>
      </c>
      <c r="C347" s="179">
        <f t="shared" si="305"/>
        <v>0</v>
      </c>
      <c r="D347" s="126">
        <v>0</v>
      </c>
      <c r="E347" s="126">
        <v>0</v>
      </c>
      <c r="F347" s="126">
        <v>0</v>
      </c>
      <c r="G347" s="126">
        <v>0</v>
      </c>
      <c r="H347" s="179">
        <f t="shared" ref="H347:H354" si="327">I347+L347</f>
        <v>50</v>
      </c>
      <c r="I347" s="179">
        <f t="shared" ref="I347:I354" si="328">J347+K347</f>
        <v>0</v>
      </c>
      <c r="J347" s="126"/>
      <c r="K347" s="126"/>
      <c r="L347" s="179">
        <f t="shared" ref="L347:L354" si="329">M347+N347</f>
        <v>50</v>
      </c>
      <c r="M347" s="126"/>
      <c r="N347" s="126">
        <v>50</v>
      </c>
      <c r="O347" s="126">
        <f t="shared" si="324"/>
        <v>50</v>
      </c>
      <c r="P347" s="126">
        <f t="shared" si="325"/>
        <v>0</v>
      </c>
      <c r="Q347" s="126"/>
      <c r="R347" s="126"/>
      <c r="S347" s="126">
        <f t="shared" si="326"/>
        <v>50</v>
      </c>
      <c r="T347" s="126"/>
      <c r="U347" s="126">
        <f>N347</f>
        <v>50</v>
      </c>
      <c r="V347" s="126"/>
      <c r="W347" s="126"/>
      <c r="X347" s="126"/>
      <c r="Y347" s="126"/>
      <c r="Z347" s="126"/>
      <c r="AA347" s="126"/>
      <c r="AB347" s="126"/>
      <c r="AC347" s="126"/>
      <c r="AD347" s="126"/>
      <c r="AE347" s="126"/>
      <c r="AF347" s="126"/>
      <c r="AG347" s="126"/>
      <c r="AH347" s="126"/>
      <c r="AI347" s="179">
        <f t="shared" si="304"/>
        <v>0</v>
      </c>
      <c r="AJ347" s="179">
        <f t="shared" ref="AJ347:AK414" si="330">D347+J347-Q347-X347-AD347</f>
        <v>0</v>
      </c>
      <c r="AK347" s="179">
        <f t="shared" si="330"/>
        <v>0</v>
      </c>
      <c r="AL347" s="179">
        <f t="shared" ref="AL347:AM414" si="331">F347+M347-T347-AA347-AG347</f>
        <v>0</v>
      </c>
      <c r="AM347" s="179">
        <f t="shared" si="331"/>
        <v>0</v>
      </c>
      <c r="AN347" s="126"/>
      <c r="AO347" s="130">
        <f t="shared" si="315"/>
        <v>0</v>
      </c>
      <c r="AP347" s="116"/>
    </row>
    <row r="348" spans="1:42" s="117" customFormat="1" ht="14" hidden="1" outlineLevel="1">
      <c r="A348" s="136"/>
      <c r="B348" s="137" t="s">
        <v>561</v>
      </c>
      <c r="C348" s="179">
        <f t="shared" si="305"/>
        <v>0</v>
      </c>
      <c r="D348" s="126">
        <v>0</v>
      </c>
      <c r="E348" s="126">
        <v>0</v>
      </c>
      <c r="F348" s="126">
        <v>0</v>
      </c>
      <c r="G348" s="126">
        <v>0</v>
      </c>
      <c r="H348" s="179">
        <f t="shared" si="327"/>
        <v>20</v>
      </c>
      <c r="I348" s="179">
        <f t="shared" si="328"/>
        <v>0</v>
      </c>
      <c r="J348" s="126"/>
      <c r="K348" s="126"/>
      <c r="L348" s="179">
        <f t="shared" si="329"/>
        <v>20</v>
      </c>
      <c r="M348" s="126"/>
      <c r="N348" s="126">
        <v>20</v>
      </c>
      <c r="O348" s="126">
        <f t="shared" si="324"/>
        <v>20</v>
      </c>
      <c r="P348" s="126">
        <f t="shared" si="325"/>
        <v>0</v>
      </c>
      <c r="Q348" s="126"/>
      <c r="R348" s="126"/>
      <c r="S348" s="126">
        <f t="shared" si="326"/>
        <v>20</v>
      </c>
      <c r="T348" s="126"/>
      <c r="U348" s="126">
        <f>N348</f>
        <v>20</v>
      </c>
      <c r="V348" s="126"/>
      <c r="W348" s="126"/>
      <c r="X348" s="126"/>
      <c r="Y348" s="126"/>
      <c r="Z348" s="126"/>
      <c r="AA348" s="126"/>
      <c r="AB348" s="126"/>
      <c r="AC348" s="126"/>
      <c r="AD348" s="126"/>
      <c r="AE348" s="126"/>
      <c r="AF348" s="126"/>
      <c r="AG348" s="126"/>
      <c r="AH348" s="126"/>
      <c r="AI348" s="179">
        <f t="shared" si="304"/>
        <v>0</v>
      </c>
      <c r="AJ348" s="179">
        <f t="shared" si="330"/>
        <v>0</v>
      </c>
      <c r="AK348" s="179">
        <f t="shared" si="330"/>
        <v>0</v>
      </c>
      <c r="AL348" s="179">
        <f t="shared" si="331"/>
        <v>0</v>
      </c>
      <c r="AM348" s="179">
        <f t="shared" si="331"/>
        <v>0</v>
      </c>
      <c r="AN348" s="126"/>
      <c r="AO348" s="130">
        <f t="shared" si="315"/>
        <v>0</v>
      </c>
      <c r="AP348" s="116"/>
    </row>
    <row r="349" spans="1:42" s="117" customFormat="1" ht="14" hidden="1" outlineLevel="1">
      <c r="A349" s="136"/>
      <c r="B349" s="137" t="s">
        <v>702</v>
      </c>
      <c r="C349" s="179">
        <f t="shared" si="305"/>
        <v>0</v>
      </c>
      <c r="D349" s="126">
        <v>0</v>
      </c>
      <c r="E349" s="126">
        <v>0</v>
      </c>
      <c r="F349" s="126">
        <v>0</v>
      </c>
      <c r="G349" s="126">
        <v>0</v>
      </c>
      <c r="H349" s="179">
        <f t="shared" si="327"/>
        <v>19</v>
      </c>
      <c r="I349" s="179">
        <f t="shared" si="328"/>
        <v>0</v>
      </c>
      <c r="J349" s="126"/>
      <c r="K349" s="126"/>
      <c r="L349" s="179">
        <f t="shared" si="329"/>
        <v>19</v>
      </c>
      <c r="M349" s="126"/>
      <c r="N349" s="126">
        <v>19</v>
      </c>
      <c r="O349" s="126">
        <f t="shared" si="324"/>
        <v>19</v>
      </c>
      <c r="P349" s="126">
        <f t="shared" si="325"/>
        <v>0</v>
      </c>
      <c r="Q349" s="126"/>
      <c r="R349" s="126"/>
      <c r="S349" s="126">
        <f t="shared" si="326"/>
        <v>19</v>
      </c>
      <c r="T349" s="126"/>
      <c r="U349" s="126">
        <f>N349</f>
        <v>19</v>
      </c>
      <c r="V349" s="126"/>
      <c r="W349" s="126"/>
      <c r="X349" s="126"/>
      <c r="Y349" s="126"/>
      <c r="Z349" s="126"/>
      <c r="AA349" s="126"/>
      <c r="AB349" s="126"/>
      <c r="AC349" s="126"/>
      <c r="AD349" s="126"/>
      <c r="AE349" s="126"/>
      <c r="AF349" s="126"/>
      <c r="AG349" s="126"/>
      <c r="AH349" s="126"/>
      <c r="AI349" s="179">
        <f t="shared" si="304"/>
        <v>0</v>
      </c>
      <c r="AJ349" s="179">
        <f t="shared" si="330"/>
        <v>0</v>
      </c>
      <c r="AK349" s="179">
        <f t="shared" si="330"/>
        <v>0</v>
      </c>
      <c r="AL349" s="179">
        <f t="shared" si="331"/>
        <v>0</v>
      </c>
      <c r="AM349" s="179">
        <f t="shared" si="331"/>
        <v>0</v>
      </c>
      <c r="AN349" s="126"/>
      <c r="AO349" s="130">
        <f t="shared" si="315"/>
        <v>0</v>
      </c>
      <c r="AP349" s="116"/>
    </row>
    <row r="350" spans="1:42" s="117" customFormat="1" ht="14" hidden="1" outlineLevel="1">
      <c r="A350" s="136"/>
      <c r="B350" s="137" t="s">
        <v>565</v>
      </c>
      <c r="C350" s="179">
        <f>SUM(D350:G350)</f>
        <v>0</v>
      </c>
      <c r="D350" s="126">
        <v>0</v>
      </c>
      <c r="E350" s="126">
        <v>0</v>
      </c>
      <c r="F350" s="126">
        <v>0</v>
      </c>
      <c r="G350" s="126">
        <v>0</v>
      </c>
      <c r="H350" s="179">
        <f>I350+L350</f>
        <v>1</v>
      </c>
      <c r="I350" s="179">
        <f>J350+K350</f>
        <v>0</v>
      </c>
      <c r="J350" s="126"/>
      <c r="K350" s="126"/>
      <c r="L350" s="179">
        <f>M350+N350</f>
        <v>1</v>
      </c>
      <c r="M350" s="126"/>
      <c r="N350" s="126">
        <v>1</v>
      </c>
      <c r="O350" s="126">
        <f t="shared" si="324"/>
        <v>0</v>
      </c>
      <c r="P350" s="126">
        <f t="shared" si="325"/>
        <v>0</v>
      </c>
      <c r="Q350" s="126"/>
      <c r="R350" s="126"/>
      <c r="S350" s="126">
        <f t="shared" si="326"/>
        <v>0</v>
      </c>
      <c r="T350" s="126"/>
      <c r="U350" s="126">
        <v>0</v>
      </c>
      <c r="V350" s="126"/>
      <c r="W350" s="126"/>
      <c r="X350" s="126"/>
      <c r="Y350" s="126"/>
      <c r="Z350" s="126"/>
      <c r="AA350" s="126"/>
      <c r="AB350" s="126"/>
      <c r="AC350" s="126"/>
      <c r="AD350" s="126"/>
      <c r="AE350" s="126"/>
      <c r="AF350" s="126"/>
      <c r="AG350" s="126"/>
      <c r="AH350" s="126"/>
      <c r="AI350" s="179">
        <f>SUM(AJ350:AM350)</f>
        <v>1</v>
      </c>
      <c r="AJ350" s="179">
        <f>D350+J350-Q350-X350-AD350</f>
        <v>0</v>
      </c>
      <c r="AK350" s="179">
        <f>E350+K350-R350-Y350-AE350</f>
        <v>0</v>
      </c>
      <c r="AL350" s="179">
        <f>F350+M350-T350-AA350-AG350</f>
        <v>0</v>
      </c>
      <c r="AM350" s="179">
        <f>G350+N350-U350-AB350-AH350</f>
        <v>1</v>
      </c>
      <c r="AN350" s="126"/>
      <c r="AO350" s="130">
        <f t="shared" si="315"/>
        <v>0</v>
      </c>
      <c r="AP350" s="116"/>
    </row>
    <row r="351" spans="1:42" s="117" customFormat="1" ht="14" hidden="1" outlineLevel="1">
      <c r="A351" s="136"/>
      <c r="B351" s="137" t="s">
        <v>567</v>
      </c>
      <c r="C351" s="179">
        <f>SUM(D351:G351)</f>
        <v>0</v>
      </c>
      <c r="D351" s="126">
        <v>0</v>
      </c>
      <c r="E351" s="126">
        <v>0</v>
      </c>
      <c r="F351" s="126">
        <v>0</v>
      </c>
      <c r="G351" s="126">
        <v>0</v>
      </c>
      <c r="H351" s="179">
        <f>I351+L351</f>
        <v>20</v>
      </c>
      <c r="I351" s="179">
        <f>J351+K351</f>
        <v>0</v>
      </c>
      <c r="J351" s="126"/>
      <c r="K351" s="126"/>
      <c r="L351" s="179">
        <f>M351+N351</f>
        <v>20</v>
      </c>
      <c r="M351" s="126"/>
      <c r="N351" s="126">
        <v>20</v>
      </c>
      <c r="O351" s="126">
        <f t="shared" si="324"/>
        <v>20</v>
      </c>
      <c r="P351" s="126">
        <f t="shared" si="325"/>
        <v>0</v>
      </c>
      <c r="Q351" s="126"/>
      <c r="R351" s="126"/>
      <c r="S351" s="126">
        <f t="shared" si="326"/>
        <v>20</v>
      </c>
      <c r="T351" s="126"/>
      <c r="U351" s="126">
        <f>N351</f>
        <v>20</v>
      </c>
      <c r="V351" s="126"/>
      <c r="W351" s="126"/>
      <c r="X351" s="126"/>
      <c r="Y351" s="126"/>
      <c r="Z351" s="126"/>
      <c r="AA351" s="126"/>
      <c r="AB351" s="126"/>
      <c r="AC351" s="126"/>
      <c r="AD351" s="126"/>
      <c r="AE351" s="126"/>
      <c r="AF351" s="126"/>
      <c r="AG351" s="126"/>
      <c r="AH351" s="126"/>
      <c r="AI351" s="179">
        <f>SUM(AJ351:AM351)</f>
        <v>0</v>
      </c>
      <c r="AJ351" s="179">
        <f>D351+J351-Q351-X351-AD351</f>
        <v>0</v>
      </c>
      <c r="AK351" s="179">
        <f>E351+K351-R351-Y351-AE351</f>
        <v>0</v>
      </c>
      <c r="AL351" s="179">
        <f>F351+M351-T351-AA351-AG351</f>
        <v>0</v>
      </c>
      <c r="AM351" s="179">
        <f>G351+N351-U351-AB351-AH351</f>
        <v>0</v>
      </c>
      <c r="AN351" s="126"/>
      <c r="AO351" s="130">
        <f t="shared" si="315"/>
        <v>0</v>
      </c>
      <c r="AP351" s="116"/>
    </row>
    <row r="352" spans="1:42" s="117" customFormat="1" ht="14" hidden="1" outlineLevel="1">
      <c r="A352" s="136"/>
      <c r="B352" s="137" t="s">
        <v>709</v>
      </c>
      <c r="C352" s="179">
        <f t="shared" si="305"/>
        <v>0</v>
      </c>
      <c r="D352" s="126">
        <v>0</v>
      </c>
      <c r="E352" s="126">
        <v>0</v>
      </c>
      <c r="F352" s="126">
        <v>0</v>
      </c>
      <c r="G352" s="126">
        <v>0</v>
      </c>
      <c r="H352" s="179">
        <f t="shared" si="327"/>
        <v>50</v>
      </c>
      <c r="I352" s="179">
        <f t="shared" si="328"/>
        <v>0</v>
      </c>
      <c r="J352" s="126"/>
      <c r="K352" s="126"/>
      <c r="L352" s="179">
        <f t="shared" si="329"/>
        <v>50</v>
      </c>
      <c r="M352" s="126"/>
      <c r="N352" s="126">
        <v>50</v>
      </c>
      <c r="O352" s="126">
        <f t="shared" si="324"/>
        <v>50</v>
      </c>
      <c r="P352" s="126">
        <f t="shared" si="325"/>
        <v>0</v>
      </c>
      <c r="Q352" s="126"/>
      <c r="R352" s="126"/>
      <c r="S352" s="126">
        <f t="shared" si="326"/>
        <v>50</v>
      </c>
      <c r="T352" s="126"/>
      <c r="U352" s="126">
        <f>N352</f>
        <v>50</v>
      </c>
      <c r="V352" s="126"/>
      <c r="W352" s="126"/>
      <c r="X352" s="126"/>
      <c r="Y352" s="126"/>
      <c r="Z352" s="126"/>
      <c r="AA352" s="126"/>
      <c r="AB352" s="126"/>
      <c r="AC352" s="126"/>
      <c r="AD352" s="126"/>
      <c r="AE352" s="126"/>
      <c r="AF352" s="126"/>
      <c r="AG352" s="126"/>
      <c r="AH352" s="126"/>
      <c r="AI352" s="179">
        <f t="shared" si="304"/>
        <v>0</v>
      </c>
      <c r="AJ352" s="179">
        <f t="shared" si="330"/>
        <v>0</v>
      </c>
      <c r="AK352" s="179">
        <f t="shared" si="330"/>
        <v>0</v>
      </c>
      <c r="AL352" s="179">
        <f t="shared" si="331"/>
        <v>0</v>
      </c>
      <c r="AM352" s="179">
        <f t="shared" si="331"/>
        <v>0</v>
      </c>
      <c r="AN352" s="126"/>
      <c r="AO352" s="130">
        <f t="shared" si="315"/>
        <v>0</v>
      </c>
      <c r="AP352" s="116"/>
    </row>
    <row r="353" spans="1:42" s="117" customFormat="1" ht="14" hidden="1" outlineLevel="1">
      <c r="A353" s="136"/>
      <c r="B353" s="137" t="s">
        <v>563</v>
      </c>
      <c r="C353" s="179">
        <f t="shared" si="305"/>
        <v>0</v>
      </c>
      <c r="D353" s="126">
        <v>0</v>
      </c>
      <c r="E353" s="126">
        <v>0</v>
      </c>
      <c r="F353" s="126">
        <v>0</v>
      </c>
      <c r="G353" s="126">
        <v>0</v>
      </c>
      <c r="H353" s="179">
        <f t="shared" si="327"/>
        <v>10</v>
      </c>
      <c r="I353" s="179">
        <f t="shared" si="328"/>
        <v>0</v>
      </c>
      <c r="J353" s="126"/>
      <c r="K353" s="126"/>
      <c r="L353" s="179">
        <f t="shared" si="329"/>
        <v>10</v>
      </c>
      <c r="M353" s="126"/>
      <c r="N353" s="126">
        <v>10</v>
      </c>
      <c r="O353" s="126">
        <f t="shared" si="324"/>
        <v>10</v>
      </c>
      <c r="P353" s="126">
        <f t="shared" si="325"/>
        <v>0</v>
      </c>
      <c r="Q353" s="126"/>
      <c r="R353" s="126"/>
      <c r="S353" s="126">
        <f t="shared" si="326"/>
        <v>10</v>
      </c>
      <c r="T353" s="126"/>
      <c r="U353" s="126">
        <f>N353</f>
        <v>10</v>
      </c>
      <c r="V353" s="126"/>
      <c r="W353" s="126"/>
      <c r="X353" s="126"/>
      <c r="Y353" s="126"/>
      <c r="Z353" s="126"/>
      <c r="AA353" s="126"/>
      <c r="AB353" s="126"/>
      <c r="AC353" s="126"/>
      <c r="AD353" s="126"/>
      <c r="AE353" s="126"/>
      <c r="AF353" s="126"/>
      <c r="AG353" s="126"/>
      <c r="AH353" s="126"/>
      <c r="AI353" s="179">
        <f t="shared" si="304"/>
        <v>0</v>
      </c>
      <c r="AJ353" s="179">
        <f t="shared" si="330"/>
        <v>0</v>
      </c>
      <c r="AK353" s="179">
        <f t="shared" si="330"/>
        <v>0</v>
      </c>
      <c r="AL353" s="179">
        <f t="shared" si="331"/>
        <v>0</v>
      </c>
      <c r="AM353" s="179">
        <f t="shared" si="331"/>
        <v>0</v>
      </c>
      <c r="AN353" s="126"/>
      <c r="AO353" s="130">
        <f t="shared" si="315"/>
        <v>0</v>
      </c>
      <c r="AP353" s="116"/>
    </row>
    <row r="354" spans="1:42" s="117" customFormat="1" ht="14" hidden="1" outlineLevel="1">
      <c r="A354" s="136"/>
      <c r="B354" s="137" t="s">
        <v>566</v>
      </c>
      <c r="C354" s="179">
        <f t="shared" si="305"/>
        <v>0</v>
      </c>
      <c r="D354" s="126">
        <v>0</v>
      </c>
      <c r="E354" s="126">
        <v>0</v>
      </c>
      <c r="F354" s="126">
        <v>0</v>
      </c>
      <c r="G354" s="126">
        <v>0</v>
      </c>
      <c r="H354" s="179">
        <f t="shared" si="327"/>
        <v>30</v>
      </c>
      <c r="I354" s="179">
        <f t="shared" si="328"/>
        <v>0</v>
      </c>
      <c r="J354" s="126"/>
      <c r="K354" s="126"/>
      <c r="L354" s="179">
        <f t="shared" si="329"/>
        <v>30</v>
      </c>
      <c r="M354" s="126"/>
      <c r="N354" s="126">
        <v>30</v>
      </c>
      <c r="O354" s="126">
        <f t="shared" si="324"/>
        <v>30</v>
      </c>
      <c r="P354" s="126">
        <f t="shared" si="325"/>
        <v>0</v>
      </c>
      <c r="Q354" s="126"/>
      <c r="R354" s="126"/>
      <c r="S354" s="126">
        <f t="shared" si="326"/>
        <v>30</v>
      </c>
      <c r="T354" s="126"/>
      <c r="U354" s="126">
        <v>30</v>
      </c>
      <c r="V354" s="126"/>
      <c r="W354" s="126"/>
      <c r="X354" s="126"/>
      <c r="Y354" s="126"/>
      <c r="Z354" s="126"/>
      <c r="AA354" s="126"/>
      <c r="AB354" s="126"/>
      <c r="AC354" s="126"/>
      <c r="AD354" s="126"/>
      <c r="AE354" s="126"/>
      <c r="AF354" s="126"/>
      <c r="AG354" s="126"/>
      <c r="AH354" s="126"/>
      <c r="AI354" s="179">
        <f t="shared" si="304"/>
        <v>0</v>
      </c>
      <c r="AJ354" s="179">
        <f t="shared" si="330"/>
        <v>0</v>
      </c>
      <c r="AK354" s="179">
        <f t="shared" si="330"/>
        <v>0</v>
      </c>
      <c r="AL354" s="179">
        <f t="shared" si="331"/>
        <v>0</v>
      </c>
      <c r="AM354" s="179">
        <f t="shared" si="331"/>
        <v>0</v>
      </c>
      <c r="AN354" s="126"/>
      <c r="AO354" s="130">
        <f t="shared" si="315"/>
        <v>0</v>
      </c>
      <c r="AP354" s="116"/>
    </row>
    <row r="355" spans="1:42" s="117" customFormat="1" ht="14" collapsed="1">
      <c r="A355" s="136">
        <v>9</v>
      </c>
      <c r="B355" s="137" t="s">
        <v>719</v>
      </c>
      <c r="C355" s="126">
        <f>SUM(C356:C367)</f>
        <v>861.19099999999992</v>
      </c>
      <c r="D355" s="126">
        <f>SUM(D356:D367)</f>
        <v>0</v>
      </c>
      <c r="E355" s="126">
        <f>SUM(E356:E367)</f>
        <v>22.38</v>
      </c>
      <c r="F355" s="126">
        <f>SUM(F356:F367)</f>
        <v>0</v>
      </c>
      <c r="G355" s="126">
        <f>SUM(G356:G367)</f>
        <v>838.81099999999992</v>
      </c>
      <c r="H355" s="126">
        <f t="shared" ref="H355:AB355" si="332">SUM(H356:H367)</f>
        <v>426</v>
      </c>
      <c r="I355" s="126">
        <f t="shared" si="332"/>
        <v>100</v>
      </c>
      <c r="J355" s="126">
        <f t="shared" si="332"/>
        <v>0</v>
      </c>
      <c r="K355" s="126">
        <f t="shared" si="332"/>
        <v>100</v>
      </c>
      <c r="L355" s="126">
        <f t="shared" si="332"/>
        <v>326</v>
      </c>
      <c r="M355" s="126">
        <f t="shared" si="332"/>
        <v>0</v>
      </c>
      <c r="N355" s="126">
        <f t="shared" si="332"/>
        <v>326</v>
      </c>
      <c r="O355" s="126">
        <f t="shared" si="332"/>
        <v>334.85</v>
      </c>
      <c r="P355" s="126">
        <f t="shared" si="332"/>
        <v>22</v>
      </c>
      <c r="Q355" s="126">
        <f t="shared" si="332"/>
        <v>0</v>
      </c>
      <c r="R355" s="126">
        <f t="shared" si="332"/>
        <v>22</v>
      </c>
      <c r="S355" s="126">
        <f t="shared" si="332"/>
        <v>312.85000000000002</v>
      </c>
      <c r="T355" s="126">
        <f t="shared" si="332"/>
        <v>0</v>
      </c>
      <c r="U355" s="126">
        <f t="shared" si="332"/>
        <v>312.85000000000002</v>
      </c>
      <c r="V355" s="126">
        <f t="shared" si="332"/>
        <v>838.81099999999992</v>
      </c>
      <c r="W355" s="126">
        <f t="shared" si="332"/>
        <v>0</v>
      </c>
      <c r="X355" s="126">
        <f t="shared" si="332"/>
        <v>0</v>
      </c>
      <c r="Y355" s="126">
        <f t="shared" si="332"/>
        <v>0</v>
      </c>
      <c r="Z355" s="126">
        <f t="shared" si="332"/>
        <v>838.81099999999992</v>
      </c>
      <c r="AA355" s="126">
        <f t="shared" si="332"/>
        <v>0</v>
      </c>
      <c r="AB355" s="126">
        <f t="shared" si="332"/>
        <v>838.81099999999992</v>
      </c>
      <c r="AC355" s="126">
        <f t="shared" ref="AC355:AH355" si="333">SUM(AC356:AC366)</f>
        <v>0</v>
      </c>
      <c r="AD355" s="126">
        <f t="shared" si="333"/>
        <v>0</v>
      </c>
      <c r="AE355" s="126">
        <f t="shared" si="333"/>
        <v>0</v>
      </c>
      <c r="AF355" s="126">
        <f t="shared" si="333"/>
        <v>0</v>
      </c>
      <c r="AG355" s="126">
        <f t="shared" si="333"/>
        <v>0</v>
      </c>
      <c r="AH355" s="126">
        <f t="shared" si="333"/>
        <v>0</v>
      </c>
      <c r="AI355" s="179">
        <f t="shared" si="304"/>
        <v>113.53</v>
      </c>
      <c r="AJ355" s="179">
        <f>SUM(AJ356:AJ367)</f>
        <v>0</v>
      </c>
      <c r="AK355" s="179">
        <f>SUM(AK356:AK367)</f>
        <v>100.38</v>
      </c>
      <c r="AL355" s="179">
        <f>SUM(AL356:AL367)</f>
        <v>0</v>
      </c>
      <c r="AM355" s="179">
        <f>SUM(AM356:AM367)</f>
        <v>13.15</v>
      </c>
      <c r="AN355" s="179"/>
      <c r="AO355" s="130">
        <f t="shared" si="315"/>
        <v>-1.4210854715202004E-13</v>
      </c>
      <c r="AP355" s="116"/>
    </row>
    <row r="356" spans="1:42" s="117" customFormat="1" ht="14" hidden="1" outlineLevel="1">
      <c r="A356" s="136"/>
      <c r="B356" s="137" t="s">
        <v>337</v>
      </c>
      <c r="C356" s="179">
        <f t="shared" si="305"/>
        <v>838.81099999999992</v>
      </c>
      <c r="D356" s="126">
        <v>0</v>
      </c>
      <c r="E356" s="126">
        <v>0</v>
      </c>
      <c r="F356" s="126">
        <v>0</v>
      </c>
      <c r="G356" s="126">
        <v>838.81099999999992</v>
      </c>
      <c r="H356" s="179">
        <f t="shared" ref="H356:H364" si="334">I356+L356</f>
        <v>85</v>
      </c>
      <c r="I356" s="179">
        <f t="shared" ref="I356:I364" si="335">J356+K356</f>
        <v>0</v>
      </c>
      <c r="J356" s="126"/>
      <c r="K356" s="126"/>
      <c r="L356" s="179">
        <f t="shared" ref="L356:L364" si="336">M356+N356</f>
        <v>85</v>
      </c>
      <c r="M356" s="126"/>
      <c r="N356" s="126">
        <v>85</v>
      </c>
      <c r="O356" s="126">
        <f>P356+S356</f>
        <v>85</v>
      </c>
      <c r="P356" s="126">
        <f>Q356+R356</f>
        <v>0</v>
      </c>
      <c r="Q356" s="126"/>
      <c r="R356" s="126"/>
      <c r="S356" s="126">
        <f>T356+U356</f>
        <v>85</v>
      </c>
      <c r="T356" s="126"/>
      <c r="U356" s="126">
        <f t="shared" ref="U356:U361" si="337">N356</f>
        <v>85</v>
      </c>
      <c r="V356" s="126">
        <f>W356+Z356</f>
        <v>838.81099999999992</v>
      </c>
      <c r="W356" s="126">
        <f>X356+Y356</f>
        <v>0</v>
      </c>
      <c r="X356" s="126"/>
      <c r="Y356" s="126"/>
      <c r="Z356" s="126">
        <f>AA356+AB356</f>
        <v>838.81099999999992</v>
      </c>
      <c r="AA356" s="126"/>
      <c r="AB356" s="126">
        <f>G356</f>
        <v>838.81099999999992</v>
      </c>
      <c r="AC356" s="126"/>
      <c r="AD356" s="126"/>
      <c r="AE356" s="126"/>
      <c r="AF356" s="126"/>
      <c r="AG356" s="126"/>
      <c r="AH356" s="126"/>
      <c r="AI356" s="179">
        <f t="shared" si="304"/>
        <v>0</v>
      </c>
      <c r="AJ356" s="179">
        <f t="shared" si="330"/>
        <v>0</v>
      </c>
      <c r="AK356" s="179">
        <f t="shared" si="330"/>
        <v>0</v>
      </c>
      <c r="AL356" s="179">
        <f t="shared" si="331"/>
        <v>0</v>
      </c>
      <c r="AM356" s="179">
        <f t="shared" si="331"/>
        <v>0</v>
      </c>
      <c r="AN356" s="126"/>
      <c r="AO356" s="130">
        <f t="shared" si="315"/>
        <v>0</v>
      </c>
      <c r="AP356" s="116"/>
    </row>
    <row r="357" spans="1:42" s="117" customFormat="1" ht="14" hidden="1" outlineLevel="1">
      <c r="A357" s="136"/>
      <c r="B357" s="137" t="s">
        <v>694</v>
      </c>
      <c r="C357" s="179">
        <f t="shared" si="305"/>
        <v>0</v>
      </c>
      <c r="D357" s="126">
        <v>0</v>
      </c>
      <c r="E357" s="126">
        <v>0</v>
      </c>
      <c r="F357" s="126">
        <v>0</v>
      </c>
      <c r="G357" s="126">
        <v>0</v>
      </c>
      <c r="H357" s="179">
        <f t="shared" si="334"/>
        <v>45</v>
      </c>
      <c r="I357" s="179">
        <f t="shared" si="335"/>
        <v>0</v>
      </c>
      <c r="J357" s="126"/>
      <c r="K357" s="126"/>
      <c r="L357" s="179">
        <f t="shared" si="336"/>
        <v>45</v>
      </c>
      <c r="M357" s="126"/>
      <c r="N357" s="126">
        <v>45</v>
      </c>
      <c r="O357" s="126">
        <f t="shared" ref="O357:O422" si="338">P357+S357</f>
        <v>45</v>
      </c>
      <c r="P357" s="126">
        <f t="shared" ref="P357:P422" si="339">Q357+R357</f>
        <v>0</v>
      </c>
      <c r="Q357" s="126"/>
      <c r="R357" s="126"/>
      <c r="S357" s="126">
        <f t="shared" ref="S357:S422" si="340">T357+U357</f>
        <v>45</v>
      </c>
      <c r="T357" s="126"/>
      <c r="U357" s="126">
        <f t="shared" si="337"/>
        <v>45</v>
      </c>
      <c r="V357" s="126"/>
      <c r="W357" s="126"/>
      <c r="X357" s="126"/>
      <c r="Y357" s="126"/>
      <c r="Z357" s="126"/>
      <c r="AA357" s="126"/>
      <c r="AB357" s="126"/>
      <c r="AC357" s="126"/>
      <c r="AD357" s="126"/>
      <c r="AE357" s="126"/>
      <c r="AF357" s="126"/>
      <c r="AG357" s="126"/>
      <c r="AH357" s="126"/>
      <c r="AI357" s="179">
        <f t="shared" si="304"/>
        <v>0</v>
      </c>
      <c r="AJ357" s="179">
        <f t="shared" si="330"/>
        <v>0</v>
      </c>
      <c r="AK357" s="179">
        <f t="shared" si="330"/>
        <v>0</v>
      </c>
      <c r="AL357" s="179">
        <f t="shared" si="331"/>
        <v>0</v>
      </c>
      <c r="AM357" s="179">
        <f t="shared" si="331"/>
        <v>0</v>
      </c>
      <c r="AN357" s="126"/>
      <c r="AO357" s="130">
        <f t="shared" si="315"/>
        <v>0</v>
      </c>
      <c r="AP357" s="116"/>
    </row>
    <row r="358" spans="1:42" s="117" customFormat="1" ht="14" hidden="1" outlineLevel="1">
      <c r="A358" s="136"/>
      <c r="B358" s="137" t="s">
        <v>561</v>
      </c>
      <c r="C358" s="179">
        <f t="shared" si="305"/>
        <v>0</v>
      </c>
      <c r="D358" s="126">
        <v>0</v>
      </c>
      <c r="E358" s="126">
        <v>0</v>
      </c>
      <c r="F358" s="126">
        <v>0</v>
      </c>
      <c r="G358" s="126">
        <v>0</v>
      </c>
      <c r="H358" s="179">
        <f t="shared" si="334"/>
        <v>32</v>
      </c>
      <c r="I358" s="179">
        <f t="shared" si="335"/>
        <v>0</v>
      </c>
      <c r="J358" s="126"/>
      <c r="K358" s="126"/>
      <c r="L358" s="179">
        <f t="shared" si="336"/>
        <v>32</v>
      </c>
      <c r="M358" s="126"/>
      <c r="N358" s="126">
        <v>32</v>
      </c>
      <c r="O358" s="126">
        <f t="shared" si="338"/>
        <v>32</v>
      </c>
      <c r="P358" s="126">
        <f t="shared" si="339"/>
        <v>0</v>
      </c>
      <c r="Q358" s="126"/>
      <c r="R358" s="126"/>
      <c r="S358" s="126">
        <f t="shared" si="340"/>
        <v>32</v>
      </c>
      <c r="T358" s="126"/>
      <c r="U358" s="126">
        <f t="shared" si="337"/>
        <v>32</v>
      </c>
      <c r="V358" s="126"/>
      <c r="W358" s="126"/>
      <c r="X358" s="126"/>
      <c r="Y358" s="126"/>
      <c r="Z358" s="126"/>
      <c r="AA358" s="126"/>
      <c r="AB358" s="126"/>
      <c r="AC358" s="126"/>
      <c r="AD358" s="126"/>
      <c r="AE358" s="126"/>
      <c r="AF358" s="126"/>
      <c r="AG358" s="126"/>
      <c r="AH358" s="126"/>
      <c r="AI358" s="179">
        <f t="shared" si="304"/>
        <v>0</v>
      </c>
      <c r="AJ358" s="179">
        <f t="shared" si="330"/>
        <v>0</v>
      </c>
      <c r="AK358" s="179">
        <f t="shared" si="330"/>
        <v>0</v>
      </c>
      <c r="AL358" s="179">
        <f t="shared" si="331"/>
        <v>0</v>
      </c>
      <c r="AM358" s="179">
        <f t="shared" si="331"/>
        <v>0</v>
      </c>
      <c r="AN358" s="126"/>
      <c r="AO358" s="130">
        <f t="shared" si="315"/>
        <v>0</v>
      </c>
      <c r="AP358" s="116"/>
    </row>
    <row r="359" spans="1:42" s="117" customFormat="1" ht="14" hidden="1" outlineLevel="1">
      <c r="A359" s="136"/>
      <c r="B359" s="137" t="s">
        <v>562</v>
      </c>
      <c r="C359" s="179">
        <f t="shared" si="305"/>
        <v>0</v>
      </c>
      <c r="D359" s="126">
        <v>0</v>
      </c>
      <c r="E359" s="126">
        <v>0</v>
      </c>
      <c r="F359" s="126">
        <v>0</v>
      </c>
      <c r="G359" s="126">
        <v>0</v>
      </c>
      <c r="H359" s="179">
        <f t="shared" si="334"/>
        <v>32</v>
      </c>
      <c r="I359" s="179">
        <f t="shared" si="335"/>
        <v>0</v>
      </c>
      <c r="J359" s="126"/>
      <c r="K359" s="126"/>
      <c r="L359" s="179">
        <f t="shared" si="336"/>
        <v>32</v>
      </c>
      <c r="M359" s="126"/>
      <c r="N359" s="126">
        <v>32</v>
      </c>
      <c r="O359" s="126">
        <f t="shared" si="338"/>
        <v>32</v>
      </c>
      <c r="P359" s="126">
        <f t="shared" si="339"/>
        <v>0</v>
      </c>
      <c r="Q359" s="126"/>
      <c r="R359" s="126"/>
      <c r="S359" s="126">
        <f t="shared" si="340"/>
        <v>32</v>
      </c>
      <c r="T359" s="126"/>
      <c r="U359" s="126">
        <f t="shared" si="337"/>
        <v>32</v>
      </c>
      <c r="V359" s="126"/>
      <c r="W359" s="126"/>
      <c r="X359" s="126"/>
      <c r="Y359" s="126"/>
      <c r="Z359" s="126"/>
      <c r="AA359" s="126"/>
      <c r="AB359" s="126"/>
      <c r="AC359" s="126"/>
      <c r="AD359" s="126"/>
      <c r="AE359" s="126"/>
      <c r="AF359" s="126"/>
      <c r="AG359" s="126"/>
      <c r="AH359" s="126"/>
      <c r="AI359" s="179">
        <f t="shared" si="304"/>
        <v>0</v>
      </c>
      <c r="AJ359" s="179">
        <f t="shared" si="330"/>
        <v>0</v>
      </c>
      <c r="AK359" s="179">
        <f t="shared" si="330"/>
        <v>0</v>
      </c>
      <c r="AL359" s="179">
        <f t="shared" si="331"/>
        <v>0</v>
      </c>
      <c r="AM359" s="179">
        <f t="shared" si="331"/>
        <v>0</v>
      </c>
      <c r="AN359" s="126"/>
      <c r="AO359" s="130">
        <f t="shared" si="315"/>
        <v>0</v>
      </c>
      <c r="AP359" s="116"/>
    </row>
    <row r="360" spans="1:42" s="117" customFormat="1" ht="14" hidden="1" outlineLevel="1">
      <c r="A360" s="136"/>
      <c r="B360" s="137" t="s">
        <v>563</v>
      </c>
      <c r="C360" s="179">
        <f t="shared" si="305"/>
        <v>0</v>
      </c>
      <c r="D360" s="126">
        <v>0</v>
      </c>
      <c r="E360" s="126">
        <v>0</v>
      </c>
      <c r="F360" s="126">
        <v>0</v>
      </c>
      <c r="G360" s="126">
        <v>0</v>
      </c>
      <c r="H360" s="179">
        <f t="shared" si="334"/>
        <v>28</v>
      </c>
      <c r="I360" s="179">
        <f t="shared" si="335"/>
        <v>0</v>
      </c>
      <c r="J360" s="126"/>
      <c r="K360" s="126"/>
      <c r="L360" s="179">
        <f t="shared" si="336"/>
        <v>28</v>
      </c>
      <c r="M360" s="126"/>
      <c r="N360" s="126">
        <v>28</v>
      </c>
      <c r="O360" s="126">
        <f t="shared" si="338"/>
        <v>28</v>
      </c>
      <c r="P360" s="126">
        <f t="shared" si="339"/>
        <v>0</v>
      </c>
      <c r="Q360" s="126"/>
      <c r="R360" s="126"/>
      <c r="S360" s="126">
        <f t="shared" si="340"/>
        <v>28</v>
      </c>
      <c r="T360" s="126"/>
      <c r="U360" s="126">
        <f t="shared" si="337"/>
        <v>28</v>
      </c>
      <c r="V360" s="126"/>
      <c r="W360" s="126"/>
      <c r="X360" s="126"/>
      <c r="Y360" s="126"/>
      <c r="Z360" s="126"/>
      <c r="AA360" s="126"/>
      <c r="AB360" s="126"/>
      <c r="AC360" s="126"/>
      <c r="AD360" s="126"/>
      <c r="AE360" s="126"/>
      <c r="AF360" s="126"/>
      <c r="AG360" s="126"/>
      <c r="AH360" s="126"/>
      <c r="AI360" s="179">
        <f t="shared" si="304"/>
        <v>0</v>
      </c>
      <c r="AJ360" s="179">
        <f t="shared" si="330"/>
        <v>0</v>
      </c>
      <c r="AK360" s="179">
        <f t="shared" si="330"/>
        <v>0</v>
      </c>
      <c r="AL360" s="179">
        <f t="shared" si="331"/>
        <v>0</v>
      </c>
      <c r="AM360" s="179">
        <f t="shared" si="331"/>
        <v>0</v>
      </c>
      <c r="AN360" s="126"/>
      <c r="AO360" s="130">
        <f t="shared" si="315"/>
        <v>0</v>
      </c>
      <c r="AP360" s="116"/>
    </row>
    <row r="361" spans="1:42" s="117" customFormat="1" ht="14" hidden="1" outlineLevel="1">
      <c r="A361" s="136"/>
      <c r="B361" s="137" t="s">
        <v>680</v>
      </c>
      <c r="C361" s="179">
        <f t="shared" si="305"/>
        <v>0</v>
      </c>
      <c r="D361" s="126">
        <v>0</v>
      </c>
      <c r="E361" s="126">
        <v>0</v>
      </c>
      <c r="F361" s="126">
        <v>0</v>
      </c>
      <c r="G361" s="126">
        <v>0</v>
      </c>
      <c r="H361" s="179">
        <f t="shared" si="334"/>
        <v>45</v>
      </c>
      <c r="I361" s="179">
        <f t="shared" si="335"/>
        <v>0</v>
      </c>
      <c r="J361" s="126"/>
      <c r="K361" s="126"/>
      <c r="L361" s="179">
        <f t="shared" si="336"/>
        <v>45</v>
      </c>
      <c r="M361" s="126"/>
      <c r="N361" s="126">
        <v>45</v>
      </c>
      <c r="O361" s="126">
        <f t="shared" si="338"/>
        <v>45</v>
      </c>
      <c r="P361" s="126">
        <f t="shared" si="339"/>
        <v>0</v>
      </c>
      <c r="Q361" s="126"/>
      <c r="R361" s="126"/>
      <c r="S361" s="126">
        <f t="shared" si="340"/>
        <v>45</v>
      </c>
      <c r="T361" s="126"/>
      <c r="U361" s="126">
        <f t="shared" si="337"/>
        <v>45</v>
      </c>
      <c r="V361" s="126"/>
      <c r="W361" s="126"/>
      <c r="X361" s="126"/>
      <c r="Y361" s="126"/>
      <c r="Z361" s="126"/>
      <c r="AA361" s="126"/>
      <c r="AB361" s="126"/>
      <c r="AC361" s="126"/>
      <c r="AD361" s="126"/>
      <c r="AE361" s="126"/>
      <c r="AF361" s="126"/>
      <c r="AG361" s="126"/>
      <c r="AH361" s="126"/>
      <c r="AI361" s="179">
        <f t="shared" si="304"/>
        <v>0</v>
      </c>
      <c r="AJ361" s="179">
        <f t="shared" si="330"/>
        <v>0</v>
      </c>
      <c r="AK361" s="179">
        <f t="shared" si="330"/>
        <v>0</v>
      </c>
      <c r="AL361" s="179">
        <f t="shared" si="331"/>
        <v>0</v>
      </c>
      <c r="AM361" s="179">
        <f t="shared" si="331"/>
        <v>0</v>
      </c>
      <c r="AN361" s="126"/>
      <c r="AO361" s="130">
        <f t="shared" si="315"/>
        <v>0</v>
      </c>
      <c r="AP361" s="116"/>
    </row>
    <row r="362" spans="1:42" s="117" customFormat="1" ht="14" hidden="1" outlineLevel="1">
      <c r="A362" s="136"/>
      <c r="B362" s="137" t="s">
        <v>565</v>
      </c>
      <c r="C362" s="179">
        <f t="shared" si="305"/>
        <v>0</v>
      </c>
      <c r="D362" s="126">
        <v>0</v>
      </c>
      <c r="E362" s="126">
        <v>0</v>
      </c>
      <c r="F362" s="126">
        <v>0</v>
      </c>
      <c r="G362" s="126">
        <f>22.38-22.38</f>
        <v>0</v>
      </c>
      <c r="H362" s="179">
        <f t="shared" si="334"/>
        <v>1</v>
      </c>
      <c r="I362" s="179">
        <f t="shared" si="335"/>
        <v>0</v>
      </c>
      <c r="J362" s="126"/>
      <c r="K362" s="126"/>
      <c r="L362" s="179">
        <f t="shared" si="336"/>
        <v>1</v>
      </c>
      <c r="M362" s="126"/>
      <c r="N362" s="126">
        <v>1</v>
      </c>
      <c r="O362" s="126">
        <f t="shared" si="338"/>
        <v>1</v>
      </c>
      <c r="P362" s="126">
        <f t="shared" si="339"/>
        <v>0</v>
      </c>
      <c r="Q362" s="126"/>
      <c r="R362" s="126"/>
      <c r="S362" s="126">
        <f t="shared" si="340"/>
        <v>1</v>
      </c>
      <c r="T362" s="126"/>
      <c r="U362" s="126">
        <f>N362</f>
        <v>1</v>
      </c>
      <c r="V362" s="126"/>
      <c r="W362" s="126"/>
      <c r="X362" s="126"/>
      <c r="Y362" s="126"/>
      <c r="Z362" s="126"/>
      <c r="AA362" s="126"/>
      <c r="AB362" s="126"/>
      <c r="AC362" s="126"/>
      <c r="AD362" s="126"/>
      <c r="AE362" s="126"/>
      <c r="AF362" s="126"/>
      <c r="AG362" s="126"/>
      <c r="AH362" s="126"/>
      <c r="AI362" s="179">
        <f t="shared" si="304"/>
        <v>0</v>
      </c>
      <c r="AJ362" s="179">
        <f t="shared" si="330"/>
        <v>0</v>
      </c>
      <c r="AK362" s="179">
        <f t="shared" si="330"/>
        <v>0</v>
      </c>
      <c r="AL362" s="179">
        <f t="shared" si="331"/>
        <v>0</v>
      </c>
      <c r="AM362" s="179">
        <f t="shared" si="331"/>
        <v>0</v>
      </c>
      <c r="AN362" s="126"/>
      <c r="AO362" s="130">
        <f t="shared" si="315"/>
        <v>0</v>
      </c>
      <c r="AP362" s="116"/>
    </row>
    <row r="363" spans="1:42" s="117" customFormat="1" ht="14" hidden="1" outlineLevel="1">
      <c r="A363" s="136"/>
      <c r="B363" s="137" t="s">
        <v>566</v>
      </c>
      <c r="C363" s="179">
        <f t="shared" si="305"/>
        <v>0</v>
      </c>
      <c r="D363" s="126">
        <v>0</v>
      </c>
      <c r="E363" s="126">
        <v>0</v>
      </c>
      <c r="F363" s="126">
        <v>0</v>
      </c>
      <c r="G363" s="126">
        <v>0</v>
      </c>
      <c r="H363" s="179">
        <f t="shared" si="334"/>
        <v>22</v>
      </c>
      <c r="I363" s="179">
        <f t="shared" si="335"/>
        <v>0</v>
      </c>
      <c r="J363" s="126"/>
      <c r="K363" s="126"/>
      <c r="L363" s="179">
        <f t="shared" si="336"/>
        <v>22</v>
      </c>
      <c r="M363" s="126"/>
      <c r="N363" s="126">
        <v>22</v>
      </c>
      <c r="O363" s="126">
        <f t="shared" si="338"/>
        <v>22</v>
      </c>
      <c r="P363" s="126">
        <f t="shared" si="339"/>
        <v>0</v>
      </c>
      <c r="Q363" s="126"/>
      <c r="R363" s="126"/>
      <c r="S363" s="126">
        <f t="shared" si="340"/>
        <v>22</v>
      </c>
      <c r="T363" s="126"/>
      <c r="U363" s="126">
        <v>22</v>
      </c>
      <c r="V363" s="126"/>
      <c r="W363" s="126"/>
      <c r="X363" s="126"/>
      <c r="Y363" s="126"/>
      <c r="Z363" s="126"/>
      <c r="AA363" s="126"/>
      <c r="AB363" s="126"/>
      <c r="AC363" s="126"/>
      <c r="AD363" s="126"/>
      <c r="AE363" s="126"/>
      <c r="AF363" s="126"/>
      <c r="AG363" s="126"/>
      <c r="AH363" s="126"/>
      <c r="AI363" s="179">
        <f t="shared" si="304"/>
        <v>0</v>
      </c>
      <c r="AJ363" s="179">
        <f t="shared" si="330"/>
        <v>0</v>
      </c>
      <c r="AK363" s="179">
        <f t="shared" si="330"/>
        <v>0</v>
      </c>
      <c r="AL363" s="179">
        <f t="shared" si="331"/>
        <v>0</v>
      </c>
      <c r="AM363" s="179">
        <f t="shared" si="331"/>
        <v>0</v>
      </c>
      <c r="AN363" s="126"/>
      <c r="AO363" s="130">
        <f t="shared" si="315"/>
        <v>0</v>
      </c>
      <c r="AP363" s="116"/>
    </row>
    <row r="364" spans="1:42" s="117" customFormat="1" ht="14" hidden="1" outlineLevel="1">
      <c r="A364" s="136"/>
      <c r="B364" s="137" t="s">
        <v>567</v>
      </c>
      <c r="C364" s="179">
        <f t="shared" si="305"/>
        <v>0</v>
      </c>
      <c r="D364" s="126">
        <v>0</v>
      </c>
      <c r="E364" s="126">
        <v>0</v>
      </c>
      <c r="F364" s="126">
        <v>0</v>
      </c>
      <c r="G364" s="126">
        <v>0</v>
      </c>
      <c r="H364" s="179">
        <f t="shared" si="334"/>
        <v>18</v>
      </c>
      <c r="I364" s="179">
        <f t="shared" si="335"/>
        <v>0</v>
      </c>
      <c r="J364" s="126"/>
      <c r="K364" s="126"/>
      <c r="L364" s="179">
        <f t="shared" si="336"/>
        <v>18</v>
      </c>
      <c r="M364" s="126"/>
      <c r="N364" s="126">
        <v>18</v>
      </c>
      <c r="O364" s="126">
        <f t="shared" si="338"/>
        <v>18</v>
      </c>
      <c r="P364" s="126">
        <f t="shared" si="339"/>
        <v>0</v>
      </c>
      <c r="Q364" s="126"/>
      <c r="R364" s="126"/>
      <c r="S364" s="126">
        <f t="shared" si="340"/>
        <v>18</v>
      </c>
      <c r="T364" s="126"/>
      <c r="U364" s="126">
        <f>N364</f>
        <v>18</v>
      </c>
      <c r="V364" s="126"/>
      <c r="W364" s="126"/>
      <c r="X364" s="126"/>
      <c r="Y364" s="126"/>
      <c r="Z364" s="126"/>
      <c r="AA364" s="126"/>
      <c r="AB364" s="126"/>
      <c r="AC364" s="126"/>
      <c r="AD364" s="126"/>
      <c r="AE364" s="126"/>
      <c r="AF364" s="126"/>
      <c r="AG364" s="126"/>
      <c r="AH364" s="126"/>
      <c r="AI364" s="179">
        <f t="shared" si="304"/>
        <v>0</v>
      </c>
      <c r="AJ364" s="179">
        <f t="shared" si="330"/>
        <v>0</v>
      </c>
      <c r="AK364" s="179">
        <f t="shared" si="330"/>
        <v>0</v>
      </c>
      <c r="AL364" s="179">
        <f t="shared" si="331"/>
        <v>0</v>
      </c>
      <c r="AM364" s="179">
        <f t="shared" si="331"/>
        <v>0</v>
      </c>
      <c r="AN364" s="126"/>
      <c r="AO364" s="130">
        <f t="shared" si="315"/>
        <v>0</v>
      </c>
      <c r="AP364" s="116"/>
    </row>
    <row r="365" spans="1:42" s="117" customFormat="1" ht="14" hidden="1" outlineLevel="1">
      <c r="A365" s="136"/>
      <c r="B365" s="137" t="s">
        <v>720</v>
      </c>
      <c r="C365" s="179">
        <f>SUM(D365:G365)</f>
        <v>0</v>
      </c>
      <c r="D365" s="126">
        <v>0</v>
      </c>
      <c r="E365" s="126">
        <v>0</v>
      </c>
      <c r="F365" s="126">
        <v>0</v>
      </c>
      <c r="G365" s="126">
        <f>537-537</f>
        <v>0</v>
      </c>
      <c r="H365" s="179">
        <f>I365+L365</f>
        <v>18</v>
      </c>
      <c r="I365" s="179">
        <f>J365+K365</f>
        <v>0</v>
      </c>
      <c r="J365" s="126"/>
      <c r="K365" s="126"/>
      <c r="L365" s="179">
        <f>M365+N365</f>
        <v>18</v>
      </c>
      <c r="M365" s="126"/>
      <c r="N365" s="126">
        <v>18</v>
      </c>
      <c r="O365" s="126">
        <f>P365+S365</f>
        <v>4.8499999999999996</v>
      </c>
      <c r="P365" s="126">
        <f>Q365+R365</f>
        <v>0</v>
      </c>
      <c r="Q365" s="126"/>
      <c r="R365" s="126"/>
      <c r="S365" s="126">
        <f>T365+U365</f>
        <v>4.8499999999999996</v>
      </c>
      <c r="T365" s="126"/>
      <c r="U365" s="126">
        <f>4.85</f>
        <v>4.8499999999999996</v>
      </c>
      <c r="V365" s="126"/>
      <c r="W365" s="126"/>
      <c r="X365" s="126"/>
      <c r="Y365" s="126"/>
      <c r="Z365" s="126"/>
      <c r="AA365" s="126"/>
      <c r="AB365" s="126"/>
      <c r="AC365" s="126"/>
      <c r="AD365" s="126"/>
      <c r="AE365" s="126"/>
      <c r="AF365" s="126"/>
      <c r="AG365" s="126"/>
      <c r="AH365" s="126"/>
      <c r="AI365" s="179">
        <f>SUM(AJ365:AM365)</f>
        <v>13.15</v>
      </c>
      <c r="AJ365" s="179">
        <f>D365+J365-Q365-X365-AD365</f>
        <v>0</v>
      </c>
      <c r="AK365" s="179">
        <f>E365+K365-R365-Y365-AE365</f>
        <v>0</v>
      </c>
      <c r="AL365" s="179">
        <f>F365+M365-T365-AA365-AG365</f>
        <v>0</v>
      </c>
      <c r="AM365" s="179">
        <f>G365+N365-U365-AB365-AH365</f>
        <v>13.15</v>
      </c>
      <c r="AN365" s="126"/>
      <c r="AO365" s="130">
        <f t="shared" si="315"/>
        <v>0</v>
      </c>
      <c r="AP365" s="116"/>
    </row>
    <row r="366" spans="1:42" s="117" customFormat="1" ht="14" hidden="1" outlineLevel="1">
      <c r="A366" s="136"/>
      <c r="B366" s="137" t="s">
        <v>573</v>
      </c>
      <c r="C366" s="179">
        <f t="shared" ref="C366:C367" si="341">SUM(D366:G366)</f>
        <v>0</v>
      </c>
      <c r="D366" s="126">
        <v>0</v>
      </c>
      <c r="E366" s="126">
        <v>0</v>
      </c>
      <c r="F366" s="126">
        <v>0</v>
      </c>
      <c r="G366" s="126"/>
      <c r="H366" s="179">
        <f t="shared" ref="H366" si="342">I366+L366</f>
        <v>22</v>
      </c>
      <c r="I366" s="179">
        <f t="shared" ref="I366" si="343">J366+K366</f>
        <v>22</v>
      </c>
      <c r="J366" s="126"/>
      <c r="K366" s="126">
        <f>100-78</f>
        <v>22</v>
      </c>
      <c r="L366" s="179">
        <f t="shared" ref="L366" si="344">M366+N366</f>
        <v>0</v>
      </c>
      <c r="M366" s="126"/>
      <c r="N366" s="126"/>
      <c r="O366" s="126">
        <f t="shared" ref="O366" si="345">P366+S366</f>
        <v>22</v>
      </c>
      <c r="P366" s="126">
        <f t="shared" ref="P366" si="346">Q366+R366</f>
        <v>22</v>
      </c>
      <c r="Q366" s="126"/>
      <c r="R366" s="126">
        <v>22</v>
      </c>
      <c r="S366" s="126">
        <f t="shared" ref="S366" si="347">T366+U366</f>
        <v>0</v>
      </c>
      <c r="T366" s="126"/>
      <c r="U366" s="126"/>
      <c r="V366" s="126"/>
      <c r="W366" s="126"/>
      <c r="X366" s="126"/>
      <c r="Y366" s="126"/>
      <c r="Z366" s="126"/>
      <c r="AA366" s="126"/>
      <c r="AB366" s="126"/>
      <c r="AC366" s="126"/>
      <c r="AD366" s="126"/>
      <c r="AE366" s="126"/>
      <c r="AF366" s="126"/>
      <c r="AG366" s="126"/>
      <c r="AH366" s="126"/>
      <c r="AI366" s="179">
        <f t="shared" ref="AI366:AI367" si="348">SUM(AJ366:AM366)</f>
        <v>0</v>
      </c>
      <c r="AJ366" s="179">
        <f t="shared" ref="AJ366:AK367" si="349">D366+J366-Q366-X366-AD366</f>
        <v>0</v>
      </c>
      <c r="AK366" s="179">
        <f t="shared" si="349"/>
        <v>0</v>
      </c>
      <c r="AL366" s="179">
        <f t="shared" ref="AL366:AM367" si="350">F366+M366-T366-AA366-AG366</f>
        <v>0</v>
      </c>
      <c r="AM366" s="179">
        <f t="shared" si="350"/>
        <v>0</v>
      </c>
      <c r="AN366" s="126"/>
      <c r="AO366" s="130">
        <f t="shared" si="315"/>
        <v>0</v>
      </c>
      <c r="AP366" s="116"/>
    </row>
    <row r="367" spans="1:42" s="117" customFormat="1" ht="14" hidden="1" outlineLevel="1">
      <c r="A367" s="146"/>
      <c r="B367" s="140" t="s">
        <v>716</v>
      </c>
      <c r="C367" s="126">
        <f t="shared" si="341"/>
        <v>22.38</v>
      </c>
      <c r="D367" s="126">
        <v>0</v>
      </c>
      <c r="E367" s="126">
        <f>22.38</f>
        <v>22.38</v>
      </c>
      <c r="F367" s="141">
        <v>0</v>
      </c>
      <c r="G367" s="141">
        <f>22.38-22.38</f>
        <v>0</v>
      </c>
      <c r="H367" s="126">
        <f>I367+L367</f>
        <v>78</v>
      </c>
      <c r="I367" s="126">
        <f>J367+K367</f>
        <v>78</v>
      </c>
      <c r="J367" s="126"/>
      <c r="K367" s="126">
        <v>78</v>
      </c>
      <c r="L367" s="126"/>
      <c r="M367" s="141"/>
      <c r="N367" s="141"/>
      <c r="O367" s="141"/>
      <c r="P367" s="141"/>
      <c r="Q367" s="141"/>
      <c r="R367" s="141"/>
      <c r="S367" s="141"/>
      <c r="T367" s="141"/>
      <c r="U367" s="141"/>
      <c r="V367" s="141">
        <f>W367+Z367</f>
        <v>0</v>
      </c>
      <c r="W367" s="141">
        <f>X367+Y367</f>
        <v>0</v>
      </c>
      <c r="X367" s="141"/>
      <c r="Y367" s="141"/>
      <c r="Z367" s="141"/>
      <c r="AA367" s="141"/>
      <c r="AB367" s="141"/>
      <c r="AC367" s="141"/>
      <c r="AD367" s="141"/>
      <c r="AE367" s="141"/>
      <c r="AF367" s="141"/>
      <c r="AG367" s="141"/>
      <c r="AH367" s="141"/>
      <c r="AI367" s="126">
        <f t="shared" si="348"/>
        <v>100.38</v>
      </c>
      <c r="AJ367" s="126">
        <f t="shared" si="349"/>
        <v>0</v>
      </c>
      <c r="AK367" s="126">
        <f t="shared" si="349"/>
        <v>100.38</v>
      </c>
      <c r="AL367" s="141">
        <f t="shared" si="350"/>
        <v>0</v>
      </c>
      <c r="AM367" s="141">
        <f t="shared" si="350"/>
        <v>0</v>
      </c>
      <c r="AN367" s="126"/>
      <c r="AO367" s="130">
        <f t="shared" si="315"/>
        <v>0</v>
      </c>
      <c r="AP367" s="116"/>
    </row>
    <row r="368" spans="1:42" s="117" customFormat="1" ht="14" collapsed="1">
      <c r="A368" s="136">
        <v>10</v>
      </c>
      <c r="B368" s="182" t="s">
        <v>721</v>
      </c>
      <c r="C368" s="126">
        <f t="shared" ref="C368:AM368" si="351">C369</f>
        <v>0</v>
      </c>
      <c r="D368" s="126">
        <f t="shared" si="351"/>
        <v>0</v>
      </c>
      <c r="E368" s="126">
        <f t="shared" si="351"/>
        <v>0</v>
      </c>
      <c r="F368" s="126">
        <f t="shared" si="351"/>
        <v>0</v>
      </c>
      <c r="G368" s="126">
        <f t="shared" si="351"/>
        <v>0</v>
      </c>
      <c r="H368" s="126">
        <f t="shared" si="351"/>
        <v>1757</v>
      </c>
      <c r="I368" s="126">
        <f t="shared" si="351"/>
        <v>1757</v>
      </c>
      <c r="J368" s="126">
        <f t="shared" si="351"/>
        <v>0</v>
      </c>
      <c r="K368" s="126">
        <f t="shared" si="351"/>
        <v>1757</v>
      </c>
      <c r="L368" s="126">
        <f t="shared" si="351"/>
        <v>0</v>
      </c>
      <c r="M368" s="126">
        <f t="shared" si="351"/>
        <v>0</v>
      </c>
      <c r="N368" s="126">
        <f t="shared" si="351"/>
        <v>0</v>
      </c>
      <c r="O368" s="126">
        <f t="shared" si="351"/>
        <v>1757</v>
      </c>
      <c r="P368" s="126">
        <f t="shared" si="351"/>
        <v>1757</v>
      </c>
      <c r="Q368" s="126">
        <f t="shared" si="351"/>
        <v>0</v>
      </c>
      <c r="R368" s="126">
        <f t="shared" si="351"/>
        <v>1757</v>
      </c>
      <c r="S368" s="126">
        <f t="shared" si="351"/>
        <v>0</v>
      </c>
      <c r="T368" s="126">
        <f t="shared" si="351"/>
        <v>0</v>
      </c>
      <c r="U368" s="126">
        <f t="shared" si="351"/>
        <v>0</v>
      </c>
      <c r="V368" s="126">
        <f t="shared" si="351"/>
        <v>0</v>
      </c>
      <c r="W368" s="126">
        <f t="shared" si="351"/>
        <v>0</v>
      </c>
      <c r="X368" s="126">
        <f t="shared" si="351"/>
        <v>0</v>
      </c>
      <c r="Y368" s="126">
        <f t="shared" si="351"/>
        <v>0</v>
      </c>
      <c r="Z368" s="126">
        <f t="shared" si="351"/>
        <v>0</v>
      </c>
      <c r="AA368" s="126">
        <f t="shared" si="351"/>
        <v>0</v>
      </c>
      <c r="AB368" s="126">
        <f t="shared" si="351"/>
        <v>0</v>
      </c>
      <c r="AC368" s="126">
        <f t="shared" si="351"/>
        <v>0</v>
      </c>
      <c r="AD368" s="126">
        <f t="shared" si="351"/>
        <v>0</v>
      </c>
      <c r="AE368" s="126">
        <f t="shared" si="351"/>
        <v>0</v>
      </c>
      <c r="AF368" s="126">
        <f t="shared" si="351"/>
        <v>0</v>
      </c>
      <c r="AG368" s="126">
        <f t="shared" si="351"/>
        <v>0</v>
      </c>
      <c r="AH368" s="126">
        <f t="shared" si="351"/>
        <v>0</v>
      </c>
      <c r="AI368" s="126">
        <f t="shared" si="304"/>
        <v>0</v>
      </c>
      <c r="AJ368" s="126">
        <f t="shared" si="351"/>
        <v>0</v>
      </c>
      <c r="AK368" s="126">
        <f t="shared" si="351"/>
        <v>0</v>
      </c>
      <c r="AL368" s="126">
        <f t="shared" si="351"/>
        <v>0</v>
      </c>
      <c r="AM368" s="126">
        <f t="shared" si="351"/>
        <v>0</v>
      </c>
      <c r="AN368" s="126"/>
      <c r="AO368" s="130">
        <f t="shared" si="315"/>
        <v>0</v>
      </c>
      <c r="AP368" s="116"/>
    </row>
    <row r="369" spans="1:42" s="117" customFormat="1" ht="14" hidden="1" outlineLevel="1">
      <c r="A369" s="136"/>
      <c r="B369" s="178" t="s">
        <v>715</v>
      </c>
      <c r="C369" s="179">
        <f t="shared" si="305"/>
        <v>0</v>
      </c>
      <c r="D369" s="126">
        <v>0</v>
      </c>
      <c r="E369" s="126">
        <v>0</v>
      </c>
      <c r="F369" s="126">
        <v>0</v>
      </c>
      <c r="G369" s="126">
        <v>0</v>
      </c>
      <c r="H369" s="179">
        <f>I369+L369</f>
        <v>1757</v>
      </c>
      <c r="I369" s="179">
        <f>J369+K369</f>
        <v>1757</v>
      </c>
      <c r="J369" s="126"/>
      <c r="K369" s="126">
        <v>1757</v>
      </c>
      <c r="L369" s="179"/>
      <c r="M369" s="126"/>
      <c r="N369" s="126"/>
      <c r="O369" s="126">
        <f t="shared" si="338"/>
        <v>1757</v>
      </c>
      <c r="P369" s="126">
        <f t="shared" si="339"/>
        <v>1757</v>
      </c>
      <c r="Q369" s="126"/>
      <c r="R369" s="126">
        <v>1757</v>
      </c>
      <c r="S369" s="126">
        <f t="shared" si="340"/>
        <v>0</v>
      </c>
      <c r="T369" s="126"/>
      <c r="U369" s="126"/>
      <c r="V369" s="126"/>
      <c r="W369" s="126"/>
      <c r="X369" s="126"/>
      <c r="Y369" s="126"/>
      <c r="Z369" s="126"/>
      <c r="AA369" s="126"/>
      <c r="AB369" s="126"/>
      <c r="AC369" s="126"/>
      <c r="AD369" s="126"/>
      <c r="AE369" s="126"/>
      <c r="AF369" s="126"/>
      <c r="AG369" s="126"/>
      <c r="AH369" s="126"/>
      <c r="AI369" s="179">
        <f t="shared" si="304"/>
        <v>0</v>
      </c>
      <c r="AJ369" s="179">
        <f t="shared" si="330"/>
        <v>0</v>
      </c>
      <c r="AK369" s="179">
        <f t="shared" si="330"/>
        <v>0</v>
      </c>
      <c r="AL369" s="179">
        <f t="shared" si="331"/>
        <v>0</v>
      </c>
      <c r="AM369" s="179">
        <f t="shared" si="331"/>
        <v>0</v>
      </c>
      <c r="AN369" s="126"/>
      <c r="AO369" s="130">
        <f t="shared" si="315"/>
        <v>0</v>
      </c>
      <c r="AP369" s="116"/>
    </row>
    <row r="370" spans="1:42" s="117" customFormat="1" ht="42" collapsed="1">
      <c r="A370" s="136">
        <v>11</v>
      </c>
      <c r="B370" s="181" t="s">
        <v>722</v>
      </c>
      <c r="C370" s="126">
        <f t="shared" ref="C370:AM370" si="352">C371</f>
        <v>0</v>
      </c>
      <c r="D370" s="126">
        <f t="shared" si="352"/>
        <v>0</v>
      </c>
      <c r="E370" s="126">
        <f t="shared" si="352"/>
        <v>0</v>
      </c>
      <c r="F370" s="126">
        <f t="shared" si="352"/>
        <v>0</v>
      </c>
      <c r="G370" s="126">
        <f t="shared" si="352"/>
        <v>0</v>
      </c>
      <c r="H370" s="126">
        <f t="shared" si="352"/>
        <v>3100</v>
      </c>
      <c r="I370" s="126">
        <f t="shared" si="352"/>
        <v>3100</v>
      </c>
      <c r="J370" s="126">
        <f t="shared" si="352"/>
        <v>0</v>
      </c>
      <c r="K370" s="126">
        <f t="shared" si="352"/>
        <v>3100</v>
      </c>
      <c r="L370" s="126">
        <f t="shared" si="352"/>
        <v>0</v>
      </c>
      <c r="M370" s="126">
        <f t="shared" si="352"/>
        <v>0</v>
      </c>
      <c r="N370" s="126">
        <f t="shared" si="352"/>
        <v>0</v>
      </c>
      <c r="O370" s="126">
        <f t="shared" si="352"/>
        <v>3100</v>
      </c>
      <c r="P370" s="126">
        <f t="shared" si="352"/>
        <v>3100</v>
      </c>
      <c r="Q370" s="126">
        <f t="shared" si="352"/>
        <v>0</v>
      </c>
      <c r="R370" s="126">
        <f t="shared" si="352"/>
        <v>3100</v>
      </c>
      <c r="S370" s="126">
        <f t="shared" si="352"/>
        <v>0</v>
      </c>
      <c r="T370" s="126">
        <f t="shared" si="352"/>
        <v>0</v>
      </c>
      <c r="U370" s="126">
        <f t="shared" si="352"/>
        <v>0</v>
      </c>
      <c r="V370" s="126">
        <f t="shared" si="352"/>
        <v>0</v>
      </c>
      <c r="W370" s="126">
        <f t="shared" si="352"/>
        <v>0</v>
      </c>
      <c r="X370" s="126">
        <f t="shared" si="352"/>
        <v>0</v>
      </c>
      <c r="Y370" s="126">
        <f t="shared" si="352"/>
        <v>0</v>
      </c>
      <c r="Z370" s="126">
        <f t="shared" si="352"/>
        <v>0</v>
      </c>
      <c r="AA370" s="126">
        <f t="shared" si="352"/>
        <v>0</v>
      </c>
      <c r="AB370" s="126">
        <f t="shared" si="352"/>
        <v>0</v>
      </c>
      <c r="AC370" s="126">
        <f t="shared" si="352"/>
        <v>0</v>
      </c>
      <c r="AD370" s="126">
        <f t="shared" si="352"/>
        <v>0</v>
      </c>
      <c r="AE370" s="126">
        <f t="shared" si="352"/>
        <v>0</v>
      </c>
      <c r="AF370" s="126">
        <f t="shared" si="352"/>
        <v>0</v>
      </c>
      <c r="AG370" s="126">
        <f t="shared" si="352"/>
        <v>0</v>
      </c>
      <c r="AH370" s="126">
        <f t="shared" si="352"/>
        <v>0</v>
      </c>
      <c r="AI370" s="126">
        <f t="shared" si="304"/>
        <v>0</v>
      </c>
      <c r="AJ370" s="126">
        <f t="shared" si="352"/>
        <v>0</v>
      </c>
      <c r="AK370" s="126">
        <f t="shared" si="352"/>
        <v>0</v>
      </c>
      <c r="AL370" s="126">
        <f t="shared" si="352"/>
        <v>0</v>
      </c>
      <c r="AM370" s="126">
        <f t="shared" si="352"/>
        <v>0</v>
      </c>
      <c r="AN370" s="126"/>
      <c r="AO370" s="130">
        <f t="shared" si="315"/>
        <v>0</v>
      </c>
      <c r="AP370" s="116"/>
    </row>
    <row r="371" spans="1:42" s="117" customFormat="1" ht="14" hidden="1" outlineLevel="1">
      <c r="A371" s="136"/>
      <c r="B371" s="178" t="s">
        <v>715</v>
      </c>
      <c r="C371" s="179">
        <f t="shared" si="305"/>
        <v>0</v>
      </c>
      <c r="D371" s="126">
        <v>0</v>
      </c>
      <c r="E371" s="126">
        <v>0</v>
      </c>
      <c r="F371" s="126">
        <v>0</v>
      </c>
      <c r="G371" s="126">
        <v>0</v>
      </c>
      <c r="H371" s="179">
        <f>I371+L371</f>
        <v>3100</v>
      </c>
      <c r="I371" s="179">
        <f>J371+K371</f>
        <v>3100</v>
      </c>
      <c r="J371" s="126"/>
      <c r="K371" s="126">
        <v>3100</v>
      </c>
      <c r="L371" s="179"/>
      <c r="M371" s="126"/>
      <c r="N371" s="126"/>
      <c r="O371" s="126">
        <f t="shared" si="338"/>
        <v>3100</v>
      </c>
      <c r="P371" s="126">
        <f t="shared" si="339"/>
        <v>3100</v>
      </c>
      <c r="Q371" s="126"/>
      <c r="R371" s="126">
        <v>3100</v>
      </c>
      <c r="S371" s="126">
        <f t="shared" si="340"/>
        <v>0</v>
      </c>
      <c r="T371" s="126"/>
      <c r="U371" s="126"/>
      <c r="V371" s="126"/>
      <c r="W371" s="126"/>
      <c r="X371" s="126"/>
      <c r="Y371" s="126"/>
      <c r="Z371" s="126"/>
      <c r="AA371" s="126"/>
      <c r="AB371" s="126"/>
      <c r="AC371" s="126"/>
      <c r="AD371" s="126"/>
      <c r="AE371" s="126"/>
      <c r="AF371" s="126"/>
      <c r="AG371" s="126"/>
      <c r="AH371" s="126"/>
      <c r="AI371" s="179">
        <f t="shared" si="304"/>
        <v>0</v>
      </c>
      <c r="AJ371" s="179">
        <f t="shared" si="330"/>
        <v>0</v>
      </c>
      <c r="AK371" s="179">
        <f t="shared" si="330"/>
        <v>0</v>
      </c>
      <c r="AL371" s="179">
        <f t="shared" si="331"/>
        <v>0</v>
      </c>
      <c r="AM371" s="179">
        <f t="shared" si="331"/>
        <v>0</v>
      </c>
      <c r="AN371" s="126"/>
      <c r="AO371" s="130">
        <f t="shared" si="315"/>
        <v>0</v>
      </c>
      <c r="AP371" s="116"/>
    </row>
    <row r="372" spans="1:42" s="117" customFormat="1" ht="14" collapsed="1">
      <c r="A372" s="154">
        <v>12</v>
      </c>
      <c r="B372" s="173" t="s">
        <v>723</v>
      </c>
      <c r="C372" s="126">
        <f t="shared" ref="C372:AM372" si="353">SUM(C373:C384)</f>
        <v>928.18000000000029</v>
      </c>
      <c r="D372" s="126">
        <f t="shared" si="353"/>
        <v>0</v>
      </c>
      <c r="E372" s="126">
        <f t="shared" si="353"/>
        <v>928.18000000000029</v>
      </c>
      <c r="F372" s="126">
        <f t="shared" si="353"/>
        <v>0</v>
      </c>
      <c r="G372" s="126">
        <f t="shared" si="353"/>
        <v>0</v>
      </c>
      <c r="H372" s="126">
        <f t="shared" si="353"/>
        <v>17761</v>
      </c>
      <c r="I372" s="126">
        <f t="shared" si="353"/>
        <v>740</v>
      </c>
      <c r="J372" s="126">
        <f t="shared" si="353"/>
        <v>0</v>
      </c>
      <c r="K372" s="126">
        <f t="shared" si="353"/>
        <v>740</v>
      </c>
      <c r="L372" s="126">
        <f t="shared" si="353"/>
        <v>17021</v>
      </c>
      <c r="M372" s="126">
        <f t="shared" si="353"/>
        <v>0</v>
      </c>
      <c r="N372" s="126">
        <f t="shared" si="353"/>
        <v>17021</v>
      </c>
      <c r="O372" s="126">
        <f t="shared" si="353"/>
        <v>17727.18</v>
      </c>
      <c r="P372" s="126">
        <f t="shared" si="353"/>
        <v>1668.1800000000003</v>
      </c>
      <c r="Q372" s="126">
        <f t="shared" si="353"/>
        <v>0</v>
      </c>
      <c r="R372" s="126">
        <f t="shared" si="353"/>
        <v>1668.1800000000003</v>
      </c>
      <c r="S372" s="126">
        <f t="shared" si="353"/>
        <v>16059</v>
      </c>
      <c r="T372" s="126">
        <f t="shared" si="353"/>
        <v>0</v>
      </c>
      <c r="U372" s="126">
        <f t="shared" si="353"/>
        <v>16059</v>
      </c>
      <c r="V372" s="126">
        <f t="shared" si="353"/>
        <v>0</v>
      </c>
      <c r="W372" s="126">
        <f t="shared" si="353"/>
        <v>0</v>
      </c>
      <c r="X372" s="126">
        <f t="shared" si="353"/>
        <v>0</v>
      </c>
      <c r="Y372" s="126">
        <f t="shared" si="353"/>
        <v>0</v>
      </c>
      <c r="Z372" s="126">
        <f t="shared" si="353"/>
        <v>0</v>
      </c>
      <c r="AA372" s="126">
        <f t="shared" si="353"/>
        <v>0</v>
      </c>
      <c r="AB372" s="126">
        <f t="shared" si="353"/>
        <v>0</v>
      </c>
      <c r="AC372" s="126">
        <f t="shared" si="353"/>
        <v>0</v>
      </c>
      <c r="AD372" s="126">
        <f t="shared" si="353"/>
        <v>0</v>
      </c>
      <c r="AE372" s="126">
        <f t="shared" si="353"/>
        <v>0</v>
      </c>
      <c r="AF372" s="126">
        <f t="shared" si="353"/>
        <v>0</v>
      </c>
      <c r="AG372" s="126">
        <f t="shared" si="353"/>
        <v>0</v>
      </c>
      <c r="AH372" s="126">
        <f t="shared" si="353"/>
        <v>0</v>
      </c>
      <c r="AI372" s="126">
        <f t="shared" si="304"/>
        <v>962</v>
      </c>
      <c r="AJ372" s="126">
        <f t="shared" si="353"/>
        <v>0</v>
      </c>
      <c r="AK372" s="126">
        <f t="shared" si="353"/>
        <v>0</v>
      </c>
      <c r="AL372" s="126">
        <f t="shared" si="353"/>
        <v>0</v>
      </c>
      <c r="AM372" s="126">
        <f t="shared" si="353"/>
        <v>962</v>
      </c>
      <c r="AN372" s="126"/>
      <c r="AO372" s="130">
        <f t="shared" si="315"/>
        <v>0</v>
      </c>
      <c r="AP372" s="116"/>
    </row>
    <row r="373" spans="1:42" s="117" customFormat="1" ht="14" hidden="1" outlineLevel="1">
      <c r="A373" s="136"/>
      <c r="B373" s="137" t="s">
        <v>724</v>
      </c>
      <c r="C373" s="179">
        <f t="shared" si="305"/>
        <v>0</v>
      </c>
      <c r="D373" s="126">
        <v>0</v>
      </c>
      <c r="E373" s="126">
        <v>0</v>
      </c>
      <c r="F373" s="126">
        <v>0</v>
      </c>
      <c r="G373" s="126">
        <v>0</v>
      </c>
      <c r="H373" s="126">
        <f t="shared" ref="H373:H384" si="354">I373+L373</f>
        <v>5900</v>
      </c>
      <c r="I373" s="126">
        <f t="shared" ref="I373:I383" si="355">J373+K373</f>
        <v>0</v>
      </c>
      <c r="J373" s="126"/>
      <c r="K373" s="126">
        <v>0</v>
      </c>
      <c r="L373" s="126">
        <f t="shared" ref="L373:L382" si="356">M373+N373</f>
        <v>5900</v>
      </c>
      <c r="M373" s="126"/>
      <c r="N373" s="126">
        <v>5900</v>
      </c>
      <c r="O373" s="126">
        <f t="shared" si="338"/>
        <v>5900</v>
      </c>
      <c r="P373" s="126">
        <f t="shared" si="339"/>
        <v>0</v>
      </c>
      <c r="Q373" s="126"/>
      <c r="R373" s="126"/>
      <c r="S373" s="126">
        <f t="shared" si="340"/>
        <v>5900</v>
      </c>
      <c r="T373" s="126"/>
      <c r="U373" s="126">
        <f t="shared" ref="U373:U378" si="357">N373</f>
        <v>5900</v>
      </c>
      <c r="V373" s="126">
        <f t="shared" ref="V373:V382" si="358">W373+Z373+AC373+AF373</f>
        <v>0</v>
      </c>
      <c r="W373" s="126">
        <f t="shared" ref="W373:W382" si="359">X373+Y373</f>
        <v>0</v>
      </c>
      <c r="X373" s="126"/>
      <c r="Y373" s="126"/>
      <c r="Z373" s="126">
        <f t="shared" ref="Z373:Z382" si="360">AA373+AB373</f>
        <v>0</v>
      </c>
      <c r="AA373" s="126"/>
      <c r="AB373" s="126"/>
      <c r="AC373" s="126">
        <f t="shared" ref="AC373:AC382" si="361">AD373+AE373</f>
        <v>0</v>
      </c>
      <c r="AD373" s="126"/>
      <c r="AE373" s="126"/>
      <c r="AF373" s="126">
        <f t="shared" ref="AF373:AF382" si="362">AG373+AH373</f>
        <v>0</v>
      </c>
      <c r="AG373" s="126"/>
      <c r="AH373" s="126"/>
      <c r="AI373" s="179">
        <f t="shared" si="304"/>
        <v>0</v>
      </c>
      <c r="AJ373" s="179">
        <f t="shared" si="330"/>
        <v>0</v>
      </c>
      <c r="AK373" s="179">
        <f t="shared" si="330"/>
        <v>0</v>
      </c>
      <c r="AL373" s="179">
        <f t="shared" si="331"/>
        <v>0</v>
      </c>
      <c r="AM373" s="179">
        <f t="shared" si="331"/>
        <v>0</v>
      </c>
      <c r="AN373" s="126"/>
      <c r="AO373" s="130">
        <f t="shared" si="315"/>
        <v>0</v>
      </c>
      <c r="AP373" s="116"/>
    </row>
    <row r="374" spans="1:42" s="117" customFormat="1" ht="14" hidden="1" outlineLevel="1">
      <c r="A374" s="136"/>
      <c r="B374" s="137" t="s">
        <v>560</v>
      </c>
      <c r="C374" s="179">
        <f t="shared" si="305"/>
        <v>0</v>
      </c>
      <c r="D374" s="126">
        <v>0</v>
      </c>
      <c r="E374" s="126">
        <v>0</v>
      </c>
      <c r="F374" s="126">
        <v>0</v>
      </c>
      <c r="G374" s="126">
        <v>0</v>
      </c>
      <c r="H374" s="126">
        <f t="shared" si="354"/>
        <v>1920</v>
      </c>
      <c r="I374" s="126">
        <f t="shared" si="355"/>
        <v>0</v>
      </c>
      <c r="J374" s="126"/>
      <c r="K374" s="126"/>
      <c r="L374" s="126">
        <f t="shared" si="356"/>
        <v>1920</v>
      </c>
      <c r="M374" s="126"/>
      <c r="N374" s="126">
        <v>1920</v>
      </c>
      <c r="O374" s="126">
        <f t="shared" si="338"/>
        <v>1920</v>
      </c>
      <c r="P374" s="126">
        <f t="shared" si="339"/>
        <v>0</v>
      </c>
      <c r="Q374" s="126"/>
      <c r="R374" s="126"/>
      <c r="S374" s="126">
        <f t="shared" si="340"/>
        <v>1920</v>
      </c>
      <c r="T374" s="126"/>
      <c r="U374" s="126">
        <f t="shared" si="357"/>
        <v>1920</v>
      </c>
      <c r="V374" s="126">
        <f t="shared" si="358"/>
        <v>0</v>
      </c>
      <c r="W374" s="126">
        <f t="shared" si="359"/>
        <v>0</v>
      </c>
      <c r="X374" s="126"/>
      <c r="Y374" s="126"/>
      <c r="Z374" s="126">
        <f t="shared" si="360"/>
        <v>0</v>
      </c>
      <c r="AA374" s="126"/>
      <c r="AB374" s="126"/>
      <c r="AC374" s="126">
        <f t="shared" si="361"/>
        <v>0</v>
      </c>
      <c r="AD374" s="126"/>
      <c r="AE374" s="126"/>
      <c r="AF374" s="126">
        <f t="shared" si="362"/>
        <v>0</v>
      </c>
      <c r="AG374" s="126"/>
      <c r="AH374" s="126"/>
      <c r="AI374" s="179">
        <f t="shared" si="304"/>
        <v>0</v>
      </c>
      <c r="AJ374" s="179">
        <f t="shared" si="330"/>
        <v>0</v>
      </c>
      <c r="AK374" s="179">
        <f t="shared" si="330"/>
        <v>0</v>
      </c>
      <c r="AL374" s="179">
        <f t="shared" si="331"/>
        <v>0</v>
      </c>
      <c r="AM374" s="179">
        <f t="shared" si="331"/>
        <v>0</v>
      </c>
      <c r="AN374" s="126"/>
      <c r="AO374" s="130">
        <f t="shared" si="315"/>
        <v>0</v>
      </c>
      <c r="AP374" s="116"/>
    </row>
    <row r="375" spans="1:42" s="117" customFormat="1" ht="14" hidden="1" outlineLevel="1">
      <c r="A375" s="136"/>
      <c r="B375" s="137" t="s">
        <v>561</v>
      </c>
      <c r="C375" s="179">
        <f t="shared" si="305"/>
        <v>0</v>
      </c>
      <c r="D375" s="126">
        <v>0</v>
      </c>
      <c r="E375" s="126">
        <v>0</v>
      </c>
      <c r="F375" s="126">
        <v>0</v>
      </c>
      <c r="G375" s="126">
        <f>1477-1477</f>
        <v>0</v>
      </c>
      <c r="H375" s="126">
        <f t="shared" si="354"/>
        <v>1400</v>
      </c>
      <c r="I375" s="126">
        <f t="shared" si="355"/>
        <v>0</v>
      </c>
      <c r="J375" s="126"/>
      <c r="K375" s="126">
        <v>0</v>
      </c>
      <c r="L375" s="126">
        <f t="shared" si="356"/>
        <v>1400</v>
      </c>
      <c r="M375" s="126"/>
      <c r="N375" s="126">
        <v>1400</v>
      </c>
      <c r="O375" s="126">
        <f t="shared" si="338"/>
        <v>1400</v>
      </c>
      <c r="P375" s="126">
        <f t="shared" si="339"/>
        <v>0</v>
      </c>
      <c r="Q375" s="126"/>
      <c r="R375" s="126"/>
      <c r="S375" s="126">
        <f t="shared" si="340"/>
        <v>1400</v>
      </c>
      <c r="T375" s="126"/>
      <c r="U375" s="126">
        <f t="shared" si="357"/>
        <v>1400</v>
      </c>
      <c r="V375" s="126">
        <f t="shared" si="358"/>
        <v>0</v>
      </c>
      <c r="W375" s="126">
        <f t="shared" si="359"/>
        <v>0</v>
      </c>
      <c r="X375" s="126"/>
      <c r="Y375" s="126"/>
      <c r="Z375" s="126">
        <f t="shared" si="360"/>
        <v>0</v>
      </c>
      <c r="AA375" s="126"/>
      <c r="AB375" s="126"/>
      <c r="AC375" s="126">
        <f t="shared" si="361"/>
        <v>0</v>
      </c>
      <c r="AD375" s="126"/>
      <c r="AE375" s="126"/>
      <c r="AF375" s="126">
        <f t="shared" si="362"/>
        <v>0</v>
      </c>
      <c r="AG375" s="126"/>
      <c r="AH375" s="126"/>
      <c r="AI375" s="179">
        <f t="shared" si="304"/>
        <v>0</v>
      </c>
      <c r="AJ375" s="179">
        <f t="shared" si="330"/>
        <v>0</v>
      </c>
      <c r="AK375" s="179">
        <f t="shared" si="330"/>
        <v>0</v>
      </c>
      <c r="AL375" s="179">
        <f t="shared" si="331"/>
        <v>0</v>
      </c>
      <c r="AM375" s="179">
        <f t="shared" si="331"/>
        <v>0</v>
      </c>
      <c r="AN375" s="126"/>
      <c r="AO375" s="130">
        <f t="shared" si="315"/>
        <v>0</v>
      </c>
      <c r="AP375" s="116"/>
    </row>
    <row r="376" spans="1:42" s="117" customFormat="1" ht="14" hidden="1" outlineLevel="1">
      <c r="A376" s="136"/>
      <c r="B376" s="137" t="s">
        <v>562</v>
      </c>
      <c r="C376" s="179">
        <f t="shared" si="305"/>
        <v>0</v>
      </c>
      <c r="D376" s="126">
        <v>0</v>
      </c>
      <c r="E376" s="126">
        <v>0</v>
      </c>
      <c r="F376" s="126">
        <v>0</v>
      </c>
      <c r="G376" s="126">
        <v>0</v>
      </c>
      <c r="H376" s="126">
        <f t="shared" si="354"/>
        <v>1520</v>
      </c>
      <c r="I376" s="126">
        <f t="shared" si="355"/>
        <v>0</v>
      </c>
      <c r="J376" s="126"/>
      <c r="K376" s="126">
        <v>0</v>
      </c>
      <c r="L376" s="126">
        <f t="shared" si="356"/>
        <v>1520</v>
      </c>
      <c r="M376" s="126"/>
      <c r="N376" s="126">
        <v>1520</v>
      </c>
      <c r="O376" s="126">
        <f t="shared" si="338"/>
        <v>1520</v>
      </c>
      <c r="P376" s="126">
        <f t="shared" si="339"/>
        <v>0</v>
      </c>
      <c r="Q376" s="126"/>
      <c r="R376" s="126"/>
      <c r="S376" s="126">
        <f t="shared" si="340"/>
        <v>1520</v>
      </c>
      <c r="T376" s="126"/>
      <c r="U376" s="126">
        <f t="shared" si="357"/>
        <v>1520</v>
      </c>
      <c r="V376" s="126">
        <f t="shared" si="358"/>
        <v>0</v>
      </c>
      <c r="W376" s="126">
        <f t="shared" si="359"/>
        <v>0</v>
      </c>
      <c r="X376" s="126"/>
      <c r="Y376" s="126"/>
      <c r="Z376" s="126">
        <f t="shared" si="360"/>
        <v>0</v>
      </c>
      <c r="AA376" s="126"/>
      <c r="AB376" s="126"/>
      <c r="AC376" s="126">
        <f t="shared" si="361"/>
        <v>0</v>
      </c>
      <c r="AD376" s="126"/>
      <c r="AE376" s="126"/>
      <c r="AF376" s="126"/>
      <c r="AG376" s="126"/>
      <c r="AH376" s="126"/>
      <c r="AI376" s="179">
        <f t="shared" si="304"/>
        <v>0</v>
      </c>
      <c r="AJ376" s="179">
        <f t="shared" si="330"/>
        <v>0</v>
      </c>
      <c r="AK376" s="179">
        <f t="shared" si="330"/>
        <v>0</v>
      </c>
      <c r="AL376" s="179">
        <f t="shared" si="331"/>
        <v>0</v>
      </c>
      <c r="AM376" s="179">
        <f t="shared" si="331"/>
        <v>0</v>
      </c>
      <c r="AN376" s="126"/>
      <c r="AO376" s="130">
        <f t="shared" si="315"/>
        <v>0</v>
      </c>
      <c r="AP376" s="116"/>
    </row>
    <row r="377" spans="1:42" s="117" customFormat="1" ht="14" hidden="1" outlineLevel="1">
      <c r="A377" s="136"/>
      <c r="B377" s="137" t="s">
        <v>563</v>
      </c>
      <c r="C377" s="179">
        <f t="shared" si="305"/>
        <v>0</v>
      </c>
      <c r="D377" s="126">
        <v>0</v>
      </c>
      <c r="E377" s="126">
        <v>0</v>
      </c>
      <c r="F377" s="126">
        <v>0</v>
      </c>
      <c r="G377" s="126">
        <v>0</v>
      </c>
      <c r="H377" s="126">
        <f t="shared" si="354"/>
        <v>1300</v>
      </c>
      <c r="I377" s="126">
        <f t="shared" si="355"/>
        <v>0</v>
      </c>
      <c r="J377" s="126"/>
      <c r="K377" s="126">
        <v>0</v>
      </c>
      <c r="L377" s="126">
        <f t="shared" si="356"/>
        <v>1300</v>
      </c>
      <c r="M377" s="126"/>
      <c r="N377" s="126">
        <v>1300</v>
      </c>
      <c r="O377" s="126">
        <f t="shared" si="338"/>
        <v>1300</v>
      </c>
      <c r="P377" s="126">
        <f t="shared" si="339"/>
        <v>0</v>
      </c>
      <c r="Q377" s="126"/>
      <c r="R377" s="126"/>
      <c r="S377" s="126">
        <f t="shared" si="340"/>
        <v>1300</v>
      </c>
      <c r="T377" s="126"/>
      <c r="U377" s="126">
        <f t="shared" si="357"/>
        <v>1300</v>
      </c>
      <c r="V377" s="126">
        <f t="shared" si="358"/>
        <v>0</v>
      </c>
      <c r="W377" s="126">
        <f t="shared" si="359"/>
        <v>0</v>
      </c>
      <c r="X377" s="126"/>
      <c r="Y377" s="126"/>
      <c r="Z377" s="126">
        <f t="shared" si="360"/>
        <v>0</v>
      </c>
      <c r="AA377" s="126"/>
      <c r="AB377" s="126"/>
      <c r="AC377" s="126">
        <f t="shared" si="361"/>
        <v>0</v>
      </c>
      <c r="AD377" s="126"/>
      <c r="AE377" s="126"/>
      <c r="AF377" s="126"/>
      <c r="AG377" s="126"/>
      <c r="AH377" s="126"/>
      <c r="AI377" s="179">
        <f t="shared" si="304"/>
        <v>0</v>
      </c>
      <c r="AJ377" s="179">
        <f t="shared" si="330"/>
        <v>0</v>
      </c>
      <c r="AK377" s="179">
        <f t="shared" si="330"/>
        <v>0</v>
      </c>
      <c r="AL377" s="179">
        <f t="shared" si="331"/>
        <v>0</v>
      </c>
      <c r="AM377" s="179">
        <f t="shared" si="331"/>
        <v>0</v>
      </c>
      <c r="AN377" s="126"/>
      <c r="AO377" s="130">
        <f t="shared" si="315"/>
        <v>0</v>
      </c>
      <c r="AP377" s="116"/>
    </row>
    <row r="378" spans="1:42" s="117" customFormat="1" ht="14" hidden="1" outlineLevel="1">
      <c r="A378" s="136"/>
      <c r="B378" s="137" t="s">
        <v>680</v>
      </c>
      <c r="C378" s="179">
        <f t="shared" si="305"/>
        <v>0</v>
      </c>
      <c r="D378" s="126">
        <v>0</v>
      </c>
      <c r="E378" s="126">
        <v>0</v>
      </c>
      <c r="F378" s="126">
        <v>0</v>
      </c>
      <c r="G378" s="126">
        <v>0</v>
      </c>
      <c r="H378" s="126">
        <f t="shared" si="354"/>
        <v>2250</v>
      </c>
      <c r="I378" s="126">
        <f t="shared" si="355"/>
        <v>0</v>
      </c>
      <c r="J378" s="126"/>
      <c r="K378" s="126">
        <v>0</v>
      </c>
      <c r="L378" s="126">
        <f t="shared" si="356"/>
        <v>2250</v>
      </c>
      <c r="M378" s="126"/>
      <c r="N378" s="126">
        <v>2250</v>
      </c>
      <c r="O378" s="126">
        <f t="shared" si="338"/>
        <v>2250</v>
      </c>
      <c r="P378" s="126">
        <f t="shared" si="339"/>
        <v>0</v>
      </c>
      <c r="Q378" s="126"/>
      <c r="R378" s="126"/>
      <c r="S378" s="126">
        <f t="shared" si="340"/>
        <v>2250</v>
      </c>
      <c r="T378" s="126"/>
      <c r="U378" s="126">
        <f t="shared" si="357"/>
        <v>2250</v>
      </c>
      <c r="V378" s="126">
        <f t="shared" si="358"/>
        <v>0</v>
      </c>
      <c r="W378" s="126">
        <f t="shared" si="359"/>
        <v>0</v>
      </c>
      <c r="X378" s="126"/>
      <c r="Y378" s="126"/>
      <c r="Z378" s="126">
        <f t="shared" si="360"/>
        <v>0</v>
      </c>
      <c r="AA378" s="126"/>
      <c r="AB378" s="126"/>
      <c r="AC378" s="126">
        <f t="shared" si="361"/>
        <v>0</v>
      </c>
      <c r="AD378" s="126"/>
      <c r="AE378" s="126"/>
      <c r="AF378" s="126"/>
      <c r="AG378" s="126"/>
      <c r="AH378" s="126"/>
      <c r="AI378" s="179">
        <f t="shared" si="304"/>
        <v>0</v>
      </c>
      <c r="AJ378" s="179">
        <f t="shared" si="330"/>
        <v>0</v>
      </c>
      <c r="AK378" s="179">
        <f t="shared" si="330"/>
        <v>0</v>
      </c>
      <c r="AL378" s="179">
        <f t="shared" si="331"/>
        <v>0</v>
      </c>
      <c r="AM378" s="179">
        <f t="shared" si="331"/>
        <v>0</v>
      </c>
      <c r="AN378" s="126"/>
      <c r="AO378" s="130">
        <f t="shared" si="315"/>
        <v>0</v>
      </c>
      <c r="AP378" s="116"/>
    </row>
    <row r="379" spans="1:42" s="117" customFormat="1" ht="14" hidden="1" outlineLevel="1">
      <c r="A379" s="136"/>
      <c r="B379" s="137" t="s">
        <v>565</v>
      </c>
      <c r="C379" s="179">
        <f t="shared" si="305"/>
        <v>0</v>
      </c>
      <c r="D379" s="126">
        <v>0</v>
      </c>
      <c r="E379" s="126">
        <v>0</v>
      </c>
      <c r="F379" s="126">
        <v>0</v>
      </c>
      <c r="G379" s="126">
        <v>0</v>
      </c>
      <c r="H379" s="126">
        <f t="shared" si="354"/>
        <v>67</v>
      </c>
      <c r="I379" s="126"/>
      <c r="J379" s="126"/>
      <c r="K379" s="126"/>
      <c r="L379" s="126">
        <f t="shared" si="356"/>
        <v>67</v>
      </c>
      <c r="M379" s="126"/>
      <c r="N379" s="126">
        <v>67</v>
      </c>
      <c r="O379" s="126">
        <f t="shared" si="338"/>
        <v>67</v>
      </c>
      <c r="P379" s="126">
        <f t="shared" si="339"/>
        <v>0</v>
      </c>
      <c r="Q379" s="126"/>
      <c r="R379" s="126"/>
      <c r="S379" s="126">
        <f t="shared" si="340"/>
        <v>67</v>
      </c>
      <c r="T379" s="126"/>
      <c r="U379" s="126">
        <f>N379</f>
        <v>67</v>
      </c>
      <c r="V379" s="126">
        <f t="shared" si="358"/>
        <v>0</v>
      </c>
      <c r="W379" s="126">
        <f t="shared" si="359"/>
        <v>0</v>
      </c>
      <c r="X379" s="126"/>
      <c r="Y379" s="126"/>
      <c r="Z379" s="126">
        <f t="shared" si="360"/>
        <v>0</v>
      </c>
      <c r="AA379" s="126"/>
      <c r="AB379" s="126"/>
      <c r="AC379" s="126">
        <f t="shared" si="361"/>
        <v>0</v>
      </c>
      <c r="AD379" s="126"/>
      <c r="AE379" s="126"/>
      <c r="AF379" s="126"/>
      <c r="AG379" s="126"/>
      <c r="AH379" s="126"/>
      <c r="AI379" s="179">
        <f t="shared" si="304"/>
        <v>0</v>
      </c>
      <c r="AJ379" s="179">
        <f t="shared" si="330"/>
        <v>0</v>
      </c>
      <c r="AK379" s="179">
        <f t="shared" si="330"/>
        <v>0</v>
      </c>
      <c r="AL379" s="179">
        <f t="shared" si="331"/>
        <v>0</v>
      </c>
      <c r="AM379" s="179">
        <f t="shared" si="331"/>
        <v>0</v>
      </c>
      <c r="AN379" s="126"/>
      <c r="AO379" s="130">
        <f t="shared" si="315"/>
        <v>0</v>
      </c>
      <c r="AP379" s="116"/>
    </row>
    <row r="380" spans="1:42" s="117" customFormat="1" ht="14" hidden="1" outlineLevel="1">
      <c r="A380" s="136"/>
      <c r="B380" s="137" t="s">
        <v>566</v>
      </c>
      <c r="C380" s="179">
        <f t="shared" si="305"/>
        <v>0</v>
      </c>
      <c r="D380" s="126">
        <v>0</v>
      </c>
      <c r="E380" s="126">
        <v>0</v>
      </c>
      <c r="F380" s="126">
        <v>0</v>
      </c>
      <c r="G380" s="126">
        <v>0</v>
      </c>
      <c r="H380" s="126">
        <f t="shared" si="354"/>
        <v>962</v>
      </c>
      <c r="I380" s="126">
        <f t="shared" si="355"/>
        <v>0</v>
      </c>
      <c r="J380" s="126"/>
      <c r="K380" s="126">
        <v>0</v>
      </c>
      <c r="L380" s="126">
        <f t="shared" si="356"/>
        <v>962</v>
      </c>
      <c r="M380" s="126"/>
      <c r="N380" s="126">
        <v>962</v>
      </c>
      <c r="O380" s="126">
        <f t="shared" si="338"/>
        <v>0</v>
      </c>
      <c r="P380" s="126">
        <f t="shared" si="339"/>
        <v>0</v>
      </c>
      <c r="Q380" s="126"/>
      <c r="R380" s="126"/>
      <c r="S380" s="126">
        <f t="shared" si="340"/>
        <v>0</v>
      </c>
      <c r="T380" s="126"/>
      <c r="U380" s="126">
        <v>0</v>
      </c>
      <c r="V380" s="126">
        <f t="shared" si="358"/>
        <v>0</v>
      </c>
      <c r="W380" s="126">
        <f t="shared" si="359"/>
        <v>0</v>
      </c>
      <c r="X380" s="126"/>
      <c r="Y380" s="126"/>
      <c r="Z380" s="126">
        <f t="shared" si="360"/>
        <v>0</v>
      </c>
      <c r="AA380" s="126"/>
      <c r="AB380" s="126"/>
      <c r="AC380" s="126">
        <f t="shared" si="361"/>
        <v>0</v>
      </c>
      <c r="AD380" s="126"/>
      <c r="AE380" s="126"/>
      <c r="AF380" s="126">
        <f t="shared" si="362"/>
        <v>0</v>
      </c>
      <c r="AG380" s="126"/>
      <c r="AH380" s="126"/>
      <c r="AI380" s="179">
        <f t="shared" si="304"/>
        <v>962</v>
      </c>
      <c r="AJ380" s="179">
        <f t="shared" si="330"/>
        <v>0</v>
      </c>
      <c r="AK380" s="179">
        <f t="shared" si="330"/>
        <v>0</v>
      </c>
      <c r="AL380" s="179">
        <f t="shared" si="331"/>
        <v>0</v>
      </c>
      <c r="AM380" s="179">
        <f t="shared" si="331"/>
        <v>962</v>
      </c>
      <c r="AN380" s="126"/>
      <c r="AO380" s="130">
        <f t="shared" si="315"/>
        <v>0</v>
      </c>
      <c r="AP380" s="116"/>
    </row>
    <row r="381" spans="1:42" s="117" customFormat="1" ht="14" hidden="1" outlineLevel="1">
      <c r="A381" s="136"/>
      <c r="B381" s="137" t="s">
        <v>567</v>
      </c>
      <c r="C381" s="179">
        <f t="shared" si="305"/>
        <v>0</v>
      </c>
      <c r="D381" s="126">
        <v>0</v>
      </c>
      <c r="E381" s="126">
        <v>0</v>
      </c>
      <c r="F381" s="126">
        <v>0</v>
      </c>
      <c r="G381" s="126">
        <v>0</v>
      </c>
      <c r="H381" s="126">
        <f t="shared" si="354"/>
        <v>817</v>
      </c>
      <c r="I381" s="126">
        <f t="shared" si="355"/>
        <v>0</v>
      </c>
      <c r="J381" s="126"/>
      <c r="K381" s="126">
        <v>0</v>
      </c>
      <c r="L381" s="126">
        <f t="shared" si="356"/>
        <v>817</v>
      </c>
      <c r="M381" s="126"/>
      <c r="N381" s="126">
        <v>817</v>
      </c>
      <c r="O381" s="126">
        <f t="shared" si="338"/>
        <v>817</v>
      </c>
      <c r="P381" s="126">
        <f t="shared" si="339"/>
        <v>0</v>
      </c>
      <c r="Q381" s="126"/>
      <c r="R381" s="126"/>
      <c r="S381" s="126">
        <f t="shared" si="340"/>
        <v>817</v>
      </c>
      <c r="T381" s="126"/>
      <c r="U381" s="126">
        <f>N381</f>
        <v>817</v>
      </c>
      <c r="V381" s="126">
        <f t="shared" si="358"/>
        <v>0</v>
      </c>
      <c r="W381" s="126">
        <f t="shared" si="359"/>
        <v>0</v>
      </c>
      <c r="X381" s="126"/>
      <c r="Y381" s="126"/>
      <c r="Z381" s="126">
        <f t="shared" si="360"/>
        <v>0</v>
      </c>
      <c r="AA381" s="126"/>
      <c r="AB381" s="126"/>
      <c r="AC381" s="126">
        <f t="shared" si="361"/>
        <v>0</v>
      </c>
      <c r="AD381" s="126"/>
      <c r="AE381" s="126"/>
      <c r="AF381" s="126">
        <f t="shared" si="362"/>
        <v>0</v>
      </c>
      <c r="AG381" s="126"/>
      <c r="AH381" s="126"/>
      <c r="AI381" s="179">
        <f t="shared" si="304"/>
        <v>0</v>
      </c>
      <c r="AJ381" s="179">
        <f t="shared" si="330"/>
        <v>0</v>
      </c>
      <c r="AK381" s="179">
        <f t="shared" si="330"/>
        <v>0</v>
      </c>
      <c r="AL381" s="179">
        <f t="shared" si="331"/>
        <v>0</v>
      </c>
      <c r="AM381" s="179">
        <f t="shared" si="331"/>
        <v>0</v>
      </c>
      <c r="AN381" s="126"/>
      <c r="AO381" s="130">
        <f t="shared" si="315"/>
        <v>0</v>
      </c>
      <c r="AP381" s="116"/>
    </row>
    <row r="382" spans="1:42" s="117" customFormat="1" ht="14" hidden="1" outlineLevel="1">
      <c r="A382" s="136"/>
      <c r="B382" s="137" t="s">
        <v>568</v>
      </c>
      <c r="C382" s="179">
        <f t="shared" si="305"/>
        <v>0</v>
      </c>
      <c r="D382" s="126">
        <v>0</v>
      </c>
      <c r="E382" s="126">
        <v>0</v>
      </c>
      <c r="F382" s="126">
        <v>0</v>
      </c>
      <c r="G382" s="126">
        <v>0</v>
      </c>
      <c r="H382" s="126">
        <f t="shared" si="354"/>
        <v>885</v>
      </c>
      <c r="I382" s="126">
        <f t="shared" si="355"/>
        <v>0</v>
      </c>
      <c r="J382" s="126"/>
      <c r="K382" s="126">
        <v>0</v>
      </c>
      <c r="L382" s="126">
        <f t="shared" si="356"/>
        <v>885</v>
      </c>
      <c r="M382" s="126"/>
      <c r="N382" s="126">
        <v>885</v>
      </c>
      <c r="O382" s="126">
        <f t="shared" si="338"/>
        <v>885</v>
      </c>
      <c r="P382" s="126">
        <f t="shared" si="339"/>
        <v>0</v>
      </c>
      <c r="Q382" s="126"/>
      <c r="R382" s="126"/>
      <c r="S382" s="126">
        <f t="shared" si="340"/>
        <v>885</v>
      </c>
      <c r="T382" s="126"/>
      <c r="U382" s="126">
        <f>N382</f>
        <v>885</v>
      </c>
      <c r="V382" s="126">
        <f t="shared" si="358"/>
        <v>0</v>
      </c>
      <c r="W382" s="126">
        <f t="shared" si="359"/>
        <v>0</v>
      </c>
      <c r="X382" s="126"/>
      <c r="Y382" s="126"/>
      <c r="Z382" s="126">
        <f t="shared" si="360"/>
        <v>0</v>
      </c>
      <c r="AA382" s="126"/>
      <c r="AB382" s="126"/>
      <c r="AC382" s="126">
        <f t="shared" si="361"/>
        <v>0</v>
      </c>
      <c r="AD382" s="126"/>
      <c r="AE382" s="126"/>
      <c r="AF382" s="126">
        <f t="shared" si="362"/>
        <v>0</v>
      </c>
      <c r="AG382" s="126"/>
      <c r="AH382" s="126"/>
      <c r="AI382" s="179">
        <f t="shared" si="304"/>
        <v>0</v>
      </c>
      <c r="AJ382" s="179">
        <f t="shared" si="330"/>
        <v>0</v>
      </c>
      <c r="AK382" s="179">
        <f t="shared" si="330"/>
        <v>0</v>
      </c>
      <c r="AL382" s="179">
        <f t="shared" si="331"/>
        <v>0</v>
      </c>
      <c r="AM382" s="179">
        <f t="shared" si="331"/>
        <v>0</v>
      </c>
      <c r="AN382" s="126"/>
      <c r="AO382" s="130">
        <f t="shared" si="315"/>
        <v>0</v>
      </c>
      <c r="AP382" s="116"/>
    </row>
    <row r="383" spans="1:42" s="117" customFormat="1" ht="14" hidden="1" outlineLevel="1">
      <c r="A383" s="136"/>
      <c r="B383" s="137" t="s">
        <v>573</v>
      </c>
      <c r="C383" s="179">
        <f t="shared" si="305"/>
        <v>0</v>
      </c>
      <c r="D383" s="126">
        <v>0</v>
      </c>
      <c r="E383" s="126">
        <v>0</v>
      </c>
      <c r="F383" s="126">
        <v>0</v>
      </c>
      <c r="G383" s="126">
        <v>0</v>
      </c>
      <c r="H383" s="126">
        <f t="shared" si="354"/>
        <v>740</v>
      </c>
      <c r="I383" s="126">
        <f t="shared" si="355"/>
        <v>740</v>
      </c>
      <c r="J383" s="126"/>
      <c r="K383" s="126">
        <v>740</v>
      </c>
      <c r="L383" s="126"/>
      <c r="M383" s="126"/>
      <c r="N383" s="126"/>
      <c r="O383" s="126">
        <f t="shared" si="338"/>
        <v>740</v>
      </c>
      <c r="P383" s="126">
        <f t="shared" si="339"/>
        <v>740</v>
      </c>
      <c r="Q383" s="126"/>
      <c r="R383" s="126">
        <v>740</v>
      </c>
      <c r="S383" s="126">
        <f t="shared" si="340"/>
        <v>0</v>
      </c>
      <c r="T383" s="126"/>
      <c r="U383" s="126"/>
      <c r="V383" s="126"/>
      <c r="W383" s="126"/>
      <c r="X383" s="126"/>
      <c r="Y383" s="126"/>
      <c r="Z383" s="126"/>
      <c r="AA383" s="126"/>
      <c r="AB383" s="126"/>
      <c r="AC383" s="126"/>
      <c r="AD383" s="126"/>
      <c r="AE383" s="126"/>
      <c r="AF383" s="126"/>
      <c r="AG383" s="126"/>
      <c r="AH383" s="126"/>
      <c r="AI383" s="179">
        <f t="shared" si="304"/>
        <v>0</v>
      </c>
      <c r="AJ383" s="179">
        <f t="shared" si="330"/>
        <v>0</v>
      </c>
      <c r="AK383" s="179">
        <f t="shared" si="330"/>
        <v>0</v>
      </c>
      <c r="AL383" s="179">
        <f t="shared" si="331"/>
        <v>0</v>
      </c>
      <c r="AM383" s="179">
        <f t="shared" si="331"/>
        <v>0</v>
      </c>
      <c r="AN383" s="126"/>
      <c r="AO383" s="130">
        <f t="shared" si="315"/>
        <v>0</v>
      </c>
      <c r="AP383" s="116"/>
    </row>
    <row r="384" spans="1:42" s="117" customFormat="1" ht="14" hidden="1" outlineLevel="1">
      <c r="A384" s="136"/>
      <c r="B384" s="137" t="s">
        <v>725</v>
      </c>
      <c r="C384" s="179">
        <f t="shared" si="305"/>
        <v>928.18000000000029</v>
      </c>
      <c r="D384" s="126">
        <v>0</v>
      </c>
      <c r="E384" s="126">
        <v>928.18000000000029</v>
      </c>
      <c r="F384" s="126">
        <v>0</v>
      </c>
      <c r="G384" s="126">
        <v>0</v>
      </c>
      <c r="H384" s="126">
        <f t="shared" si="354"/>
        <v>0</v>
      </c>
      <c r="I384" s="126">
        <f>J384+K384</f>
        <v>0</v>
      </c>
      <c r="J384" s="126"/>
      <c r="K384" s="126"/>
      <c r="L384" s="126">
        <f>M384+N384</f>
        <v>0</v>
      </c>
      <c r="M384" s="126"/>
      <c r="N384" s="126">
        <v>0</v>
      </c>
      <c r="O384" s="126">
        <f t="shared" si="338"/>
        <v>928.18000000000029</v>
      </c>
      <c r="P384" s="126">
        <f t="shared" si="339"/>
        <v>928.18000000000029</v>
      </c>
      <c r="Q384" s="126"/>
      <c r="R384" s="126">
        <f>E384</f>
        <v>928.18000000000029</v>
      </c>
      <c r="S384" s="126">
        <f t="shared" si="340"/>
        <v>0</v>
      </c>
      <c r="T384" s="126"/>
      <c r="U384" s="126"/>
      <c r="V384" s="126">
        <f t="shared" ref="V384" si="363">W384+Z384+AC384+AF384</f>
        <v>0</v>
      </c>
      <c r="W384" s="126">
        <f t="shared" ref="W384" si="364">X384+Y384</f>
        <v>0</v>
      </c>
      <c r="X384" s="126"/>
      <c r="Y384" s="126"/>
      <c r="Z384" s="126">
        <f t="shared" ref="Z384" si="365">AA384+AB384</f>
        <v>0</v>
      </c>
      <c r="AA384" s="126"/>
      <c r="AB384" s="126"/>
      <c r="AC384" s="126">
        <f t="shared" ref="AC384" si="366">AD384+AE384</f>
        <v>0</v>
      </c>
      <c r="AD384" s="126"/>
      <c r="AE384" s="126"/>
      <c r="AF384" s="126">
        <f t="shared" ref="AF384" si="367">AG384+AH384</f>
        <v>0</v>
      </c>
      <c r="AG384" s="126"/>
      <c r="AH384" s="126"/>
      <c r="AI384" s="179">
        <f t="shared" si="304"/>
        <v>0</v>
      </c>
      <c r="AJ384" s="179">
        <f t="shared" si="330"/>
        <v>0</v>
      </c>
      <c r="AK384" s="179">
        <f t="shared" si="330"/>
        <v>0</v>
      </c>
      <c r="AL384" s="179">
        <f t="shared" si="331"/>
        <v>0</v>
      </c>
      <c r="AM384" s="179">
        <f t="shared" si="331"/>
        <v>0</v>
      </c>
      <c r="AN384" s="126"/>
      <c r="AO384" s="130">
        <f t="shared" si="315"/>
        <v>0</v>
      </c>
      <c r="AP384" s="116"/>
    </row>
    <row r="385" spans="1:42" s="117" customFormat="1" ht="14" collapsed="1">
      <c r="A385" s="151">
        <v>13</v>
      </c>
      <c r="B385" s="147" t="s">
        <v>726</v>
      </c>
      <c r="C385" s="155">
        <f t="shared" ref="C385:AM385" si="368">SUM(C386:C396)</f>
        <v>2490.54</v>
      </c>
      <c r="D385" s="155">
        <f t="shared" si="368"/>
        <v>0</v>
      </c>
      <c r="E385" s="155">
        <f t="shared" si="368"/>
        <v>1931.5899999999997</v>
      </c>
      <c r="F385" s="155">
        <f t="shared" si="368"/>
        <v>0</v>
      </c>
      <c r="G385" s="155">
        <f t="shared" si="368"/>
        <v>558.95000000000016</v>
      </c>
      <c r="H385" s="155">
        <f t="shared" si="368"/>
        <v>15555</v>
      </c>
      <c r="I385" s="155">
        <f t="shared" si="368"/>
        <v>571.26099999999997</v>
      </c>
      <c r="J385" s="155">
        <f t="shared" si="368"/>
        <v>0</v>
      </c>
      <c r="K385" s="155">
        <f t="shared" si="368"/>
        <v>571.26099999999997</v>
      </c>
      <c r="L385" s="155">
        <f t="shared" si="368"/>
        <v>14983.739</v>
      </c>
      <c r="M385" s="155">
        <f t="shared" si="368"/>
        <v>0</v>
      </c>
      <c r="N385" s="155">
        <f t="shared" si="368"/>
        <v>14983.739</v>
      </c>
      <c r="O385" s="155">
        <f t="shared" si="368"/>
        <v>13597.076000000001</v>
      </c>
      <c r="P385" s="155">
        <f t="shared" si="368"/>
        <v>1168</v>
      </c>
      <c r="Q385" s="155">
        <f t="shared" si="368"/>
        <v>0</v>
      </c>
      <c r="R385" s="155">
        <f t="shared" si="368"/>
        <v>1168</v>
      </c>
      <c r="S385" s="155">
        <f t="shared" si="368"/>
        <v>12429.076000000001</v>
      </c>
      <c r="T385" s="155">
        <f t="shared" si="368"/>
        <v>0</v>
      </c>
      <c r="U385" s="155">
        <f t="shared" si="368"/>
        <v>12429.076000000001</v>
      </c>
      <c r="V385" s="155">
        <f t="shared" si="368"/>
        <v>524.77100000000007</v>
      </c>
      <c r="W385" s="155">
        <f t="shared" si="368"/>
        <v>0</v>
      </c>
      <c r="X385" s="155">
        <f t="shared" si="368"/>
        <v>0</v>
      </c>
      <c r="Y385" s="155">
        <f t="shared" si="368"/>
        <v>0</v>
      </c>
      <c r="Z385" s="155">
        <f t="shared" si="368"/>
        <v>524.77100000000007</v>
      </c>
      <c r="AA385" s="155">
        <f t="shared" si="368"/>
        <v>0</v>
      </c>
      <c r="AB385" s="155">
        <f t="shared" si="368"/>
        <v>524.77100000000007</v>
      </c>
      <c r="AC385" s="155">
        <f t="shared" si="368"/>
        <v>0</v>
      </c>
      <c r="AD385" s="155">
        <f t="shared" si="368"/>
        <v>0</v>
      </c>
      <c r="AE385" s="155">
        <f t="shared" si="368"/>
        <v>0</v>
      </c>
      <c r="AF385" s="155">
        <f t="shared" si="368"/>
        <v>0</v>
      </c>
      <c r="AG385" s="155">
        <f t="shared" si="368"/>
        <v>0</v>
      </c>
      <c r="AH385" s="155">
        <f t="shared" si="368"/>
        <v>0</v>
      </c>
      <c r="AI385" s="155">
        <f t="shared" si="368"/>
        <v>3923.6929999999993</v>
      </c>
      <c r="AJ385" s="155">
        <f t="shared" si="368"/>
        <v>0</v>
      </c>
      <c r="AK385" s="155">
        <f t="shared" si="368"/>
        <v>1334.8509999999997</v>
      </c>
      <c r="AL385" s="155">
        <f t="shared" si="368"/>
        <v>0</v>
      </c>
      <c r="AM385" s="155">
        <f t="shared" si="368"/>
        <v>2588.8419999999996</v>
      </c>
      <c r="AN385" s="126"/>
      <c r="AO385" s="130">
        <f t="shared" si="315"/>
        <v>0</v>
      </c>
      <c r="AP385" s="116"/>
    </row>
    <row r="386" spans="1:42" s="117" customFormat="1" ht="14" hidden="1" outlineLevel="1">
      <c r="A386" s="136"/>
      <c r="B386" s="137" t="s">
        <v>337</v>
      </c>
      <c r="C386" s="179">
        <f t="shared" si="305"/>
        <v>346.34100000000001</v>
      </c>
      <c r="D386" s="126">
        <v>0</v>
      </c>
      <c r="E386" s="126">
        <v>0</v>
      </c>
      <c r="F386" s="126">
        <v>0</v>
      </c>
      <c r="G386" s="126">
        <v>346.34100000000001</v>
      </c>
      <c r="H386" s="126">
        <f t="shared" ref="H386:H396" si="369">I386+L386</f>
        <v>1386</v>
      </c>
      <c r="I386" s="126">
        <f>J386+K386</f>
        <v>0</v>
      </c>
      <c r="J386" s="126"/>
      <c r="K386" s="126">
        <v>0</v>
      </c>
      <c r="L386" s="126">
        <f t="shared" ref="L386:L396" si="370">M386+N386</f>
        <v>1386</v>
      </c>
      <c r="M386" s="126"/>
      <c r="N386" s="126">
        <v>1386</v>
      </c>
      <c r="O386" s="126">
        <f t="shared" si="338"/>
        <v>1246.903</v>
      </c>
      <c r="P386" s="126">
        <f t="shared" si="339"/>
        <v>0</v>
      </c>
      <c r="Q386" s="126"/>
      <c r="R386" s="126"/>
      <c r="S386" s="126">
        <f t="shared" si="340"/>
        <v>1246.903</v>
      </c>
      <c r="T386" s="126"/>
      <c r="U386" s="126">
        <f>1246.903</f>
        <v>1246.903</v>
      </c>
      <c r="V386" s="126">
        <f t="shared" ref="V386:V396" si="371">W386+Z386+AC386+AF386</f>
        <v>346.34100000000001</v>
      </c>
      <c r="W386" s="126">
        <f t="shared" ref="W386:W396" si="372">X386+Y386</f>
        <v>0</v>
      </c>
      <c r="X386" s="126"/>
      <c r="Y386" s="126"/>
      <c r="Z386" s="126">
        <f t="shared" ref="Z386:Z396" si="373">AA386+AB386</f>
        <v>346.34100000000001</v>
      </c>
      <c r="AA386" s="126"/>
      <c r="AB386" s="126">
        <f>G386</f>
        <v>346.34100000000001</v>
      </c>
      <c r="AC386" s="126">
        <f t="shared" ref="AC386:AC391" si="374">AD386+AE386</f>
        <v>0</v>
      </c>
      <c r="AD386" s="126"/>
      <c r="AE386" s="126"/>
      <c r="AF386" s="126">
        <f t="shared" ref="AF386:AF391" si="375">AG386+AH386</f>
        <v>0</v>
      </c>
      <c r="AG386" s="126"/>
      <c r="AH386" s="126"/>
      <c r="AI386" s="179">
        <f t="shared" si="304"/>
        <v>139.09699999999987</v>
      </c>
      <c r="AJ386" s="179">
        <f t="shared" si="330"/>
        <v>0</v>
      </c>
      <c r="AK386" s="179">
        <f t="shared" si="330"/>
        <v>0</v>
      </c>
      <c r="AL386" s="179">
        <f t="shared" si="331"/>
        <v>0</v>
      </c>
      <c r="AM386" s="179">
        <f t="shared" si="331"/>
        <v>139.09699999999987</v>
      </c>
      <c r="AN386" s="126"/>
      <c r="AO386" s="130">
        <f t="shared" si="315"/>
        <v>0</v>
      </c>
      <c r="AP386" s="116"/>
    </row>
    <row r="387" spans="1:42" s="117" customFormat="1" ht="14" hidden="1" outlineLevel="1">
      <c r="A387" s="136"/>
      <c r="B387" s="137" t="s">
        <v>560</v>
      </c>
      <c r="C387" s="179">
        <f t="shared" si="305"/>
        <v>178.43000000000006</v>
      </c>
      <c r="D387" s="126">
        <v>0</v>
      </c>
      <c r="E387" s="126">
        <v>0</v>
      </c>
      <c r="F387" s="126">
        <v>0</v>
      </c>
      <c r="G387" s="126">
        <v>178.43000000000006</v>
      </c>
      <c r="H387" s="126">
        <f t="shared" si="369"/>
        <v>1859</v>
      </c>
      <c r="I387" s="126">
        <f>J387+K387</f>
        <v>0</v>
      </c>
      <c r="J387" s="126"/>
      <c r="K387" s="126"/>
      <c r="L387" s="126">
        <f t="shared" si="370"/>
        <v>1859</v>
      </c>
      <c r="M387" s="126"/>
      <c r="N387" s="126">
        <v>1859</v>
      </c>
      <c r="O387" s="126">
        <f t="shared" si="338"/>
        <v>1632.7</v>
      </c>
      <c r="P387" s="126">
        <f t="shared" si="339"/>
        <v>0</v>
      </c>
      <c r="Q387" s="126"/>
      <c r="R387" s="126"/>
      <c r="S387" s="126">
        <f t="shared" si="340"/>
        <v>1632.7</v>
      </c>
      <c r="T387" s="126"/>
      <c r="U387" s="126">
        <f>1632.7</f>
        <v>1632.7</v>
      </c>
      <c r="V387" s="126">
        <f t="shared" si="371"/>
        <v>178.43000000000006</v>
      </c>
      <c r="W387" s="126">
        <f t="shared" si="372"/>
        <v>0</v>
      </c>
      <c r="X387" s="126"/>
      <c r="Y387" s="126"/>
      <c r="Z387" s="126">
        <f t="shared" si="373"/>
        <v>178.43000000000006</v>
      </c>
      <c r="AA387" s="126"/>
      <c r="AB387" s="126">
        <f>G387</f>
        <v>178.43000000000006</v>
      </c>
      <c r="AC387" s="126">
        <f t="shared" si="374"/>
        <v>0</v>
      </c>
      <c r="AD387" s="126"/>
      <c r="AE387" s="126"/>
      <c r="AF387" s="126">
        <f t="shared" si="375"/>
        <v>0</v>
      </c>
      <c r="AG387" s="126"/>
      <c r="AH387" s="126"/>
      <c r="AI387" s="179">
        <f t="shared" si="304"/>
        <v>226.29999999999995</v>
      </c>
      <c r="AJ387" s="179">
        <f t="shared" si="330"/>
        <v>0</v>
      </c>
      <c r="AK387" s="179">
        <f t="shared" si="330"/>
        <v>0</v>
      </c>
      <c r="AL387" s="179">
        <f t="shared" si="331"/>
        <v>0</v>
      </c>
      <c r="AM387" s="179">
        <f t="shared" si="331"/>
        <v>226.29999999999995</v>
      </c>
      <c r="AN387" s="126"/>
      <c r="AO387" s="130">
        <f t="shared" si="315"/>
        <v>0</v>
      </c>
      <c r="AP387" s="116"/>
    </row>
    <row r="388" spans="1:42" s="117" customFormat="1" ht="14" hidden="1" outlineLevel="1">
      <c r="A388" s="136"/>
      <c r="B388" s="137" t="s">
        <v>561</v>
      </c>
      <c r="C388" s="179">
        <f t="shared" si="305"/>
        <v>0</v>
      </c>
      <c r="D388" s="126">
        <v>0</v>
      </c>
      <c r="E388" s="126">
        <v>0</v>
      </c>
      <c r="F388" s="126">
        <v>0</v>
      </c>
      <c r="G388" s="126">
        <f>810.731-810.731</f>
        <v>0</v>
      </c>
      <c r="H388" s="126">
        <f t="shared" si="369"/>
        <v>1025</v>
      </c>
      <c r="I388" s="126">
        <f>J388+K388</f>
        <v>0</v>
      </c>
      <c r="J388" s="126"/>
      <c r="K388" s="126">
        <v>0</v>
      </c>
      <c r="L388" s="126">
        <f t="shared" si="370"/>
        <v>1025</v>
      </c>
      <c r="M388" s="126"/>
      <c r="N388" s="126">
        <f>1025</f>
        <v>1025</v>
      </c>
      <c r="O388" s="126">
        <f t="shared" si="338"/>
        <v>712.19200000000001</v>
      </c>
      <c r="P388" s="126">
        <f t="shared" si="339"/>
        <v>0</v>
      </c>
      <c r="Q388" s="126"/>
      <c r="R388" s="126"/>
      <c r="S388" s="126">
        <f t="shared" si="340"/>
        <v>712.19200000000001</v>
      </c>
      <c r="T388" s="126"/>
      <c r="U388" s="126">
        <f>712.192</f>
        <v>712.19200000000001</v>
      </c>
      <c r="V388" s="126">
        <f t="shared" si="371"/>
        <v>0</v>
      </c>
      <c r="W388" s="126">
        <f t="shared" si="372"/>
        <v>0</v>
      </c>
      <c r="X388" s="126"/>
      <c r="Y388" s="126"/>
      <c r="Z388" s="126">
        <f t="shared" si="373"/>
        <v>0</v>
      </c>
      <c r="AA388" s="126"/>
      <c r="AB388" s="126"/>
      <c r="AC388" s="126">
        <f t="shared" si="374"/>
        <v>0</v>
      </c>
      <c r="AD388" s="126"/>
      <c r="AE388" s="126"/>
      <c r="AF388" s="126">
        <f t="shared" si="375"/>
        <v>0</v>
      </c>
      <c r="AG388" s="126"/>
      <c r="AH388" s="126"/>
      <c r="AI388" s="179">
        <f t="shared" si="304"/>
        <v>312.80799999999999</v>
      </c>
      <c r="AJ388" s="179">
        <f t="shared" si="330"/>
        <v>0</v>
      </c>
      <c r="AK388" s="179">
        <f t="shared" si="330"/>
        <v>0</v>
      </c>
      <c r="AL388" s="179">
        <f t="shared" si="331"/>
        <v>0</v>
      </c>
      <c r="AM388" s="179">
        <f t="shared" si="331"/>
        <v>312.80799999999999</v>
      </c>
      <c r="AN388" s="126"/>
      <c r="AO388" s="130">
        <f t="shared" si="315"/>
        <v>0</v>
      </c>
      <c r="AP388" s="116"/>
    </row>
    <row r="389" spans="1:42" s="117" customFormat="1" ht="14" hidden="1" outlineLevel="1">
      <c r="A389" s="136"/>
      <c r="B389" s="137" t="s">
        <v>562</v>
      </c>
      <c r="C389" s="179">
        <f t="shared" si="305"/>
        <v>0</v>
      </c>
      <c r="D389" s="126">
        <v>0</v>
      </c>
      <c r="E389" s="126">
        <v>0</v>
      </c>
      <c r="F389" s="126">
        <v>0</v>
      </c>
      <c r="G389" s="126">
        <f>70.626-70.626</f>
        <v>0</v>
      </c>
      <c r="H389" s="126">
        <f t="shared" si="369"/>
        <v>646</v>
      </c>
      <c r="I389" s="126">
        <f>J389+K389</f>
        <v>0</v>
      </c>
      <c r="J389" s="126"/>
      <c r="K389" s="126">
        <v>0</v>
      </c>
      <c r="L389" s="126">
        <f t="shared" si="370"/>
        <v>646</v>
      </c>
      <c r="M389" s="126"/>
      <c r="N389" s="126">
        <v>646</v>
      </c>
      <c r="O389" s="126">
        <f t="shared" si="338"/>
        <v>440.76400000000001</v>
      </c>
      <c r="P389" s="126">
        <f t="shared" si="339"/>
        <v>0</v>
      </c>
      <c r="Q389" s="126"/>
      <c r="R389" s="126"/>
      <c r="S389" s="126">
        <f t="shared" si="340"/>
        <v>440.76400000000001</v>
      </c>
      <c r="T389" s="126"/>
      <c r="U389" s="126">
        <f>440.764</f>
        <v>440.76400000000001</v>
      </c>
      <c r="V389" s="126">
        <f t="shared" si="371"/>
        <v>0</v>
      </c>
      <c r="W389" s="126">
        <f t="shared" si="372"/>
        <v>0</v>
      </c>
      <c r="X389" s="126"/>
      <c r="Y389" s="126"/>
      <c r="Z389" s="126">
        <f t="shared" si="373"/>
        <v>0</v>
      </c>
      <c r="AA389" s="126"/>
      <c r="AB389" s="126">
        <f>G389</f>
        <v>0</v>
      </c>
      <c r="AC389" s="126">
        <f t="shared" si="374"/>
        <v>0</v>
      </c>
      <c r="AD389" s="126"/>
      <c r="AE389" s="126"/>
      <c r="AF389" s="126">
        <f t="shared" si="375"/>
        <v>0</v>
      </c>
      <c r="AG389" s="126"/>
      <c r="AH389" s="126"/>
      <c r="AI389" s="179">
        <f t="shared" si="304"/>
        <v>205.23599999999999</v>
      </c>
      <c r="AJ389" s="179">
        <f t="shared" si="330"/>
        <v>0</v>
      </c>
      <c r="AK389" s="179">
        <f t="shared" si="330"/>
        <v>0</v>
      </c>
      <c r="AL389" s="179">
        <f t="shared" si="331"/>
        <v>0</v>
      </c>
      <c r="AM389" s="179">
        <f t="shared" si="331"/>
        <v>205.23599999999999</v>
      </c>
      <c r="AN389" s="126"/>
      <c r="AO389" s="130">
        <f t="shared" si="315"/>
        <v>0</v>
      </c>
      <c r="AP389" s="116"/>
    </row>
    <row r="390" spans="1:42" s="117" customFormat="1" ht="14" hidden="1" outlineLevel="1">
      <c r="A390" s="136"/>
      <c r="B390" s="137" t="s">
        <v>563</v>
      </c>
      <c r="C390" s="179">
        <f t="shared" si="305"/>
        <v>0</v>
      </c>
      <c r="D390" s="126">
        <v>0</v>
      </c>
      <c r="E390" s="126">
        <v>0</v>
      </c>
      <c r="F390" s="126">
        <v>0</v>
      </c>
      <c r="G390" s="126">
        <f>190.56-190.56</f>
        <v>0</v>
      </c>
      <c r="H390" s="126">
        <f t="shared" si="369"/>
        <v>2554</v>
      </c>
      <c r="I390" s="126"/>
      <c r="J390" s="126"/>
      <c r="K390" s="126">
        <v>0</v>
      </c>
      <c r="L390" s="126">
        <f t="shared" si="370"/>
        <v>2554</v>
      </c>
      <c r="M390" s="126"/>
      <c r="N390" s="126">
        <v>2554</v>
      </c>
      <c r="O390" s="126">
        <f t="shared" si="338"/>
        <v>2024.48</v>
      </c>
      <c r="P390" s="126">
        <f t="shared" si="339"/>
        <v>0</v>
      </c>
      <c r="Q390" s="126"/>
      <c r="R390" s="126"/>
      <c r="S390" s="126">
        <f t="shared" si="340"/>
        <v>2024.48</v>
      </c>
      <c r="T390" s="126"/>
      <c r="U390" s="126">
        <f>2024.48</f>
        <v>2024.48</v>
      </c>
      <c r="V390" s="126">
        <f t="shared" si="371"/>
        <v>0</v>
      </c>
      <c r="W390" s="126">
        <f t="shared" si="372"/>
        <v>0</v>
      </c>
      <c r="X390" s="126"/>
      <c r="Y390" s="126"/>
      <c r="Z390" s="126">
        <f t="shared" si="373"/>
        <v>0</v>
      </c>
      <c r="AA390" s="126"/>
      <c r="AB390" s="126"/>
      <c r="AC390" s="126">
        <f t="shared" si="374"/>
        <v>0</v>
      </c>
      <c r="AD390" s="126"/>
      <c r="AE390" s="126"/>
      <c r="AF390" s="126">
        <f t="shared" si="375"/>
        <v>0</v>
      </c>
      <c r="AG390" s="126"/>
      <c r="AH390" s="126"/>
      <c r="AI390" s="179">
        <f t="shared" si="304"/>
        <v>529.52</v>
      </c>
      <c r="AJ390" s="179">
        <f t="shared" si="330"/>
        <v>0</v>
      </c>
      <c r="AK390" s="179">
        <f t="shared" si="330"/>
        <v>0</v>
      </c>
      <c r="AL390" s="179">
        <f t="shared" si="331"/>
        <v>0</v>
      </c>
      <c r="AM390" s="179">
        <f t="shared" si="331"/>
        <v>529.52</v>
      </c>
      <c r="AN390" s="126"/>
      <c r="AO390" s="130">
        <f t="shared" si="315"/>
        <v>0</v>
      </c>
      <c r="AP390" s="116"/>
    </row>
    <row r="391" spans="1:42" s="117" customFormat="1" ht="14" hidden="1" outlineLevel="1">
      <c r="A391" s="136"/>
      <c r="B391" s="137" t="s">
        <v>680</v>
      </c>
      <c r="C391" s="179">
        <f t="shared" si="305"/>
        <v>0</v>
      </c>
      <c r="D391" s="126">
        <v>0</v>
      </c>
      <c r="E391" s="126">
        <v>0</v>
      </c>
      <c r="F391" s="126">
        <v>0</v>
      </c>
      <c r="G391" s="126">
        <f>14.3099999999999-14.3099999999999</f>
        <v>0</v>
      </c>
      <c r="H391" s="126">
        <f t="shared" si="369"/>
        <v>1766</v>
      </c>
      <c r="I391" s="126">
        <f t="shared" ref="I391:I396" si="376">J391+K391</f>
        <v>0</v>
      </c>
      <c r="J391" s="126"/>
      <c r="K391" s="126">
        <v>0</v>
      </c>
      <c r="L391" s="126">
        <f t="shared" si="370"/>
        <v>1766</v>
      </c>
      <c r="M391" s="126"/>
      <c r="N391" s="126">
        <v>1766</v>
      </c>
      <c r="O391" s="126">
        <f t="shared" si="338"/>
        <v>1551.5360000000001</v>
      </c>
      <c r="P391" s="126">
        <f t="shared" si="339"/>
        <v>0</v>
      </c>
      <c r="Q391" s="126"/>
      <c r="R391" s="126"/>
      <c r="S391" s="126">
        <f t="shared" si="340"/>
        <v>1551.5360000000001</v>
      </c>
      <c r="T391" s="126"/>
      <c r="U391" s="126">
        <f>1551.536</f>
        <v>1551.5360000000001</v>
      </c>
      <c r="V391" s="126">
        <f t="shared" si="371"/>
        <v>0</v>
      </c>
      <c r="W391" s="126">
        <f t="shared" si="372"/>
        <v>0</v>
      </c>
      <c r="X391" s="126"/>
      <c r="Y391" s="126"/>
      <c r="Z391" s="126">
        <f t="shared" si="373"/>
        <v>0</v>
      </c>
      <c r="AA391" s="126"/>
      <c r="AB391" s="126"/>
      <c r="AC391" s="126">
        <f t="shared" si="374"/>
        <v>0</v>
      </c>
      <c r="AD391" s="126"/>
      <c r="AE391" s="126"/>
      <c r="AF391" s="126">
        <f t="shared" si="375"/>
        <v>0</v>
      </c>
      <c r="AG391" s="126"/>
      <c r="AH391" s="126"/>
      <c r="AI391" s="179">
        <f t="shared" si="304"/>
        <v>214.46399999999994</v>
      </c>
      <c r="AJ391" s="179">
        <f t="shared" si="330"/>
        <v>0</v>
      </c>
      <c r="AK391" s="179">
        <f t="shared" si="330"/>
        <v>0</v>
      </c>
      <c r="AL391" s="179">
        <f t="shared" si="331"/>
        <v>0</v>
      </c>
      <c r="AM391" s="179">
        <f t="shared" si="331"/>
        <v>214.46399999999994</v>
      </c>
      <c r="AN391" s="126"/>
      <c r="AO391" s="130">
        <f t="shared" si="315"/>
        <v>0</v>
      </c>
      <c r="AP391" s="116"/>
    </row>
    <row r="392" spans="1:42" s="117" customFormat="1" ht="14" hidden="1" outlineLevel="1">
      <c r="A392" s="136"/>
      <c r="B392" s="137" t="s">
        <v>565</v>
      </c>
      <c r="C392" s="179">
        <f t="shared" si="305"/>
        <v>0.2289999999999992</v>
      </c>
      <c r="D392" s="126">
        <v>0</v>
      </c>
      <c r="E392" s="126">
        <v>0</v>
      </c>
      <c r="F392" s="126">
        <v>0</v>
      </c>
      <c r="G392" s="126">
        <f>43.224-42.995</f>
        <v>0.2289999999999992</v>
      </c>
      <c r="H392" s="126">
        <f>I392+L392</f>
        <v>982</v>
      </c>
      <c r="I392" s="126">
        <f>J392+K392</f>
        <v>0</v>
      </c>
      <c r="J392" s="126"/>
      <c r="K392" s="126">
        <v>0</v>
      </c>
      <c r="L392" s="126">
        <f t="shared" si="370"/>
        <v>982</v>
      </c>
      <c r="M392" s="126"/>
      <c r="N392" s="126">
        <v>982</v>
      </c>
      <c r="O392" s="126">
        <f t="shared" si="338"/>
        <v>676.78800000000001</v>
      </c>
      <c r="P392" s="126">
        <f t="shared" si="339"/>
        <v>0</v>
      </c>
      <c r="Q392" s="126"/>
      <c r="R392" s="126"/>
      <c r="S392" s="126">
        <f t="shared" si="340"/>
        <v>676.78800000000001</v>
      </c>
      <c r="T392" s="126"/>
      <c r="U392" s="126">
        <v>676.78800000000001</v>
      </c>
      <c r="V392" s="126">
        <f t="shared" si="371"/>
        <v>0</v>
      </c>
      <c r="W392" s="126">
        <f t="shared" si="372"/>
        <v>0</v>
      </c>
      <c r="X392" s="126"/>
      <c r="Y392" s="126"/>
      <c r="Z392" s="126">
        <f t="shared" si="373"/>
        <v>0</v>
      </c>
      <c r="AA392" s="126"/>
      <c r="AB392" s="126"/>
      <c r="AC392" s="126">
        <f>AD392+AE392</f>
        <v>0</v>
      </c>
      <c r="AD392" s="126"/>
      <c r="AE392" s="126"/>
      <c r="AF392" s="126">
        <f>AG392+AH392</f>
        <v>0</v>
      </c>
      <c r="AG392" s="126"/>
      <c r="AH392" s="126"/>
      <c r="AI392" s="179">
        <f t="shared" si="304"/>
        <v>305.44100000000003</v>
      </c>
      <c r="AJ392" s="179">
        <f t="shared" si="330"/>
        <v>0</v>
      </c>
      <c r="AK392" s="179">
        <f t="shared" si="330"/>
        <v>0</v>
      </c>
      <c r="AL392" s="179">
        <f t="shared" si="331"/>
        <v>0</v>
      </c>
      <c r="AM392" s="179">
        <f t="shared" si="331"/>
        <v>305.44100000000003</v>
      </c>
      <c r="AN392" s="126"/>
      <c r="AO392" s="130">
        <f t="shared" si="315"/>
        <v>0</v>
      </c>
      <c r="AP392" s="116"/>
    </row>
    <row r="393" spans="1:42" s="117" customFormat="1" ht="14" hidden="1" outlineLevel="1">
      <c r="A393" s="136"/>
      <c r="B393" s="137" t="s">
        <v>566</v>
      </c>
      <c r="C393" s="179">
        <f t="shared" si="305"/>
        <v>0</v>
      </c>
      <c r="D393" s="126">
        <v>0</v>
      </c>
      <c r="E393" s="126">
        <v>0</v>
      </c>
      <c r="F393" s="126">
        <v>0</v>
      </c>
      <c r="G393" s="126">
        <v>0</v>
      </c>
      <c r="H393" s="126">
        <f t="shared" si="369"/>
        <v>1369</v>
      </c>
      <c r="I393" s="126">
        <f t="shared" si="376"/>
        <v>0</v>
      </c>
      <c r="J393" s="126"/>
      <c r="K393" s="126">
        <v>0</v>
      </c>
      <c r="L393" s="126">
        <f t="shared" si="370"/>
        <v>1369</v>
      </c>
      <c r="M393" s="126"/>
      <c r="N393" s="126">
        <v>1369</v>
      </c>
      <c r="O393" s="126">
        <f t="shared" si="338"/>
        <v>1343.7280000000001</v>
      </c>
      <c r="P393" s="126">
        <f t="shared" si="339"/>
        <v>0</v>
      </c>
      <c r="Q393" s="126"/>
      <c r="R393" s="126"/>
      <c r="S393" s="126">
        <f t="shared" si="340"/>
        <v>1343.7280000000001</v>
      </c>
      <c r="T393" s="126"/>
      <c r="U393" s="126">
        <v>1343.7280000000001</v>
      </c>
      <c r="V393" s="126">
        <f t="shared" si="371"/>
        <v>0</v>
      </c>
      <c r="W393" s="126">
        <f t="shared" si="372"/>
        <v>0</v>
      </c>
      <c r="X393" s="126"/>
      <c r="Y393" s="126"/>
      <c r="Z393" s="126">
        <f t="shared" si="373"/>
        <v>0</v>
      </c>
      <c r="AA393" s="126"/>
      <c r="AB393" s="126"/>
      <c r="AC393" s="126">
        <f>AD393+AE393</f>
        <v>0</v>
      </c>
      <c r="AD393" s="126"/>
      <c r="AE393" s="126"/>
      <c r="AF393" s="126">
        <f>AG393+AH393</f>
        <v>0</v>
      </c>
      <c r="AG393" s="126"/>
      <c r="AH393" s="126"/>
      <c r="AI393" s="179">
        <f t="shared" si="304"/>
        <v>25.271999999999935</v>
      </c>
      <c r="AJ393" s="179">
        <f t="shared" si="330"/>
        <v>0</v>
      </c>
      <c r="AK393" s="179">
        <f t="shared" si="330"/>
        <v>0</v>
      </c>
      <c r="AL393" s="179">
        <f t="shared" si="331"/>
        <v>0</v>
      </c>
      <c r="AM393" s="179">
        <f t="shared" si="331"/>
        <v>25.271999999999935</v>
      </c>
      <c r="AN393" s="126"/>
      <c r="AO393" s="130">
        <f t="shared" si="315"/>
        <v>0</v>
      </c>
      <c r="AP393" s="116"/>
    </row>
    <row r="394" spans="1:42" s="117" customFormat="1" ht="14" hidden="1" outlineLevel="1">
      <c r="A394" s="136"/>
      <c r="B394" s="137" t="s">
        <v>567</v>
      </c>
      <c r="C394" s="179">
        <f t="shared" ref="C394:C462" si="377">SUM(D394:G394)</f>
        <v>33.950000000000045</v>
      </c>
      <c r="D394" s="126">
        <v>0</v>
      </c>
      <c r="E394" s="126">
        <v>0</v>
      </c>
      <c r="F394" s="126">
        <v>0</v>
      </c>
      <c r="G394" s="126">
        <v>33.950000000000045</v>
      </c>
      <c r="H394" s="126">
        <f t="shared" si="369"/>
        <v>1300.739</v>
      </c>
      <c r="I394" s="126">
        <f t="shared" si="376"/>
        <v>0</v>
      </c>
      <c r="J394" s="126"/>
      <c r="K394" s="126">
        <v>0</v>
      </c>
      <c r="L394" s="126">
        <f t="shared" si="370"/>
        <v>1300.739</v>
      </c>
      <c r="M394" s="126"/>
      <c r="N394" s="126">
        <f>1594-293.261</f>
        <v>1300.739</v>
      </c>
      <c r="O394" s="126">
        <f t="shared" si="338"/>
        <v>1334.6890000000001</v>
      </c>
      <c r="P394" s="126">
        <f t="shared" si="339"/>
        <v>0</v>
      </c>
      <c r="Q394" s="126"/>
      <c r="R394" s="126"/>
      <c r="S394" s="126">
        <f t="shared" si="340"/>
        <v>1334.6890000000001</v>
      </c>
      <c r="T394" s="126"/>
      <c r="U394" s="126">
        <f>G394+N394</f>
        <v>1334.6890000000001</v>
      </c>
      <c r="V394" s="126">
        <f t="shared" si="371"/>
        <v>0</v>
      </c>
      <c r="W394" s="126">
        <f t="shared" si="372"/>
        <v>0</v>
      </c>
      <c r="X394" s="126"/>
      <c r="Y394" s="126"/>
      <c r="Z394" s="126">
        <f t="shared" si="373"/>
        <v>0</v>
      </c>
      <c r="AA394" s="126"/>
      <c r="AB394" s="126"/>
      <c r="AC394" s="126">
        <f>AD394+AE394</f>
        <v>0</v>
      </c>
      <c r="AD394" s="126"/>
      <c r="AE394" s="126"/>
      <c r="AF394" s="126">
        <f>AG394+AH394</f>
        <v>0</v>
      </c>
      <c r="AG394" s="126"/>
      <c r="AH394" s="126"/>
      <c r="AI394" s="179">
        <f t="shared" ref="AI394:AI462" si="378">SUM(AJ394:AM394)</f>
        <v>0</v>
      </c>
      <c r="AJ394" s="179">
        <f t="shared" si="330"/>
        <v>0</v>
      </c>
      <c r="AK394" s="179">
        <f t="shared" si="330"/>
        <v>0</v>
      </c>
      <c r="AL394" s="179">
        <f t="shared" si="331"/>
        <v>0</v>
      </c>
      <c r="AM394" s="179">
        <f t="shared" si="331"/>
        <v>0</v>
      </c>
      <c r="AN394" s="126"/>
      <c r="AO394" s="130">
        <f t="shared" si="315"/>
        <v>0</v>
      </c>
      <c r="AP394" s="116"/>
    </row>
    <row r="395" spans="1:42" s="117" customFormat="1" ht="14" hidden="1" outlineLevel="1">
      <c r="A395" s="136"/>
      <c r="B395" s="137" t="s">
        <v>568</v>
      </c>
      <c r="C395" s="179">
        <f t="shared" si="377"/>
        <v>0</v>
      </c>
      <c r="D395" s="126">
        <v>0</v>
      </c>
      <c r="E395" s="126">
        <v>0</v>
      </c>
      <c r="F395" s="126">
        <v>0</v>
      </c>
      <c r="G395" s="126">
        <f>802.368-802.368</f>
        <v>0</v>
      </c>
      <c r="H395" s="126">
        <f t="shared" si="369"/>
        <v>2096</v>
      </c>
      <c r="I395" s="126">
        <f t="shared" si="376"/>
        <v>0</v>
      </c>
      <c r="J395" s="126"/>
      <c r="K395" s="126">
        <v>0</v>
      </c>
      <c r="L395" s="126">
        <f t="shared" si="370"/>
        <v>2096</v>
      </c>
      <c r="M395" s="126"/>
      <c r="N395" s="126">
        <f>2374-278</f>
        <v>2096</v>
      </c>
      <c r="O395" s="126">
        <f t="shared" si="338"/>
        <v>1465.296</v>
      </c>
      <c r="P395" s="126">
        <f t="shared" si="339"/>
        <v>0</v>
      </c>
      <c r="Q395" s="126"/>
      <c r="R395" s="126"/>
      <c r="S395" s="126">
        <f t="shared" si="340"/>
        <v>1465.296</v>
      </c>
      <c r="T395" s="126"/>
      <c r="U395" s="126">
        <f>1465.296</f>
        <v>1465.296</v>
      </c>
      <c r="V395" s="126">
        <f t="shared" si="371"/>
        <v>0</v>
      </c>
      <c r="W395" s="126">
        <f t="shared" si="372"/>
        <v>0</v>
      </c>
      <c r="X395" s="126"/>
      <c r="Y395" s="126"/>
      <c r="Z395" s="126">
        <f t="shared" si="373"/>
        <v>0</v>
      </c>
      <c r="AA395" s="126"/>
      <c r="AB395" s="126"/>
      <c r="AC395" s="126">
        <f>AD395+AE395</f>
        <v>0</v>
      </c>
      <c r="AD395" s="126"/>
      <c r="AE395" s="126"/>
      <c r="AF395" s="126">
        <f>AG395+AH395</f>
        <v>0</v>
      </c>
      <c r="AG395" s="126"/>
      <c r="AH395" s="126"/>
      <c r="AI395" s="179">
        <f t="shared" si="378"/>
        <v>630.70399999999995</v>
      </c>
      <c r="AJ395" s="179">
        <f t="shared" si="330"/>
        <v>0</v>
      </c>
      <c r="AK395" s="179">
        <f t="shared" si="330"/>
        <v>0</v>
      </c>
      <c r="AL395" s="179">
        <f t="shared" si="331"/>
        <v>0</v>
      </c>
      <c r="AM395" s="179">
        <f t="shared" si="331"/>
        <v>630.70399999999995</v>
      </c>
      <c r="AN395" s="126"/>
      <c r="AO395" s="130">
        <f t="shared" si="315"/>
        <v>0</v>
      </c>
      <c r="AP395" s="116"/>
    </row>
    <row r="396" spans="1:42" s="184" customFormat="1" ht="14" hidden="1" outlineLevel="1">
      <c r="A396" s="179"/>
      <c r="B396" s="183" t="s">
        <v>594</v>
      </c>
      <c r="C396" s="179">
        <f t="shared" si="377"/>
        <v>1931.5899999999997</v>
      </c>
      <c r="D396" s="179">
        <v>0</v>
      </c>
      <c r="E396" s="179">
        <f>810.731+70.626+190.56+14.3099999999999+42.995+802.368</f>
        <v>1931.5899999999997</v>
      </c>
      <c r="F396" s="179">
        <v>0</v>
      </c>
      <c r="G396" s="179"/>
      <c r="H396" s="179">
        <f t="shared" si="369"/>
        <v>571.26099999999997</v>
      </c>
      <c r="I396" s="179">
        <f t="shared" si="376"/>
        <v>571.26099999999997</v>
      </c>
      <c r="J396" s="179"/>
      <c r="K396" s="179">
        <f>293.261+278</f>
        <v>571.26099999999997</v>
      </c>
      <c r="L396" s="179">
        <f t="shared" si="370"/>
        <v>0</v>
      </c>
      <c r="M396" s="179"/>
      <c r="N396" s="179"/>
      <c r="O396" s="179">
        <f t="shared" si="338"/>
        <v>1168</v>
      </c>
      <c r="P396" s="179">
        <f t="shared" si="339"/>
        <v>1168</v>
      </c>
      <c r="Q396" s="179"/>
      <c r="R396" s="179">
        <v>1168</v>
      </c>
      <c r="S396" s="179">
        <f t="shared" si="340"/>
        <v>0</v>
      </c>
      <c r="T396" s="179"/>
      <c r="U396" s="179"/>
      <c r="V396" s="179">
        <f t="shared" si="371"/>
        <v>0</v>
      </c>
      <c r="W396" s="179">
        <f t="shared" si="372"/>
        <v>0</v>
      </c>
      <c r="X396" s="179"/>
      <c r="Y396" s="179"/>
      <c r="Z396" s="179">
        <f t="shared" si="373"/>
        <v>0</v>
      </c>
      <c r="AA396" s="179"/>
      <c r="AB396" s="179"/>
      <c r="AC396" s="179">
        <f>AD396+AE396</f>
        <v>0</v>
      </c>
      <c r="AD396" s="179"/>
      <c r="AE396" s="179"/>
      <c r="AF396" s="179">
        <f>AG396+AH396</f>
        <v>0</v>
      </c>
      <c r="AG396" s="179"/>
      <c r="AH396" s="179"/>
      <c r="AI396" s="179">
        <f t="shared" si="378"/>
        <v>1334.8509999999997</v>
      </c>
      <c r="AJ396" s="179">
        <f t="shared" si="330"/>
        <v>0</v>
      </c>
      <c r="AK396" s="179">
        <f t="shared" si="330"/>
        <v>1334.8509999999997</v>
      </c>
      <c r="AL396" s="179">
        <f t="shared" si="331"/>
        <v>0</v>
      </c>
      <c r="AM396" s="179">
        <f t="shared" si="331"/>
        <v>0</v>
      </c>
      <c r="AN396" s="179"/>
      <c r="AO396" s="130">
        <f t="shared" si="315"/>
        <v>0</v>
      </c>
      <c r="AP396" s="179"/>
    </row>
    <row r="397" spans="1:42" s="117" customFormat="1" ht="28" collapsed="1">
      <c r="A397" s="185">
        <v>14</v>
      </c>
      <c r="B397" s="173" t="s">
        <v>727</v>
      </c>
      <c r="C397" s="126">
        <f>SUM(C398:C407)</f>
        <v>246.6</v>
      </c>
      <c r="D397" s="126">
        <f>SUM(D398:D407)</f>
        <v>0</v>
      </c>
      <c r="E397" s="126">
        <f>SUM(E398:E407)</f>
        <v>234</v>
      </c>
      <c r="F397" s="126">
        <f>SUM(F398:F407)</f>
        <v>0</v>
      </c>
      <c r="G397" s="126">
        <f>SUM(G398:G407)</f>
        <v>12.599999999999994</v>
      </c>
      <c r="H397" s="126">
        <f t="shared" ref="H397:AH397" si="379">SUM(H398:H407)</f>
        <v>0</v>
      </c>
      <c r="I397" s="126">
        <f t="shared" si="379"/>
        <v>0</v>
      </c>
      <c r="J397" s="126">
        <f t="shared" si="379"/>
        <v>0</v>
      </c>
      <c r="K397" s="126">
        <f>SUM(K398:K407)</f>
        <v>0</v>
      </c>
      <c r="L397" s="126">
        <f t="shared" si="379"/>
        <v>0</v>
      </c>
      <c r="M397" s="126">
        <f t="shared" si="379"/>
        <v>0</v>
      </c>
      <c r="N397" s="126">
        <f t="shared" si="379"/>
        <v>0</v>
      </c>
      <c r="O397" s="126">
        <f t="shared" si="338"/>
        <v>0</v>
      </c>
      <c r="P397" s="126">
        <f t="shared" si="339"/>
        <v>0</v>
      </c>
      <c r="Q397" s="126"/>
      <c r="R397" s="126"/>
      <c r="S397" s="126">
        <f t="shared" si="340"/>
        <v>0</v>
      </c>
      <c r="T397" s="126">
        <f t="shared" si="379"/>
        <v>0</v>
      </c>
      <c r="U397" s="126">
        <f t="shared" si="379"/>
        <v>0</v>
      </c>
      <c r="V397" s="126">
        <f t="shared" si="379"/>
        <v>12.599999999999994</v>
      </c>
      <c r="W397" s="126">
        <f t="shared" si="379"/>
        <v>0</v>
      </c>
      <c r="X397" s="126">
        <f t="shared" si="379"/>
        <v>0</v>
      </c>
      <c r="Y397" s="126">
        <f t="shared" si="379"/>
        <v>0</v>
      </c>
      <c r="Z397" s="126">
        <f t="shared" si="379"/>
        <v>12.599999999999994</v>
      </c>
      <c r="AA397" s="126">
        <f t="shared" si="379"/>
        <v>0</v>
      </c>
      <c r="AB397" s="126">
        <f t="shared" si="379"/>
        <v>12.599999999999994</v>
      </c>
      <c r="AC397" s="126">
        <f t="shared" si="379"/>
        <v>0</v>
      </c>
      <c r="AD397" s="126">
        <f t="shared" si="379"/>
        <v>0</v>
      </c>
      <c r="AE397" s="126">
        <f t="shared" si="379"/>
        <v>0</v>
      </c>
      <c r="AF397" s="126">
        <f t="shared" si="379"/>
        <v>0</v>
      </c>
      <c r="AG397" s="126">
        <f t="shared" si="379"/>
        <v>0</v>
      </c>
      <c r="AH397" s="126">
        <f t="shared" si="379"/>
        <v>0</v>
      </c>
      <c r="AI397" s="179">
        <f t="shared" si="378"/>
        <v>234</v>
      </c>
      <c r="AJ397" s="179">
        <f t="shared" si="330"/>
        <v>0</v>
      </c>
      <c r="AK397" s="179">
        <f t="shared" si="330"/>
        <v>234</v>
      </c>
      <c r="AL397" s="179">
        <f t="shared" si="331"/>
        <v>0</v>
      </c>
      <c r="AM397" s="179">
        <f t="shared" si="331"/>
        <v>0</v>
      </c>
      <c r="AN397" s="126"/>
      <c r="AO397" s="130">
        <f t="shared" si="315"/>
        <v>0</v>
      </c>
      <c r="AP397" s="116"/>
    </row>
    <row r="398" spans="1:42" s="117" customFormat="1" ht="14" hidden="1" outlineLevel="1">
      <c r="A398" s="136"/>
      <c r="B398" s="137" t="s">
        <v>337</v>
      </c>
      <c r="C398" s="179">
        <f t="shared" si="377"/>
        <v>12.599999999999994</v>
      </c>
      <c r="D398" s="126">
        <v>0</v>
      </c>
      <c r="E398" s="126">
        <v>0</v>
      </c>
      <c r="F398" s="126">
        <v>0</v>
      </c>
      <c r="G398" s="126">
        <v>12.599999999999994</v>
      </c>
      <c r="H398" s="126">
        <f t="shared" ref="H398:H407" si="380">I398+L398</f>
        <v>0</v>
      </c>
      <c r="I398" s="126">
        <f t="shared" ref="I398:I406" si="381">J398+K398</f>
        <v>0</v>
      </c>
      <c r="J398" s="126"/>
      <c r="K398" s="126">
        <v>0</v>
      </c>
      <c r="L398" s="126">
        <f t="shared" ref="L398:L406" si="382">M398+N398</f>
        <v>0</v>
      </c>
      <c r="M398" s="126"/>
      <c r="N398" s="126"/>
      <c r="O398" s="126">
        <f t="shared" si="338"/>
        <v>0</v>
      </c>
      <c r="P398" s="126">
        <f t="shared" si="339"/>
        <v>0</v>
      </c>
      <c r="Q398" s="126"/>
      <c r="R398" s="126"/>
      <c r="S398" s="126">
        <f t="shared" si="340"/>
        <v>0</v>
      </c>
      <c r="T398" s="126"/>
      <c r="U398" s="126"/>
      <c r="V398" s="126">
        <f t="shared" ref="V398:V407" si="383">W398+Z398+AC398+AF398</f>
        <v>12.599999999999994</v>
      </c>
      <c r="W398" s="126">
        <f>X398+Y398</f>
        <v>0</v>
      </c>
      <c r="X398" s="126"/>
      <c r="Y398" s="126"/>
      <c r="Z398" s="126">
        <f>AA398+AB398</f>
        <v>12.599999999999994</v>
      </c>
      <c r="AA398" s="126"/>
      <c r="AB398" s="126">
        <f>G398</f>
        <v>12.599999999999994</v>
      </c>
      <c r="AC398" s="126">
        <f>AD398+AE398</f>
        <v>0</v>
      </c>
      <c r="AD398" s="126"/>
      <c r="AE398" s="126"/>
      <c r="AF398" s="126">
        <f>AG398+AH398</f>
        <v>0</v>
      </c>
      <c r="AG398" s="126"/>
      <c r="AH398" s="126"/>
      <c r="AI398" s="179">
        <f t="shared" si="378"/>
        <v>0</v>
      </c>
      <c r="AJ398" s="179">
        <f t="shared" si="330"/>
        <v>0</v>
      </c>
      <c r="AK398" s="179">
        <f t="shared" si="330"/>
        <v>0</v>
      </c>
      <c r="AL398" s="179">
        <f t="shared" si="331"/>
        <v>0</v>
      </c>
      <c r="AM398" s="179">
        <f t="shared" si="331"/>
        <v>0</v>
      </c>
      <c r="AN398" s="126"/>
      <c r="AO398" s="130">
        <f t="shared" si="315"/>
        <v>0</v>
      </c>
      <c r="AP398" s="116"/>
    </row>
    <row r="399" spans="1:42" s="157" customFormat="1" ht="14" hidden="1" outlineLevel="1">
      <c r="A399" s="136"/>
      <c r="B399" s="137" t="s">
        <v>560</v>
      </c>
      <c r="C399" s="179">
        <f t="shared" si="377"/>
        <v>0</v>
      </c>
      <c r="D399" s="126">
        <v>0</v>
      </c>
      <c r="E399" s="126">
        <v>0</v>
      </c>
      <c r="F399" s="126">
        <v>0</v>
      </c>
      <c r="G399" s="126">
        <v>0</v>
      </c>
      <c r="H399" s="126">
        <f t="shared" si="380"/>
        <v>0</v>
      </c>
      <c r="I399" s="126">
        <f t="shared" si="381"/>
        <v>0</v>
      </c>
      <c r="J399" s="126"/>
      <c r="K399" s="126"/>
      <c r="L399" s="126">
        <f t="shared" si="382"/>
        <v>0</v>
      </c>
      <c r="M399" s="126"/>
      <c r="N399" s="126"/>
      <c r="O399" s="126">
        <f t="shared" si="338"/>
        <v>0</v>
      </c>
      <c r="P399" s="126">
        <f t="shared" si="339"/>
        <v>0</v>
      </c>
      <c r="Q399" s="126"/>
      <c r="R399" s="126"/>
      <c r="S399" s="126">
        <f t="shared" si="340"/>
        <v>0</v>
      </c>
      <c r="T399" s="126"/>
      <c r="U399" s="126"/>
      <c r="V399" s="126">
        <f t="shared" si="383"/>
        <v>0</v>
      </c>
      <c r="W399" s="126">
        <f>X399+Y399</f>
        <v>0</v>
      </c>
      <c r="X399" s="126"/>
      <c r="Y399" s="126"/>
      <c r="Z399" s="126">
        <f>AA399+AB399</f>
        <v>0</v>
      </c>
      <c r="AA399" s="126"/>
      <c r="AB399" s="126"/>
      <c r="AC399" s="126">
        <f>AD399+AE399</f>
        <v>0</v>
      </c>
      <c r="AD399" s="126"/>
      <c r="AE399" s="126"/>
      <c r="AF399" s="126">
        <f>AG399+AH399</f>
        <v>0</v>
      </c>
      <c r="AG399" s="126"/>
      <c r="AH399" s="126"/>
      <c r="AI399" s="179">
        <f t="shared" si="378"/>
        <v>0</v>
      </c>
      <c r="AJ399" s="179">
        <f t="shared" si="330"/>
        <v>0</v>
      </c>
      <c r="AK399" s="179">
        <f t="shared" si="330"/>
        <v>0</v>
      </c>
      <c r="AL399" s="179">
        <f t="shared" si="331"/>
        <v>0</v>
      </c>
      <c r="AM399" s="179">
        <f t="shared" si="331"/>
        <v>0</v>
      </c>
      <c r="AN399" s="126"/>
      <c r="AO399" s="130">
        <f t="shared" ref="AO399:AO462" si="384">C399+H399-O399-V399-AI399</f>
        <v>0</v>
      </c>
      <c r="AP399" s="116"/>
    </row>
    <row r="400" spans="1:42" s="157" customFormat="1" ht="14" hidden="1" outlineLevel="1">
      <c r="A400" s="136"/>
      <c r="B400" s="137" t="s">
        <v>561</v>
      </c>
      <c r="C400" s="179">
        <f t="shared" si="377"/>
        <v>0</v>
      </c>
      <c r="D400" s="126">
        <v>0</v>
      </c>
      <c r="E400" s="126">
        <v>0</v>
      </c>
      <c r="F400" s="126">
        <v>0</v>
      </c>
      <c r="G400" s="126">
        <v>0</v>
      </c>
      <c r="H400" s="126">
        <f t="shared" si="380"/>
        <v>0</v>
      </c>
      <c r="I400" s="126"/>
      <c r="J400" s="126"/>
      <c r="K400" s="126"/>
      <c r="L400" s="126">
        <f t="shared" si="382"/>
        <v>0</v>
      </c>
      <c r="M400" s="126"/>
      <c r="N400" s="126"/>
      <c r="O400" s="126">
        <f t="shared" si="338"/>
        <v>0</v>
      </c>
      <c r="P400" s="126">
        <f t="shared" si="339"/>
        <v>0</v>
      </c>
      <c r="Q400" s="126"/>
      <c r="R400" s="126"/>
      <c r="S400" s="126">
        <f t="shared" si="340"/>
        <v>0</v>
      </c>
      <c r="T400" s="126"/>
      <c r="U400" s="126"/>
      <c r="V400" s="126"/>
      <c r="W400" s="126"/>
      <c r="X400" s="126"/>
      <c r="Y400" s="126"/>
      <c r="Z400" s="126"/>
      <c r="AA400" s="126"/>
      <c r="AB400" s="126"/>
      <c r="AC400" s="126"/>
      <c r="AD400" s="126"/>
      <c r="AE400" s="126"/>
      <c r="AF400" s="126"/>
      <c r="AG400" s="126"/>
      <c r="AH400" s="126"/>
      <c r="AI400" s="179">
        <f t="shared" si="378"/>
        <v>0</v>
      </c>
      <c r="AJ400" s="179">
        <f t="shared" si="330"/>
        <v>0</v>
      </c>
      <c r="AK400" s="179">
        <f t="shared" si="330"/>
        <v>0</v>
      </c>
      <c r="AL400" s="179">
        <f t="shared" si="331"/>
        <v>0</v>
      </c>
      <c r="AM400" s="179">
        <f t="shared" si="331"/>
        <v>0</v>
      </c>
      <c r="AN400" s="126"/>
      <c r="AO400" s="130">
        <f t="shared" si="384"/>
        <v>0</v>
      </c>
      <c r="AP400" s="116"/>
    </row>
    <row r="401" spans="1:42" s="157" customFormat="1" ht="14" hidden="1" outlineLevel="1">
      <c r="A401" s="136"/>
      <c r="B401" s="137" t="s">
        <v>562</v>
      </c>
      <c r="C401" s="179">
        <f t="shared" si="377"/>
        <v>0</v>
      </c>
      <c r="D401" s="126">
        <v>0</v>
      </c>
      <c r="E401" s="126">
        <v>0</v>
      </c>
      <c r="F401" s="126">
        <v>0</v>
      </c>
      <c r="G401" s="126">
        <v>0</v>
      </c>
      <c r="H401" s="126">
        <f t="shared" si="380"/>
        <v>0</v>
      </c>
      <c r="I401" s="126">
        <f t="shared" si="381"/>
        <v>0</v>
      </c>
      <c r="J401" s="126"/>
      <c r="K401" s="126">
        <v>0</v>
      </c>
      <c r="L401" s="126">
        <f t="shared" si="382"/>
        <v>0</v>
      </c>
      <c r="M401" s="126"/>
      <c r="N401" s="126"/>
      <c r="O401" s="126">
        <f t="shared" si="338"/>
        <v>0</v>
      </c>
      <c r="P401" s="126">
        <f t="shared" si="339"/>
        <v>0</v>
      </c>
      <c r="Q401" s="126"/>
      <c r="R401" s="126"/>
      <c r="S401" s="126">
        <f t="shared" si="340"/>
        <v>0</v>
      </c>
      <c r="T401" s="126"/>
      <c r="U401" s="126"/>
      <c r="V401" s="126">
        <f t="shared" si="383"/>
        <v>0</v>
      </c>
      <c r="W401" s="126">
        <f>X401+Y401</f>
        <v>0</v>
      </c>
      <c r="X401" s="126"/>
      <c r="Y401" s="126"/>
      <c r="Z401" s="126">
        <f>AA401+AB401</f>
        <v>0</v>
      </c>
      <c r="AA401" s="126"/>
      <c r="AB401" s="126"/>
      <c r="AC401" s="126">
        <f>AD401+AE401</f>
        <v>0</v>
      </c>
      <c r="AD401" s="126"/>
      <c r="AE401" s="126"/>
      <c r="AF401" s="126">
        <f>AG401+AH401</f>
        <v>0</v>
      </c>
      <c r="AG401" s="126"/>
      <c r="AH401" s="126"/>
      <c r="AI401" s="179">
        <f t="shared" si="378"/>
        <v>0</v>
      </c>
      <c r="AJ401" s="179">
        <f t="shared" si="330"/>
        <v>0</v>
      </c>
      <c r="AK401" s="179">
        <f t="shared" si="330"/>
        <v>0</v>
      </c>
      <c r="AL401" s="179">
        <f t="shared" si="331"/>
        <v>0</v>
      </c>
      <c r="AM401" s="179">
        <f t="shared" si="331"/>
        <v>0</v>
      </c>
      <c r="AN401" s="126"/>
      <c r="AO401" s="130">
        <f t="shared" si="384"/>
        <v>0</v>
      </c>
      <c r="AP401" s="116"/>
    </row>
    <row r="402" spans="1:42" s="157" customFormat="1" ht="14" hidden="1" outlineLevel="1">
      <c r="A402" s="136"/>
      <c r="B402" s="137" t="s">
        <v>564</v>
      </c>
      <c r="C402" s="179">
        <f t="shared" si="377"/>
        <v>0</v>
      </c>
      <c r="D402" s="126">
        <v>0</v>
      </c>
      <c r="E402" s="126">
        <v>0</v>
      </c>
      <c r="F402" s="126">
        <v>0</v>
      </c>
      <c r="G402" s="126">
        <v>0</v>
      </c>
      <c r="H402" s="126">
        <f t="shared" si="380"/>
        <v>0</v>
      </c>
      <c r="I402" s="126">
        <f t="shared" si="381"/>
        <v>0</v>
      </c>
      <c r="J402" s="126"/>
      <c r="K402" s="126">
        <v>0</v>
      </c>
      <c r="L402" s="126">
        <f t="shared" si="382"/>
        <v>0</v>
      </c>
      <c r="M402" s="126"/>
      <c r="N402" s="126"/>
      <c r="O402" s="126">
        <f t="shared" si="338"/>
        <v>0</v>
      </c>
      <c r="P402" s="126">
        <f t="shared" si="339"/>
        <v>0</v>
      </c>
      <c r="Q402" s="126"/>
      <c r="R402" s="126"/>
      <c r="S402" s="126">
        <f t="shared" si="340"/>
        <v>0</v>
      </c>
      <c r="T402" s="126"/>
      <c r="U402" s="126"/>
      <c r="V402" s="126">
        <f t="shared" si="383"/>
        <v>0</v>
      </c>
      <c r="W402" s="126">
        <f>X402+Y402</f>
        <v>0</v>
      </c>
      <c r="X402" s="126"/>
      <c r="Y402" s="126"/>
      <c r="Z402" s="126">
        <f>AA402+AB402</f>
        <v>0</v>
      </c>
      <c r="AA402" s="126"/>
      <c r="AB402" s="126"/>
      <c r="AC402" s="126">
        <f>AD402+AE402</f>
        <v>0</v>
      </c>
      <c r="AD402" s="126"/>
      <c r="AE402" s="126"/>
      <c r="AF402" s="126">
        <f>AG402+AH402</f>
        <v>0</v>
      </c>
      <c r="AG402" s="126"/>
      <c r="AH402" s="126"/>
      <c r="AI402" s="179">
        <f t="shared" si="378"/>
        <v>0</v>
      </c>
      <c r="AJ402" s="179">
        <f t="shared" si="330"/>
        <v>0</v>
      </c>
      <c r="AK402" s="179">
        <f t="shared" si="330"/>
        <v>0</v>
      </c>
      <c r="AL402" s="179">
        <f t="shared" si="331"/>
        <v>0</v>
      </c>
      <c r="AM402" s="179">
        <f t="shared" si="331"/>
        <v>0</v>
      </c>
      <c r="AN402" s="126"/>
      <c r="AO402" s="130">
        <f t="shared" si="384"/>
        <v>0</v>
      </c>
      <c r="AP402" s="116"/>
    </row>
    <row r="403" spans="1:42" s="117" customFormat="1" ht="14" hidden="1" outlineLevel="1">
      <c r="A403" s="136"/>
      <c r="B403" s="137" t="s">
        <v>565</v>
      </c>
      <c r="C403" s="179">
        <f t="shared" si="377"/>
        <v>0</v>
      </c>
      <c r="D403" s="126">
        <v>0</v>
      </c>
      <c r="E403" s="126">
        <v>0</v>
      </c>
      <c r="F403" s="126">
        <v>0</v>
      </c>
      <c r="G403" s="126">
        <f>8.5-8.5</f>
        <v>0</v>
      </c>
      <c r="H403" s="126">
        <f t="shared" si="380"/>
        <v>0</v>
      </c>
      <c r="I403" s="126"/>
      <c r="J403" s="126"/>
      <c r="K403" s="126"/>
      <c r="L403" s="126">
        <f t="shared" si="382"/>
        <v>0</v>
      </c>
      <c r="M403" s="126"/>
      <c r="N403" s="126"/>
      <c r="O403" s="126">
        <f t="shared" si="338"/>
        <v>0</v>
      </c>
      <c r="P403" s="126">
        <f t="shared" si="339"/>
        <v>0</v>
      </c>
      <c r="Q403" s="126"/>
      <c r="R403" s="126"/>
      <c r="S403" s="126">
        <f t="shared" si="340"/>
        <v>0</v>
      </c>
      <c r="T403" s="126"/>
      <c r="U403" s="126"/>
      <c r="V403" s="126">
        <f t="shared" si="383"/>
        <v>0</v>
      </c>
      <c r="W403" s="126"/>
      <c r="X403" s="126"/>
      <c r="Y403" s="126"/>
      <c r="Z403" s="126"/>
      <c r="AA403" s="126"/>
      <c r="AB403" s="126"/>
      <c r="AC403" s="126"/>
      <c r="AD403" s="126"/>
      <c r="AE403" s="126"/>
      <c r="AF403" s="126"/>
      <c r="AG403" s="126"/>
      <c r="AH403" s="126"/>
      <c r="AI403" s="179">
        <f t="shared" si="378"/>
        <v>0</v>
      </c>
      <c r="AJ403" s="179">
        <f t="shared" si="330"/>
        <v>0</v>
      </c>
      <c r="AK403" s="179">
        <f t="shared" si="330"/>
        <v>0</v>
      </c>
      <c r="AL403" s="179">
        <f t="shared" si="331"/>
        <v>0</v>
      </c>
      <c r="AM403" s="179">
        <f t="shared" si="331"/>
        <v>0</v>
      </c>
      <c r="AN403" s="126"/>
      <c r="AO403" s="130">
        <f t="shared" si="384"/>
        <v>0</v>
      </c>
      <c r="AP403" s="116"/>
    </row>
    <row r="404" spans="1:42" s="157" customFormat="1" ht="14" hidden="1" outlineLevel="1">
      <c r="A404" s="136"/>
      <c r="B404" s="137" t="s">
        <v>566</v>
      </c>
      <c r="C404" s="179">
        <f t="shared" si="377"/>
        <v>0</v>
      </c>
      <c r="D404" s="126">
        <v>0</v>
      </c>
      <c r="E404" s="126">
        <v>0</v>
      </c>
      <c r="F404" s="126">
        <v>0</v>
      </c>
      <c r="G404" s="126">
        <v>0</v>
      </c>
      <c r="H404" s="126">
        <f t="shared" si="380"/>
        <v>0</v>
      </c>
      <c r="I404" s="126">
        <f t="shared" si="381"/>
        <v>0</v>
      </c>
      <c r="J404" s="126"/>
      <c r="K404" s="126">
        <v>0</v>
      </c>
      <c r="L404" s="126">
        <f t="shared" si="382"/>
        <v>0</v>
      </c>
      <c r="M404" s="126"/>
      <c r="N404" s="126"/>
      <c r="O404" s="126">
        <f t="shared" si="338"/>
        <v>0</v>
      </c>
      <c r="P404" s="126">
        <f t="shared" si="339"/>
        <v>0</v>
      </c>
      <c r="Q404" s="126"/>
      <c r="R404" s="126"/>
      <c r="S404" s="126">
        <f t="shared" si="340"/>
        <v>0</v>
      </c>
      <c r="T404" s="126"/>
      <c r="U404" s="126"/>
      <c r="V404" s="126">
        <f t="shared" si="383"/>
        <v>0</v>
      </c>
      <c r="W404" s="126">
        <f>X404+Y404</f>
        <v>0</v>
      </c>
      <c r="X404" s="126"/>
      <c r="Y404" s="126"/>
      <c r="Z404" s="126">
        <f>AA404+AB404</f>
        <v>0</v>
      </c>
      <c r="AA404" s="126"/>
      <c r="AB404" s="126"/>
      <c r="AC404" s="126">
        <f>AD404+AE404</f>
        <v>0</v>
      </c>
      <c r="AD404" s="126"/>
      <c r="AE404" s="126"/>
      <c r="AF404" s="126">
        <f>AG404+AH404</f>
        <v>0</v>
      </c>
      <c r="AG404" s="126"/>
      <c r="AH404" s="126"/>
      <c r="AI404" s="179">
        <f t="shared" si="378"/>
        <v>0</v>
      </c>
      <c r="AJ404" s="179">
        <f t="shared" si="330"/>
        <v>0</v>
      </c>
      <c r="AK404" s="179">
        <f t="shared" si="330"/>
        <v>0</v>
      </c>
      <c r="AL404" s="179">
        <f t="shared" si="331"/>
        <v>0</v>
      </c>
      <c r="AM404" s="179">
        <f t="shared" si="331"/>
        <v>0</v>
      </c>
      <c r="AN404" s="126"/>
      <c r="AO404" s="130">
        <f t="shared" si="384"/>
        <v>0</v>
      </c>
      <c r="AP404" s="116"/>
    </row>
    <row r="405" spans="1:42" s="157" customFormat="1" ht="14" hidden="1" outlineLevel="1">
      <c r="A405" s="136"/>
      <c r="B405" s="137" t="s">
        <v>567</v>
      </c>
      <c r="C405" s="179">
        <f t="shared" si="377"/>
        <v>0</v>
      </c>
      <c r="D405" s="126">
        <v>0</v>
      </c>
      <c r="E405" s="126">
        <v>0</v>
      </c>
      <c r="F405" s="126">
        <v>0</v>
      </c>
      <c r="G405" s="126">
        <v>0</v>
      </c>
      <c r="H405" s="126">
        <f t="shared" si="380"/>
        <v>0</v>
      </c>
      <c r="I405" s="126"/>
      <c r="J405" s="126"/>
      <c r="K405" s="126"/>
      <c r="L405" s="126">
        <f t="shared" si="382"/>
        <v>0</v>
      </c>
      <c r="M405" s="126"/>
      <c r="N405" s="126"/>
      <c r="O405" s="126">
        <f t="shared" si="338"/>
        <v>0</v>
      </c>
      <c r="P405" s="126">
        <f t="shared" si="339"/>
        <v>0</v>
      </c>
      <c r="Q405" s="126"/>
      <c r="R405" s="126"/>
      <c r="S405" s="126">
        <f t="shared" si="340"/>
        <v>0</v>
      </c>
      <c r="T405" s="126"/>
      <c r="U405" s="126"/>
      <c r="V405" s="126"/>
      <c r="W405" s="126"/>
      <c r="X405" s="126"/>
      <c r="Y405" s="126"/>
      <c r="Z405" s="126"/>
      <c r="AA405" s="126"/>
      <c r="AB405" s="126"/>
      <c r="AC405" s="126"/>
      <c r="AD405" s="126"/>
      <c r="AE405" s="126"/>
      <c r="AF405" s="126"/>
      <c r="AG405" s="126"/>
      <c r="AH405" s="126"/>
      <c r="AI405" s="179">
        <f t="shared" si="378"/>
        <v>0</v>
      </c>
      <c r="AJ405" s="179">
        <f t="shared" si="330"/>
        <v>0</v>
      </c>
      <c r="AK405" s="179">
        <f t="shared" si="330"/>
        <v>0</v>
      </c>
      <c r="AL405" s="179">
        <f t="shared" si="331"/>
        <v>0</v>
      </c>
      <c r="AM405" s="179">
        <f t="shared" si="331"/>
        <v>0</v>
      </c>
      <c r="AN405" s="126"/>
      <c r="AO405" s="130">
        <f t="shared" si="384"/>
        <v>0</v>
      </c>
      <c r="AP405" s="116"/>
    </row>
    <row r="406" spans="1:42" s="157" customFormat="1" ht="14" hidden="1" outlineLevel="1">
      <c r="A406" s="136"/>
      <c r="B406" s="137" t="s">
        <v>568</v>
      </c>
      <c r="C406" s="179">
        <f t="shared" si="377"/>
        <v>0</v>
      </c>
      <c r="D406" s="126">
        <v>0</v>
      </c>
      <c r="E406" s="126">
        <v>0</v>
      </c>
      <c r="F406" s="126">
        <v>0</v>
      </c>
      <c r="G406" s="126">
        <v>0</v>
      </c>
      <c r="H406" s="126">
        <f t="shared" si="380"/>
        <v>0</v>
      </c>
      <c r="I406" s="126">
        <f t="shared" si="381"/>
        <v>0</v>
      </c>
      <c r="J406" s="126"/>
      <c r="K406" s="126">
        <v>0</v>
      </c>
      <c r="L406" s="126">
        <f t="shared" si="382"/>
        <v>0</v>
      </c>
      <c r="M406" s="126"/>
      <c r="N406" s="126"/>
      <c r="O406" s="126">
        <f t="shared" si="338"/>
        <v>0</v>
      </c>
      <c r="P406" s="126">
        <f t="shared" si="339"/>
        <v>0</v>
      </c>
      <c r="Q406" s="126"/>
      <c r="R406" s="126"/>
      <c r="S406" s="126">
        <f t="shared" si="340"/>
        <v>0</v>
      </c>
      <c r="T406" s="126"/>
      <c r="U406" s="126"/>
      <c r="V406" s="126">
        <f t="shared" si="383"/>
        <v>0</v>
      </c>
      <c r="W406" s="126">
        <f>X406+Y406</f>
        <v>0</v>
      </c>
      <c r="X406" s="126"/>
      <c r="Y406" s="126"/>
      <c r="Z406" s="126">
        <f>AA406+AB406</f>
        <v>0</v>
      </c>
      <c r="AA406" s="126"/>
      <c r="AB406" s="126"/>
      <c r="AC406" s="126">
        <f>AD406+AE406</f>
        <v>0</v>
      </c>
      <c r="AD406" s="126"/>
      <c r="AE406" s="126"/>
      <c r="AF406" s="126">
        <f>AG406+AH406</f>
        <v>0</v>
      </c>
      <c r="AG406" s="126"/>
      <c r="AH406" s="126"/>
      <c r="AI406" s="179">
        <f t="shared" si="378"/>
        <v>0</v>
      </c>
      <c r="AJ406" s="179">
        <f t="shared" si="330"/>
        <v>0</v>
      </c>
      <c r="AK406" s="179">
        <f t="shared" si="330"/>
        <v>0</v>
      </c>
      <c r="AL406" s="179">
        <f t="shared" si="331"/>
        <v>0</v>
      </c>
      <c r="AM406" s="179">
        <f t="shared" si="331"/>
        <v>0</v>
      </c>
      <c r="AN406" s="126"/>
      <c r="AO406" s="130">
        <f t="shared" si="384"/>
        <v>0</v>
      </c>
      <c r="AP406" s="116"/>
    </row>
    <row r="407" spans="1:42" s="117" customFormat="1" ht="14" hidden="1" outlineLevel="1">
      <c r="A407" s="136"/>
      <c r="B407" s="137" t="s">
        <v>699</v>
      </c>
      <c r="C407" s="179">
        <f t="shared" si="377"/>
        <v>234</v>
      </c>
      <c r="D407" s="126">
        <v>0</v>
      </c>
      <c r="E407" s="126">
        <f>234</f>
        <v>234</v>
      </c>
      <c r="F407" s="126">
        <v>0</v>
      </c>
      <c r="G407" s="126">
        <f>8.5-8.5</f>
        <v>0</v>
      </c>
      <c r="H407" s="126">
        <f t="shared" si="380"/>
        <v>0</v>
      </c>
      <c r="I407" s="126">
        <f>J407+K407</f>
        <v>0</v>
      </c>
      <c r="J407" s="116"/>
      <c r="K407" s="126"/>
      <c r="L407" s="126">
        <f>M407+N407</f>
        <v>0</v>
      </c>
      <c r="M407" s="126"/>
      <c r="N407" s="126"/>
      <c r="O407" s="126">
        <f t="shared" si="338"/>
        <v>0</v>
      </c>
      <c r="P407" s="126">
        <f t="shared" si="339"/>
        <v>0</v>
      </c>
      <c r="Q407" s="126"/>
      <c r="R407" s="126"/>
      <c r="S407" s="126">
        <f t="shared" si="340"/>
        <v>0</v>
      </c>
      <c r="T407" s="126"/>
      <c r="U407" s="126"/>
      <c r="V407" s="126">
        <f t="shared" si="383"/>
        <v>0</v>
      </c>
      <c r="W407" s="126">
        <f>X407+Y407</f>
        <v>0</v>
      </c>
      <c r="X407" s="126"/>
      <c r="Y407" s="126"/>
      <c r="Z407" s="126">
        <f>AA407+AB407</f>
        <v>0</v>
      </c>
      <c r="AA407" s="126"/>
      <c r="AB407" s="126"/>
      <c r="AC407" s="126">
        <f>AD407+AE407</f>
        <v>0</v>
      </c>
      <c r="AD407" s="126"/>
      <c r="AE407" s="126"/>
      <c r="AF407" s="126">
        <f>AG407+AH407</f>
        <v>0</v>
      </c>
      <c r="AG407" s="126"/>
      <c r="AH407" s="126"/>
      <c r="AI407" s="179">
        <f t="shared" si="378"/>
        <v>234</v>
      </c>
      <c r="AJ407" s="179">
        <f t="shared" si="330"/>
        <v>0</v>
      </c>
      <c r="AK407" s="179">
        <f t="shared" si="330"/>
        <v>234</v>
      </c>
      <c r="AL407" s="179">
        <f t="shared" si="331"/>
        <v>0</v>
      </c>
      <c r="AM407" s="179">
        <f t="shared" si="331"/>
        <v>0</v>
      </c>
      <c r="AN407" s="126"/>
      <c r="AO407" s="130">
        <f t="shared" si="384"/>
        <v>0</v>
      </c>
      <c r="AP407" s="116"/>
    </row>
    <row r="408" spans="1:42" s="117" customFormat="1" ht="14" collapsed="1">
      <c r="A408" s="166">
        <v>15</v>
      </c>
      <c r="B408" s="137" t="s">
        <v>728</v>
      </c>
      <c r="C408" s="126">
        <f t="shared" ref="C408:H408" si="385">SUM(C409:C420)</f>
        <v>161.172</v>
      </c>
      <c r="D408" s="126">
        <f t="shared" si="385"/>
        <v>0</v>
      </c>
      <c r="E408" s="126">
        <f t="shared" si="385"/>
        <v>161.172</v>
      </c>
      <c r="F408" s="126">
        <f t="shared" si="385"/>
        <v>0</v>
      </c>
      <c r="G408" s="126">
        <f t="shared" si="385"/>
        <v>0</v>
      </c>
      <c r="H408" s="126">
        <f t="shared" si="385"/>
        <v>3148.6000000000004</v>
      </c>
      <c r="I408" s="126">
        <f t="shared" ref="I408:AH408" si="386">SUM(I409:I420)</f>
        <v>2252</v>
      </c>
      <c r="J408" s="126">
        <f t="shared" si="386"/>
        <v>0</v>
      </c>
      <c r="K408" s="126">
        <f t="shared" si="386"/>
        <v>2252</v>
      </c>
      <c r="L408" s="126">
        <f t="shared" si="386"/>
        <v>896.60000000000014</v>
      </c>
      <c r="M408" s="126">
        <f t="shared" si="386"/>
        <v>0</v>
      </c>
      <c r="N408" s="126">
        <f t="shared" si="386"/>
        <v>896.60000000000014</v>
      </c>
      <c r="O408" s="126">
        <f t="shared" si="386"/>
        <v>1549.8000000000002</v>
      </c>
      <c r="P408" s="126">
        <f t="shared" si="386"/>
        <v>720</v>
      </c>
      <c r="Q408" s="126">
        <f t="shared" si="386"/>
        <v>0</v>
      </c>
      <c r="R408" s="126">
        <f t="shared" si="386"/>
        <v>720</v>
      </c>
      <c r="S408" s="126">
        <f t="shared" si="386"/>
        <v>829.80000000000007</v>
      </c>
      <c r="T408" s="126">
        <f t="shared" si="386"/>
        <v>0</v>
      </c>
      <c r="U408" s="126">
        <f t="shared" si="386"/>
        <v>829.80000000000007</v>
      </c>
      <c r="V408" s="126">
        <f t="shared" si="386"/>
        <v>37.299999999999997</v>
      </c>
      <c r="W408" s="126">
        <f t="shared" si="386"/>
        <v>37.299999999999997</v>
      </c>
      <c r="X408" s="126">
        <f t="shared" si="386"/>
        <v>0</v>
      </c>
      <c r="Y408" s="126">
        <f t="shared" si="386"/>
        <v>37.299999999999997</v>
      </c>
      <c r="Z408" s="126">
        <f t="shared" si="386"/>
        <v>0</v>
      </c>
      <c r="AA408" s="126">
        <f t="shared" si="386"/>
        <v>0</v>
      </c>
      <c r="AB408" s="126">
        <f t="shared" si="386"/>
        <v>0</v>
      </c>
      <c r="AC408" s="126">
        <f t="shared" si="386"/>
        <v>0</v>
      </c>
      <c r="AD408" s="126">
        <f t="shared" si="386"/>
        <v>0</v>
      </c>
      <c r="AE408" s="126">
        <f t="shared" si="386"/>
        <v>0</v>
      </c>
      <c r="AF408" s="126">
        <f t="shared" si="386"/>
        <v>0</v>
      </c>
      <c r="AG408" s="126">
        <f t="shared" si="386"/>
        <v>0</v>
      </c>
      <c r="AH408" s="126">
        <f t="shared" si="386"/>
        <v>0</v>
      </c>
      <c r="AI408" s="179">
        <f t="shared" si="378"/>
        <v>1722.672</v>
      </c>
      <c r="AJ408" s="179">
        <f t="shared" si="330"/>
        <v>0</v>
      </c>
      <c r="AK408" s="179">
        <f t="shared" si="330"/>
        <v>1655.8720000000001</v>
      </c>
      <c r="AL408" s="179">
        <f t="shared" si="331"/>
        <v>0</v>
      </c>
      <c r="AM408" s="179">
        <f t="shared" si="331"/>
        <v>66.800000000000068</v>
      </c>
      <c r="AN408" s="126"/>
      <c r="AO408" s="130">
        <f t="shared" si="384"/>
        <v>0</v>
      </c>
      <c r="AP408" s="116"/>
    </row>
    <row r="409" spans="1:42" s="117" customFormat="1" ht="14" hidden="1" outlineLevel="1">
      <c r="A409" s="166"/>
      <c r="B409" s="137" t="s">
        <v>337</v>
      </c>
      <c r="C409" s="179">
        <f t="shared" si="377"/>
        <v>0</v>
      </c>
      <c r="D409" s="126">
        <v>0</v>
      </c>
      <c r="E409" s="126">
        <v>0</v>
      </c>
      <c r="F409" s="126">
        <v>0</v>
      </c>
      <c r="G409" s="126">
        <f>0.772-0.772</f>
        <v>0</v>
      </c>
      <c r="H409" s="126">
        <f>I409+L409</f>
        <v>90</v>
      </c>
      <c r="I409" s="126">
        <f>J409+K409</f>
        <v>0</v>
      </c>
      <c r="J409" s="126"/>
      <c r="K409" s="126"/>
      <c r="L409" s="126">
        <f>M409+N409</f>
        <v>90</v>
      </c>
      <c r="M409" s="126"/>
      <c r="N409" s="126">
        <v>90</v>
      </c>
      <c r="O409" s="126">
        <f t="shared" si="338"/>
        <v>89</v>
      </c>
      <c r="P409" s="126">
        <f t="shared" si="339"/>
        <v>0</v>
      </c>
      <c r="Q409" s="126"/>
      <c r="R409" s="126"/>
      <c r="S409" s="126">
        <f t="shared" si="340"/>
        <v>89</v>
      </c>
      <c r="T409" s="126"/>
      <c r="U409" s="126">
        <f>89</f>
        <v>89</v>
      </c>
      <c r="V409" s="126">
        <f t="shared" ref="V409:V420" si="387">W409+Z409+AC409+AF409</f>
        <v>0</v>
      </c>
      <c r="W409" s="126"/>
      <c r="X409" s="126"/>
      <c r="Y409" s="126"/>
      <c r="Z409" s="126">
        <f>AA409+AB409</f>
        <v>0</v>
      </c>
      <c r="AA409" s="126"/>
      <c r="AB409" s="126"/>
      <c r="AC409" s="126">
        <f t="shared" ref="AC409:AC419" si="388">AD409+AE409</f>
        <v>0</v>
      </c>
      <c r="AD409" s="126"/>
      <c r="AE409" s="126"/>
      <c r="AF409" s="126">
        <f t="shared" ref="AF409:AF419" si="389">AG409+AH409</f>
        <v>0</v>
      </c>
      <c r="AG409" s="126"/>
      <c r="AH409" s="126"/>
      <c r="AI409" s="179">
        <f t="shared" si="378"/>
        <v>1</v>
      </c>
      <c r="AJ409" s="179">
        <f t="shared" si="330"/>
        <v>0</v>
      </c>
      <c r="AK409" s="179">
        <f t="shared" si="330"/>
        <v>0</v>
      </c>
      <c r="AL409" s="179">
        <f t="shared" si="331"/>
        <v>0</v>
      </c>
      <c r="AM409" s="179">
        <f t="shared" si="331"/>
        <v>1</v>
      </c>
      <c r="AN409" s="126"/>
      <c r="AO409" s="130">
        <f t="shared" si="384"/>
        <v>0</v>
      </c>
      <c r="AP409" s="116"/>
    </row>
    <row r="410" spans="1:42" s="117" customFormat="1" ht="14" hidden="1" outlineLevel="1">
      <c r="A410" s="166"/>
      <c r="B410" s="137" t="s">
        <v>560</v>
      </c>
      <c r="C410" s="179">
        <f t="shared" si="377"/>
        <v>0</v>
      </c>
      <c r="D410" s="126">
        <v>0</v>
      </c>
      <c r="E410" s="126">
        <v>0</v>
      </c>
      <c r="F410" s="126">
        <v>0</v>
      </c>
      <c r="G410" s="126">
        <v>0</v>
      </c>
      <c r="H410" s="126">
        <f t="shared" ref="H410:H419" si="390">I410+L410</f>
        <v>85</v>
      </c>
      <c r="I410" s="126">
        <f t="shared" ref="I410:I419" si="391">J410+K410</f>
        <v>0</v>
      </c>
      <c r="J410" s="126"/>
      <c r="K410" s="126"/>
      <c r="L410" s="126">
        <f t="shared" ref="L410:L419" si="392">M410+N410</f>
        <v>85</v>
      </c>
      <c r="M410" s="126"/>
      <c r="N410" s="126">
        <v>85</v>
      </c>
      <c r="O410" s="126">
        <f t="shared" si="338"/>
        <v>85</v>
      </c>
      <c r="P410" s="126">
        <f t="shared" si="339"/>
        <v>0</v>
      </c>
      <c r="Q410" s="126"/>
      <c r="R410" s="126"/>
      <c r="S410" s="126">
        <f t="shared" si="340"/>
        <v>85</v>
      </c>
      <c r="T410" s="126"/>
      <c r="U410" s="126">
        <f>N410</f>
        <v>85</v>
      </c>
      <c r="V410" s="126">
        <f t="shared" si="387"/>
        <v>0</v>
      </c>
      <c r="W410" s="126"/>
      <c r="X410" s="126"/>
      <c r="Y410" s="126"/>
      <c r="Z410" s="126"/>
      <c r="AA410" s="126"/>
      <c r="AB410" s="126"/>
      <c r="AC410" s="126">
        <f t="shared" si="388"/>
        <v>0</v>
      </c>
      <c r="AD410" s="126"/>
      <c r="AE410" s="126"/>
      <c r="AF410" s="126">
        <f t="shared" si="389"/>
        <v>0</v>
      </c>
      <c r="AG410" s="126"/>
      <c r="AH410" s="126"/>
      <c r="AI410" s="179">
        <f t="shared" si="378"/>
        <v>0</v>
      </c>
      <c r="AJ410" s="179">
        <f t="shared" si="330"/>
        <v>0</v>
      </c>
      <c r="AK410" s="179">
        <f t="shared" si="330"/>
        <v>0</v>
      </c>
      <c r="AL410" s="179">
        <f t="shared" si="331"/>
        <v>0</v>
      </c>
      <c r="AM410" s="179">
        <f t="shared" si="331"/>
        <v>0</v>
      </c>
      <c r="AN410" s="126"/>
      <c r="AO410" s="130">
        <f t="shared" si="384"/>
        <v>0</v>
      </c>
      <c r="AP410" s="116"/>
    </row>
    <row r="411" spans="1:42" s="117" customFormat="1" ht="14" hidden="1" outlineLevel="1">
      <c r="A411" s="166"/>
      <c r="B411" s="137" t="s">
        <v>561</v>
      </c>
      <c r="C411" s="179">
        <f t="shared" si="377"/>
        <v>0</v>
      </c>
      <c r="D411" s="126">
        <v>0</v>
      </c>
      <c r="E411" s="126">
        <v>0</v>
      </c>
      <c r="F411" s="126">
        <v>0</v>
      </c>
      <c r="G411" s="126">
        <f>19.9-19.9</f>
        <v>0</v>
      </c>
      <c r="H411" s="126">
        <f t="shared" si="390"/>
        <v>68.400000000000006</v>
      </c>
      <c r="I411" s="126">
        <f t="shared" si="391"/>
        <v>0</v>
      </c>
      <c r="J411" s="126"/>
      <c r="K411" s="126"/>
      <c r="L411" s="126">
        <f t="shared" si="392"/>
        <v>68.400000000000006</v>
      </c>
      <c r="M411" s="126"/>
      <c r="N411" s="126">
        <v>68.400000000000006</v>
      </c>
      <c r="O411" s="126">
        <f t="shared" si="338"/>
        <v>68.400000000000006</v>
      </c>
      <c r="P411" s="126">
        <f t="shared" si="339"/>
        <v>0</v>
      </c>
      <c r="Q411" s="126"/>
      <c r="R411" s="126"/>
      <c r="S411" s="126">
        <f t="shared" si="340"/>
        <v>68.400000000000006</v>
      </c>
      <c r="T411" s="126"/>
      <c r="U411" s="126">
        <f>N411</f>
        <v>68.400000000000006</v>
      </c>
      <c r="V411" s="126">
        <f t="shared" si="387"/>
        <v>0</v>
      </c>
      <c r="W411" s="126"/>
      <c r="X411" s="126"/>
      <c r="Y411" s="126"/>
      <c r="Z411" s="126"/>
      <c r="AA411" s="126"/>
      <c r="AB411" s="126"/>
      <c r="AC411" s="126">
        <f t="shared" si="388"/>
        <v>0</v>
      </c>
      <c r="AD411" s="126"/>
      <c r="AE411" s="126"/>
      <c r="AF411" s="126">
        <f t="shared" si="389"/>
        <v>0</v>
      </c>
      <c r="AG411" s="126"/>
      <c r="AH411" s="126"/>
      <c r="AI411" s="179">
        <f t="shared" si="378"/>
        <v>0</v>
      </c>
      <c r="AJ411" s="179">
        <f t="shared" si="330"/>
        <v>0</v>
      </c>
      <c r="AK411" s="179">
        <f t="shared" si="330"/>
        <v>0</v>
      </c>
      <c r="AL411" s="179">
        <f t="shared" si="331"/>
        <v>0</v>
      </c>
      <c r="AM411" s="179">
        <f t="shared" si="331"/>
        <v>0</v>
      </c>
      <c r="AN411" s="126"/>
      <c r="AO411" s="130">
        <f t="shared" si="384"/>
        <v>0</v>
      </c>
      <c r="AP411" s="116"/>
    </row>
    <row r="412" spans="1:42" s="117" customFormat="1" ht="14" hidden="1" outlineLevel="1">
      <c r="A412" s="166"/>
      <c r="B412" s="137" t="s">
        <v>562</v>
      </c>
      <c r="C412" s="179">
        <f t="shared" si="377"/>
        <v>0</v>
      </c>
      <c r="D412" s="126">
        <v>0</v>
      </c>
      <c r="E412" s="126">
        <v>0</v>
      </c>
      <c r="F412" s="126">
        <v>0</v>
      </c>
      <c r="G412" s="126">
        <v>0</v>
      </c>
      <c r="H412" s="126">
        <f t="shared" si="390"/>
        <v>79.2</v>
      </c>
      <c r="I412" s="126">
        <f t="shared" si="391"/>
        <v>0</v>
      </c>
      <c r="J412" s="126"/>
      <c r="K412" s="126"/>
      <c r="L412" s="126">
        <f t="shared" si="392"/>
        <v>79.2</v>
      </c>
      <c r="M412" s="126"/>
      <c r="N412" s="126">
        <v>79.2</v>
      </c>
      <c r="O412" s="126">
        <f t="shared" si="338"/>
        <v>79.2</v>
      </c>
      <c r="P412" s="126">
        <f t="shared" si="339"/>
        <v>0</v>
      </c>
      <c r="Q412" s="126"/>
      <c r="R412" s="126"/>
      <c r="S412" s="126">
        <f t="shared" si="340"/>
        <v>79.2</v>
      </c>
      <c r="T412" s="126"/>
      <c r="U412" s="126">
        <f>N412</f>
        <v>79.2</v>
      </c>
      <c r="V412" s="126">
        <f t="shared" si="387"/>
        <v>0</v>
      </c>
      <c r="W412" s="126"/>
      <c r="X412" s="126"/>
      <c r="Y412" s="126"/>
      <c r="Z412" s="126"/>
      <c r="AA412" s="126"/>
      <c r="AB412" s="126"/>
      <c r="AC412" s="126">
        <f t="shared" si="388"/>
        <v>0</v>
      </c>
      <c r="AD412" s="126"/>
      <c r="AE412" s="126"/>
      <c r="AF412" s="126">
        <f t="shared" si="389"/>
        <v>0</v>
      </c>
      <c r="AG412" s="126"/>
      <c r="AH412" s="126"/>
      <c r="AI412" s="179">
        <f t="shared" si="378"/>
        <v>0</v>
      </c>
      <c r="AJ412" s="179">
        <f t="shared" si="330"/>
        <v>0</v>
      </c>
      <c r="AK412" s="179">
        <f t="shared" si="330"/>
        <v>0</v>
      </c>
      <c r="AL412" s="179">
        <f t="shared" si="331"/>
        <v>0</v>
      </c>
      <c r="AM412" s="179">
        <f t="shared" si="331"/>
        <v>0</v>
      </c>
      <c r="AN412" s="126"/>
      <c r="AO412" s="130">
        <f t="shared" si="384"/>
        <v>0</v>
      </c>
      <c r="AP412" s="116"/>
    </row>
    <row r="413" spans="1:42" s="117" customFormat="1" ht="14" hidden="1" outlineLevel="1">
      <c r="A413" s="166"/>
      <c r="B413" s="137" t="s">
        <v>563</v>
      </c>
      <c r="C413" s="179">
        <f t="shared" si="377"/>
        <v>0</v>
      </c>
      <c r="D413" s="126">
        <v>0</v>
      </c>
      <c r="E413" s="126">
        <v>0</v>
      </c>
      <c r="F413" s="126">
        <v>0</v>
      </c>
      <c r="G413" s="126">
        <v>0</v>
      </c>
      <c r="H413" s="126">
        <f t="shared" si="390"/>
        <v>144.80000000000001</v>
      </c>
      <c r="I413" s="126">
        <f t="shared" si="391"/>
        <v>0</v>
      </c>
      <c r="J413" s="126"/>
      <c r="K413" s="126"/>
      <c r="L413" s="126">
        <f t="shared" si="392"/>
        <v>144.80000000000001</v>
      </c>
      <c r="M413" s="126"/>
      <c r="N413" s="126">
        <v>144.80000000000001</v>
      </c>
      <c r="O413" s="126">
        <f t="shared" si="338"/>
        <v>97.1</v>
      </c>
      <c r="P413" s="126">
        <f t="shared" si="339"/>
        <v>0</v>
      </c>
      <c r="Q413" s="126"/>
      <c r="R413" s="126"/>
      <c r="S413" s="126">
        <f t="shared" si="340"/>
        <v>97.1</v>
      </c>
      <c r="T413" s="126"/>
      <c r="U413" s="126">
        <f>97.1</f>
        <v>97.1</v>
      </c>
      <c r="V413" s="126">
        <f t="shared" si="387"/>
        <v>0</v>
      </c>
      <c r="W413" s="126"/>
      <c r="X413" s="126"/>
      <c r="Y413" s="126"/>
      <c r="Z413" s="126"/>
      <c r="AA413" s="126"/>
      <c r="AB413" s="126"/>
      <c r="AC413" s="126">
        <f t="shared" si="388"/>
        <v>0</v>
      </c>
      <c r="AD413" s="126"/>
      <c r="AE413" s="126"/>
      <c r="AF413" s="126">
        <f t="shared" si="389"/>
        <v>0</v>
      </c>
      <c r="AG413" s="126"/>
      <c r="AH413" s="126"/>
      <c r="AI413" s="179">
        <f t="shared" si="378"/>
        <v>47.700000000000017</v>
      </c>
      <c r="AJ413" s="179">
        <f t="shared" si="330"/>
        <v>0</v>
      </c>
      <c r="AK413" s="179">
        <f t="shared" si="330"/>
        <v>0</v>
      </c>
      <c r="AL413" s="179">
        <f t="shared" si="331"/>
        <v>0</v>
      </c>
      <c r="AM413" s="179">
        <f t="shared" si="331"/>
        <v>47.700000000000017</v>
      </c>
      <c r="AN413" s="126"/>
      <c r="AO413" s="130">
        <f t="shared" si="384"/>
        <v>0</v>
      </c>
      <c r="AP413" s="116"/>
    </row>
    <row r="414" spans="1:42" s="117" customFormat="1" ht="14" hidden="1" outlineLevel="1">
      <c r="A414" s="166"/>
      <c r="B414" s="137" t="s">
        <v>680</v>
      </c>
      <c r="C414" s="179">
        <f t="shared" si="377"/>
        <v>0</v>
      </c>
      <c r="D414" s="126">
        <v>0</v>
      </c>
      <c r="E414" s="126">
        <v>0</v>
      </c>
      <c r="F414" s="126">
        <v>0</v>
      </c>
      <c r="G414" s="126">
        <f>87.5-87.5</f>
        <v>0</v>
      </c>
      <c r="H414" s="126">
        <f t="shared" si="390"/>
        <v>85</v>
      </c>
      <c r="I414" s="126">
        <f t="shared" si="391"/>
        <v>0</v>
      </c>
      <c r="J414" s="126"/>
      <c r="K414" s="126"/>
      <c r="L414" s="126">
        <f t="shared" si="392"/>
        <v>85</v>
      </c>
      <c r="M414" s="126"/>
      <c r="N414" s="126">
        <v>85</v>
      </c>
      <c r="O414" s="126">
        <f t="shared" si="338"/>
        <v>85</v>
      </c>
      <c r="P414" s="126">
        <f t="shared" si="339"/>
        <v>0</v>
      </c>
      <c r="Q414" s="126"/>
      <c r="R414" s="126"/>
      <c r="S414" s="126">
        <f t="shared" si="340"/>
        <v>85</v>
      </c>
      <c r="T414" s="126"/>
      <c r="U414" s="126">
        <f>N414</f>
        <v>85</v>
      </c>
      <c r="V414" s="126">
        <f t="shared" si="387"/>
        <v>0</v>
      </c>
      <c r="W414" s="126"/>
      <c r="X414" s="126"/>
      <c r="Y414" s="126"/>
      <c r="Z414" s="126"/>
      <c r="AA414" s="126"/>
      <c r="AB414" s="126"/>
      <c r="AC414" s="126">
        <f t="shared" si="388"/>
        <v>0</v>
      </c>
      <c r="AD414" s="126"/>
      <c r="AE414" s="126"/>
      <c r="AF414" s="126">
        <f t="shared" si="389"/>
        <v>0</v>
      </c>
      <c r="AG414" s="126"/>
      <c r="AH414" s="126"/>
      <c r="AI414" s="179">
        <f t="shared" si="378"/>
        <v>0</v>
      </c>
      <c r="AJ414" s="179">
        <f t="shared" si="330"/>
        <v>0</v>
      </c>
      <c r="AK414" s="179">
        <f t="shared" si="330"/>
        <v>0</v>
      </c>
      <c r="AL414" s="179">
        <f t="shared" si="331"/>
        <v>0</v>
      </c>
      <c r="AM414" s="179">
        <f t="shared" si="331"/>
        <v>0</v>
      </c>
      <c r="AN414" s="126"/>
      <c r="AO414" s="130">
        <f t="shared" si="384"/>
        <v>0</v>
      </c>
      <c r="AP414" s="116"/>
    </row>
    <row r="415" spans="1:42" s="117" customFormat="1" ht="14" hidden="1" outlineLevel="1">
      <c r="A415" s="166"/>
      <c r="B415" s="137" t="s">
        <v>565</v>
      </c>
      <c r="C415" s="179">
        <f t="shared" si="377"/>
        <v>0</v>
      </c>
      <c r="D415" s="126">
        <v>0</v>
      </c>
      <c r="E415" s="126">
        <v>0</v>
      </c>
      <c r="F415" s="126">
        <v>0</v>
      </c>
      <c r="G415" s="126">
        <f>15.7-15.7</f>
        <v>0</v>
      </c>
      <c r="H415" s="126">
        <f t="shared" si="390"/>
        <v>45</v>
      </c>
      <c r="I415" s="126">
        <f t="shared" si="391"/>
        <v>0</v>
      </c>
      <c r="J415" s="126"/>
      <c r="K415" s="126"/>
      <c r="L415" s="126">
        <f t="shared" si="392"/>
        <v>45</v>
      </c>
      <c r="M415" s="126"/>
      <c r="N415" s="126">
        <v>45</v>
      </c>
      <c r="O415" s="126">
        <f t="shared" si="338"/>
        <v>26.9</v>
      </c>
      <c r="P415" s="126">
        <f t="shared" si="339"/>
        <v>0</v>
      </c>
      <c r="Q415" s="126"/>
      <c r="R415" s="126"/>
      <c r="S415" s="126">
        <f t="shared" si="340"/>
        <v>26.9</v>
      </c>
      <c r="T415" s="126"/>
      <c r="U415" s="126">
        <f>26.9</f>
        <v>26.9</v>
      </c>
      <c r="V415" s="126">
        <f t="shared" si="387"/>
        <v>0</v>
      </c>
      <c r="W415" s="126"/>
      <c r="X415" s="126"/>
      <c r="Y415" s="126"/>
      <c r="Z415" s="126">
        <f>AA415+AB415</f>
        <v>0</v>
      </c>
      <c r="AA415" s="126"/>
      <c r="AB415" s="126"/>
      <c r="AC415" s="126">
        <f t="shared" si="388"/>
        <v>0</v>
      </c>
      <c r="AD415" s="126"/>
      <c r="AE415" s="126"/>
      <c r="AF415" s="126">
        <f t="shared" si="389"/>
        <v>0</v>
      </c>
      <c r="AG415" s="126"/>
      <c r="AH415" s="126"/>
      <c r="AI415" s="179">
        <f t="shared" si="378"/>
        <v>18.100000000000001</v>
      </c>
      <c r="AJ415" s="179">
        <f t="shared" ref="AJ415:AK420" si="393">D415+J415-Q415-X415-AD415</f>
        <v>0</v>
      </c>
      <c r="AK415" s="179">
        <f t="shared" si="393"/>
        <v>0</v>
      </c>
      <c r="AL415" s="179">
        <f t="shared" ref="AL415:AM420" si="394">F415+M415-T415-AA415-AG415</f>
        <v>0</v>
      </c>
      <c r="AM415" s="179">
        <f t="shared" si="394"/>
        <v>18.100000000000001</v>
      </c>
      <c r="AN415" s="126"/>
      <c r="AO415" s="130">
        <f t="shared" si="384"/>
        <v>0</v>
      </c>
      <c r="AP415" s="116"/>
    </row>
    <row r="416" spans="1:42" s="117" customFormat="1" ht="14" hidden="1" outlineLevel="1">
      <c r="A416" s="166"/>
      <c r="B416" s="137" t="s">
        <v>566</v>
      </c>
      <c r="C416" s="179">
        <f t="shared" si="377"/>
        <v>0</v>
      </c>
      <c r="D416" s="126">
        <v>0</v>
      </c>
      <c r="E416" s="126">
        <v>0</v>
      </c>
      <c r="F416" s="126">
        <v>0</v>
      </c>
      <c r="G416" s="126">
        <v>0</v>
      </c>
      <c r="H416" s="126">
        <f t="shared" si="390"/>
        <v>71.400000000000006</v>
      </c>
      <c r="I416" s="126">
        <f t="shared" si="391"/>
        <v>0</v>
      </c>
      <c r="J416" s="126"/>
      <c r="K416" s="126"/>
      <c r="L416" s="126">
        <f t="shared" si="392"/>
        <v>71.400000000000006</v>
      </c>
      <c r="M416" s="126"/>
      <c r="N416" s="126">
        <v>71.400000000000006</v>
      </c>
      <c r="O416" s="126">
        <f t="shared" si="338"/>
        <v>71.400000000000006</v>
      </c>
      <c r="P416" s="126">
        <f t="shared" si="339"/>
        <v>0</v>
      </c>
      <c r="Q416" s="126"/>
      <c r="R416" s="126"/>
      <c r="S416" s="126">
        <f t="shared" si="340"/>
        <v>71.400000000000006</v>
      </c>
      <c r="T416" s="126"/>
      <c r="U416" s="126">
        <v>71.400000000000006</v>
      </c>
      <c r="V416" s="126">
        <f t="shared" si="387"/>
        <v>0</v>
      </c>
      <c r="W416" s="126"/>
      <c r="X416" s="126"/>
      <c r="Y416" s="126"/>
      <c r="Z416" s="126"/>
      <c r="AA416" s="126"/>
      <c r="AB416" s="126"/>
      <c r="AC416" s="126">
        <f t="shared" si="388"/>
        <v>0</v>
      </c>
      <c r="AD416" s="126"/>
      <c r="AE416" s="126"/>
      <c r="AF416" s="126">
        <f t="shared" si="389"/>
        <v>0</v>
      </c>
      <c r="AG416" s="126"/>
      <c r="AH416" s="126"/>
      <c r="AI416" s="179">
        <f t="shared" si="378"/>
        <v>0</v>
      </c>
      <c r="AJ416" s="179">
        <f t="shared" si="393"/>
        <v>0</v>
      </c>
      <c r="AK416" s="179">
        <f t="shared" si="393"/>
        <v>0</v>
      </c>
      <c r="AL416" s="179">
        <f t="shared" si="394"/>
        <v>0</v>
      </c>
      <c r="AM416" s="179">
        <f t="shared" si="394"/>
        <v>0</v>
      </c>
      <c r="AN416" s="126"/>
      <c r="AO416" s="130">
        <f t="shared" si="384"/>
        <v>0</v>
      </c>
      <c r="AP416" s="116"/>
    </row>
    <row r="417" spans="1:42" s="117" customFormat="1" ht="14" hidden="1" outlineLevel="1">
      <c r="A417" s="166"/>
      <c r="B417" s="137" t="s">
        <v>567</v>
      </c>
      <c r="C417" s="179">
        <f t="shared" si="377"/>
        <v>0</v>
      </c>
      <c r="D417" s="126">
        <v>0</v>
      </c>
      <c r="E417" s="126">
        <v>0</v>
      </c>
      <c r="F417" s="126">
        <v>0</v>
      </c>
      <c r="G417" s="126">
        <v>0</v>
      </c>
      <c r="H417" s="126">
        <f t="shared" si="390"/>
        <v>119.2</v>
      </c>
      <c r="I417" s="126">
        <f t="shared" si="391"/>
        <v>0</v>
      </c>
      <c r="J417" s="126"/>
      <c r="K417" s="126"/>
      <c r="L417" s="126">
        <f t="shared" si="392"/>
        <v>119.2</v>
      </c>
      <c r="M417" s="126"/>
      <c r="N417" s="126">
        <v>119.2</v>
      </c>
      <c r="O417" s="126">
        <f t="shared" si="338"/>
        <v>119.2</v>
      </c>
      <c r="P417" s="126">
        <f t="shared" si="339"/>
        <v>0</v>
      </c>
      <c r="Q417" s="126"/>
      <c r="R417" s="126"/>
      <c r="S417" s="126">
        <f t="shared" si="340"/>
        <v>119.2</v>
      </c>
      <c r="T417" s="126"/>
      <c r="U417" s="126">
        <f>N417</f>
        <v>119.2</v>
      </c>
      <c r="V417" s="126">
        <f t="shared" si="387"/>
        <v>0</v>
      </c>
      <c r="W417" s="126">
        <f>X417+Y417</f>
        <v>0</v>
      </c>
      <c r="X417" s="126"/>
      <c r="Y417" s="126"/>
      <c r="Z417" s="126">
        <f>AA417+AB417</f>
        <v>0</v>
      </c>
      <c r="AA417" s="126"/>
      <c r="AB417" s="126"/>
      <c r="AC417" s="126">
        <f t="shared" si="388"/>
        <v>0</v>
      </c>
      <c r="AD417" s="126"/>
      <c r="AE417" s="126"/>
      <c r="AF417" s="126">
        <f t="shared" si="389"/>
        <v>0</v>
      </c>
      <c r="AG417" s="126"/>
      <c r="AH417" s="126"/>
      <c r="AI417" s="179">
        <f t="shared" si="378"/>
        <v>0</v>
      </c>
      <c r="AJ417" s="179">
        <f t="shared" si="393"/>
        <v>0</v>
      </c>
      <c r="AK417" s="179">
        <f t="shared" si="393"/>
        <v>0</v>
      </c>
      <c r="AL417" s="179">
        <f t="shared" si="394"/>
        <v>0</v>
      </c>
      <c r="AM417" s="179">
        <f t="shared" si="394"/>
        <v>0</v>
      </c>
      <c r="AN417" s="126"/>
      <c r="AO417" s="130">
        <f t="shared" si="384"/>
        <v>0</v>
      </c>
      <c r="AP417" s="116"/>
    </row>
    <row r="418" spans="1:42" s="117" customFormat="1" ht="14" hidden="1" outlineLevel="1">
      <c r="A418" s="166"/>
      <c r="B418" s="137" t="s">
        <v>568</v>
      </c>
      <c r="C418" s="179">
        <f t="shared" si="377"/>
        <v>0</v>
      </c>
      <c r="D418" s="126">
        <v>0</v>
      </c>
      <c r="E418" s="126">
        <v>0</v>
      </c>
      <c r="F418" s="126">
        <v>0</v>
      </c>
      <c r="G418" s="126">
        <v>0</v>
      </c>
      <c r="H418" s="126">
        <f t="shared" si="390"/>
        <v>108.6</v>
      </c>
      <c r="I418" s="126">
        <f t="shared" si="391"/>
        <v>0</v>
      </c>
      <c r="J418" s="126"/>
      <c r="K418" s="126"/>
      <c r="L418" s="126">
        <f t="shared" si="392"/>
        <v>108.6</v>
      </c>
      <c r="M418" s="126"/>
      <c r="N418" s="126">
        <v>108.6</v>
      </c>
      <c r="O418" s="126">
        <f t="shared" si="338"/>
        <v>108.6</v>
      </c>
      <c r="P418" s="126">
        <f t="shared" si="339"/>
        <v>0</v>
      </c>
      <c r="Q418" s="126"/>
      <c r="R418" s="126"/>
      <c r="S418" s="126">
        <f t="shared" si="340"/>
        <v>108.6</v>
      </c>
      <c r="T418" s="126"/>
      <c r="U418" s="126">
        <f>N418</f>
        <v>108.6</v>
      </c>
      <c r="V418" s="126">
        <f t="shared" si="387"/>
        <v>0</v>
      </c>
      <c r="W418" s="126"/>
      <c r="X418" s="126"/>
      <c r="Y418" s="126"/>
      <c r="Z418" s="126"/>
      <c r="AA418" s="126"/>
      <c r="AB418" s="126"/>
      <c r="AC418" s="126">
        <f t="shared" si="388"/>
        <v>0</v>
      </c>
      <c r="AD418" s="126"/>
      <c r="AE418" s="126"/>
      <c r="AF418" s="126">
        <f t="shared" si="389"/>
        <v>0</v>
      </c>
      <c r="AG418" s="126"/>
      <c r="AH418" s="126"/>
      <c r="AI418" s="179">
        <f t="shared" si="378"/>
        <v>0</v>
      </c>
      <c r="AJ418" s="179">
        <f t="shared" si="393"/>
        <v>0</v>
      </c>
      <c r="AK418" s="179">
        <f t="shared" si="393"/>
        <v>0</v>
      </c>
      <c r="AL418" s="179">
        <f t="shared" si="394"/>
        <v>0</v>
      </c>
      <c r="AM418" s="179">
        <f t="shared" si="394"/>
        <v>0</v>
      </c>
      <c r="AN418" s="126"/>
      <c r="AO418" s="130">
        <f t="shared" si="384"/>
        <v>0</v>
      </c>
      <c r="AP418" s="116"/>
    </row>
    <row r="419" spans="1:42" s="117" customFormat="1" ht="14" hidden="1" outlineLevel="1">
      <c r="A419" s="166"/>
      <c r="B419" s="137" t="s">
        <v>498</v>
      </c>
      <c r="C419" s="179">
        <f t="shared" si="377"/>
        <v>0</v>
      </c>
      <c r="D419" s="126">
        <v>0</v>
      </c>
      <c r="E419" s="126">
        <v>0</v>
      </c>
      <c r="F419" s="126">
        <v>0</v>
      </c>
      <c r="G419" s="126">
        <v>0</v>
      </c>
      <c r="H419" s="126">
        <f t="shared" si="390"/>
        <v>720</v>
      </c>
      <c r="I419" s="126">
        <f t="shared" si="391"/>
        <v>720</v>
      </c>
      <c r="J419" s="126"/>
      <c r="K419" s="126">
        <f>561+159</f>
        <v>720</v>
      </c>
      <c r="L419" s="126">
        <f t="shared" si="392"/>
        <v>0</v>
      </c>
      <c r="M419" s="126"/>
      <c r="N419" s="126">
        <v>0</v>
      </c>
      <c r="O419" s="126">
        <f t="shared" si="338"/>
        <v>720</v>
      </c>
      <c r="P419" s="126">
        <f t="shared" si="339"/>
        <v>720</v>
      </c>
      <c r="Q419" s="126"/>
      <c r="R419" s="126">
        <f>561+159</f>
        <v>720</v>
      </c>
      <c r="S419" s="126">
        <f t="shared" si="340"/>
        <v>0</v>
      </c>
      <c r="T419" s="126"/>
      <c r="U419" s="126"/>
      <c r="V419" s="126">
        <f t="shared" si="387"/>
        <v>0</v>
      </c>
      <c r="W419" s="126"/>
      <c r="X419" s="126"/>
      <c r="Y419" s="126"/>
      <c r="Z419" s="126"/>
      <c r="AA419" s="126"/>
      <c r="AB419" s="126"/>
      <c r="AC419" s="126">
        <f t="shared" si="388"/>
        <v>0</v>
      </c>
      <c r="AD419" s="126"/>
      <c r="AE419" s="126"/>
      <c r="AF419" s="126">
        <f t="shared" si="389"/>
        <v>0</v>
      </c>
      <c r="AG419" s="126"/>
      <c r="AH419" s="126"/>
      <c r="AI419" s="179">
        <f t="shared" si="378"/>
        <v>0</v>
      </c>
      <c r="AJ419" s="179">
        <f t="shared" si="393"/>
        <v>0</v>
      </c>
      <c r="AK419" s="179">
        <f t="shared" si="393"/>
        <v>0</v>
      </c>
      <c r="AL419" s="179">
        <f t="shared" si="394"/>
        <v>0</v>
      </c>
      <c r="AM419" s="179">
        <f t="shared" si="394"/>
        <v>0</v>
      </c>
      <c r="AN419" s="126"/>
      <c r="AO419" s="130">
        <f t="shared" si="384"/>
        <v>0</v>
      </c>
      <c r="AP419" s="116"/>
    </row>
    <row r="420" spans="1:42" s="117" customFormat="1" ht="14" hidden="1" outlineLevel="1">
      <c r="A420" s="166"/>
      <c r="B420" s="137" t="s">
        <v>604</v>
      </c>
      <c r="C420" s="179">
        <f t="shared" si="377"/>
        <v>161.172</v>
      </c>
      <c r="D420" s="126">
        <v>0</v>
      </c>
      <c r="E420" s="126">
        <f>37.3+15.7+19.9+87.5+0.772</f>
        <v>161.172</v>
      </c>
      <c r="F420" s="126">
        <v>0</v>
      </c>
      <c r="G420" s="126">
        <v>0</v>
      </c>
      <c r="H420" s="126">
        <f>I420+L420</f>
        <v>1532</v>
      </c>
      <c r="I420" s="126">
        <f>J420+K420</f>
        <v>1532</v>
      </c>
      <c r="J420" s="126"/>
      <c r="K420" s="126">
        <f>1691-159</f>
        <v>1532</v>
      </c>
      <c r="L420" s="126"/>
      <c r="M420" s="126"/>
      <c r="N420" s="126"/>
      <c r="O420" s="126">
        <f t="shared" si="338"/>
        <v>0</v>
      </c>
      <c r="P420" s="126">
        <f t="shared" si="339"/>
        <v>0</v>
      </c>
      <c r="Q420" s="126"/>
      <c r="R420" s="126"/>
      <c r="S420" s="126">
        <f t="shared" si="340"/>
        <v>0</v>
      </c>
      <c r="T420" s="126"/>
      <c r="U420" s="126"/>
      <c r="V420" s="126">
        <f t="shared" si="387"/>
        <v>37.299999999999997</v>
      </c>
      <c r="W420" s="126">
        <f>X420+Y420</f>
        <v>37.299999999999997</v>
      </c>
      <c r="X420" s="126"/>
      <c r="Y420" s="126">
        <v>37.299999999999997</v>
      </c>
      <c r="Z420" s="126"/>
      <c r="AA420" s="126"/>
      <c r="AB420" s="126"/>
      <c r="AC420" s="126"/>
      <c r="AD420" s="126"/>
      <c r="AE420" s="126"/>
      <c r="AF420" s="126"/>
      <c r="AG420" s="126"/>
      <c r="AH420" s="126"/>
      <c r="AI420" s="179">
        <f t="shared" si="378"/>
        <v>1655.8720000000001</v>
      </c>
      <c r="AJ420" s="179">
        <f t="shared" si="393"/>
        <v>0</v>
      </c>
      <c r="AK420" s="179">
        <f t="shared" si="393"/>
        <v>1655.8720000000001</v>
      </c>
      <c r="AL420" s="179">
        <f t="shared" si="394"/>
        <v>0</v>
      </c>
      <c r="AM420" s="179">
        <f t="shared" si="394"/>
        <v>0</v>
      </c>
      <c r="AN420" s="126"/>
      <c r="AO420" s="130">
        <f t="shared" si="384"/>
        <v>0</v>
      </c>
      <c r="AP420" s="116"/>
    </row>
    <row r="421" spans="1:42" s="117" customFormat="1" ht="42" collapsed="1">
      <c r="A421" s="151">
        <v>16</v>
      </c>
      <c r="B421" s="178" t="s">
        <v>729</v>
      </c>
      <c r="C421" s="179">
        <f t="shared" ref="C421:K421" si="395">SUM(C422:C430)</f>
        <v>7.5819999999999999</v>
      </c>
      <c r="D421" s="179">
        <f t="shared" si="395"/>
        <v>0</v>
      </c>
      <c r="E421" s="179">
        <f t="shared" si="395"/>
        <v>7.5819999999999999</v>
      </c>
      <c r="F421" s="179">
        <f t="shared" si="395"/>
        <v>0</v>
      </c>
      <c r="G421" s="179">
        <f t="shared" si="395"/>
        <v>0</v>
      </c>
      <c r="H421" s="179">
        <f t="shared" si="395"/>
        <v>3397</v>
      </c>
      <c r="I421" s="179">
        <f t="shared" si="395"/>
        <v>3397</v>
      </c>
      <c r="J421" s="179">
        <f t="shared" si="395"/>
        <v>0</v>
      </c>
      <c r="K421" s="179">
        <f t="shared" si="395"/>
        <v>3397</v>
      </c>
      <c r="L421" s="179">
        <f t="shared" ref="L421:AM421" si="396">SUM(L422:L430)</f>
        <v>0</v>
      </c>
      <c r="M421" s="179">
        <f t="shared" si="396"/>
        <v>0</v>
      </c>
      <c r="N421" s="179">
        <f t="shared" si="396"/>
        <v>0</v>
      </c>
      <c r="O421" s="179">
        <f t="shared" si="396"/>
        <v>2507.8442709999999</v>
      </c>
      <c r="P421" s="179">
        <f t="shared" si="396"/>
        <v>2507.8442709999999</v>
      </c>
      <c r="Q421" s="179">
        <f t="shared" si="396"/>
        <v>0</v>
      </c>
      <c r="R421" s="179">
        <f t="shared" si="396"/>
        <v>2507.8442709999999</v>
      </c>
      <c r="S421" s="179">
        <f t="shared" si="396"/>
        <v>0</v>
      </c>
      <c r="T421" s="179">
        <f t="shared" si="396"/>
        <v>0</v>
      </c>
      <c r="U421" s="179">
        <f t="shared" si="396"/>
        <v>0</v>
      </c>
      <c r="V421" s="179">
        <f t="shared" si="396"/>
        <v>0</v>
      </c>
      <c r="W421" s="179">
        <f t="shared" si="396"/>
        <v>0</v>
      </c>
      <c r="X421" s="179">
        <f t="shared" si="396"/>
        <v>0</v>
      </c>
      <c r="Y421" s="179">
        <f t="shared" si="396"/>
        <v>0</v>
      </c>
      <c r="Z421" s="179">
        <f t="shared" si="396"/>
        <v>0</v>
      </c>
      <c r="AA421" s="179">
        <f t="shared" si="396"/>
        <v>0</v>
      </c>
      <c r="AB421" s="179">
        <f t="shared" si="396"/>
        <v>0</v>
      </c>
      <c r="AC421" s="179">
        <f t="shared" si="396"/>
        <v>0</v>
      </c>
      <c r="AD421" s="179">
        <f t="shared" si="396"/>
        <v>0</v>
      </c>
      <c r="AE421" s="179">
        <f t="shared" si="396"/>
        <v>0</v>
      </c>
      <c r="AF421" s="179">
        <f t="shared" si="396"/>
        <v>0</v>
      </c>
      <c r="AG421" s="179">
        <f t="shared" si="396"/>
        <v>0</v>
      </c>
      <c r="AH421" s="179">
        <f t="shared" si="396"/>
        <v>0</v>
      </c>
      <c r="AI421" s="179">
        <f t="shared" si="378"/>
        <v>896.73772900000006</v>
      </c>
      <c r="AJ421" s="179">
        <f t="shared" si="396"/>
        <v>0</v>
      </c>
      <c r="AK421" s="179">
        <f t="shared" si="396"/>
        <v>896.73772900000006</v>
      </c>
      <c r="AL421" s="179">
        <f t="shared" si="396"/>
        <v>0</v>
      </c>
      <c r="AM421" s="179">
        <f t="shared" si="396"/>
        <v>0</v>
      </c>
      <c r="AN421" s="126"/>
      <c r="AO421" s="130">
        <f t="shared" si="384"/>
        <v>0</v>
      </c>
      <c r="AP421" s="116"/>
    </row>
    <row r="422" spans="1:42" s="117" customFormat="1" ht="14" hidden="1" outlineLevel="1">
      <c r="A422" s="139"/>
      <c r="B422" s="182" t="s">
        <v>730</v>
      </c>
      <c r="C422" s="180">
        <f t="shared" si="377"/>
        <v>0</v>
      </c>
      <c r="D422" s="180">
        <v>0</v>
      </c>
      <c r="E422" s="180">
        <v>0</v>
      </c>
      <c r="F422" s="180">
        <v>0</v>
      </c>
      <c r="G422" s="180">
        <v>0</v>
      </c>
      <c r="H422" s="126">
        <f t="shared" ref="H422:H430" si="397">I422+L422</f>
        <v>200.69944700000002</v>
      </c>
      <c r="I422" s="126">
        <f t="shared" ref="I422:I430" si="398">J422+K422</f>
        <v>200.69944700000002</v>
      </c>
      <c r="J422" s="126"/>
      <c r="K422" s="126">
        <f>321-120.300553</f>
        <v>200.69944700000002</v>
      </c>
      <c r="L422" s="126">
        <f t="shared" ref="L422:L427" si="399">M422+N422</f>
        <v>0</v>
      </c>
      <c r="M422" s="180"/>
      <c r="N422" s="180"/>
      <c r="O422" s="126">
        <f t="shared" si="338"/>
        <v>200.69944700000002</v>
      </c>
      <c r="P422" s="126">
        <f t="shared" si="339"/>
        <v>200.69944700000002</v>
      </c>
      <c r="Q422" s="126"/>
      <c r="R422" s="126">
        <f>K422</f>
        <v>200.69944700000002</v>
      </c>
      <c r="S422" s="126">
        <f t="shared" si="340"/>
        <v>0</v>
      </c>
      <c r="T422" s="180"/>
      <c r="U422" s="180"/>
      <c r="V422" s="180">
        <f t="shared" ref="V422:V427" si="400">W422+Z422+AC422+AF422</f>
        <v>0</v>
      </c>
      <c r="W422" s="180">
        <f>X422+Y422</f>
        <v>0</v>
      </c>
      <c r="X422" s="180"/>
      <c r="Y422" s="180"/>
      <c r="Z422" s="180">
        <f>AA422+AB422</f>
        <v>0</v>
      </c>
      <c r="AA422" s="180"/>
      <c r="AB422" s="180"/>
      <c r="AC422" s="126">
        <f t="shared" ref="AC422:AC427" si="401">AD422+AE422</f>
        <v>0</v>
      </c>
      <c r="AD422" s="126"/>
      <c r="AE422" s="126"/>
      <c r="AF422" s="126">
        <f t="shared" ref="AF422:AF427" si="402">AG422+AH422</f>
        <v>0</v>
      </c>
      <c r="AG422" s="180"/>
      <c r="AH422" s="180"/>
      <c r="AI422" s="180">
        <f t="shared" si="378"/>
        <v>0</v>
      </c>
      <c r="AJ422" s="180">
        <f t="shared" ref="AJ422:AK430" si="403">D422+J422-Q422-X422-AD422</f>
        <v>0</v>
      </c>
      <c r="AK422" s="180">
        <f t="shared" si="403"/>
        <v>0</v>
      </c>
      <c r="AL422" s="180">
        <f t="shared" ref="AL422:AM430" si="404">F422+M422-T422-AA422-AG422</f>
        <v>0</v>
      </c>
      <c r="AM422" s="180">
        <f t="shared" si="404"/>
        <v>0</v>
      </c>
      <c r="AN422" s="126"/>
      <c r="AO422" s="130">
        <f t="shared" si="384"/>
        <v>0</v>
      </c>
      <c r="AP422" s="116"/>
    </row>
    <row r="423" spans="1:42" s="117" customFormat="1" ht="14" hidden="1" outlineLevel="1">
      <c r="A423" s="139"/>
      <c r="B423" s="182" t="s">
        <v>731</v>
      </c>
      <c r="C423" s="180">
        <f t="shared" si="377"/>
        <v>0</v>
      </c>
      <c r="D423" s="180">
        <v>0</v>
      </c>
      <c r="E423" s="180">
        <v>0</v>
      </c>
      <c r="F423" s="180">
        <v>0</v>
      </c>
      <c r="G423" s="180">
        <v>0</v>
      </c>
      <c r="H423" s="126">
        <f t="shared" si="397"/>
        <v>80.984219999999993</v>
      </c>
      <c r="I423" s="126">
        <f t="shared" si="398"/>
        <v>80.984219999999993</v>
      </c>
      <c r="J423" s="126"/>
      <c r="K423" s="126">
        <f>81-0.01578</f>
        <v>80.984219999999993</v>
      </c>
      <c r="L423" s="126">
        <f t="shared" si="399"/>
        <v>0</v>
      </c>
      <c r="M423" s="180"/>
      <c r="N423" s="180"/>
      <c r="O423" s="126">
        <f t="shared" ref="O423:O492" si="405">P423+S423</f>
        <v>80.984219999999993</v>
      </c>
      <c r="P423" s="126">
        <f t="shared" ref="P423:P492" si="406">Q423+R423</f>
        <v>80.984219999999993</v>
      </c>
      <c r="Q423" s="126"/>
      <c r="R423" s="126">
        <v>80.984219999999993</v>
      </c>
      <c r="S423" s="126">
        <f t="shared" ref="S423:S492" si="407">T423+U423</f>
        <v>0</v>
      </c>
      <c r="T423" s="180"/>
      <c r="U423" s="180"/>
      <c r="V423" s="180">
        <f t="shared" si="400"/>
        <v>0</v>
      </c>
      <c r="W423" s="180">
        <f>X423+Y423</f>
        <v>0</v>
      </c>
      <c r="X423" s="180"/>
      <c r="Y423" s="180"/>
      <c r="Z423" s="180">
        <f>AA423+AB423</f>
        <v>0</v>
      </c>
      <c r="AA423" s="180"/>
      <c r="AB423" s="180"/>
      <c r="AC423" s="126">
        <f t="shared" si="401"/>
        <v>0</v>
      </c>
      <c r="AD423" s="126"/>
      <c r="AE423" s="126"/>
      <c r="AF423" s="126">
        <f t="shared" si="402"/>
        <v>0</v>
      </c>
      <c r="AG423" s="180"/>
      <c r="AH423" s="180"/>
      <c r="AI423" s="180">
        <f t="shared" si="378"/>
        <v>0</v>
      </c>
      <c r="AJ423" s="180">
        <f t="shared" si="403"/>
        <v>0</v>
      </c>
      <c r="AK423" s="180">
        <f t="shared" si="403"/>
        <v>0</v>
      </c>
      <c r="AL423" s="180">
        <f t="shared" si="404"/>
        <v>0</v>
      </c>
      <c r="AM423" s="180">
        <f t="shared" si="404"/>
        <v>0</v>
      </c>
      <c r="AN423" s="126"/>
      <c r="AO423" s="130">
        <f t="shared" si="384"/>
        <v>0</v>
      </c>
      <c r="AP423" s="116"/>
    </row>
    <row r="424" spans="1:42" s="117" customFormat="1" ht="14" hidden="1" outlineLevel="1">
      <c r="A424" s="139"/>
      <c r="B424" s="182" t="s">
        <v>732</v>
      </c>
      <c r="C424" s="180">
        <f t="shared" si="377"/>
        <v>0</v>
      </c>
      <c r="D424" s="180">
        <v>0</v>
      </c>
      <c r="E424" s="180">
        <v>0</v>
      </c>
      <c r="F424" s="180">
        <v>0</v>
      </c>
      <c r="G424" s="180">
        <v>0</v>
      </c>
      <c r="H424" s="126">
        <f t="shared" si="397"/>
        <v>271.820381</v>
      </c>
      <c r="I424" s="126">
        <f t="shared" si="398"/>
        <v>271.820381</v>
      </c>
      <c r="J424" s="126"/>
      <c r="K424" s="126">
        <f>292-20.179619</f>
        <v>271.820381</v>
      </c>
      <c r="L424" s="126">
        <f t="shared" si="399"/>
        <v>0</v>
      </c>
      <c r="M424" s="180"/>
      <c r="N424" s="180"/>
      <c r="O424" s="126">
        <f t="shared" si="405"/>
        <v>271.820381</v>
      </c>
      <c r="P424" s="126">
        <f t="shared" si="406"/>
        <v>271.820381</v>
      </c>
      <c r="Q424" s="126"/>
      <c r="R424" s="126">
        <v>271.820381</v>
      </c>
      <c r="S424" s="126">
        <f t="shared" si="407"/>
        <v>0</v>
      </c>
      <c r="T424" s="180"/>
      <c r="U424" s="180"/>
      <c r="V424" s="180">
        <f t="shared" si="400"/>
        <v>0</v>
      </c>
      <c r="W424" s="180">
        <f>X424+Y424</f>
        <v>0</v>
      </c>
      <c r="X424" s="180"/>
      <c r="Y424" s="180"/>
      <c r="Z424" s="180">
        <f>AA424+AB424</f>
        <v>0</v>
      </c>
      <c r="AA424" s="180"/>
      <c r="AB424" s="180"/>
      <c r="AC424" s="126">
        <f t="shared" si="401"/>
        <v>0</v>
      </c>
      <c r="AD424" s="126"/>
      <c r="AE424" s="126"/>
      <c r="AF424" s="126">
        <f t="shared" si="402"/>
        <v>0</v>
      </c>
      <c r="AG424" s="180"/>
      <c r="AH424" s="180"/>
      <c r="AI424" s="180">
        <f t="shared" si="378"/>
        <v>0</v>
      </c>
      <c r="AJ424" s="180">
        <f t="shared" si="403"/>
        <v>0</v>
      </c>
      <c r="AK424" s="180">
        <f t="shared" si="403"/>
        <v>0</v>
      </c>
      <c r="AL424" s="180">
        <f t="shared" si="404"/>
        <v>0</v>
      </c>
      <c r="AM424" s="180">
        <f t="shared" si="404"/>
        <v>0</v>
      </c>
      <c r="AN424" s="126"/>
      <c r="AO424" s="130">
        <f t="shared" si="384"/>
        <v>0</v>
      </c>
      <c r="AP424" s="116"/>
    </row>
    <row r="425" spans="1:42" s="117" customFormat="1" ht="14" hidden="1" outlineLevel="1">
      <c r="A425" s="139"/>
      <c r="B425" s="182" t="s">
        <v>733</v>
      </c>
      <c r="C425" s="180">
        <f t="shared" si="377"/>
        <v>0</v>
      </c>
      <c r="D425" s="180">
        <v>0</v>
      </c>
      <c r="E425" s="180">
        <f>7.582-7.582</f>
        <v>0</v>
      </c>
      <c r="F425" s="180">
        <v>0</v>
      </c>
      <c r="G425" s="180">
        <v>0</v>
      </c>
      <c r="H425" s="126">
        <f t="shared" si="397"/>
        <v>79.666443999999998</v>
      </c>
      <c r="I425" s="126">
        <f t="shared" si="398"/>
        <v>79.666443999999998</v>
      </c>
      <c r="J425" s="126"/>
      <c r="K425" s="126">
        <f>82-2.333556</f>
        <v>79.666443999999998</v>
      </c>
      <c r="L425" s="126">
        <f t="shared" si="399"/>
        <v>0</v>
      </c>
      <c r="M425" s="180"/>
      <c r="N425" s="180"/>
      <c r="O425" s="126">
        <f t="shared" si="405"/>
        <v>79.666443999999998</v>
      </c>
      <c r="P425" s="126">
        <f t="shared" si="406"/>
        <v>79.666443999999998</v>
      </c>
      <c r="Q425" s="126"/>
      <c r="R425" s="126">
        <v>79.666443999999998</v>
      </c>
      <c r="S425" s="126">
        <f t="shared" si="407"/>
        <v>0</v>
      </c>
      <c r="T425" s="180"/>
      <c r="U425" s="180"/>
      <c r="V425" s="180">
        <f t="shared" si="400"/>
        <v>0</v>
      </c>
      <c r="W425" s="180">
        <f>X425+Y425</f>
        <v>0</v>
      </c>
      <c r="X425" s="180"/>
      <c r="Y425" s="180"/>
      <c r="Z425" s="180">
        <f>AA425+AB425</f>
        <v>0</v>
      </c>
      <c r="AA425" s="180"/>
      <c r="AB425" s="180"/>
      <c r="AC425" s="126">
        <f t="shared" si="401"/>
        <v>0</v>
      </c>
      <c r="AD425" s="126"/>
      <c r="AE425" s="126"/>
      <c r="AF425" s="126">
        <f t="shared" si="402"/>
        <v>0</v>
      </c>
      <c r="AG425" s="180"/>
      <c r="AH425" s="180"/>
      <c r="AI425" s="180">
        <f t="shared" si="378"/>
        <v>0</v>
      </c>
      <c r="AJ425" s="180">
        <f t="shared" si="403"/>
        <v>0</v>
      </c>
      <c r="AK425" s="180">
        <f t="shared" si="403"/>
        <v>0</v>
      </c>
      <c r="AL425" s="180">
        <f t="shared" si="404"/>
        <v>0</v>
      </c>
      <c r="AM425" s="180">
        <f t="shared" si="404"/>
        <v>0</v>
      </c>
      <c r="AN425" s="126"/>
      <c r="AO425" s="130">
        <f t="shared" si="384"/>
        <v>0</v>
      </c>
      <c r="AP425" s="116"/>
    </row>
    <row r="426" spans="1:42" s="117" customFormat="1" ht="14" hidden="1" outlineLevel="1">
      <c r="A426" s="139"/>
      <c r="B426" s="182" t="s">
        <v>734</v>
      </c>
      <c r="C426" s="180">
        <f t="shared" si="377"/>
        <v>0</v>
      </c>
      <c r="D426" s="180">
        <v>0</v>
      </c>
      <c r="E426" s="180">
        <v>0</v>
      </c>
      <c r="F426" s="180">
        <v>0</v>
      </c>
      <c r="G426" s="180">
        <v>0</v>
      </c>
      <c r="H426" s="126">
        <f t="shared" si="397"/>
        <v>28</v>
      </c>
      <c r="I426" s="126">
        <f t="shared" si="398"/>
        <v>28</v>
      </c>
      <c r="J426" s="126"/>
      <c r="K426" s="126">
        <v>28</v>
      </c>
      <c r="L426" s="126">
        <f t="shared" si="399"/>
        <v>0</v>
      </c>
      <c r="M426" s="180"/>
      <c r="N426" s="180"/>
      <c r="O426" s="126">
        <f t="shared" si="405"/>
        <v>28</v>
      </c>
      <c r="P426" s="126">
        <f t="shared" si="406"/>
        <v>28</v>
      </c>
      <c r="Q426" s="126"/>
      <c r="R426" s="126">
        <v>28</v>
      </c>
      <c r="S426" s="126">
        <f t="shared" si="407"/>
        <v>0</v>
      </c>
      <c r="T426" s="180"/>
      <c r="U426" s="180"/>
      <c r="V426" s="180">
        <f t="shared" si="400"/>
        <v>0</v>
      </c>
      <c r="W426" s="180"/>
      <c r="X426" s="180"/>
      <c r="Y426" s="180"/>
      <c r="Z426" s="180"/>
      <c r="AA426" s="180"/>
      <c r="AB426" s="180"/>
      <c r="AC426" s="126">
        <f t="shared" si="401"/>
        <v>0</v>
      </c>
      <c r="AD426" s="126"/>
      <c r="AE426" s="126"/>
      <c r="AF426" s="126">
        <f t="shared" si="402"/>
        <v>0</v>
      </c>
      <c r="AG426" s="180"/>
      <c r="AH426" s="180"/>
      <c r="AI426" s="180">
        <f t="shared" si="378"/>
        <v>0</v>
      </c>
      <c r="AJ426" s="180">
        <f t="shared" si="403"/>
        <v>0</v>
      </c>
      <c r="AK426" s="180">
        <f t="shared" si="403"/>
        <v>0</v>
      </c>
      <c r="AL426" s="180">
        <f t="shared" si="404"/>
        <v>0</v>
      </c>
      <c r="AM426" s="180">
        <f t="shared" si="404"/>
        <v>0</v>
      </c>
      <c r="AN426" s="126"/>
      <c r="AO426" s="130">
        <f t="shared" si="384"/>
        <v>0</v>
      </c>
      <c r="AP426" s="116"/>
    </row>
    <row r="427" spans="1:42" s="117" customFormat="1" ht="14" hidden="1" outlineLevel="1">
      <c r="A427" s="139"/>
      <c r="B427" s="182" t="s">
        <v>735</v>
      </c>
      <c r="C427" s="180">
        <f>SUM(D427:G427)</f>
        <v>0</v>
      </c>
      <c r="D427" s="180">
        <v>0</v>
      </c>
      <c r="E427" s="180">
        <v>0</v>
      </c>
      <c r="F427" s="180">
        <v>0</v>
      </c>
      <c r="G427" s="180">
        <v>0</v>
      </c>
      <c r="H427" s="126">
        <f>I427+L427</f>
        <v>83</v>
      </c>
      <c r="I427" s="126">
        <f>J427+K427</f>
        <v>83</v>
      </c>
      <c r="J427" s="126"/>
      <c r="K427" s="126">
        <v>83</v>
      </c>
      <c r="L427" s="126">
        <f t="shared" si="399"/>
        <v>0</v>
      </c>
      <c r="M427" s="180"/>
      <c r="N427" s="180"/>
      <c r="O427" s="126">
        <f>P427+S427</f>
        <v>83</v>
      </c>
      <c r="P427" s="126">
        <f>Q427+R427</f>
        <v>83</v>
      </c>
      <c r="Q427" s="126"/>
      <c r="R427" s="126">
        <v>83</v>
      </c>
      <c r="S427" s="126">
        <f>T427+U427</f>
        <v>0</v>
      </c>
      <c r="T427" s="180"/>
      <c r="U427" s="180"/>
      <c r="V427" s="180">
        <f t="shared" si="400"/>
        <v>0</v>
      </c>
      <c r="W427" s="180"/>
      <c r="X427" s="180"/>
      <c r="Y427" s="180"/>
      <c r="Z427" s="180"/>
      <c r="AA427" s="180"/>
      <c r="AB427" s="180"/>
      <c r="AC427" s="126">
        <f t="shared" si="401"/>
        <v>0</v>
      </c>
      <c r="AD427" s="126"/>
      <c r="AE427" s="126"/>
      <c r="AF427" s="126">
        <f t="shared" si="402"/>
        <v>0</v>
      </c>
      <c r="AG427" s="180"/>
      <c r="AH427" s="180"/>
      <c r="AI427" s="180">
        <f>SUM(AJ427:AM427)</f>
        <v>0</v>
      </c>
      <c r="AJ427" s="180">
        <f>D427+J427-Q427-X427-AD427</f>
        <v>0</v>
      </c>
      <c r="AK427" s="180">
        <f>E427+K427-R427-Y427-AE427</f>
        <v>0</v>
      </c>
      <c r="AL427" s="180">
        <f>F427+M427-T427-AA427-AG427</f>
        <v>0</v>
      </c>
      <c r="AM427" s="180">
        <f>G427+N427-U427-AB427-AH427</f>
        <v>0</v>
      </c>
      <c r="AN427" s="126"/>
      <c r="AO427" s="130">
        <f t="shared" si="384"/>
        <v>0</v>
      </c>
      <c r="AP427" s="116"/>
    </row>
    <row r="428" spans="1:42" s="117" customFormat="1" ht="14" hidden="1" outlineLevel="1">
      <c r="A428" s="139"/>
      <c r="B428" s="182" t="s">
        <v>736</v>
      </c>
      <c r="C428" s="180">
        <f>SUM(D428:G428)</f>
        <v>0</v>
      </c>
      <c r="D428" s="180">
        <v>0</v>
      </c>
      <c r="E428" s="180">
        <v>0</v>
      </c>
      <c r="F428" s="180">
        <v>0</v>
      </c>
      <c r="G428" s="180">
        <v>0</v>
      </c>
      <c r="H428" s="126">
        <f>I428+L428</f>
        <v>1029</v>
      </c>
      <c r="I428" s="126">
        <f>J428+K428</f>
        <v>1029</v>
      </c>
      <c r="J428" s="126"/>
      <c r="K428" s="126">
        <v>1029</v>
      </c>
      <c r="L428" s="126"/>
      <c r="M428" s="180"/>
      <c r="N428" s="180"/>
      <c r="O428" s="126">
        <f>P428+S428</f>
        <v>1029</v>
      </c>
      <c r="P428" s="126">
        <f>Q428+R428</f>
        <v>1029</v>
      </c>
      <c r="Q428" s="126"/>
      <c r="R428" s="126">
        <v>1029</v>
      </c>
      <c r="S428" s="126">
        <f>T428+U428</f>
        <v>0</v>
      </c>
      <c r="T428" s="180"/>
      <c r="U428" s="180"/>
      <c r="V428" s="180"/>
      <c r="W428" s="180"/>
      <c r="X428" s="180"/>
      <c r="Y428" s="180"/>
      <c r="Z428" s="180"/>
      <c r="AA428" s="180"/>
      <c r="AB428" s="180"/>
      <c r="AC428" s="126"/>
      <c r="AD428" s="126"/>
      <c r="AE428" s="126"/>
      <c r="AF428" s="126"/>
      <c r="AG428" s="180"/>
      <c r="AH428" s="180"/>
      <c r="AI428" s="180">
        <f>SUM(AJ428:AM428)</f>
        <v>0</v>
      </c>
      <c r="AJ428" s="180">
        <f>D428+J428-Q428-X428-AD428</f>
        <v>0</v>
      </c>
      <c r="AK428" s="180">
        <f>E428+K428-R428-Y428-AE428</f>
        <v>0</v>
      </c>
      <c r="AL428" s="180">
        <f>F428+M428-T428-AA428-AG428</f>
        <v>0</v>
      </c>
      <c r="AM428" s="180">
        <f>G428+N428-U428-AB428-AH428</f>
        <v>0</v>
      </c>
      <c r="AN428" s="126"/>
      <c r="AO428" s="130">
        <f t="shared" si="384"/>
        <v>0</v>
      </c>
      <c r="AP428" s="116"/>
    </row>
    <row r="429" spans="1:42" s="117" customFormat="1" ht="14" hidden="1" outlineLevel="1">
      <c r="A429" s="139"/>
      <c r="B429" s="182" t="s">
        <v>737</v>
      </c>
      <c r="C429" s="180">
        <f t="shared" ref="C429" si="408">SUM(D429:G429)</f>
        <v>0</v>
      </c>
      <c r="D429" s="180">
        <v>0</v>
      </c>
      <c r="E429" s="180">
        <v>0</v>
      </c>
      <c r="F429" s="180">
        <v>0</v>
      </c>
      <c r="G429" s="180">
        <v>0</v>
      </c>
      <c r="H429" s="126">
        <f t="shared" ref="H429" si="409">I429+L429</f>
        <v>734.67377899999997</v>
      </c>
      <c r="I429" s="126">
        <f t="shared" ref="I429" si="410">J429+K429</f>
        <v>734.67377899999997</v>
      </c>
      <c r="J429" s="126"/>
      <c r="K429" s="126">
        <f>1481-746.326221</f>
        <v>734.67377899999997</v>
      </c>
      <c r="L429" s="126"/>
      <c r="M429" s="180"/>
      <c r="N429" s="180"/>
      <c r="O429" s="126">
        <f t="shared" ref="O429" si="411">P429+S429</f>
        <v>734.67377899999997</v>
      </c>
      <c r="P429" s="126">
        <f t="shared" ref="P429" si="412">Q429+R429</f>
        <v>734.67377899999997</v>
      </c>
      <c r="Q429" s="126"/>
      <c r="R429" s="126">
        <v>734.67377899999997</v>
      </c>
      <c r="S429" s="126">
        <f t="shared" ref="S429" si="413">T429+U429</f>
        <v>0</v>
      </c>
      <c r="T429" s="180"/>
      <c r="U429" s="180"/>
      <c r="V429" s="180"/>
      <c r="W429" s="180"/>
      <c r="X429" s="180"/>
      <c r="Y429" s="180"/>
      <c r="Z429" s="180"/>
      <c r="AA429" s="180"/>
      <c r="AB429" s="180"/>
      <c r="AC429" s="126"/>
      <c r="AD429" s="126"/>
      <c r="AE429" s="126"/>
      <c r="AF429" s="126"/>
      <c r="AG429" s="180"/>
      <c r="AH429" s="180"/>
      <c r="AI429" s="180">
        <f t="shared" ref="AI429" si="414">SUM(AJ429:AM429)</f>
        <v>0</v>
      </c>
      <c r="AJ429" s="180">
        <f t="shared" ref="AJ429:AK429" si="415">D429+J429-Q429-X429-AD429</f>
        <v>0</v>
      </c>
      <c r="AK429" s="180">
        <f t="shared" si="415"/>
        <v>0</v>
      </c>
      <c r="AL429" s="180">
        <f t="shared" ref="AL429:AM429" si="416">F429+M429-T429-AA429-AG429</f>
        <v>0</v>
      </c>
      <c r="AM429" s="180">
        <f t="shared" si="416"/>
        <v>0</v>
      </c>
      <c r="AN429" s="126"/>
      <c r="AO429" s="130">
        <f t="shared" si="384"/>
        <v>0</v>
      </c>
      <c r="AP429" s="116"/>
    </row>
    <row r="430" spans="1:42" s="117" customFormat="1" ht="14" hidden="1" outlineLevel="1">
      <c r="A430" s="139"/>
      <c r="B430" s="137" t="s">
        <v>604</v>
      </c>
      <c r="C430" s="180">
        <f t="shared" si="377"/>
        <v>7.5819999999999999</v>
      </c>
      <c r="D430" s="180">
        <v>0</v>
      </c>
      <c r="E430" s="180">
        <f>7.582</f>
        <v>7.5819999999999999</v>
      </c>
      <c r="F430" s="180">
        <v>0</v>
      </c>
      <c r="G430" s="180">
        <v>0</v>
      </c>
      <c r="H430" s="126">
        <f t="shared" si="397"/>
        <v>889.15572900000006</v>
      </c>
      <c r="I430" s="126">
        <f t="shared" si="398"/>
        <v>889.15572900000006</v>
      </c>
      <c r="J430" s="126"/>
      <c r="K430" s="126">
        <f>120.300553+0.01578+2.333556+20.179619+746.326221</f>
        <v>889.15572900000006</v>
      </c>
      <c r="L430" s="126"/>
      <c r="M430" s="180"/>
      <c r="N430" s="180"/>
      <c r="O430" s="126">
        <f t="shared" si="405"/>
        <v>0</v>
      </c>
      <c r="P430" s="126">
        <f t="shared" si="406"/>
        <v>0</v>
      </c>
      <c r="Q430" s="126"/>
      <c r="R430" s="126"/>
      <c r="S430" s="126">
        <f t="shared" si="407"/>
        <v>0</v>
      </c>
      <c r="T430" s="180"/>
      <c r="U430" s="180"/>
      <c r="V430" s="180"/>
      <c r="W430" s="180"/>
      <c r="X430" s="180"/>
      <c r="Y430" s="180"/>
      <c r="Z430" s="180"/>
      <c r="AA430" s="180"/>
      <c r="AB430" s="180"/>
      <c r="AC430" s="126"/>
      <c r="AD430" s="126"/>
      <c r="AE430" s="126"/>
      <c r="AF430" s="126"/>
      <c r="AG430" s="180"/>
      <c r="AH430" s="180"/>
      <c r="AI430" s="180">
        <f t="shared" si="378"/>
        <v>896.73772900000006</v>
      </c>
      <c r="AJ430" s="180">
        <f t="shared" si="403"/>
        <v>0</v>
      </c>
      <c r="AK430" s="180">
        <f t="shared" si="403"/>
        <v>896.73772900000006</v>
      </c>
      <c r="AL430" s="180">
        <f t="shared" si="404"/>
        <v>0</v>
      </c>
      <c r="AM430" s="180">
        <f t="shared" si="404"/>
        <v>0</v>
      </c>
      <c r="AN430" s="126"/>
      <c r="AO430" s="130">
        <f t="shared" si="384"/>
        <v>0</v>
      </c>
      <c r="AP430" s="116"/>
    </row>
    <row r="431" spans="1:42" s="117" customFormat="1" ht="28" collapsed="1">
      <c r="A431" s="139">
        <v>17</v>
      </c>
      <c r="B431" s="181" t="s">
        <v>738</v>
      </c>
      <c r="C431" s="126">
        <f>SUM(C432:C436)</f>
        <v>155</v>
      </c>
      <c r="D431" s="126">
        <f t="shared" ref="D431:AM431" si="417">SUM(D432:D436)</f>
        <v>0</v>
      </c>
      <c r="E431" s="126">
        <f t="shared" si="417"/>
        <v>155</v>
      </c>
      <c r="F431" s="126">
        <f t="shared" si="417"/>
        <v>0</v>
      </c>
      <c r="G431" s="126">
        <f t="shared" si="417"/>
        <v>0</v>
      </c>
      <c r="H431" s="126">
        <f t="shared" si="417"/>
        <v>10215</v>
      </c>
      <c r="I431" s="126">
        <f t="shared" si="417"/>
        <v>10215</v>
      </c>
      <c r="J431" s="126">
        <f t="shared" si="417"/>
        <v>0</v>
      </c>
      <c r="K431" s="126">
        <f t="shared" si="417"/>
        <v>10215</v>
      </c>
      <c r="L431" s="126">
        <f t="shared" si="417"/>
        <v>0</v>
      </c>
      <c r="M431" s="126">
        <f t="shared" si="417"/>
        <v>0</v>
      </c>
      <c r="N431" s="126">
        <f t="shared" si="417"/>
        <v>0</v>
      </c>
      <c r="O431" s="126">
        <f t="shared" si="417"/>
        <v>7834.0640000000003</v>
      </c>
      <c r="P431" s="126">
        <f t="shared" si="417"/>
        <v>7834.0640000000003</v>
      </c>
      <c r="Q431" s="126">
        <f t="shared" si="417"/>
        <v>0</v>
      </c>
      <c r="R431" s="126">
        <f t="shared" si="417"/>
        <v>7834.0640000000003</v>
      </c>
      <c r="S431" s="126">
        <f t="shared" si="417"/>
        <v>0</v>
      </c>
      <c r="T431" s="126">
        <f t="shared" si="417"/>
        <v>0</v>
      </c>
      <c r="U431" s="126">
        <f t="shared" si="417"/>
        <v>0</v>
      </c>
      <c r="V431" s="126">
        <f t="shared" si="417"/>
        <v>0</v>
      </c>
      <c r="W431" s="126">
        <f t="shared" si="417"/>
        <v>0</v>
      </c>
      <c r="X431" s="126">
        <f t="shared" si="417"/>
        <v>0</v>
      </c>
      <c r="Y431" s="126">
        <f t="shared" si="417"/>
        <v>0</v>
      </c>
      <c r="Z431" s="126">
        <f t="shared" si="417"/>
        <v>0</v>
      </c>
      <c r="AA431" s="126">
        <f t="shared" si="417"/>
        <v>0</v>
      </c>
      <c r="AB431" s="126">
        <f t="shared" si="417"/>
        <v>0</v>
      </c>
      <c r="AC431" s="126">
        <f t="shared" si="417"/>
        <v>0</v>
      </c>
      <c r="AD431" s="126">
        <f t="shared" si="417"/>
        <v>0</v>
      </c>
      <c r="AE431" s="126">
        <f t="shared" si="417"/>
        <v>0</v>
      </c>
      <c r="AF431" s="126">
        <f t="shared" si="417"/>
        <v>0</v>
      </c>
      <c r="AG431" s="126">
        <f t="shared" si="417"/>
        <v>0</v>
      </c>
      <c r="AH431" s="126">
        <f t="shared" si="417"/>
        <v>0</v>
      </c>
      <c r="AI431" s="126">
        <f t="shared" si="417"/>
        <v>2535.9360000000001</v>
      </c>
      <c r="AJ431" s="126">
        <f t="shared" si="417"/>
        <v>0</v>
      </c>
      <c r="AK431" s="126">
        <f t="shared" si="417"/>
        <v>2535.9360000000001</v>
      </c>
      <c r="AL431" s="126">
        <f t="shared" si="417"/>
        <v>0</v>
      </c>
      <c r="AM431" s="126">
        <f t="shared" si="417"/>
        <v>0</v>
      </c>
      <c r="AN431" s="126"/>
      <c r="AO431" s="130">
        <f t="shared" si="384"/>
        <v>0</v>
      </c>
      <c r="AP431" s="116"/>
    </row>
    <row r="432" spans="1:42" s="117" customFormat="1" ht="14" hidden="1" outlineLevel="1">
      <c r="A432" s="139"/>
      <c r="B432" s="182" t="s">
        <v>739</v>
      </c>
      <c r="C432" s="180">
        <f t="shared" si="377"/>
        <v>0</v>
      </c>
      <c r="D432" s="180">
        <v>0</v>
      </c>
      <c r="E432" s="180"/>
      <c r="F432" s="180">
        <v>0</v>
      </c>
      <c r="G432" s="180">
        <v>0</v>
      </c>
      <c r="H432" s="126">
        <f>I432+L432</f>
        <v>601.94599999999991</v>
      </c>
      <c r="I432" s="126">
        <f>J432+K432</f>
        <v>601.94599999999991</v>
      </c>
      <c r="J432" s="126"/>
      <c r="K432" s="126">
        <f>2957-2355.054</f>
        <v>601.94599999999991</v>
      </c>
      <c r="L432" s="126"/>
      <c r="M432" s="180"/>
      <c r="N432" s="180"/>
      <c r="O432" s="126">
        <f t="shared" si="405"/>
        <v>601.94599999999991</v>
      </c>
      <c r="P432" s="126">
        <f t="shared" si="406"/>
        <v>601.94599999999991</v>
      </c>
      <c r="Q432" s="126"/>
      <c r="R432" s="126">
        <f>2187-1585.054</f>
        <v>601.94599999999991</v>
      </c>
      <c r="S432" s="126">
        <f t="shared" si="407"/>
        <v>0</v>
      </c>
      <c r="T432" s="180"/>
      <c r="U432" s="180"/>
      <c r="V432" s="180"/>
      <c r="W432" s="180"/>
      <c r="X432" s="180"/>
      <c r="Y432" s="180"/>
      <c r="Z432" s="180"/>
      <c r="AA432" s="180"/>
      <c r="AB432" s="180"/>
      <c r="AC432" s="126"/>
      <c r="AD432" s="126"/>
      <c r="AE432" s="126"/>
      <c r="AF432" s="126"/>
      <c r="AG432" s="180"/>
      <c r="AH432" s="180"/>
      <c r="AI432" s="180">
        <f t="shared" si="378"/>
        <v>0</v>
      </c>
      <c r="AJ432" s="180">
        <f t="shared" ref="AJ432:AK436" si="418">D432+J432-Q432-X432-AD432</f>
        <v>0</v>
      </c>
      <c r="AK432" s="180">
        <f t="shared" si="418"/>
        <v>0</v>
      </c>
      <c r="AL432" s="180">
        <f t="shared" ref="AL432:AM436" si="419">F432+M432-T432-AA432-AG432</f>
        <v>0</v>
      </c>
      <c r="AM432" s="180">
        <f t="shared" si="419"/>
        <v>0</v>
      </c>
      <c r="AN432" s="126"/>
      <c r="AO432" s="130">
        <f t="shared" si="384"/>
        <v>0</v>
      </c>
      <c r="AP432" s="116"/>
    </row>
    <row r="433" spans="1:42" s="117" customFormat="1" ht="14" hidden="1" outlineLevel="1">
      <c r="A433" s="139"/>
      <c r="B433" s="182" t="s">
        <v>740</v>
      </c>
      <c r="C433" s="180">
        <f t="shared" si="377"/>
        <v>14.634</v>
      </c>
      <c r="D433" s="180">
        <v>0</v>
      </c>
      <c r="E433" s="180">
        <f>14.634</f>
        <v>14.634</v>
      </c>
      <c r="F433" s="180">
        <v>0</v>
      </c>
      <c r="G433" s="180">
        <v>0</v>
      </c>
      <c r="H433" s="126">
        <f>I433+L433</f>
        <v>2820.5419999999999</v>
      </c>
      <c r="I433" s="126">
        <f>J433+K433</f>
        <v>2820.5419999999999</v>
      </c>
      <c r="J433" s="126"/>
      <c r="K433" s="126">
        <f>2896-75.458</f>
        <v>2820.5419999999999</v>
      </c>
      <c r="L433" s="126"/>
      <c r="M433" s="180"/>
      <c r="N433" s="180"/>
      <c r="O433" s="126">
        <f t="shared" si="405"/>
        <v>2835.1759999999999</v>
      </c>
      <c r="P433" s="126">
        <f t="shared" si="406"/>
        <v>2835.1759999999999</v>
      </c>
      <c r="Q433" s="126"/>
      <c r="R433" s="126">
        <f>2820.542+14.634</f>
        <v>2835.1759999999999</v>
      </c>
      <c r="S433" s="126">
        <f t="shared" si="407"/>
        <v>0</v>
      </c>
      <c r="T433" s="180"/>
      <c r="U433" s="180"/>
      <c r="V433" s="180"/>
      <c r="W433" s="180"/>
      <c r="X433" s="180"/>
      <c r="Y433" s="180"/>
      <c r="Z433" s="180"/>
      <c r="AA433" s="180"/>
      <c r="AB433" s="180"/>
      <c r="AC433" s="126"/>
      <c r="AD433" s="126"/>
      <c r="AE433" s="126"/>
      <c r="AF433" s="126"/>
      <c r="AG433" s="180"/>
      <c r="AH433" s="180"/>
      <c r="AI433" s="180">
        <f t="shared" si="378"/>
        <v>0</v>
      </c>
      <c r="AJ433" s="180">
        <f t="shared" si="418"/>
        <v>0</v>
      </c>
      <c r="AK433" s="180">
        <f t="shared" si="418"/>
        <v>0</v>
      </c>
      <c r="AL433" s="180">
        <f t="shared" si="419"/>
        <v>0</v>
      </c>
      <c r="AM433" s="180">
        <f t="shared" si="419"/>
        <v>0</v>
      </c>
      <c r="AN433" s="126"/>
      <c r="AO433" s="130">
        <f t="shared" si="384"/>
        <v>0</v>
      </c>
      <c r="AP433" s="116"/>
    </row>
    <row r="434" spans="1:42" s="117" customFormat="1" ht="14" hidden="1" outlineLevel="1">
      <c r="A434" s="139"/>
      <c r="B434" s="182" t="s">
        <v>741</v>
      </c>
      <c r="C434" s="180">
        <f t="shared" si="377"/>
        <v>35.4</v>
      </c>
      <c r="D434" s="180">
        <v>0</v>
      </c>
      <c r="E434" s="180">
        <f>35.4</f>
        <v>35.4</v>
      </c>
      <c r="F434" s="180">
        <v>0</v>
      </c>
      <c r="G434" s="180">
        <v>0</v>
      </c>
      <c r="H434" s="126">
        <f>I434+L434</f>
        <v>2075</v>
      </c>
      <c r="I434" s="126">
        <f>J434+K434</f>
        <v>2075</v>
      </c>
      <c r="J434" s="126"/>
      <c r="K434" s="126">
        <v>2075</v>
      </c>
      <c r="L434" s="126"/>
      <c r="M434" s="180"/>
      <c r="N434" s="180"/>
      <c r="O434" s="126">
        <f t="shared" si="405"/>
        <v>2110.4</v>
      </c>
      <c r="P434" s="126">
        <f t="shared" si="406"/>
        <v>2110.4</v>
      </c>
      <c r="Q434" s="126"/>
      <c r="R434" s="126">
        <f>K434+35.4</f>
        <v>2110.4</v>
      </c>
      <c r="S434" s="126">
        <f t="shared" si="407"/>
        <v>0</v>
      </c>
      <c r="T434" s="180"/>
      <c r="U434" s="180"/>
      <c r="V434" s="180"/>
      <c r="W434" s="180"/>
      <c r="X434" s="180"/>
      <c r="Y434" s="180"/>
      <c r="Z434" s="180"/>
      <c r="AA434" s="180"/>
      <c r="AB434" s="180"/>
      <c r="AC434" s="126"/>
      <c r="AD434" s="126"/>
      <c r="AE434" s="126"/>
      <c r="AF434" s="126"/>
      <c r="AG434" s="180"/>
      <c r="AH434" s="180"/>
      <c r="AI434" s="180">
        <f t="shared" si="378"/>
        <v>0</v>
      </c>
      <c r="AJ434" s="180">
        <f t="shared" si="418"/>
        <v>0</v>
      </c>
      <c r="AK434" s="180">
        <f t="shared" si="418"/>
        <v>0</v>
      </c>
      <c r="AL434" s="180">
        <f t="shared" si="419"/>
        <v>0</v>
      </c>
      <c r="AM434" s="180">
        <f t="shared" si="419"/>
        <v>0</v>
      </c>
      <c r="AN434" s="126"/>
      <c r="AO434" s="130">
        <f t="shared" si="384"/>
        <v>0</v>
      </c>
      <c r="AP434" s="116"/>
    </row>
    <row r="435" spans="1:42" s="117" customFormat="1" ht="14" hidden="1" outlineLevel="1">
      <c r="A435" s="139"/>
      <c r="B435" s="182" t="s">
        <v>742</v>
      </c>
      <c r="C435" s="180">
        <f t="shared" si="377"/>
        <v>0</v>
      </c>
      <c r="D435" s="180">
        <v>0</v>
      </c>
      <c r="E435" s="180"/>
      <c r="F435" s="180">
        <v>0</v>
      </c>
      <c r="G435" s="180">
        <v>0</v>
      </c>
      <c r="H435" s="126">
        <f>I435+L435</f>
        <v>2286.5419999999999</v>
      </c>
      <c r="I435" s="126">
        <f>J435+K435</f>
        <v>2286.5419999999999</v>
      </c>
      <c r="J435" s="126"/>
      <c r="K435" s="126">
        <f>2287-0.458</f>
        <v>2286.5419999999999</v>
      </c>
      <c r="L435" s="126"/>
      <c r="M435" s="180"/>
      <c r="N435" s="180"/>
      <c r="O435" s="126">
        <f t="shared" si="405"/>
        <v>2286.5419999999999</v>
      </c>
      <c r="P435" s="126">
        <f t="shared" si="406"/>
        <v>2286.5419999999999</v>
      </c>
      <c r="Q435" s="126"/>
      <c r="R435" s="126">
        <v>2286.5419999999999</v>
      </c>
      <c r="S435" s="126">
        <f t="shared" si="407"/>
        <v>0</v>
      </c>
      <c r="T435" s="180"/>
      <c r="U435" s="180"/>
      <c r="V435" s="180"/>
      <c r="W435" s="180"/>
      <c r="X435" s="180"/>
      <c r="Y435" s="180"/>
      <c r="Z435" s="180"/>
      <c r="AA435" s="180"/>
      <c r="AB435" s="180"/>
      <c r="AC435" s="126"/>
      <c r="AD435" s="126"/>
      <c r="AE435" s="126"/>
      <c r="AF435" s="126"/>
      <c r="AG435" s="180"/>
      <c r="AH435" s="180"/>
      <c r="AI435" s="180">
        <f t="shared" si="378"/>
        <v>0</v>
      </c>
      <c r="AJ435" s="180">
        <f t="shared" si="418"/>
        <v>0</v>
      </c>
      <c r="AK435" s="180">
        <f t="shared" si="418"/>
        <v>0</v>
      </c>
      <c r="AL435" s="180">
        <f t="shared" si="419"/>
        <v>0</v>
      </c>
      <c r="AM435" s="180">
        <f t="shared" si="419"/>
        <v>0</v>
      </c>
      <c r="AN435" s="126"/>
      <c r="AO435" s="130">
        <f t="shared" si="384"/>
        <v>0</v>
      </c>
      <c r="AP435" s="116"/>
    </row>
    <row r="436" spans="1:42" s="117" customFormat="1" ht="14" hidden="1" outlineLevel="1">
      <c r="A436" s="139"/>
      <c r="B436" s="137" t="s">
        <v>604</v>
      </c>
      <c r="C436" s="180">
        <f t="shared" ref="C436" si="420">SUM(D436:G436)</f>
        <v>104.96599999999999</v>
      </c>
      <c r="D436" s="180">
        <v>0</v>
      </c>
      <c r="E436" s="180">
        <f>155-35.4-14.634</f>
        <v>104.96599999999999</v>
      </c>
      <c r="F436" s="180">
        <v>0</v>
      </c>
      <c r="G436" s="180">
        <v>0</v>
      </c>
      <c r="H436" s="126">
        <f>I436+L436</f>
        <v>2430.9700000000003</v>
      </c>
      <c r="I436" s="126">
        <f>J436+K436</f>
        <v>2430.9700000000003</v>
      </c>
      <c r="J436" s="126"/>
      <c r="K436" s="126">
        <f>2355.054+75.458+0.458</f>
        <v>2430.9700000000003</v>
      </c>
      <c r="L436" s="126"/>
      <c r="M436" s="180"/>
      <c r="N436" s="180"/>
      <c r="O436" s="126">
        <f t="shared" si="405"/>
        <v>0</v>
      </c>
      <c r="P436" s="126">
        <f t="shared" si="406"/>
        <v>0</v>
      </c>
      <c r="Q436" s="126"/>
      <c r="R436" s="126"/>
      <c r="S436" s="126">
        <f t="shared" si="407"/>
        <v>0</v>
      </c>
      <c r="T436" s="180"/>
      <c r="U436" s="180"/>
      <c r="V436" s="180"/>
      <c r="W436" s="180"/>
      <c r="X436" s="180"/>
      <c r="Y436" s="180"/>
      <c r="Z436" s="180"/>
      <c r="AA436" s="180"/>
      <c r="AB436" s="180"/>
      <c r="AC436" s="126"/>
      <c r="AD436" s="126"/>
      <c r="AE436" s="126"/>
      <c r="AF436" s="126"/>
      <c r="AG436" s="180"/>
      <c r="AH436" s="180"/>
      <c r="AI436" s="180">
        <f t="shared" ref="AI436" si="421">SUM(AJ436:AM436)</f>
        <v>2535.9360000000001</v>
      </c>
      <c r="AJ436" s="180">
        <f t="shared" si="418"/>
        <v>0</v>
      </c>
      <c r="AK436" s="180">
        <f t="shared" si="418"/>
        <v>2535.9360000000001</v>
      </c>
      <c r="AL436" s="180">
        <f t="shared" si="419"/>
        <v>0</v>
      </c>
      <c r="AM436" s="180">
        <f t="shared" si="419"/>
        <v>0</v>
      </c>
      <c r="AN436" s="126"/>
      <c r="AO436" s="130">
        <f t="shared" si="384"/>
        <v>0</v>
      </c>
      <c r="AP436" s="116"/>
    </row>
    <row r="437" spans="1:42" s="117" customFormat="1" ht="42" collapsed="1">
      <c r="A437" s="136">
        <v>18</v>
      </c>
      <c r="B437" s="137" t="s">
        <v>743</v>
      </c>
      <c r="C437" s="126">
        <f t="shared" ref="C437:AM437" si="422">C438</f>
        <v>0</v>
      </c>
      <c r="D437" s="126">
        <f t="shared" si="422"/>
        <v>0</v>
      </c>
      <c r="E437" s="126">
        <f t="shared" si="422"/>
        <v>0</v>
      </c>
      <c r="F437" s="126">
        <f t="shared" si="422"/>
        <v>0</v>
      </c>
      <c r="G437" s="126">
        <f t="shared" si="422"/>
        <v>0</v>
      </c>
      <c r="H437" s="126">
        <f t="shared" si="422"/>
        <v>2300</v>
      </c>
      <c r="I437" s="126">
        <f t="shared" si="422"/>
        <v>2300</v>
      </c>
      <c r="J437" s="126">
        <f t="shared" si="422"/>
        <v>0</v>
      </c>
      <c r="K437" s="126">
        <f t="shared" si="422"/>
        <v>2300</v>
      </c>
      <c r="L437" s="126">
        <f t="shared" si="422"/>
        <v>0</v>
      </c>
      <c r="M437" s="126">
        <f t="shared" si="422"/>
        <v>0</v>
      </c>
      <c r="N437" s="126">
        <f t="shared" si="422"/>
        <v>0</v>
      </c>
      <c r="O437" s="126">
        <f t="shared" si="422"/>
        <v>2300</v>
      </c>
      <c r="P437" s="126">
        <f t="shared" si="422"/>
        <v>2300</v>
      </c>
      <c r="Q437" s="126">
        <f t="shared" si="422"/>
        <v>0</v>
      </c>
      <c r="R437" s="126">
        <f t="shared" si="422"/>
        <v>2300</v>
      </c>
      <c r="S437" s="126">
        <f t="shared" si="422"/>
        <v>0</v>
      </c>
      <c r="T437" s="126">
        <f t="shared" si="422"/>
        <v>0</v>
      </c>
      <c r="U437" s="126">
        <f t="shared" si="422"/>
        <v>0</v>
      </c>
      <c r="V437" s="126">
        <f t="shared" si="422"/>
        <v>0</v>
      </c>
      <c r="W437" s="126">
        <f t="shared" si="422"/>
        <v>0</v>
      </c>
      <c r="X437" s="126">
        <f t="shared" si="422"/>
        <v>0</v>
      </c>
      <c r="Y437" s="126">
        <f t="shared" si="422"/>
        <v>0</v>
      </c>
      <c r="Z437" s="126">
        <f t="shared" si="422"/>
        <v>0</v>
      </c>
      <c r="AA437" s="126">
        <f t="shared" si="422"/>
        <v>0</v>
      </c>
      <c r="AB437" s="126">
        <f t="shared" si="422"/>
        <v>0</v>
      </c>
      <c r="AC437" s="126">
        <f t="shared" si="422"/>
        <v>0</v>
      </c>
      <c r="AD437" s="126">
        <f t="shared" si="422"/>
        <v>0</v>
      </c>
      <c r="AE437" s="126">
        <f t="shared" si="422"/>
        <v>0</v>
      </c>
      <c r="AF437" s="126">
        <f t="shared" si="422"/>
        <v>0</v>
      </c>
      <c r="AG437" s="126">
        <f t="shared" si="422"/>
        <v>0</v>
      </c>
      <c r="AH437" s="126">
        <f t="shared" si="422"/>
        <v>0</v>
      </c>
      <c r="AI437" s="126">
        <f t="shared" si="378"/>
        <v>0</v>
      </c>
      <c r="AJ437" s="126">
        <f t="shared" si="422"/>
        <v>0</v>
      </c>
      <c r="AK437" s="126">
        <f t="shared" si="422"/>
        <v>0</v>
      </c>
      <c r="AL437" s="126">
        <f t="shared" si="422"/>
        <v>0</v>
      </c>
      <c r="AM437" s="126">
        <f t="shared" si="422"/>
        <v>0</v>
      </c>
      <c r="AN437" s="126"/>
      <c r="AO437" s="130">
        <f t="shared" si="384"/>
        <v>0</v>
      </c>
      <c r="AP437" s="116"/>
    </row>
    <row r="438" spans="1:42" s="117" customFormat="1" ht="14" hidden="1" outlineLevel="1">
      <c r="A438" s="136"/>
      <c r="B438" s="137" t="s">
        <v>316</v>
      </c>
      <c r="C438" s="126">
        <f t="shared" si="377"/>
        <v>0</v>
      </c>
      <c r="D438" s="126">
        <v>0</v>
      </c>
      <c r="E438" s="126">
        <v>0</v>
      </c>
      <c r="F438" s="126">
        <v>0</v>
      </c>
      <c r="G438" s="126">
        <v>0</v>
      </c>
      <c r="H438" s="126">
        <f>I438+L438</f>
        <v>2300</v>
      </c>
      <c r="I438" s="126">
        <f>J438+K438</f>
        <v>2300</v>
      </c>
      <c r="J438" s="126"/>
      <c r="K438" s="126">
        <v>2300</v>
      </c>
      <c r="L438" s="126"/>
      <c r="M438" s="126"/>
      <c r="N438" s="126"/>
      <c r="O438" s="126">
        <f t="shared" si="405"/>
        <v>2300</v>
      </c>
      <c r="P438" s="126">
        <f t="shared" si="406"/>
        <v>2300</v>
      </c>
      <c r="Q438" s="126"/>
      <c r="R438" s="126">
        <v>2300</v>
      </c>
      <c r="S438" s="126">
        <f t="shared" si="407"/>
        <v>0</v>
      </c>
      <c r="T438" s="126"/>
      <c r="U438" s="126"/>
      <c r="V438" s="126">
        <f>W438+Z438</f>
        <v>0</v>
      </c>
      <c r="W438" s="126">
        <f>X438+Y438</f>
        <v>0</v>
      </c>
      <c r="X438" s="126"/>
      <c r="Y438" s="126"/>
      <c r="Z438" s="126"/>
      <c r="AA438" s="126"/>
      <c r="AB438" s="126"/>
      <c r="AC438" s="126"/>
      <c r="AD438" s="126"/>
      <c r="AE438" s="126"/>
      <c r="AF438" s="126"/>
      <c r="AG438" s="126"/>
      <c r="AH438" s="126"/>
      <c r="AI438" s="126">
        <f t="shared" si="378"/>
        <v>0</v>
      </c>
      <c r="AJ438" s="126">
        <f>D438+J438-Q438-X438-AD438</f>
        <v>0</v>
      </c>
      <c r="AK438" s="126">
        <f>E438+K438-R438-Y438-AE438</f>
        <v>0</v>
      </c>
      <c r="AL438" s="126">
        <f>F438+M438-T438-AA438-AG438</f>
        <v>0</v>
      </c>
      <c r="AM438" s="126">
        <f>G438+N438-U438-AB438-AH438</f>
        <v>0</v>
      </c>
      <c r="AN438" s="126"/>
      <c r="AO438" s="130">
        <f t="shared" si="384"/>
        <v>0</v>
      </c>
      <c r="AP438" s="116"/>
    </row>
    <row r="439" spans="1:42" s="117" customFormat="1" ht="28" collapsed="1">
      <c r="A439" s="139">
        <v>19</v>
      </c>
      <c r="B439" s="181" t="s">
        <v>744</v>
      </c>
      <c r="C439" s="126">
        <f>SUM(C440:C462)</f>
        <v>280</v>
      </c>
      <c r="D439" s="126">
        <f>SUM(D440:D462)</f>
        <v>0</v>
      </c>
      <c r="E439" s="126">
        <f>SUM(E440:E462)</f>
        <v>280</v>
      </c>
      <c r="F439" s="126">
        <f>SUM(F440:F462)</f>
        <v>0</v>
      </c>
      <c r="G439" s="126">
        <f>SUM(G440:G462)</f>
        <v>0</v>
      </c>
      <c r="H439" s="126">
        <f t="shared" ref="H439:N439" si="423">SUM(H440:H462)</f>
        <v>9274.9999999999982</v>
      </c>
      <c r="I439" s="126">
        <f t="shared" si="423"/>
        <v>8348</v>
      </c>
      <c r="J439" s="126">
        <f t="shared" si="423"/>
        <v>0</v>
      </c>
      <c r="K439" s="126">
        <f t="shared" si="423"/>
        <v>8348</v>
      </c>
      <c r="L439" s="126">
        <f t="shared" si="423"/>
        <v>927</v>
      </c>
      <c r="M439" s="126">
        <f t="shared" si="423"/>
        <v>0</v>
      </c>
      <c r="N439" s="126">
        <f t="shared" si="423"/>
        <v>927</v>
      </c>
      <c r="O439" s="126">
        <f t="shared" si="405"/>
        <v>8968.8723309999987</v>
      </c>
      <c r="P439" s="126">
        <f>SUM(P440:P462)</f>
        <v>8131.8723309999996</v>
      </c>
      <c r="Q439" s="126">
        <f>SUM(Q440:Q462)</f>
        <v>0</v>
      </c>
      <c r="R439" s="126">
        <f>SUM(R440:R462)</f>
        <v>8131.8723309999996</v>
      </c>
      <c r="S439" s="126">
        <f t="shared" si="407"/>
        <v>837</v>
      </c>
      <c r="T439" s="126">
        <f t="shared" ref="T439:AH439" si="424">SUM(T440:T462)</f>
        <v>0</v>
      </c>
      <c r="U439" s="126">
        <f t="shared" si="424"/>
        <v>837</v>
      </c>
      <c r="V439" s="126">
        <f t="shared" si="424"/>
        <v>0</v>
      </c>
      <c r="W439" s="126">
        <f t="shared" si="424"/>
        <v>0</v>
      </c>
      <c r="X439" s="126">
        <f t="shared" si="424"/>
        <v>0</v>
      </c>
      <c r="Y439" s="126">
        <f t="shared" si="424"/>
        <v>0</v>
      </c>
      <c r="Z439" s="126">
        <f t="shared" si="424"/>
        <v>0</v>
      </c>
      <c r="AA439" s="126">
        <f t="shared" si="424"/>
        <v>0</v>
      </c>
      <c r="AB439" s="126">
        <f t="shared" si="424"/>
        <v>0</v>
      </c>
      <c r="AC439" s="126">
        <f t="shared" si="424"/>
        <v>0</v>
      </c>
      <c r="AD439" s="126">
        <f t="shared" si="424"/>
        <v>0</v>
      </c>
      <c r="AE439" s="126">
        <f t="shared" si="424"/>
        <v>0</v>
      </c>
      <c r="AF439" s="126">
        <f t="shared" si="424"/>
        <v>0</v>
      </c>
      <c r="AG439" s="126">
        <f t="shared" si="424"/>
        <v>0</v>
      </c>
      <c r="AH439" s="126">
        <f t="shared" si="424"/>
        <v>0</v>
      </c>
      <c r="AI439" s="126">
        <f t="shared" si="378"/>
        <v>586.12766900000042</v>
      </c>
      <c r="AJ439" s="126">
        <f t="shared" ref="AJ439:AK462" si="425">D439+J439-Q439-X439-AD439</f>
        <v>0</v>
      </c>
      <c r="AK439" s="126">
        <f t="shared" si="425"/>
        <v>496.12766900000042</v>
      </c>
      <c r="AL439" s="126">
        <f t="shared" ref="AL439:AM462" si="426">F439+M439-T439-AA439-AG439</f>
        <v>0</v>
      </c>
      <c r="AM439" s="126">
        <f t="shared" si="426"/>
        <v>90</v>
      </c>
      <c r="AN439" s="126"/>
      <c r="AO439" s="130">
        <f t="shared" si="384"/>
        <v>-9.0949470177292824E-13</v>
      </c>
      <c r="AP439" s="116"/>
    </row>
    <row r="440" spans="1:42" s="117" customFormat="1" ht="14" hidden="1" outlineLevel="1">
      <c r="A440" s="139"/>
      <c r="B440" s="181" t="s">
        <v>745</v>
      </c>
      <c r="C440" s="126">
        <f t="shared" si="377"/>
        <v>0</v>
      </c>
      <c r="D440" s="180">
        <v>0</v>
      </c>
      <c r="E440" s="180">
        <v>0</v>
      </c>
      <c r="F440" s="180">
        <v>0</v>
      </c>
      <c r="G440" s="180">
        <v>0</v>
      </c>
      <c r="H440" s="126">
        <f>I440+L440</f>
        <v>6492</v>
      </c>
      <c r="I440" s="126">
        <f>J440+K440</f>
        <v>6492</v>
      </c>
      <c r="J440" s="126"/>
      <c r="K440" s="126">
        <v>6492</v>
      </c>
      <c r="L440" s="126">
        <f>M440+N440</f>
        <v>0</v>
      </c>
      <c r="M440" s="180"/>
      <c r="N440" s="180"/>
      <c r="O440" s="126">
        <f t="shared" si="405"/>
        <v>6492</v>
      </c>
      <c r="P440" s="126">
        <f t="shared" si="406"/>
        <v>6492</v>
      </c>
      <c r="Q440" s="126"/>
      <c r="R440" s="126">
        <v>6492</v>
      </c>
      <c r="S440" s="126">
        <f t="shared" si="407"/>
        <v>0</v>
      </c>
      <c r="T440" s="180"/>
      <c r="U440" s="180"/>
      <c r="V440" s="180"/>
      <c r="W440" s="180"/>
      <c r="X440" s="180"/>
      <c r="Y440" s="180"/>
      <c r="Z440" s="180"/>
      <c r="AA440" s="180"/>
      <c r="AB440" s="180"/>
      <c r="AC440" s="126"/>
      <c r="AD440" s="126"/>
      <c r="AE440" s="126"/>
      <c r="AF440" s="126"/>
      <c r="AG440" s="180"/>
      <c r="AH440" s="180"/>
      <c r="AI440" s="126">
        <f t="shared" si="378"/>
        <v>0</v>
      </c>
      <c r="AJ440" s="126">
        <f t="shared" si="425"/>
        <v>0</v>
      </c>
      <c r="AK440" s="126">
        <f t="shared" si="425"/>
        <v>0</v>
      </c>
      <c r="AL440" s="126">
        <f t="shared" si="426"/>
        <v>0</v>
      </c>
      <c r="AM440" s="126">
        <f t="shared" si="426"/>
        <v>0</v>
      </c>
      <c r="AN440" s="126"/>
      <c r="AO440" s="130">
        <f t="shared" si="384"/>
        <v>0</v>
      </c>
      <c r="AP440" s="116"/>
    </row>
    <row r="441" spans="1:42" s="117" customFormat="1" ht="14" hidden="1" outlineLevel="1">
      <c r="A441" s="139"/>
      <c r="B441" s="181" t="s">
        <v>746</v>
      </c>
      <c r="C441" s="126">
        <f t="shared" si="377"/>
        <v>0</v>
      </c>
      <c r="D441" s="180">
        <v>0</v>
      </c>
      <c r="E441" s="180">
        <v>0</v>
      </c>
      <c r="F441" s="180">
        <v>0</v>
      </c>
      <c r="G441" s="180">
        <v>0</v>
      </c>
      <c r="H441" s="126">
        <f t="shared" ref="H441:H462" si="427">I441+L441</f>
        <v>453.37233099999997</v>
      </c>
      <c r="I441" s="126">
        <f t="shared" ref="I441:I462" si="428">J441+K441</f>
        <v>453.37233099999997</v>
      </c>
      <c r="J441" s="126"/>
      <c r="K441" s="126">
        <f>927-57.5-416.127669</f>
        <v>453.37233099999997</v>
      </c>
      <c r="L441" s="126">
        <f t="shared" ref="L441:L462" si="429">M441+N441</f>
        <v>0</v>
      </c>
      <c r="M441" s="180"/>
      <c r="N441" s="180"/>
      <c r="O441" s="126">
        <f t="shared" si="405"/>
        <v>453.37233099999997</v>
      </c>
      <c r="P441" s="126">
        <f t="shared" si="406"/>
        <v>453.37233099999997</v>
      </c>
      <c r="Q441" s="126"/>
      <c r="R441" s="126">
        <f>927-57.5-416.127669</f>
        <v>453.37233099999997</v>
      </c>
      <c r="S441" s="126">
        <f t="shared" si="407"/>
        <v>0</v>
      </c>
      <c r="T441" s="180"/>
      <c r="U441" s="180"/>
      <c r="V441" s="180"/>
      <c r="W441" s="180"/>
      <c r="X441" s="180"/>
      <c r="Y441" s="180"/>
      <c r="Z441" s="180"/>
      <c r="AA441" s="180"/>
      <c r="AB441" s="180"/>
      <c r="AC441" s="126"/>
      <c r="AD441" s="126"/>
      <c r="AE441" s="126"/>
      <c r="AF441" s="126"/>
      <c r="AG441" s="180"/>
      <c r="AH441" s="180"/>
      <c r="AI441" s="126">
        <f t="shared" si="378"/>
        <v>0</v>
      </c>
      <c r="AJ441" s="126">
        <f t="shared" si="425"/>
        <v>0</v>
      </c>
      <c r="AK441" s="126">
        <f t="shared" si="425"/>
        <v>0</v>
      </c>
      <c r="AL441" s="126">
        <f t="shared" si="426"/>
        <v>0</v>
      </c>
      <c r="AM441" s="126">
        <f t="shared" si="426"/>
        <v>0</v>
      </c>
      <c r="AN441" s="126"/>
      <c r="AO441" s="130">
        <f t="shared" si="384"/>
        <v>0</v>
      </c>
      <c r="AP441" s="116"/>
    </row>
    <row r="442" spans="1:42" s="117" customFormat="1" ht="14" hidden="1" outlineLevel="1">
      <c r="A442" s="139"/>
      <c r="B442" s="181" t="s">
        <v>747</v>
      </c>
      <c r="C442" s="126">
        <f t="shared" si="377"/>
        <v>0</v>
      </c>
      <c r="D442" s="180">
        <v>0</v>
      </c>
      <c r="E442" s="180">
        <v>0</v>
      </c>
      <c r="F442" s="180">
        <v>0</v>
      </c>
      <c r="G442" s="180">
        <v>0</v>
      </c>
      <c r="H442" s="126">
        <f t="shared" si="427"/>
        <v>40</v>
      </c>
      <c r="I442" s="126">
        <f t="shared" si="428"/>
        <v>40</v>
      </c>
      <c r="J442" s="126"/>
      <c r="K442" s="126">
        <v>40</v>
      </c>
      <c r="L442" s="126">
        <f t="shared" si="429"/>
        <v>0</v>
      </c>
      <c r="M442" s="180"/>
      <c r="N442" s="180"/>
      <c r="O442" s="126">
        <f t="shared" si="405"/>
        <v>40</v>
      </c>
      <c r="P442" s="126">
        <f t="shared" si="406"/>
        <v>40</v>
      </c>
      <c r="Q442" s="126"/>
      <c r="R442" s="126">
        <v>40</v>
      </c>
      <c r="S442" s="126">
        <f t="shared" si="407"/>
        <v>0</v>
      </c>
      <c r="T442" s="180"/>
      <c r="U442" s="180"/>
      <c r="V442" s="180"/>
      <c r="W442" s="180"/>
      <c r="X442" s="180"/>
      <c r="Y442" s="180"/>
      <c r="Z442" s="180"/>
      <c r="AA442" s="180"/>
      <c r="AB442" s="180"/>
      <c r="AC442" s="126"/>
      <c r="AD442" s="126"/>
      <c r="AE442" s="126"/>
      <c r="AF442" s="126"/>
      <c r="AG442" s="180"/>
      <c r="AH442" s="180"/>
      <c r="AI442" s="126">
        <f t="shared" si="378"/>
        <v>0</v>
      </c>
      <c r="AJ442" s="126">
        <f t="shared" si="425"/>
        <v>0</v>
      </c>
      <c r="AK442" s="126">
        <f t="shared" si="425"/>
        <v>0</v>
      </c>
      <c r="AL442" s="126">
        <f t="shared" si="426"/>
        <v>0</v>
      </c>
      <c r="AM442" s="126">
        <f t="shared" si="426"/>
        <v>0</v>
      </c>
      <c r="AN442" s="126"/>
      <c r="AO442" s="130">
        <f t="shared" si="384"/>
        <v>0</v>
      </c>
      <c r="AP442" s="116"/>
    </row>
    <row r="443" spans="1:42" s="117" customFormat="1" ht="14" hidden="1" outlineLevel="1">
      <c r="A443" s="139"/>
      <c r="B443" s="181" t="s">
        <v>748</v>
      </c>
      <c r="C443" s="126">
        <f t="shared" si="377"/>
        <v>0</v>
      </c>
      <c r="D443" s="180">
        <v>0</v>
      </c>
      <c r="E443" s="180">
        <v>0</v>
      </c>
      <c r="F443" s="180">
        <v>0</v>
      </c>
      <c r="G443" s="180">
        <v>0</v>
      </c>
      <c r="H443" s="126">
        <f t="shared" si="427"/>
        <v>40</v>
      </c>
      <c r="I443" s="126">
        <f t="shared" si="428"/>
        <v>40</v>
      </c>
      <c r="J443" s="126"/>
      <c r="K443" s="126">
        <v>40</v>
      </c>
      <c r="L443" s="126">
        <f t="shared" si="429"/>
        <v>0</v>
      </c>
      <c r="M443" s="180"/>
      <c r="N443" s="180"/>
      <c r="O443" s="126">
        <f t="shared" si="405"/>
        <v>40</v>
      </c>
      <c r="P443" s="126">
        <f t="shared" si="406"/>
        <v>40</v>
      </c>
      <c r="Q443" s="126"/>
      <c r="R443" s="126">
        <v>40</v>
      </c>
      <c r="S443" s="126">
        <f t="shared" si="407"/>
        <v>0</v>
      </c>
      <c r="T443" s="180"/>
      <c r="U443" s="126"/>
      <c r="V443" s="180"/>
      <c r="W443" s="180"/>
      <c r="X443" s="180"/>
      <c r="Y443" s="180"/>
      <c r="Z443" s="180"/>
      <c r="AA443" s="180"/>
      <c r="AB443" s="180"/>
      <c r="AC443" s="126"/>
      <c r="AD443" s="126"/>
      <c r="AE443" s="126"/>
      <c r="AF443" s="126"/>
      <c r="AG443" s="180"/>
      <c r="AH443" s="180"/>
      <c r="AI443" s="126">
        <f t="shared" si="378"/>
        <v>0</v>
      </c>
      <c r="AJ443" s="126">
        <f t="shared" si="425"/>
        <v>0</v>
      </c>
      <c r="AK443" s="126">
        <f t="shared" si="425"/>
        <v>0</v>
      </c>
      <c r="AL443" s="126">
        <f t="shared" si="426"/>
        <v>0</v>
      </c>
      <c r="AM443" s="126">
        <f t="shared" si="426"/>
        <v>0</v>
      </c>
      <c r="AN443" s="126"/>
      <c r="AO443" s="130">
        <f t="shared" si="384"/>
        <v>0</v>
      </c>
      <c r="AP443" s="116"/>
    </row>
    <row r="444" spans="1:42" s="117" customFormat="1" ht="14" hidden="1" outlineLevel="1">
      <c r="A444" s="139"/>
      <c r="B444" s="181" t="s">
        <v>749</v>
      </c>
      <c r="C444" s="126">
        <f t="shared" si="377"/>
        <v>0</v>
      </c>
      <c r="D444" s="180">
        <v>0</v>
      </c>
      <c r="E444" s="180">
        <v>0</v>
      </c>
      <c r="F444" s="180">
        <v>0</v>
      </c>
      <c r="G444" s="180">
        <v>0</v>
      </c>
      <c r="H444" s="126">
        <f t="shared" si="427"/>
        <v>40</v>
      </c>
      <c r="I444" s="126">
        <f t="shared" si="428"/>
        <v>40</v>
      </c>
      <c r="J444" s="126"/>
      <c r="K444" s="126">
        <v>40</v>
      </c>
      <c r="L444" s="126">
        <f t="shared" si="429"/>
        <v>0</v>
      </c>
      <c r="M444" s="180"/>
      <c r="N444" s="180"/>
      <c r="O444" s="126">
        <f t="shared" si="405"/>
        <v>40</v>
      </c>
      <c r="P444" s="126">
        <f t="shared" si="406"/>
        <v>40</v>
      </c>
      <c r="Q444" s="126"/>
      <c r="R444" s="126">
        <f>K444</f>
        <v>40</v>
      </c>
      <c r="S444" s="126">
        <f t="shared" si="407"/>
        <v>0</v>
      </c>
      <c r="T444" s="180"/>
      <c r="U444" s="180"/>
      <c r="V444" s="180"/>
      <c r="W444" s="180"/>
      <c r="X444" s="180"/>
      <c r="Y444" s="180"/>
      <c r="Z444" s="180"/>
      <c r="AA444" s="180"/>
      <c r="AB444" s="180"/>
      <c r="AC444" s="126"/>
      <c r="AD444" s="126"/>
      <c r="AE444" s="126"/>
      <c r="AF444" s="126"/>
      <c r="AG444" s="180"/>
      <c r="AH444" s="180"/>
      <c r="AI444" s="126">
        <f t="shared" si="378"/>
        <v>0</v>
      </c>
      <c r="AJ444" s="126">
        <f t="shared" si="425"/>
        <v>0</v>
      </c>
      <c r="AK444" s="126">
        <f t="shared" si="425"/>
        <v>0</v>
      </c>
      <c r="AL444" s="126">
        <f t="shared" si="426"/>
        <v>0</v>
      </c>
      <c r="AM444" s="126">
        <f t="shared" si="426"/>
        <v>0</v>
      </c>
      <c r="AN444" s="126"/>
      <c r="AO444" s="130">
        <f t="shared" si="384"/>
        <v>0</v>
      </c>
      <c r="AP444" s="116"/>
    </row>
    <row r="445" spans="1:42" s="117" customFormat="1" ht="14" hidden="1" outlineLevel="1">
      <c r="A445" s="139"/>
      <c r="B445" s="181" t="s">
        <v>336</v>
      </c>
      <c r="C445" s="126">
        <f t="shared" si="377"/>
        <v>0</v>
      </c>
      <c r="D445" s="180">
        <v>0</v>
      </c>
      <c r="E445" s="180">
        <v>0</v>
      </c>
      <c r="F445" s="180">
        <v>0</v>
      </c>
      <c r="G445" s="180">
        <v>0</v>
      </c>
      <c r="H445" s="126">
        <f t="shared" si="427"/>
        <v>50</v>
      </c>
      <c r="I445" s="126">
        <f t="shared" si="428"/>
        <v>50</v>
      </c>
      <c r="J445" s="126"/>
      <c r="K445" s="126">
        <v>50</v>
      </c>
      <c r="L445" s="126">
        <f t="shared" si="429"/>
        <v>0</v>
      </c>
      <c r="M445" s="180"/>
      <c r="N445" s="180"/>
      <c r="O445" s="126">
        <f t="shared" si="405"/>
        <v>50</v>
      </c>
      <c r="P445" s="126">
        <f t="shared" si="406"/>
        <v>50</v>
      </c>
      <c r="Q445" s="126"/>
      <c r="R445" s="126">
        <f>K445</f>
        <v>50</v>
      </c>
      <c r="S445" s="126">
        <f t="shared" si="407"/>
        <v>0</v>
      </c>
      <c r="T445" s="180"/>
      <c r="U445" s="180"/>
      <c r="V445" s="180"/>
      <c r="W445" s="180"/>
      <c r="X445" s="180"/>
      <c r="Y445" s="180"/>
      <c r="Z445" s="180"/>
      <c r="AA445" s="180"/>
      <c r="AB445" s="180"/>
      <c r="AC445" s="126"/>
      <c r="AD445" s="126"/>
      <c r="AE445" s="126"/>
      <c r="AF445" s="126"/>
      <c r="AG445" s="180"/>
      <c r="AH445" s="180"/>
      <c r="AI445" s="126">
        <f t="shared" si="378"/>
        <v>0</v>
      </c>
      <c r="AJ445" s="126">
        <f t="shared" si="425"/>
        <v>0</v>
      </c>
      <c r="AK445" s="126">
        <f t="shared" si="425"/>
        <v>0</v>
      </c>
      <c r="AL445" s="126">
        <f t="shared" si="426"/>
        <v>0</v>
      </c>
      <c r="AM445" s="126">
        <f t="shared" si="426"/>
        <v>0</v>
      </c>
      <c r="AN445" s="126"/>
      <c r="AO445" s="130">
        <f t="shared" si="384"/>
        <v>0</v>
      </c>
      <c r="AP445" s="116"/>
    </row>
    <row r="446" spans="1:42" s="117" customFormat="1" ht="14" hidden="1" outlineLevel="1">
      <c r="A446" s="139"/>
      <c r="B446" s="181" t="s">
        <v>750</v>
      </c>
      <c r="C446" s="126">
        <f t="shared" si="377"/>
        <v>0</v>
      </c>
      <c r="D446" s="180">
        <v>0</v>
      </c>
      <c r="E446" s="180">
        <v>0</v>
      </c>
      <c r="F446" s="180">
        <v>0</v>
      </c>
      <c r="G446" s="180">
        <v>0</v>
      </c>
      <c r="H446" s="126">
        <f t="shared" si="427"/>
        <v>183.5</v>
      </c>
      <c r="I446" s="126">
        <f t="shared" si="428"/>
        <v>183.5</v>
      </c>
      <c r="J446" s="126"/>
      <c r="K446" s="126">
        <f>126+57.5</f>
        <v>183.5</v>
      </c>
      <c r="L446" s="126">
        <f t="shared" si="429"/>
        <v>0</v>
      </c>
      <c r="M446" s="180"/>
      <c r="N446" s="180"/>
      <c r="O446" s="126">
        <f t="shared" si="405"/>
        <v>183.5</v>
      </c>
      <c r="P446" s="126">
        <f t="shared" si="406"/>
        <v>183.5</v>
      </c>
      <c r="Q446" s="126"/>
      <c r="R446" s="126">
        <f>126+57.5</f>
        <v>183.5</v>
      </c>
      <c r="S446" s="126">
        <f t="shared" si="407"/>
        <v>0</v>
      </c>
      <c r="T446" s="180"/>
      <c r="U446" s="180"/>
      <c r="V446" s="180"/>
      <c r="W446" s="180"/>
      <c r="X446" s="180"/>
      <c r="Y446" s="180"/>
      <c r="Z446" s="180"/>
      <c r="AA446" s="180"/>
      <c r="AB446" s="180"/>
      <c r="AC446" s="126"/>
      <c r="AD446" s="126"/>
      <c r="AE446" s="126"/>
      <c r="AF446" s="126"/>
      <c r="AG446" s="180"/>
      <c r="AH446" s="180"/>
      <c r="AI446" s="126">
        <f t="shared" si="378"/>
        <v>0</v>
      </c>
      <c r="AJ446" s="126">
        <f t="shared" si="425"/>
        <v>0</v>
      </c>
      <c r="AK446" s="126">
        <f t="shared" si="425"/>
        <v>0</v>
      </c>
      <c r="AL446" s="126">
        <f t="shared" si="426"/>
        <v>0</v>
      </c>
      <c r="AM446" s="126">
        <f t="shared" si="426"/>
        <v>0</v>
      </c>
      <c r="AN446" s="126"/>
      <c r="AO446" s="130">
        <f t="shared" si="384"/>
        <v>0</v>
      </c>
      <c r="AP446" s="116"/>
    </row>
    <row r="447" spans="1:42" s="117" customFormat="1" ht="14" hidden="1" outlineLevel="1">
      <c r="A447" s="139"/>
      <c r="B447" s="181" t="s">
        <v>751</v>
      </c>
      <c r="C447" s="126">
        <f t="shared" si="377"/>
        <v>0</v>
      </c>
      <c r="D447" s="180">
        <v>0</v>
      </c>
      <c r="E447" s="180">
        <v>0</v>
      </c>
      <c r="F447" s="180">
        <v>0</v>
      </c>
      <c r="G447" s="180">
        <v>0</v>
      </c>
      <c r="H447" s="126">
        <f t="shared" si="427"/>
        <v>50</v>
      </c>
      <c r="I447" s="126">
        <f t="shared" si="428"/>
        <v>50</v>
      </c>
      <c r="J447" s="126"/>
      <c r="K447" s="126">
        <v>50</v>
      </c>
      <c r="L447" s="126">
        <f t="shared" si="429"/>
        <v>0</v>
      </c>
      <c r="M447" s="180"/>
      <c r="N447" s="180"/>
      <c r="O447" s="126">
        <f t="shared" si="405"/>
        <v>50</v>
      </c>
      <c r="P447" s="126">
        <f t="shared" si="406"/>
        <v>50</v>
      </c>
      <c r="Q447" s="126"/>
      <c r="R447" s="126">
        <f>K447</f>
        <v>50</v>
      </c>
      <c r="S447" s="126">
        <f t="shared" si="407"/>
        <v>0</v>
      </c>
      <c r="T447" s="180"/>
      <c r="U447" s="180"/>
      <c r="V447" s="180"/>
      <c r="W447" s="180"/>
      <c r="X447" s="180"/>
      <c r="Y447" s="180"/>
      <c r="Z447" s="180"/>
      <c r="AA447" s="180"/>
      <c r="AB447" s="180"/>
      <c r="AC447" s="126"/>
      <c r="AD447" s="126"/>
      <c r="AE447" s="126"/>
      <c r="AF447" s="126"/>
      <c r="AG447" s="180"/>
      <c r="AH447" s="180"/>
      <c r="AI447" s="126">
        <f t="shared" si="378"/>
        <v>0</v>
      </c>
      <c r="AJ447" s="126">
        <f t="shared" si="425"/>
        <v>0</v>
      </c>
      <c r="AK447" s="126">
        <f t="shared" si="425"/>
        <v>0</v>
      </c>
      <c r="AL447" s="126">
        <f t="shared" si="426"/>
        <v>0</v>
      </c>
      <c r="AM447" s="126">
        <f t="shared" si="426"/>
        <v>0</v>
      </c>
      <c r="AN447" s="126"/>
      <c r="AO447" s="130">
        <f t="shared" si="384"/>
        <v>0</v>
      </c>
      <c r="AP447" s="116"/>
    </row>
    <row r="448" spans="1:42" s="117" customFormat="1" ht="14" hidden="1" outlineLevel="1">
      <c r="A448" s="139"/>
      <c r="B448" s="181" t="s">
        <v>712</v>
      </c>
      <c r="C448" s="126">
        <f t="shared" si="377"/>
        <v>0</v>
      </c>
      <c r="D448" s="180">
        <v>0</v>
      </c>
      <c r="E448" s="180">
        <v>0</v>
      </c>
      <c r="F448" s="180">
        <v>0</v>
      </c>
      <c r="G448" s="180">
        <v>0</v>
      </c>
      <c r="H448" s="126">
        <f t="shared" si="427"/>
        <v>40</v>
      </c>
      <c r="I448" s="126">
        <f t="shared" si="428"/>
        <v>40</v>
      </c>
      <c r="J448" s="126"/>
      <c r="K448" s="126">
        <v>40</v>
      </c>
      <c r="L448" s="126">
        <f t="shared" si="429"/>
        <v>0</v>
      </c>
      <c r="M448" s="180"/>
      <c r="N448" s="180"/>
      <c r="O448" s="126">
        <f t="shared" si="405"/>
        <v>40</v>
      </c>
      <c r="P448" s="126">
        <f t="shared" si="406"/>
        <v>40</v>
      </c>
      <c r="Q448" s="126"/>
      <c r="R448" s="126">
        <v>40</v>
      </c>
      <c r="S448" s="126">
        <f t="shared" si="407"/>
        <v>0</v>
      </c>
      <c r="T448" s="180"/>
      <c r="U448" s="180"/>
      <c r="V448" s="180"/>
      <c r="W448" s="180"/>
      <c r="X448" s="180"/>
      <c r="Y448" s="180"/>
      <c r="Z448" s="180"/>
      <c r="AA448" s="180"/>
      <c r="AB448" s="180"/>
      <c r="AC448" s="126"/>
      <c r="AD448" s="126"/>
      <c r="AE448" s="126"/>
      <c r="AF448" s="126"/>
      <c r="AG448" s="180"/>
      <c r="AH448" s="180"/>
      <c r="AI448" s="126">
        <f t="shared" si="378"/>
        <v>0</v>
      </c>
      <c r="AJ448" s="126">
        <f t="shared" si="425"/>
        <v>0</v>
      </c>
      <c r="AK448" s="126">
        <f t="shared" si="425"/>
        <v>0</v>
      </c>
      <c r="AL448" s="126">
        <f t="shared" si="426"/>
        <v>0</v>
      </c>
      <c r="AM448" s="126">
        <f t="shared" si="426"/>
        <v>0</v>
      </c>
      <c r="AN448" s="126"/>
      <c r="AO448" s="130">
        <f t="shared" si="384"/>
        <v>0</v>
      </c>
      <c r="AP448" s="116"/>
    </row>
    <row r="449" spans="1:42" s="117" customFormat="1" ht="14" hidden="1" outlineLevel="1">
      <c r="A449" s="139"/>
      <c r="B449" s="181" t="s">
        <v>675</v>
      </c>
      <c r="C449" s="126">
        <f t="shared" si="377"/>
        <v>0</v>
      </c>
      <c r="D449" s="180">
        <v>0</v>
      </c>
      <c r="E449" s="180">
        <v>0</v>
      </c>
      <c r="F449" s="180">
        <v>0</v>
      </c>
      <c r="G449" s="180">
        <v>0</v>
      </c>
      <c r="H449" s="126">
        <f t="shared" si="427"/>
        <v>40</v>
      </c>
      <c r="I449" s="126">
        <f t="shared" si="428"/>
        <v>40</v>
      </c>
      <c r="J449" s="126"/>
      <c r="K449" s="126">
        <v>40</v>
      </c>
      <c r="L449" s="126">
        <f t="shared" si="429"/>
        <v>0</v>
      </c>
      <c r="M449" s="180"/>
      <c r="N449" s="180"/>
      <c r="O449" s="126">
        <f t="shared" si="405"/>
        <v>40</v>
      </c>
      <c r="P449" s="126">
        <f t="shared" si="406"/>
        <v>40</v>
      </c>
      <c r="Q449" s="126"/>
      <c r="R449" s="126">
        <f>K449</f>
        <v>40</v>
      </c>
      <c r="S449" s="126">
        <f t="shared" si="407"/>
        <v>0</v>
      </c>
      <c r="T449" s="180"/>
      <c r="U449" s="180"/>
      <c r="V449" s="180"/>
      <c r="W449" s="180"/>
      <c r="X449" s="180"/>
      <c r="Y449" s="180"/>
      <c r="Z449" s="180"/>
      <c r="AA449" s="180"/>
      <c r="AB449" s="180"/>
      <c r="AC449" s="126"/>
      <c r="AD449" s="126"/>
      <c r="AE449" s="126"/>
      <c r="AF449" s="126"/>
      <c r="AG449" s="180"/>
      <c r="AH449" s="180"/>
      <c r="AI449" s="126">
        <f t="shared" si="378"/>
        <v>0</v>
      </c>
      <c r="AJ449" s="126">
        <f t="shared" si="425"/>
        <v>0</v>
      </c>
      <c r="AK449" s="126">
        <f t="shared" si="425"/>
        <v>0</v>
      </c>
      <c r="AL449" s="126">
        <f t="shared" si="426"/>
        <v>0</v>
      </c>
      <c r="AM449" s="126">
        <f t="shared" si="426"/>
        <v>0</v>
      </c>
      <c r="AN449" s="126"/>
      <c r="AO449" s="130">
        <f t="shared" si="384"/>
        <v>0</v>
      </c>
      <c r="AP449" s="116"/>
    </row>
    <row r="450" spans="1:42" s="117" customFormat="1" ht="14" hidden="1" outlineLevel="1">
      <c r="A450" s="139"/>
      <c r="B450" s="181" t="s">
        <v>752</v>
      </c>
      <c r="C450" s="126">
        <f t="shared" si="377"/>
        <v>0</v>
      </c>
      <c r="D450" s="180">
        <v>0</v>
      </c>
      <c r="E450" s="180">
        <v>0</v>
      </c>
      <c r="F450" s="180">
        <v>0</v>
      </c>
      <c r="G450" s="180">
        <v>0</v>
      </c>
      <c r="H450" s="126">
        <f t="shared" si="427"/>
        <v>40</v>
      </c>
      <c r="I450" s="126">
        <f t="shared" si="428"/>
        <v>40</v>
      </c>
      <c r="J450" s="126"/>
      <c r="K450" s="126">
        <v>40</v>
      </c>
      <c r="L450" s="126">
        <f t="shared" si="429"/>
        <v>0</v>
      </c>
      <c r="M450" s="180"/>
      <c r="N450" s="180"/>
      <c r="O450" s="126">
        <f t="shared" si="405"/>
        <v>40</v>
      </c>
      <c r="P450" s="126">
        <f t="shared" si="406"/>
        <v>40</v>
      </c>
      <c r="Q450" s="126"/>
      <c r="R450" s="126">
        <v>40</v>
      </c>
      <c r="S450" s="126">
        <f t="shared" si="407"/>
        <v>0</v>
      </c>
      <c r="T450" s="180"/>
      <c r="U450" s="180"/>
      <c r="V450" s="180"/>
      <c r="W450" s="180"/>
      <c r="X450" s="180"/>
      <c r="Y450" s="180"/>
      <c r="Z450" s="180"/>
      <c r="AA450" s="180"/>
      <c r="AB450" s="180"/>
      <c r="AC450" s="126"/>
      <c r="AD450" s="126"/>
      <c r="AE450" s="126"/>
      <c r="AF450" s="126"/>
      <c r="AG450" s="180"/>
      <c r="AH450" s="180"/>
      <c r="AI450" s="126">
        <f t="shared" si="378"/>
        <v>0</v>
      </c>
      <c r="AJ450" s="126">
        <f t="shared" si="425"/>
        <v>0</v>
      </c>
      <c r="AK450" s="126">
        <f t="shared" si="425"/>
        <v>0</v>
      </c>
      <c r="AL450" s="126">
        <f t="shared" si="426"/>
        <v>0</v>
      </c>
      <c r="AM450" s="126">
        <f t="shared" si="426"/>
        <v>0</v>
      </c>
      <c r="AN450" s="126"/>
      <c r="AO450" s="130">
        <f t="shared" si="384"/>
        <v>0</v>
      </c>
      <c r="AP450" s="116"/>
    </row>
    <row r="451" spans="1:42" s="117" customFormat="1" ht="14" hidden="1" outlineLevel="1">
      <c r="A451" s="139"/>
      <c r="B451" s="181" t="s">
        <v>753</v>
      </c>
      <c r="C451" s="126">
        <f t="shared" si="377"/>
        <v>200</v>
      </c>
      <c r="D451" s="180">
        <v>0</v>
      </c>
      <c r="E451" s="180">
        <v>200</v>
      </c>
      <c r="F451" s="180">
        <v>0</v>
      </c>
      <c r="G451" s="180">
        <v>0</v>
      </c>
      <c r="H451" s="126">
        <f>I451+L451</f>
        <v>463</v>
      </c>
      <c r="I451" s="126">
        <f>J451+K451</f>
        <v>463</v>
      </c>
      <c r="J451" s="126"/>
      <c r="K451" s="126">
        <v>463</v>
      </c>
      <c r="L451" s="126">
        <f>M451+N451</f>
        <v>0</v>
      </c>
      <c r="M451" s="180"/>
      <c r="N451" s="180"/>
      <c r="O451" s="126">
        <f>P451+S451</f>
        <v>663</v>
      </c>
      <c r="P451" s="126">
        <f>Q451+R451</f>
        <v>663</v>
      </c>
      <c r="Q451" s="126"/>
      <c r="R451" s="126">
        <f>E451+K451</f>
        <v>663</v>
      </c>
      <c r="S451" s="126">
        <f>T451+U451</f>
        <v>0</v>
      </c>
      <c r="T451" s="180"/>
      <c r="U451" s="180"/>
      <c r="V451" s="180"/>
      <c r="W451" s="180"/>
      <c r="X451" s="180"/>
      <c r="Y451" s="180"/>
      <c r="Z451" s="180"/>
      <c r="AA451" s="180"/>
      <c r="AB451" s="180"/>
      <c r="AC451" s="126"/>
      <c r="AD451" s="126"/>
      <c r="AE451" s="126"/>
      <c r="AF451" s="126"/>
      <c r="AG451" s="180"/>
      <c r="AH451" s="180"/>
      <c r="AI451" s="126">
        <f t="shared" si="378"/>
        <v>0</v>
      </c>
      <c r="AJ451" s="126">
        <f>D451+J451-Q451-X451-AD451</f>
        <v>0</v>
      </c>
      <c r="AK451" s="126">
        <f>E451+K451-R451-Y451-AE451</f>
        <v>0</v>
      </c>
      <c r="AL451" s="126">
        <f>F451+M451-T451-AA451-AG451</f>
        <v>0</v>
      </c>
      <c r="AM451" s="126">
        <f>G451+N451-U451-AB451-AH451</f>
        <v>0</v>
      </c>
      <c r="AN451" s="126"/>
      <c r="AO451" s="130">
        <f t="shared" si="384"/>
        <v>0</v>
      </c>
      <c r="AP451" s="116"/>
    </row>
    <row r="452" spans="1:42" s="117" customFormat="1" ht="14" hidden="1" outlineLevel="1">
      <c r="A452" s="139"/>
      <c r="B452" s="181" t="s">
        <v>337</v>
      </c>
      <c r="C452" s="126">
        <f t="shared" si="377"/>
        <v>0</v>
      </c>
      <c r="D452" s="180">
        <v>0</v>
      </c>
      <c r="E452" s="180">
        <v>0</v>
      </c>
      <c r="F452" s="180">
        <v>0</v>
      </c>
      <c r="G452" s="180">
        <v>0</v>
      </c>
      <c r="H452" s="126">
        <f t="shared" si="427"/>
        <v>117</v>
      </c>
      <c r="I452" s="126">
        <f t="shared" si="428"/>
        <v>0</v>
      </c>
      <c r="J452" s="126"/>
      <c r="K452" s="126"/>
      <c r="L452" s="126">
        <f t="shared" si="429"/>
        <v>117</v>
      </c>
      <c r="M452" s="180"/>
      <c r="N452" s="180">
        <v>117</v>
      </c>
      <c r="O452" s="126">
        <f t="shared" si="405"/>
        <v>117</v>
      </c>
      <c r="P452" s="126">
        <f t="shared" si="406"/>
        <v>0</v>
      </c>
      <c r="Q452" s="126"/>
      <c r="R452" s="126"/>
      <c r="S452" s="126">
        <f t="shared" si="407"/>
        <v>117</v>
      </c>
      <c r="T452" s="180"/>
      <c r="U452" s="180">
        <f t="shared" ref="U452:U457" si="430">N452</f>
        <v>117</v>
      </c>
      <c r="V452" s="180"/>
      <c r="W452" s="180"/>
      <c r="X452" s="180"/>
      <c r="Y452" s="180"/>
      <c r="Z452" s="180"/>
      <c r="AA452" s="180"/>
      <c r="AB452" s="180"/>
      <c r="AC452" s="126"/>
      <c r="AD452" s="126"/>
      <c r="AE452" s="126"/>
      <c r="AF452" s="126"/>
      <c r="AG452" s="180"/>
      <c r="AH452" s="180"/>
      <c r="AI452" s="126">
        <f t="shared" si="378"/>
        <v>0</v>
      </c>
      <c r="AJ452" s="126">
        <f t="shared" si="425"/>
        <v>0</v>
      </c>
      <c r="AK452" s="126">
        <f t="shared" si="425"/>
        <v>0</v>
      </c>
      <c r="AL452" s="126">
        <f t="shared" si="426"/>
        <v>0</v>
      </c>
      <c r="AM452" s="126">
        <f t="shared" si="426"/>
        <v>0</v>
      </c>
      <c r="AN452" s="126"/>
      <c r="AO452" s="130">
        <f t="shared" si="384"/>
        <v>0</v>
      </c>
      <c r="AP452" s="116"/>
    </row>
    <row r="453" spans="1:42" s="117" customFormat="1" ht="14" hidden="1" outlineLevel="1">
      <c r="A453" s="139"/>
      <c r="B453" s="181" t="s">
        <v>560</v>
      </c>
      <c r="C453" s="126">
        <f t="shared" si="377"/>
        <v>0</v>
      </c>
      <c r="D453" s="180">
        <v>0</v>
      </c>
      <c r="E453" s="180">
        <v>0</v>
      </c>
      <c r="F453" s="180">
        <v>0</v>
      </c>
      <c r="G453" s="180">
        <v>0</v>
      </c>
      <c r="H453" s="126">
        <f t="shared" si="427"/>
        <v>90</v>
      </c>
      <c r="I453" s="126">
        <f t="shared" si="428"/>
        <v>0</v>
      </c>
      <c r="J453" s="126"/>
      <c r="K453" s="126"/>
      <c r="L453" s="126">
        <f t="shared" si="429"/>
        <v>90</v>
      </c>
      <c r="M453" s="180"/>
      <c r="N453" s="180">
        <v>90</v>
      </c>
      <c r="O453" s="126">
        <f t="shared" si="405"/>
        <v>90</v>
      </c>
      <c r="P453" s="126">
        <f t="shared" si="406"/>
        <v>0</v>
      </c>
      <c r="Q453" s="126"/>
      <c r="R453" s="126"/>
      <c r="S453" s="126">
        <f t="shared" si="407"/>
        <v>90</v>
      </c>
      <c r="T453" s="180"/>
      <c r="U453" s="180">
        <f t="shared" si="430"/>
        <v>90</v>
      </c>
      <c r="V453" s="180"/>
      <c r="W453" s="180"/>
      <c r="X453" s="180"/>
      <c r="Y453" s="180"/>
      <c r="Z453" s="180"/>
      <c r="AA453" s="180"/>
      <c r="AB453" s="180"/>
      <c r="AC453" s="126"/>
      <c r="AD453" s="126"/>
      <c r="AE453" s="126"/>
      <c r="AF453" s="126"/>
      <c r="AG453" s="180"/>
      <c r="AH453" s="180"/>
      <c r="AI453" s="126">
        <f t="shared" si="378"/>
        <v>0</v>
      </c>
      <c r="AJ453" s="126">
        <f t="shared" si="425"/>
        <v>0</v>
      </c>
      <c r="AK453" s="126">
        <f t="shared" si="425"/>
        <v>0</v>
      </c>
      <c r="AL453" s="126">
        <f t="shared" si="426"/>
        <v>0</v>
      </c>
      <c r="AM453" s="126">
        <f t="shared" si="426"/>
        <v>0</v>
      </c>
      <c r="AN453" s="126"/>
      <c r="AO453" s="130">
        <f t="shared" si="384"/>
        <v>0</v>
      </c>
      <c r="AP453" s="116"/>
    </row>
    <row r="454" spans="1:42" s="117" customFormat="1" ht="14" hidden="1" outlineLevel="1">
      <c r="A454" s="139"/>
      <c r="B454" s="181" t="s">
        <v>561</v>
      </c>
      <c r="C454" s="126">
        <f t="shared" si="377"/>
        <v>0</v>
      </c>
      <c r="D454" s="180">
        <v>0</v>
      </c>
      <c r="E454" s="180">
        <v>0</v>
      </c>
      <c r="F454" s="180">
        <v>0</v>
      </c>
      <c r="G454" s="180">
        <v>0</v>
      </c>
      <c r="H454" s="126">
        <f t="shared" si="427"/>
        <v>90</v>
      </c>
      <c r="I454" s="126">
        <f t="shared" si="428"/>
        <v>0</v>
      </c>
      <c r="J454" s="126"/>
      <c r="K454" s="126"/>
      <c r="L454" s="126">
        <f t="shared" si="429"/>
        <v>90</v>
      </c>
      <c r="M454" s="180"/>
      <c r="N454" s="180">
        <v>90</v>
      </c>
      <c r="O454" s="126">
        <f t="shared" si="405"/>
        <v>90</v>
      </c>
      <c r="P454" s="126">
        <f t="shared" si="406"/>
        <v>0</v>
      </c>
      <c r="Q454" s="126"/>
      <c r="R454" s="126"/>
      <c r="S454" s="126">
        <f t="shared" si="407"/>
        <v>90</v>
      </c>
      <c r="T454" s="180"/>
      <c r="U454" s="180">
        <f t="shared" si="430"/>
        <v>90</v>
      </c>
      <c r="V454" s="180"/>
      <c r="W454" s="180"/>
      <c r="X454" s="180"/>
      <c r="Y454" s="180"/>
      <c r="Z454" s="180"/>
      <c r="AA454" s="180"/>
      <c r="AB454" s="180"/>
      <c r="AC454" s="126"/>
      <c r="AD454" s="126"/>
      <c r="AE454" s="126"/>
      <c r="AF454" s="126"/>
      <c r="AG454" s="180"/>
      <c r="AH454" s="180"/>
      <c r="AI454" s="126">
        <f t="shared" si="378"/>
        <v>0</v>
      </c>
      <c r="AJ454" s="126">
        <f t="shared" si="425"/>
        <v>0</v>
      </c>
      <c r="AK454" s="126">
        <f t="shared" si="425"/>
        <v>0</v>
      </c>
      <c r="AL454" s="126">
        <f t="shared" si="426"/>
        <v>0</v>
      </c>
      <c r="AM454" s="126">
        <f t="shared" si="426"/>
        <v>0</v>
      </c>
      <c r="AN454" s="126"/>
      <c r="AO454" s="130">
        <f t="shared" si="384"/>
        <v>0</v>
      </c>
      <c r="AP454" s="116"/>
    </row>
    <row r="455" spans="1:42" s="117" customFormat="1" ht="14" hidden="1" outlineLevel="1">
      <c r="A455" s="139"/>
      <c r="B455" s="181" t="s">
        <v>562</v>
      </c>
      <c r="C455" s="126">
        <f t="shared" si="377"/>
        <v>0</v>
      </c>
      <c r="D455" s="180">
        <v>0</v>
      </c>
      <c r="E455" s="180">
        <v>0</v>
      </c>
      <c r="F455" s="180">
        <v>0</v>
      </c>
      <c r="G455" s="180">
        <v>0</v>
      </c>
      <c r="H455" s="126">
        <f t="shared" si="427"/>
        <v>90</v>
      </c>
      <c r="I455" s="126">
        <f t="shared" si="428"/>
        <v>0</v>
      </c>
      <c r="J455" s="126"/>
      <c r="K455" s="126"/>
      <c r="L455" s="126">
        <f t="shared" si="429"/>
        <v>90</v>
      </c>
      <c r="M455" s="180"/>
      <c r="N455" s="180">
        <v>90</v>
      </c>
      <c r="O455" s="126">
        <f t="shared" si="405"/>
        <v>90</v>
      </c>
      <c r="P455" s="126">
        <f t="shared" si="406"/>
        <v>0</v>
      </c>
      <c r="Q455" s="126"/>
      <c r="R455" s="126"/>
      <c r="S455" s="126">
        <f t="shared" si="407"/>
        <v>90</v>
      </c>
      <c r="T455" s="180"/>
      <c r="U455" s="180">
        <f t="shared" si="430"/>
        <v>90</v>
      </c>
      <c r="V455" s="180"/>
      <c r="W455" s="180"/>
      <c r="X455" s="180"/>
      <c r="Y455" s="180"/>
      <c r="Z455" s="180"/>
      <c r="AA455" s="180"/>
      <c r="AB455" s="180"/>
      <c r="AC455" s="126"/>
      <c r="AD455" s="126"/>
      <c r="AE455" s="126"/>
      <c r="AF455" s="126"/>
      <c r="AG455" s="180"/>
      <c r="AH455" s="180"/>
      <c r="AI455" s="126">
        <f t="shared" si="378"/>
        <v>0</v>
      </c>
      <c r="AJ455" s="126">
        <f t="shared" si="425"/>
        <v>0</v>
      </c>
      <c r="AK455" s="126">
        <f t="shared" si="425"/>
        <v>0</v>
      </c>
      <c r="AL455" s="126">
        <f t="shared" si="426"/>
        <v>0</v>
      </c>
      <c r="AM455" s="126">
        <f t="shared" si="426"/>
        <v>0</v>
      </c>
      <c r="AN455" s="126"/>
      <c r="AO455" s="130">
        <f t="shared" si="384"/>
        <v>0</v>
      </c>
      <c r="AP455" s="116"/>
    </row>
    <row r="456" spans="1:42" s="117" customFormat="1" ht="14" hidden="1" outlineLevel="1">
      <c r="A456" s="139"/>
      <c r="B456" s="181" t="s">
        <v>563</v>
      </c>
      <c r="C456" s="126">
        <f t="shared" si="377"/>
        <v>0</v>
      </c>
      <c r="D456" s="180">
        <v>0</v>
      </c>
      <c r="E456" s="180">
        <v>0</v>
      </c>
      <c r="F456" s="180">
        <v>0</v>
      </c>
      <c r="G456" s="180">
        <v>0</v>
      </c>
      <c r="H456" s="126">
        <f t="shared" si="427"/>
        <v>90</v>
      </c>
      <c r="I456" s="126">
        <f t="shared" si="428"/>
        <v>0</v>
      </c>
      <c r="J456" s="126"/>
      <c r="K456" s="126"/>
      <c r="L456" s="126">
        <f t="shared" si="429"/>
        <v>90</v>
      </c>
      <c r="M456" s="180"/>
      <c r="N456" s="180">
        <v>90</v>
      </c>
      <c r="O456" s="126">
        <f t="shared" si="405"/>
        <v>90</v>
      </c>
      <c r="P456" s="126">
        <f t="shared" si="406"/>
        <v>0</v>
      </c>
      <c r="Q456" s="126"/>
      <c r="R456" s="126"/>
      <c r="S456" s="126">
        <f t="shared" si="407"/>
        <v>90</v>
      </c>
      <c r="T456" s="180"/>
      <c r="U456" s="180">
        <f t="shared" si="430"/>
        <v>90</v>
      </c>
      <c r="V456" s="180"/>
      <c r="W456" s="180"/>
      <c r="X456" s="180"/>
      <c r="Y456" s="180"/>
      <c r="Z456" s="180"/>
      <c r="AA456" s="180"/>
      <c r="AB456" s="180"/>
      <c r="AC456" s="126"/>
      <c r="AD456" s="126"/>
      <c r="AE456" s="126"/>
      <c r="AF456" s="126"/>
      <c r="AG456" s="180"/>
      <c r="AH456" s="180"/>
      <c r="AI456" s="126">
        <f t="shared" si="378"/>
        <v>0</v>
      </c>
      <c r="AJ456" s="126">
        <f t="shared" si="425"/>
        <v>0</v>
      </c>
      <c r="AK456" s="126">
        <f t="shared" si="425"/>
        <v>0</v>
      </c>
      <c r="AL456" s="126">
        <f t="shared" si="426"/>
        <v>0</v>
      </c>
      <c r="AM456" s="126">
        <f t="shared" si="426"/>
        <v>0</v>
      </c>
      <c r="AN456" s="126"/>
      <c r="AO456" s="130">
        <f t="shared" si="384"/>
        <v>0</v>
      </c>
      <c r="AP456" s="116"/>
    </row>
    <row r="457" spans="1:42" s="117" customFormat="1" ht="14" hidden="1" outlineLevel="1">
      <c r="A457" s="139"/>
      <c r="B457" s="181" t="s">
        <v>680</v>
      </c>
      <c r="C457" s="126">
        <f t="shared" si="377"/>
        <v>0</v>
      </c>
      <c r="D457" s="180">
        <v>0</v>
      </c>
      <c r="E457" s="180">
        <v>0</v>
      </c>
      <c r="F457" s="180">
        <v>0</v>
      </c>
      <c r="G457" s="180">
        <v>0</v>
      </c>
      <c r="H457" s="126">
        <f t="shared" si="427"/>
        <v>90</v>
      </c>
      <c r="I457" s="126">
        <f t="shared" si="428"/>
        <v>0</v>
      </c>
      <c r="J457" s="126"/>
      <c r="K457" s="126"/>
      <c r="L457" s="126">
        <f t="shared" si="429"/>
        <v>90</v>
      </c>
      <c r="M457" s="180"/>
      <c r="N457" s="180">
        <v>90</v>
      </c>
      <c r="O457" s="126">
        <f t="shared" si="405"/>
        <v>90</v>
      </c>
      <c r="P457" s="126">
        <f t="shared" si="406"/>
        <v>0</v>
      </c>
      <c r="Q457" s="126"/>
      <c r="R457" s="126"/>
      <c r="S457" s="126">
        <f t="shared" si="407"/>
        <v>90</v>
      </c>
      <c r="T457" s="180"/>
      <c r="U457" s="180">
        <f t="shared" si="430"/>
        <v>90</v>
      </c>
      <c r="V457" s="180"/>
      <c r="W457" s="180"/>
      <c r="X457" s="180"/>
      <c r="Y457" s="180"/>
      <c r="Z457" s="180"/>
      <c r="AA457" s="180"/>
      <c r="AB457" s="180"/>
      <c r="AC457" s="126"/>
      <c r="AD457" s="126"/>
      <c r="AE457" s="126"/>
      <c r="AF457" s="126"/>
      <c r="AG457" s="180"/>
      <c r="AH457" s="180"/>
      <c r="AI457" s="126">
        <f t="shared" si="378"/>
        <v>0</v>
      </c>
      <c r="AJ457" s="126">
        <f t="shared" si="425"/>
        <v>0</v>
      </c>
      <c r="AK457" s="126">
        <f t="shared" si="425"/>
        <v>0</v>
      </c>
      <c r="AL457" s="126">
        <f t="shared" si="426"/>
        <v>0</v>
      </c>
      <c r="AM457" s="126">
        <f t="shared" si="426"/>
        <v>0</v>
      </c>
      <c r="AN457" s="126"/>
      <c r="AO457" s="130">
        <f t="shared" si="384"/>
        <v>0</v>
      </c>
      <c r="AP457" s="116"/>
    </row>
    <row r="458" spans="1:42" s="117" customFormat="1" ht="14" hidden="1" outlineLevel="1">
      <c r="A458" s="139"/>
      <c r="B458" s="181" t="s">
        <v>754</v>
      </c>
      <c r="C458" s="126">
        <f t="shared" si="377"/>
        <v>0</v>
      </c>
      <c r="D458" s="180">
        <v>0</v>
      </c>
      <c r="E458" s="180">
        <v>0</v>
      </c>
      <c r="F458" s="180">
        <v>0</v>
      </c>
      <c r="G458" s="180">
        <f>80-80</f>
        <v>0</v>
      </c>
      <c r="H458" s="126">
        <f t="shared" si="427"/>
        <v>90</v>
      </c>
      <c r="I458" s="126">
        <f t="shared" si="428"/>
        <v>0</v>
      </c>
      <c r="J458" s="126"/>
      <c r="K458" s="126"/>
      <c r="L458" s="126">
        <f t="shared" si="429"/>
        <v>90</v>
      </c>
      <c r="M458" s="180"/>
      <c r="N458" s="180">
        <v>90</v>
      </c>
      <c r="O458" s="126">
        <f t="shared" si="405"/>
        <v>0</v>
      </c>
      <c r="P458" s="126">
        <f t="shared" si="406"/>
        <v>0</v>
      </c>
      <c r="Q458" s="126"/>
      <c r="R458" s="126"/>
      <c r="S458" s="126">
        <f t="shared" si="407"/>
        <v>0</v>
      </c>
      <c r="T458" s="180"/>
      <c r="U458" s="180">
        <v>0</v>
      </c>
      <c r="V458" s="180"/>
      <c r="W458" s="180"/>
      <c r="X458" s="180"/>
      <c r="Y458" s="180"/>
      <c r="Z458" s="180"/>
      <c r="AA458" s="180"/>
      <c r="AB458" s="180"/>
      <c r="AC458" s="126"/>
      <c r="AD458" s="126"/>
      <c r="AE458" s="126"/>
      <c r="AF458" s="126"/>
      <c r="AG458" s="180"/>
      <c r="AH458" s="180"/>
      <c r="AI458" s="126">
        <f t="shared" si="378"/>
        <v>90</v>
      </c>
      <c r="AJ458" s="126">
        <f t="shared" si="425"/>
        <v>0</v>
      </c>
      <c r="AK458" s="126">
        <f t="shared" si="425"/>
        <v>0</v>
      </c>
      <c r="AL458" s="126">
        <f t="shared" si="426"/>
        <v>0</v>
      </c>
      <c r="AM458" s="126">
        <f t="shared" si="426"/>
        <v>90</v>
      </c>
      <c r="AN458" s="126"/>
      <c r="AO458" s="130">
        <f t="shared" si="384"/>
        <v>0</v>
      </c>
      <c r="AP458" s="116"/>
    </row>
    <row r="459" spans="1:42" s="117" customFormat="1" ht="14" hidden="1" outlineLevel="1">
      <c r="A459" s="139"/>
      <c r="B459" s="181" t="s">
        <v>566</v>
      </c>
      <c r="C459" s="126">
        <f t="shared" si="377"/>
        <v>0</v>
      </c>
      <c r="D459" s="180">
        <v>0</v>
      </c>
      <c r="E459" s="180">
        <v>0</v>
      </c>
      <c r="F459" s="180">
        <v>0</v>
      </c>
      <c r="G459" s="180">
        <v>0</v>
      </c>
      <c r="H459" s="126">
        <f t="shared" si="427"/>
        <v>90</v>
      </c>
      <c r="I459" s="126">
        <f t="shared" si="428"/>
        <v>0</v>
      </c>
      <c r="J459" s="126"/>
      <c r="K459" s="126"/>
      <c r="L459" s="126">
        <f t="shared" si="429"/>
        <v>90</v>
      </c>
      <c r="M459" s="180"/>
      <c r="N459" s="180">
        <v>90</v>
      </c>
      <c r="O459" s="126">
        <f t="shared" si="405"/>
        <v>90</v>
      </c>
      <c r="P459" s="126">
        <f t="shared" si="406"/>
        <v>0</v>
      </c>
      <c r="Q459" s="126"/>
      <c r="R459" s="126"/>
      <c r="S459" s="126">
        <f t="shared" si="407"/>
        <v>90</v>
      </c>
      <c r="T459" s="180"/>
      <c r="U459" s="180">
        <v>90</v>
      </c>
      <c r="V459" s="180"/>
      <c r="W459" s="180"/>
      <c r="X459" s="180"/>
      <c r="Y459" s="180"/>
      <c r="Z459" s="180"/>
      <c r="AA459" s="180"/>
      <c r="AB459" s="180"/>
      <c r="AC459" s="126"/>
      <c r="AD459" s="126"/>
      <c r="AE459" s="126"/>
      <c r="AF459" s="126"/>
      <c r="AG459" s="180"/>
      <c r="AH459" s="180"/>
      <c r="AI459" s="126">
        <f t="shared" si="378"/>
        <v>0</v>
      </c>
      <c r="AJ459" s="126">
        <f t="shared" si="425"/>
        <v>0</v>
      </c>
      <c r="AK459" s="126">
        <f t="shared" si="425"/>
        <v>0</v>
      </c>
      <c r="AL459" s="126">
        <f t="shared" si="426"/>
        <v>0</v>
      </c>
      <c r="AM459" s="126">
        <f t="shared" si="426"/>
        <v>0</v>
      </c>
      <c r="AN459" s="126"/>
      <c r="AO459" s="130">
        <f t="shared" si="384"/>
        <v>0</v>
      </c>
      <c r="AP459" s="116"/>
    </row>
    <row r="460" spans="1:42" s="117" customFormat="1" ht="14" hidden="1" outlineLevel="1">
      <c r="A460" s="139"/>
      <c r="B460" s="181" t="s">
        <v>567</v>
      </c>
      <c r="C460" s="126">
        <f t="shared" si="377"/>
        <v>0</v>
      </c>
      <c r="D460" s="180">
        <v>0</v>
      </c>
      <c r="E460" s="180">
        <v>0</v>
      </c>
      <c r="F460" s="180">
        <v>0</v>
      </c>
      <c r="G460" s="180">
        <v>0</v>
      </c>
      <c r="H460" s="126">
        <f t="shared" si="427"/>
        <v>90</v>
      </c>
      <c r="I460" s="126">
        <f t="shared" si="428"/>
        <v>0</v>
      </c>
      <c r="J460" s="126"/>
      <c r="K460" s="126"/>
      <c r="L460" s="126">
        <f t="shared" si="429"/>
        <v>90</v>
      </c>
      <c r="M460" s="180"/>
      <c r="N460" s="180">
        <v>90</v>
      </c>
      <c r="O460" s="126">
        <f t="shared" si="405"/>
        <v>90</v>
      </c>
      <c r="P460" s="126">
        <f t="shared" si="406"/>
        <v>0</v>
      </c>
      <c r="Q460" s="126"/>
      <c r="R460" s="126"/>
      <c r="S460" s="126">
        <f t="shared" si="407"/>
        <v>90</v>
      </c>
      <c r="T460" s="180"/>
      <c r="U460" s="180">
        <f>N460</f>
        <v>90</v>
      </c>
      <c r="V460" s="180"/>
      <c r="W460" s="180"/>
      <c r="X460" s="180"/>
      <c r="Y460" s="180"/>
      <c r="Z460" s="180"/>
      <c r="AA460" s="180"/>
      <c r="AB460" s="180"/>
      <c r="AC460" s="126"/>
      <c r="AD460" s="126"/>
      <c r="AE460" s="126"/>
      <c r="AF460" s="126"/>
      <c r="AG460" s="180"/>
      <c r="AH460" s="180"/>
      <c r="AI460" s="126">
        <f t="shared" si="378"/>
        <v>0</v>
      </c>
      <c r="AJ460" s="126">
        <f t="shared" si="425"/>
        <v>0</v>
      </c>
      <c r="AK460" s="126">
        <f t="shared" si="425"/>
        <v>0</v>
      </c>
      <c r="AL460" s="126">
        <f t="shared" si="426"/>
        <v>0</v>
      </c>
      <c r="AM460" s="126">
        <f t="shared" si="426"/>
        <v>0</v>
      </c>
      <c r="AN460" s="126"/>
      <c r="AO460" s="130">
        <f t="shared" si="384"/>
        <v>0</v>
      </c>
      <c r="AP460" s="116"/>
    </row>
    <row r="461" spans="1:42" s="117" customFormat="1" ht="14" hidden="1" outlineLevel="1">
      <c r="A461" s="139"/>
      <c r="B461" s="181" t="s">
        <v>568</v>
      </c>
      <c r="C461" s="126">
        <f t="shared" si="377"/>
        <v>0</v>
      </c>
      <c r="D461" s="180">
        <v>0</v>
      </c>
      <c r="E461" s="180">
        <v>0</v>
      </c>
      <c r="F461" s="180">
        <v>0</v>
      </c>
      <c r="G461" s="180">
        <v>0</v>
      </c>
      <c r="H461" s="126">
        <f t="shared" si="427"/>
        <v>90</v>
      </c>
      <c r="I461" s="126">
        <f t="shared" si="428"/>
        <v>0</v>
      </c>
      <c r="J461" s="126"/>
      <c r="K461" s="126"/>
      <c r="L461" s="126">
        <f t="shared" si="429"/>
        <v>90</v>
      </c>
      <c r="M461" s="180"/>
      <c r="N461" s="180">
        <v>90</v>
      </c>
      <c r="O461" s="126">
        <f t="shared" si="405"/>
        <v>90</v>
      </c>
      <c r="P461" s="126">
        <f t="shared" si="406"/>
        <v>0</v>
      </c>
      <c r="Q461" s="126"/>
      <c r="R461" s="126"/>
      <c r="S461" s="126">
        <f t="shared" si="407"/>
        <v>90</v>
      </c>
      <c r="T461" s="180"/>
      <c r="U461" s="180">
        <f>N461</f>
        <v>90</v>
      </c>
      <c r="V461" s="180"/>
      <c r="W461" s="180"/>
      <c r="X461" s="180"/>
      <c r="Y461" s="180"/>
      <c r="Z461" s="180"/>
      <c r="AA461" s="180"/>
      <c r="AB461" s="180"/>
      <c r="AC461" s="126"/>
      <c r="AD461" s="126"/>
      <c r="AE461" s="126"/>
      <c r="AF461" s="126"/>
      <c r="AG461" s="180"/>
      <c r="AH461" s="180"/>
      <c r="AI461" s="126">
        <f t="shared" si="378"/>
        <v>0</v>
      </c>
      <c r="AJ461" s="126">
        <f t="shared" si="425"/>
        <v>0</v>
      </c>
      <c r="AK461" s="126">
        <f t="shared" si="425"/>
        <v>0</v>
      </c>
      <c r="AL461" s="126">
        <f t="shared" si="426"/>
        <v>0</v>
      </c>
      <c r="AM461" s="126">
        <f t="shared" si="426"/>
        <v>0</v>
      </c>
      <c r="AN461" s="126"/>
      <c r="AO461" s="130">
        <f t="shared" si="384"/>
        <v>0</v>
      </c>
      <c r="AP461" s="116"/>
    </row>
    <row r="462" spans="1:42" s="117" customFormat="1" ht="14" hidden="1" outlineLevel="1">
      <c r="A462" s="139"/>
      <c r="B462" s="137" t="s">
        <v>604</v>
      </c>
      <c r="C462" s="126">
        <f t="shared" si="377"/>
        <v>80</v>
      </c>
      <c r="D462" s="180">
        <v>0</v>
      </c>
      <c r="E462" s="180">
        <f>80</f>
        <v>80</v>
      </c>
      <c r="F462" s="180">
        <v>0</v>
      </c>
      <c r="G462" s="180">
        <f>80-80</f>
        <v>0</v>
      </c>
      <c r="H462" s="126">
        <f t="shared" si="427"/>
        <v>416.12766900000003</v>
      </c>
      <c r="I462" s="126">
        <f t="shared" si="428"/>
        <v>416.12766900000003</v>
      </c>
      <c r="J462" s="126"/>
      <c r="K462" s="126">
        <f>416.127669</f>
        <v>416.12766900000003</v>
      </c>
      <c r="L462" s="126">
        <f t="shared" si="429"/>
        <v>0</v>
      </c>
      <c r="M462" s="180"/>
      <c r="N462" s="180"/>
      <c r="O462" s="126">
        <f t="shared" si="405"/>
        <v>0</v>
      </c>
      <c r="P462" s="126">
        <f t="shared" si="406"/>
        <v>0</v>
      </c>
      <c r="Q462" s="126"/>
      <c r="R462" s="126"/>
      <c r="S462" s="126">
        <f t="shared" si="407"/>
        <v>0</v>
      </c>
      <c r="T462" s="180"/>
      <c r="U462" s="180">
        <f>N462</f>
        <v>0</v>
      </c>
      <c r="V462" s="180"/>
      <c r="W462" s="180"/>
      <c r="X462" s="180"/>
      <c r="Y462" s="180"/>
      <c r="Z462" s="180"/>
      <c r="AA462" s="180"/>
      <c r="AB462" s="180"/>
      <c r="AC462" s="126"/>
      <c r="AD462" s="126"/>
      <c r="AE462" s="126"/>
      <c r="AF462" s="126"/>
      <c r="AG462" s="180"/>
      <c r="AH462" s="180"/>
      <c r="AI462" s="126">
        <f t="shared" si="378"/>
        <v>496.12766900000003</v>
      </c>
      <c r="AJ462" s="126">
        <f t="shared" si="425"/>
        <v>0</v>
      </c>
      <c r="AK462" s="126">
        <f t="shared" si="425"/>
        <v>496.12766900000003</v>
      </c>
      <c r="AL462" s="126">
        <f t="shared" si="426"/>
        <v>0</v>
      </c>
      <c r="AM462" s="126">
        <f t="shared" si="426"/>
        <v>0</v>
      </c>
      <c r="AN462" s="126"/>
      <c r="AO462" s="130">
        <f t="shared" si="384"/>
        <v>0</v>
      </c>
      <c r="AP462" s="116"/>
    </row>
    <row r="463" spans="1:42" s="117" customFormat="1" ht="28" collapsed="1">
      <c r="A463" s="136">
        <v>20</v>
      </c>
      <c r="B463" s="137" t="s">
        <v>755</v>
      </c>
      <c r="C463" s="126">
        <f>SUM(C464:C476)</f>
        <v>136.6</v>
      </c>
      <c r="D463" s="126">
        <f t="shared" ref="D463:AB463" si="431">SUM(D464:D476)</f>
        <v>0</v>
      </c>
      <c r="E463" s="126">
        <f t="shared" si="431"/>
        <v>65</v>
      </c>
      <c r="F463" s="126">
        <f t="shared" si="431"/>
        <v>0</v>
      </c>
      <c r="G463" s="126">
        <f t="shared" si="431"/>
        <v>71.599999999999994</v>
      </c>
      <c r="H463" s="126">
        <f t="shared" si="431"/>
        <v>6680</v>
      </c>
      <c r="I463" s="126">
        <f t="shared" si="431"/>
        <v>6580</v>
      </c>
      <c r="J463" s="126">
        <f t="shared" si="431"/>
        <v>0</v>
      </c>
      <c r="K463" s="126">
        <f t="shared" si="431"/>
        <v>6580</v>
      </c>
      <c r="L463" s="126">
        <f t="shared" si="431"/>
        <v>100</v>
      </c>
      <c r="M463" s="126">
        <f t="shared" si="431"/>
        <v>0</v>
      </c>
      <c r="N463" s="126">
        <f t="shared" si="431"/>
        <v>100</v>
      </c>
      <c r="O463" s="126">
        <f t="shared" si="431"/>
        <v>6395</v>
      </c>
      <c r="P463" s="126">
        <f t="shared" si="431"/>
        <v>6315</v>
      </c>
      <c r="Q463" s="126">
        <f t="shared" si="431"/>
        <v>0</v>
      </c>
      <c r="R463" s="126">
        <f t="shared" si="431"/>
        <v>6315</v>
      </c>
      <c r="S463" s="126">
        <f t="shared" si="431"/>
        <v>80</v>
      </c>
      <c r="T463" s="126">
        <f t="shared" si="431"/>
        <v>0</v>
      </c>
      <c r="U463" s="126">
        <f t="shared" si="431"/>
        <v>80</v>
      </c>
      <c r="V463" s="126">
        <f t="shared" si="431"/>
        <v>65.099999999999994</v>
      </c>
      <c r="W463" s="126">
        <f t="shared" si="431"/>
        <v>0</v>
      </c>
      <c r="X463" s="126">
        <f t="shared" si="431"/>
        <v>0</v>
      </c>
      <c r="Y463" s="126">
        <f t="shared" si="431"/>
        <v>0</v>
      </c>
      <c r="Z463" s="126">
        <f t="shared" si="431"/>
        <v>65.099999999999994</v>
      </c>
      <c r="AA463" s="126">
        <f t="shared" si="431"/>
        <v>0</v>
      </c>
      <c r="AB463" s="126">
        <f t="shared" si="431"/>
        <v>65.099999999999994</v>
      </c>
      <c r="AC463" s="126">
        <f t="shared" ref="AC463:AH463" si="432">SUM(AC464:AC475)</f>
        <v>0</v>
      </c>
      <c r="AD463" s="126">
        <f t="shared" si="432"/>
        <v>0</v>
      </c>
      <c r="AE463" s="126">
        <f t="shared" si="432"/>
        <v>0</v>
      </c>
      <c r="AF463" s="126">
        <f t="shared" si="432"/>
        <v>0</v>
      </c>
      <c r="AG463" s="126">
        <f t="shared" si="432"/>
        <v>0</v>
      </c>
      <c r="AH463" s="126">
        <f t="shared" si="432"/>
        <v>0</v>
      </c>
      <c r="AI463" s="126">
        <f t="shared" ref="AI463:AI489" si="433">SUM(AJ463:AM463)</f>
        <v>356.5</v>
      </c>
      <c r="AJ463" s="126">
        <f>SUM(AJ464:AJ476)</f>
        <v>0</v>
      </c>
      <c r="AK463" s="126">
        <f>SUM(AK464:AK476)</f>
        <v>330</v>
      </c>
      <c r="AL463" s="126">
        <f>SUM(AL464:AL476)</f>
        <v>0</v>
      </c>
      <c r="AM463" s="126">
        <f>SUM(AM464:AM476)</f>
        <v>26.5</v>
      </c>
      <c r="AN463" s="126"/>
      <c r="AO463" s="130">
        <f t="shared" ref="AO463:AO526" si="434">C463+H463-O463-V463-AI463</f>
        <v>0</v>
      </c>
      <c r="AP463" s="116"/>
    </row>
    <row r="464" spans="1:42" s="117" customFormat="1" ht="14" hidden="1" outlineLevel="1">
      <c r="A464" s="136"/>
      <c r="B464" s="137" t="s">
        <v>756</v>
      </c>
      <c r="C464" s="126">
        <f t="shared" ref="C464:C476" si="435">SUM(D464:G464)</f>
        <v>0</v>
      </c>
      <c r="D464" s="126">
        <v>0</v>
      </c>
      <c r="E464" s="126">
        <v>0</v>
      </c>
      <c r="F464" s="126">
        <v>0</v>
      </c>
      <c r="G464" s="126">
        <v>0</v>
      </c>
      <c r="H464" s="126">
        <f t="shared" ref="H464:H475" si="436">I464+L464</f>
        <v>315</v>
      </c>
      <c r="I464" s="126">
        <f t="shared" ref="I464:I475" si="437">J464+K464</f>
        <v>315</v>
      </c>
      <c r="J464" s="126"/>
      <c r="K464" s="126">
        <f>(280+300)-265</f>
        <v>315</v>
      </c>
      <c r="L464" s="126">
        <f>M464+N464</f>
        <v>0</v>
      </c>
      <c r="M464" s="126"/>
      <c r="N464" s="126"/>
      <c r="O464" s="126">
        <f t="shared" si="405"/>
        <v>315</v>
      </c>
      <c r="P464" s="126">
        <f t="shared" si="406"/>
        <v>315</v>
      </c>
      <c r="Q464" s="126"/>
      <c r="R464" s="126">
        <v>315</v>
      </c>
      <c r="S464" s="126">
        <f t="shared" si="407"/>
        <v>0</v>
      </c>
      <c r="T464" s="126"/>
      <c r="U464" s="126"/>
      <c r="V464" s="126">
        <f t="shared" ref="V464:V475" si="438">W464+Z464+AC464+AF464</f>
        <v>0</v>
      </c>
      <c r="W464" s="126">
        <f t="shared" ref="W464:W475" si="439">X464+Y464</f>
        <v>0</v>
      </c>
      <c r="X464" s="126"/>
      <c r="Y464" s="126"/>
      <c r="Z464" s="126">
        <f t="shared" ref="Z464:Z475" si="440">AA464+AB464</f>
        <v>0</v>
      </c>
      <c r="AA464" s="126"/>
      <c r="AB464" s="126"/>
      <c r="AC464" s="126">
        <f>AD464+AE464</f>
        <v>0</v>
      </c>
      <c r="AD464" s="126"/>
      <c r="AE464" s="126"/>
      <c r="AF464" s="126">
        <f>AG464+AH464</f>
        <v>0</v>
      </c>
      <c r="AG464" s="126"/>
      <c r="AH464" s="126"/>
      <c r="AI464" s="126">
        <f t="shared" si="433"/>
        <v>0</v>
      </c>
      <c r="AJ464" s="126">
        <f t="shared" ref="AJ464:AK476" si="441">D464+J464-Q464-X464-AD464</f>
        <v>0</v>
      </c>
      <c r="AK464" s="126">
        <f t="shared" si="441"/>
        <v>0</v>
      </c>
      <c r="AL464" s="126">
        <f t="shared" ref="AL464:AM476" si="442">F464+M464-T464-AA464-AG464</f>
        <v>0</v>
      </c>
      <c r="AM464" s="126">
        <f t="shared" si="442"/>
        <v>0</v>
      </c>
      <c r="AN464" s="126"/>
      <c r="AO464" s="130">
        <f t="shared" si="434"/>
        <v>0</v>
      </c>
      <c r="AP464" s="116"/>
    </row>
    <row r="465" spans="1:42" s="117" customFormat="1" ht="14" hidden="1" outlineLevel="1">
      <c r="A465" s="136"/>
      <c r="B465" s="137" t="s">
        <v>696</v>
      </c>
      <c r="C465" s="126">
        <f t="shared" si="435"/>
        <v>0</v>
      </c>
      <c r="D465" s="126">
        <v>0</v>
      </c>
      <c r="E465" s="126">
        <v>0</v>
      </c>
      <c r="F465" s="126">
        <v>0</v>
      </c>
      <c r="G465" s="126">
        <v>0</v>
      </c>
      <c r="H465" s="126">
        <f t="shared" si="436"/>
        <v>6000</v>
      </c>
      <c r="I465" s="126">
        <f t="shared" si="437"/>
        <v>6000</v>
      </c>
      <c r="J465" s="126"/>
      <c r="K465" s="126">
        <v>6000</v>
      </c>
      <c r="L465" s="126">
        <f>M465+N465</f>
        <v>0</v>
      </c>
      <c r="M465" s="126"/>
      <c r="N465" s="126"/>
      <c r="O465" s="126">
        <f t="shared" si="405"/>
        <v>6000</v>
      </c>
      <c r="P465" s="126">
        <f t="shared" si="406"/>
        <v>6000</v>
      </c>
      <c r="Q465" s="126"/>
      <c r="R465" s="126">
        <f>K465</f>
        <v>6000</v>
      </c>
      <c r="S465" s="126">
        <f t="shared" si="407"/>
        <v>0</v>
      </c>
      <c r="T465" s="126"/>
      <c r="U465" s="126"/>
      <c r="V465" s="126">
        <f t="shared" si="438"/>
        <v>0</v>
      </c>
      <c r="W465" s="126">
        <f t="shared" si="439"/>
        <v>0</v>
      </c>
      <c r="X465" s="126"/>
      <c r="Y465" s="126"/>
      <c r="Z465" s="126">
        <f t="shared" si="440"/>
        <v>0</v>
      </c>
      <c r="AA465" s="126"/>
      <c r="AB465" s="126"/>
      <c r="AC465" s="126"/>
      <c r="AD465" s="126"/>
      <c r="AE465" s="126"/>
      <c r="AF465" s="126"/>
      <c r="AG465" s="126"/>
      <c r="AH465" s="126"/>
      <c r="AI465" s="126">
        <f t="shared" si="433"/>
        <v>0</v>
      </c>
      <c r="AJ465" s="126">
        <f t="shared" si="441"/>
        <v>0</v>
      </c>
      <c r="AK465" s="126">
        <f t="shared" si="441"/>
        <v>0</v>
      </c>
      <c r="AL465" s="126">
        <f t="shared" si="442"/>
        <v>0</v>
      </c>
      <c r="AM465" s="126">
        <f t="shared" si="442"/>
        <v>0</v>
      </c>
      <c r="AN465" s="126"/>
      <c r="AO465" s="130">
        <f t="shared" si="434"/>
        <v>0</v>
      </c>
      <c r="AP465" s="116"/>
    </row>
    <row r="466" spans="1:42" s="117" customFormat="1" ht="14" hidden="1" outlineLevel="1">
      <c r="A466" s="136"/>
      <c r="B466" s="137" t="s">
        <v>337</v>
      </c>
      <c r="C466" s="126">
        <f t="shared" si="435"/>
        <v>60</v>
      </c>
      <c r="D466" s="126">
        <v>0</v>
      </c>
      <c r="E466" s="126">
        <v>0</v>
      </c>
      <c r="F466" s="126">
        <v>0</v>
      </c>
      <c r="G466" s="126">
        <v>60</v>
      </c>
      <c r="H466" s="126">
        <f t="shared" si="436"/>
        <v>20</v>
      </c>
      <c r="I466" s="126">
        <f t="shared" si="437"/>
        <v>0</v>
      </c>
      <c r="J466" s="126"/>
      <c r="K466" s="126"/>
      <c r="L466" s="126">
        <f>M466+N466</f>
        <v>20</v>
      </c>
      <c r="M466" s="126"/>
      <c r="N466" s="126">
        <v>20</v>
      </c>
      <c r="O466" s="126">
        <f t="shared" si="405"/>
        <v>20</v>
      </c>
      <c r="P466" s="126">
        <f t="shared" si="406"/>
        <v>0</v>
      </c>
      <c r="Q466" s="126"/>
      <c r="R466" s="126"/>
      <c r="S466" s="126">
        <f t="shared" si="407"/>
        <v>20</v>
      </c>
      <c r="T466" s="126"/>
      <c r="U466" s="126">
        <f>N466</f>
        <v>20</v>
      </c>
      <c r="V466" s="126">
        <f t="shared" si="438"/>
        <v>60</v>
      </c>
      <c r="W466" s="126">
        <f t="shared" si="439"/>
        <v>0</v>
      </c>
      <c r="X466" s="126"/>
      <c r="Y466" s="126"/>
      <c r="Z466" s="126">
        <f t="shared" si="440"/>
        <v>60</v>
      </c>
      <c r="AA466" s="126"/>
      <c r="AB466" s="126">
        <f>G466</f>
        <v>60</v>
      </c>
      <c r="AC466" s="126"/>
      <c r="AD466" s="126"/>
      <c r="AE466" s="126"/>
      <c r="AF466" s="126"/>
      <c r="AG466" s="126"/>
      <c r="AH466" s="126"/>
      <c r="AI466" s="126">
        <f t="shared" si="433"/>
        <v>0</v>
      </c>
      <c r="AJ466" s="126">
        <f t="shared" si="441"/>
        <v>0</v>
      </c>
      <c r="AK466" s="126">
        <f t="shared" si="441"/>
        <v>0</v>
      </c>
      <c r="AL466" s="126">
        <f t="shared" si="442"/>
        <v>0</v>
      </c>
      <c r="AM466" s="126">
        <f t="shared" si="442"/>
        <v>0</v>
      </c>
      <c r="AN466" s="126"/>
      <c r="AO466" s="130">
        <f t="shared" si="434"/>
        <v>0</v>
      </c>
      <c r="AP466" s="116"/>
    </row>
    <row r="467" spans="1:42" s="117" customFormat="1" ht="14" hidden="1" outlineLevel="1">
      <c r="A467" s="136"/>
      <c r="B467" s="137" t="s">
        <v>560</v>
      </c>
      <c r="C467" s="126">
        <f t="shared" si="435"/>
        <v>0</v>
      </c>
      <c r="D467" s="126">
        <v>0</v>
      </c>
      <c r="E467" s="126">
        <v>0</v>
      </c>
      <c r="F467" s="126">
        <v>0</v>
      </c>
      <c r="G467" s="126">
        <v>0</v>
      </c>
      <c r="H467" s="126">
        <f t="shared" si="436"/>
        <v>10</v>
      </c>
      <c r="I467" s="126">
        <f t="shared" si="437"/>
        <v>0</v>
      </c>
      <c r="J467" s="126"/>
      <c r="K467" s="126"/>
      <c r="L467" s="126">
        <f t="shared" ref="L467:L475" si="443">M467+N467</f>
        <v>10</v>
      </c>
      <c r="M467" s="126"/>
      <c r="N467" s="126">
        <v>10</v>
      </c>
      <c r="O467" s="126">
        <f t="shared" si="405"/>
        <v>10</v>
      </c>
      <c r="P467" s="126">
        <f t="shared" si="406"/>
        <v>0</v>
      </c>
      <c r="Q467" s="126"/>
      <c r="R467" s="126"/>
      <c r="S467" s="126">
        <f t="shared" si="407"/>
        <v>10</v>
      </c>
      <c r="T467" s="126"/>
      <c r="U467" s="126">
        <f>N467</f>
        <v>10</v>
      </c>
      <c r="V467" s="126">
        <f t="shared" si="438"/>
        <v>0</v>
      </c>
      <c r="W467" s="126">
        <f t="shared" si="439"/>
        <v>0</v>
      </c>
      <c r="X467" s="126"/>
      <c r="Y467" s="126"/>
      <c r="Z467" s="126">
        <f t="shared" si="440"/>
        <v>0</v>
      </c>
      <c r="AA467" s="126"/>
      <c r="AB467" s="126"/>
      <c r="AC467" s="126">
        <f t="shared" ref="AC467:AC475" si="444">AD467+AE467</f>
        <v>0</v>
      </c>
      <c r="AD467" s="126"/>
      <c r="AE467" s="126"/>
      <c r="AF467" s="126">
        <f t="shared" ref="AF467:AF475" si="445">AG467+AH467</f>
        <v>0</v>
      </c>
      <c r="AG467" s="126"/>
      <c r="AH467" s="126"/>
      <c r="AI467" s="126">
        <f t="shared" si="433"/>
        <v>0</v>
      </c>
      <c r="AJ467" s="126">
        <f t="shared" si="441"/>
        <v>0</v>
      </c>
      <c r="AK467" s="126">
        <f t="shared" si="441"/>
        <v>0</v>
      </c>
      <c r="AL467" s="126">
        <f t="shared" si="442"/>
        <v>0</v>
      </c>
      <c r="AM467" s="126">
        <f t="shared" si="442"/>
        <v>0</v>
      </c>
      <c r="AN467" s="126"/>
      <c r="AO467" s="130">
        <f t="shared" si="434"/>
        <v>0</v>
      </c>
      <c r="AP467" s="116"/>
    </row>
    <row r="468" spans="1:42" s="117" customFormat="1" ht="14" hidden="1" outlineLevel="1">
      <c r="A468" s="136"/>
      <c r="B468" s="137" t="s">
        <v>561</v>
      </c>
      <c r="C468" s="126">
        <f t="shared" si="435"/>
        <v>0</v>
      </c>
      <c r="D468" s="126">
        <v>0</v>
      </c>
      <c r="E468" s="126">
        <v>0</v>
      </c>
      <c r="F468" s="126">
        <v>0</v>
      </c>
      <c r="G468" s="126">
        <f>10-10</f>
        <v>0</v>
      </c>
      <c r="H468" s="126">
        <f t="shared" si="436"/>
        <v>10</v>
      </c>
      <c r="I468" s="126">
        <f t="shared" si="437"/>
        <v>0</v>
      </c>
      <c r="J468" s="126"/>
      <c r="K468" s="126"/>
      <c r="L468" s="126">
        <f t="shared" si="443"/>
        <v>10</v>
      </c>
      <c r="M468" s="126"/>
      <c r="N468" s="126">
        <v>10</v>
      </c>
      <c r="O468" s="126">
        <f t="shared" si="405"/>
        <v>0</v>
      </c>
      <c r="P468" s="126">
        <f t="shared" si="406"/>
        <v>0</v>
      </c>
      <c r="Q468" s="126"/>
      <c r="R468" s="126"/>
      <c r="S468" s="126">
        <f t="shared" si="407"/>
        <v>0</v>
      </c>
      <c r="T468" s="126"/>
      <c r="U468" s="126">
        <f>0</f>
        <v>0</v>
      </c>
      <c r="V468" s="126">
        <f t="shared" si="438"/>
        <v>0</v>
      </c>
      <c r="W468" s="126">
        <f t="shared" si="439"/>
        <v>0</v>
      </c>
      <c r="X468" s="126"/>
      <c r="Y468" s="126"/>
      <c r="Z468" s="126">
        <f t="shared" si="440"/>
        <v>0</v>
      </c>
      <c r="AA468" s="126"/>
      <c r="AB468" s="126"/>
      <c r="AC468" s="126">
        <f t="shared" si="444"/>
        <v>0</v>
      </c>
      <c r="AD468" s="126"/>
      <c r="AE468" s="126"/>
      <c r="AF468" s="126">
        <f t="shared" si="445"/>
        <v>0</v>
      </c>
      <c r="AG468" s="126"/>
      <c r="AH468" s="126"/>
      <c r="AI468" s="126">
        <f t="shared" si="433"/>
        <v>10</v>
      </c>
      <c r="AJ468" s="126">
        <f t="shared" si="441"/>
        <v>0</v>
      </c>
      <c r="AK468" s="126">
        <f t="shared" si="441"/>
        <v>0</v>
      </c>
      <c r="AL468" s="126">
        <f t="shared" si="442"/>
        <v>0</v>
      </c>
      <c r="AM468" s="126">
        <f t="shared" si="442"/>
        <v>10</v>
      </c>
      <c r="AN468" s="126"/>
      <c r="AO468" s="130">
        <f t="shared" si="434"/>
        <v>0</v>
      </c>
      <c r="AP468" s="116"/>
    </row>
    <row r="469" spans="1:42" s="117" customFormat="1" ht="14" hidden="1" outlineLevel="1">
      <c r="A469" s="136"/>
      <c r="B469" s="137" t="s">
        <v>562</v>
      </c>
      <c r="C469" s="126">
        <f t="shared" si="435"/>
        <v>0</v>
      </c>
      <c r="D469" s="126">
        <v>0</v>
      </c>
      <c r="E469" s="126">
        <v>0</v>
      </c>
      <c r="F469" s="126">
        <v>0</v>
      </c>
      <c r="G469" s="126">
        <f>30-30</f>
        <v>0</v>
      </c>
      <c r="H469" s="126">
        <f t="shared" si="436"/>
        <v>10</v>
      </c>
      <c r="I469" s="126">
        <f t="shared" si="437"/>
        <v>0</v>
      </c>
      <c r="J469" s="126"/>
      <c r="K469" s="126"/>
      <c r="L469" s="126">
        <f t="shared" si="443"/>
        <v>10</v>
      </c>
      <c r="M469" s="126"/>
      <c r="N469" s="126">
        <v>10</v>
      </c>
      <c r="O469" s="126">
        <f t="shared" si="405"/>
        <v>10</v>
      </c>
      <c r="P469" s="126">
        <f t="shared" si="406"/>
        <v>0</v>
      </c>
      <c r="Q469" s="126"/>
      <c r="R469" s="126"/>
      <c r="S469" s="126">
        <f t="shared" si="407"/>
        <v>10</v>
      </c>
      <c r="T469" s="126"/>
      <c r="U469" s="126">
        <f>N469</f>
        <v>10</v>
      </c>
      <c r="V469" s="126">
        <f t="shared" si="438"/>
        <v>0</v>
      </c>
      <c r="W469" s="126">
        <f t="shared" si="439"/>
        <v>0</v>
      </c>
      <c r="X469" s="126"/>
      <c r="Y469" s="126"/>
      <c r="Z469" s="126">
        <f t="shared" si="440"/>
        <v>0</v>
      </c>
      <c r="AA469" s="126"/>
      <c r="AB469" s="126"/>
      <c r="AC469" s="126">
        <f t="shared" si="444"/>
        <v>0</v>
      </c>
      <c r="AD469" s="126"/>
      <c r="AE469" s="126"/>
      <c r="AF469" s="126">
        <f t="shared" si="445"/>
        <v>0</v>
      </c>
      <c r="AG469" s="126"/>
      <c r="AH469" s="126"/>
      <c r="AI469" s="126">
        <f t="shared" si="433"/>
        <v>0</v>
      </c>
      <c r="AJ469" s="126">
        <f t="shared" si="441"/>
        <v>0</v>
      </c>
      <c r="AK469" s="126">
        <f t="shared" si="441"/>
        <v>0</v>
      </c>
      <c r="AL469" s="126">
        <f t="shared" si="442"/>
        <v>0</v>
      </c>
      <c r="AM469" s="126">
        <f t="shared" si="442"/>
        <v>0</v>
      </c>
      <c r="AN469" s="126"/>
      <c r="AO469" s="130">
        <f t="shared" si="434"/>
        <v>0</v>
      </c>
      <c r="AP469" s="116"/>
    </row>
    <row r="470" spans="1:42" s="117" customFormat="1" ht="14" hidden="1" outlineLevel="1">
      <c r="A470" s="136"/>
      <c r="B470" s="137" t="s">
        <v>563</v>
      </c>
      <c r="C470" s="126">
        <f t="shared" si="435"/>
        <v>6.5</v>
      </c>
      <c r="D470" s="126">
        <v>0</v>
      </c>
      <c r="E470" s="126">
        <v>0</v>
      </c>
      <c r="F470" s="126">
        <v>0</v>
      </c>
      <c r="G470" s="126">
        <f>6.5</f>
        <v>6.5</v>
      </c>
      <c r="H470" s="126">
        <f t="shared" si="436"/>
        <v>10</v>
      </c>
      <c r="I470" s="126">
        <f t="shared" si="437"/>
        <v>0</v>
      </c>
      <c r="J470" s="126"/>
      <c r="K470" s="126"/>
      <c r="L470" s="126">
        <f t="shared" si="443"/>
        <v>10</v>
      </c>
      <c r="M470" s="126"/>
      <c r="N470" s="126">
        <v>10</v>
      </c>
      <c r="O470" s="126">
        <f t="shared" si="405"/>
        <v>10</v>
      </c>
      <c r="P470" s="126">
        <f t="shared" si="406"/>
        <v>0</v>
      </c>
      <c r="Q470" s="126"/>
      <c r="R470" s="126"/>
      <c r="S470" s="126">
        <f t="shared" si="407"/>
        <v>10</v>
      </c>
      <c r="T470" s="126"/>
      <c r="U470" s="126">
        <f>N470</f>
        <v>10</v>
      </c>
      <c r="V470" s="126">
        <f t="shared" si="438"/>
        <v>0</v>
      </c>
      <c r="W470" s="126">
        <f t="shared" si="439"/>
        <v>0</v>
      </c>
      <c r="X470" s="126"/>
      <c r="Y470" s="126"/>
      <c r="Z470" s="126">
        <f t="shared" si="440"/>
        <v>0</v>
      </c>
      <c r="AA470" s="126"/>
      <c r="AB470" s="126"/>
      <c r="AC470" s="126">
        <f t="shared" si="444"/>
        <v>0</v>
      </c>
      <c r="AD470" s="126"/>
      <c r="AE470" s="126"/>
      <c r="AF470" s="126">
        <f t="shared" si="445"/>
        <v>0</v>
      </c>
      <c r="AG470" s="126"/>
      <c r="AH470" s="126"/>
      <c r="AI470" s="126">
        <f t="shared" si="433"/>
        <v>6.5</v>
      </c>
      <c r="AJ470" s="126">
        <f t="shared" si="441"/>
        <v>0</v>
      </c>
      <c r="AK470" s="126">
        <f t="shared" si="441"/>
        <v>0</v>
      </c>
      <c r="AL470" s="126">
        <f t="shared" si="442"/>
        <v>0</v>
      </c>
      <c r="AM470" s="126">
        <f t="shared" si="442"/>
        <v>6.5</v>
      </c>
      <c r="AN470" s="126"/>
      <c r="AO470" s="130">
        <f t="shared" si="434"/>
        <v>0</v>
      </c>
      <c r="AP470" s="116"/>
    </row>
    <row r="471" spans="1:42" s="117" customFormat="1" ht="14" hidden="1" outlineLevel="1">
      <c r="A471" s="136"/>
      <c r="B471" s="137" t="s">
        <v>680</v>
      </c>
      <c r="C471" s="126">
        <f t="shared" si="435"/>
        <v>0</v>
      </c>
      <c r="D471" s="126">
        <v>0</v>
      </c>
      <c r="E471" s="126">
        <v>0</v>
      </c>
      <c r="F471" s="126">
        <v>0</v>
      </c>
      <c r="G471" s="126">
        <f>10-10</f>
        <v>0</v>
      </c>
      <c r="H471" s="126">
        <f t="shared" si="436"/>
        <v>10</v>
      </c>
      <c r="I471" s="126">
        <f t="shared" si="437"/>
        <v>0</v>
      </c>
      <c r="J471" s="126"/>
      <c r="K471" s="126"/>
      <c r="L471" s="126">
        <f t="shared" si="443"/>
        <v>10</v>
      </c>
      <c r="M471" s="126"/>
      <c r="N471" s="126">
        <v>10</v>
      </c>
      <c r="O471" s="126">
        <f t="shared" si="405"/>
        <v>10</v>
      </c>
      <c r="P471" s="126">
        <f t="shared" si="406"/>
        <v>0</v>
      </c>
      <c r="Q471" s="126"/>
      <c r="R471" s="126"/>
      <c r="S471" s="126">
        <f t="shared" si="407"/>
        <v>10</v>
      </c>
      <c r="T471" s="126"/>
      <c r="U471" s="126">
        <f>N471</f>
        <v>10</v>
      </c>
      <c r="V471" s="126">
        <f t="shared" si="438"/>
        <v>0</v>
      </c>
      <c r="W471" s="126">
        <f t="shared" si="439"/>
        <v>0</v>
      </c>
      <c r="X471" s="126"/>
      <c r="Y471" s="126"/>
      <c r="Z471" s="126">
        <f t="shared" si="440"/>
        <v>0</v>
      </c>
      <c r="AA471" s="126"/>
      <c r="AB471" s="126"/>
      <c r="AC471" s="126">
        <f t="shared" si="444"/>
        <v>0</v>
      </c>
      <c r="AD471" s="126"/>
      <c r="AE471" s="126"/>
      <c r="AF471" s="126">
        <f t="shared" si="445"/>
        <v>0</v>
      </c>
      <c r="AG471" s="126"/>
      <c r="AH471" s="126"/>
      <c r="AI471" s="126">
        <f t="shared" si="433"/>
        <v>0</v>
      </c>
      <c r="AJ471" s="126">
        <f t="shared" si="441"/>
        <v>0</v>
      </c>
      <c r="AK471" s="126">
        <f t="shared" si="441"/>
        <v>0</v>
      </c>
      <c r="AL471" s="126">
        <f t="shared" si="442"/>
        <v>0</v>
      </c>
      <c r="AM471" s="126">
        <f t="shared" si="442"/>
        <v>0</v>
      </c>
      <c r="AN471" s="126"/>
      <c r="AO471" s="130">
        <f t="shared" si="434"/>
        <v>0</v>
      </c>
      <c r="AP471" s="116"/>
    </row>
    <row r="472" spans="1:42" s="117" customFormat="1" ht="14" hidden="1" outlineLevel="1">
      <c r="A472" s="136"/>
      <c r="B472" s="137" t="s">
        <v>565</v>
      </c>
      <c r="C472" s="126">
        <f t="shared" si="435"/>
        <v>0</v>
      </c>
      <c r="D472" s="126">
        <v>0</v>
      </c>
      <c r="E472" s="126">
        <v>0</v>
      </c>
      <c r="F472" s="126">
        <v>0</v>
      </c>
      <c r="G472" s="126">
        <f>10-10</f>
        <v>0</v>
      </c>
      <c r="H472" s="126">
        <f t="shared" si="436"/>
        <v>5</v>
      </c>
      <c r="I472" s="126">
        <f t="shared" si="437"/>
        <v>0</v>
      </c>
      <c r="J472" s="126"/>
      <c r="K472" s="126"/>
      <c r="L472" s="126">
        <f t="shared" si="443"/>
        <v>5</v>
      </c>
      <c r="M472" s="126"/>
      <c r="N472" s="126">
        <v>5</v>
      </c>
      <c r="O472" s="126">
        <f t="shared" si="405"/>
        <v>0</v>
      </c>
      <c r="P472" s="126">
        <f t="shared" si="406"/>
        <v>0</v>
      </c>
      <c r="Q472" s="126"/>
      <c r="R472" s="126"/>
      <c r="S472" s="126">
        <f t="shared" si="407"/>
        <v>0</v>
      </c>
      <c r="T472" s="126"/>
      <c r="U472" s="126">
        <f>0</f>
        <v>0</v>
      </c>
      <c r="V472" s="126">
        <f t="shared" si="438"/>
        <v>0</v>
      </c>
      <c r="W472" s="126">
        <f t="shared" si="439"/>
        <v>0</v>
      </c>
      <c r="X472" s="126"/>
      <c r="Y472" s="126"/>
      <c r="Z472" s="126">
        <f t="shared" si="440"/>
        <v>0</v>
      </c>
      <c r="AA472" s="126"/>
      <c r="AB472" s="126"/>
      <c r="AC472" s="126">
        <f t="shared" si="444"/>
        <v>0</v>
      </c>
      <c r="AD472" s="126"/>
      <c r="AE472" s="126"/>
      <c r="AF472" s="126">
        <f t="shared" si="445"/>
        <v>0</v>
      </c>
      <c r="AG472" s="126"/>
      <c r="AH472" s="126"/>
      <c r="AI472" s="126">
        <f t="shared" si="433"/>
        <v>5</v>
      </c>
      <c r="AJ472" s="126">
        <f t="shared" si="441"/>
        <v>0</v>
      </c>
      <c r="AK472" s="126">
        <f t="shared" si="441"/>
        <v>0</v>
      </c>
      <c r="AL472" s="126">
        <f t="shared" si="442"/>
        <v>0</v>
      </c>
      <c r="AM472" s="126">
        <f t="shared" si="442"/>
        <v>5</v>
      </c>
      <c r="AN472" s="126"/>
      <c r="AO472" s="130">
        <f t="shared" si="434"/>
        <v>0</v>
      </c>
      <c r="AP472" s="116"/>
    </row>
    <row r="473" spans="1:42" s="117" customFormat="1" ht="14" hidden="1" outlineLevel="1">
      <c r="A473" s="136"/>
      <c r="B473" s="137" t="s">
        <v>566</v>
      </c>
      <c r="C473" s="126">
        <f t="shared" si="435"/>
        <v>5.1000000000000014</v>
      </c>
      <c r="D473" s="126">
        <v>0</v>
      </c>
      <c r="E473" s="126">
        <v>0</v>
      </c>
      <c r="F473" s="126">
        <v>0</v>
      </c>
      <c r="G473" s="126">
        <v>5.1000000000000014</v>
      </c>
      <c r="H473" s="126">
        <f t="shared" si="436"/>
        <v>5</v>
      </c>
      <c r="I473" s="126">
        <f t="shared" si="437"/>
        <v>0</v>
      </c>
      <c r="J473" s="126"/>
      <c r="K473" s="126"/>
      <c r="L473" s="126">
        <f t="shared" si="443"/>
        <v>5</v>
      </c>
      <c r="M473" s="126"/>
      <c r="N473" s="126">
        <v>5</v>
      </c>
      <c r="O473" s="126">
        <f t="shared" si="405"/>
        <v>0</v>
      </c>
      <c r="P473" s="126">
        <f t="shared" si="406"/>
        <v>0</v>
      </c>
      <c r="Q473" s="126"/>
      <c r="R473" s="126"/>
      <c r="S473" s="126">
        <f t="shared" si="407"/>
        <v>0</v>
      </c>
      <c r="T473" s="126"/>
      <c r="U473" s="126">
        <f>0</f>
        <v>0</v>
      </c>
      <c r="V473" s="126">
        <f t="shared" si="438"/>
        <v>5.1000000000000014</v>
      </c>
      <c r="W473" s="126">
        <f t="shared" si="439"/>
        <v>0</v>
      </c>
      <c r="X473" s="126"/>
      <c r="Y473" s="126"/>
      <c r="Z473" s="126">
        <f t="shared" si="440"/>
        <v>5.1000000000000014</v>
      </c>
      <c r="AA473" s="126"/>
      <c r="AB473" s="126">
        <v>5.1000000000000014</v>
      </c>
      <c r="AC473" s="126">
        <f t="shared" si="444"/>
        <v>0</v>
      </c>
      <c r="AD473" s="126"/>
      <c r="AE473" s="126"/>
      <c r="AF473" s="126">
        <f t="shared" si="445"/>
        <v>0</v>
      </c>
      <c r="AG473" s="126"/>
      <c r="AH473" s="126"/>
      <c r="AI473" s="126">
        <f t="shared" si="433"/>
        <v>5</v>
      </c>
      <c r="AJ473" s="126">
        <f t="shared" si="441"/>
        <v>0</v>
      </c>
      <c r="AK473" s="126">
        <f t="shared" si="441"/>
        <v>0</v>
      </c>
      <c r="AL473" s="126">
        <f t="shared" si="442"/>
        <v>0</v>
      </c>
      <c r="AM473" s="126">
        <f t="shared" si="442"/>
        <v>5</v>
      </c>
      <c r="AN473" s="126"/>
      <c r="AO473" s="130">
        <f t="shared" si="434"/>
        <v>0</v>
      </c>
      <c r="AP473" s="116"/>
    </row>
    <row r="474" spans="1:42" s="117" customFormat="1" ht="14" hidden="1" outlineLevel="1">
      <c r="A474" s="136"/>
      <c r="B474" s="137" t="s">
        <v>567</v>
      </c>
      <c r="C474" s="126">
        <f t="shared" si="435"/>
        <v>0</v>
      </c>
      <c r="D474" s="126">
        <v>0</v>
      </c>
      <c r="E474" s="126">
        <v>0</v>
      </c>
      <c r="F474" s="126">
        <v>0</v>
      </c>
      <c r="G474" s="126">
        <f>15-15</f>
        <v>0</v>
      </c>
      <c r="H474" s="126">
        <f t="shared" si="436"/>
        <v>10</v>
      </c>
      <c r="I474" s="126">
        <f t="shared" si="437"/>
        <v>0</v>
      </c>
      <c r="J474" s="126"/>
      <c r="K474" s="126"/>
      <c r="L474" s="126">
        <f t="shared" si="443"/>
        <v>10</v>
      </c>
      <c r="M474" s="126"/>
      <c r="N474" s="126">
        <v>10</v>
      </c>
      <c r="O474" s="126">
        <f t="shared" si="405"/>
        <v>10</v>
      </c>
      <c r="P474" s="126">
        <f t="shared" si="406"/>
        <v>0</v>
      </c>
      <c r="Q474" s="126"/>
      <c r="R474" s="126"/>
      <c r="S474" s="126">
        <f t="shared" si="407"/>
        <v>10</v>
      </c>
      <c r="T474" s="126"/>
      <c r="U474" s="126">
        <f>N474</f>
        <v>10</v>
      </c>
      <c r="V474" s="126">
        <f t="shared" si="438"/>
        <v>0</v>
      </c>
      <c r="W474" s="126">
        <f t="shared" si="439"/>
        <v>0</v>
      </c>
      <c r="X474" s="126"/>
      <c r="Y474" s="126"/>
      <c r="Z474" s="126">
        <f t="shared" si="440"/>
        <v>0</v>
      </c>
      <c r="AA474" s="126"/>
      <c r="AB474" s="126"/>
      <c r="AC474" s="126">
        <f t="shared" si="444"/>
        <v>0</v>
      </c>
      <c r="AD474" s="126"/>
      <c r="AE474" s="126"/>
      <c r="AF474" s="126">
        <f t="shared" si="445"/>
        <v>0</v>
      </c>
      <c r="AG474" s="126"/>
      <c r="AH474" s="126"/>
      <c r="AI474" s="126">
        <f t="shared" si="433"/>
        <v>0</v>
      </c>
      <c r="AJ474" s="126">
        <f t="shared" si="441"/>
        <v>0</v>
      </c>
      <c r="AK474" s="126">
        <f t="shared" si="441"/>
        <v>0</v>
      </c>
      <c r="AL474" s="126">
        <f t="shared" si="442"/>
        <v>0</v>
      </c>
      <c r="AM474" s="126">
        <f t="shared" si="442"/>
        <v>0</v>
      </c>
      <c r="AN474" s="126"/>
      <c r="AO474" s="130">
        <f t="shared" si="434"/>
        <v>0</v>
      </c>
      <c r="AP474" s="116"/>
    </row>
    <row r="475" spans="1:42" s="117" customFormat="1" ht="14" hidden="1" outlineLevel="1">
      <c r="A475" s="136"/>
      <c r="B475" s="137" t="s">
        <v>757</v>
      </c>
      <c r="C475" s="126">
        <f t="shared" si="435"/>
        <v>0</v>
      </c>
      <c r="D475" s="126">
        <v>0</v>
      </c>
      <c r="E475" s="126">
        <v>0</v>
      </c>
      <c r="F475" s="126">
        <v>0</v>
      </c>
      <c r="G475" s="126">
        <v>0</v>
      </c>
      <c r="H475" s="126">
        <f t="shared" si="436"/>
        <v>10</v>
      </c>
      <c r="I475" s="126">
        <f t="shared" si="437"/>
        <v>0</v>
      </c>
      <c r="J475" s="126"/>
      <c r="K475" s="126"/>
      <c r="L475" s="126">
        <f t="shared" si="443"/>
        <v>10</v>
      </c>
      <c r="M475" s="126"/>
      <c r="N475" s="126">
        <v>10</v>
      </c>
      <c r="O475" s="126">
        <f t="shared" si="405"/>
        <v>10</v>
      </c>
      <c r="P475" s="126">
        <f t="shared" si="406"/>
        <v>0</v>
      </c>
      <c r="Q475" s="126"/>
      <c r="R475" s="126"/>
      <c r="S475" s="126">
        <f t="shared" si="407"/>
        <v>10</v>
      </c>
      <c r="T475" s="126"/>
      <c r="U475" s="126">
        <f>N475</f>
        <v>10</v>
      </c>
      <c r="V475" s="126">
        <f t="shared" si="438"/>
        <v>0</v>
      </c>
      <c r="W475" s="126">
        <f t="shared" si="439"/>
        <v>0</v>
      </c>
      <c r="X475" s="126"/>
      <c r="Y475" s="126"/>
      <c r="Z475" s="126">
        <f t="shared" si="440"/>
        <v>0</v>
      </c>
      <c r="AA475" s="126"/>
      <c r="AB475" s="126"/>
      <c r="AC475" s="126">
        <f t="shared" si="444"/>
        <v>0</v>
      </c>
      <c r="AD475" s="126"/>
      <c r="AE475" s="126"/>
      <c r="AF475" s="126">
        <f t="shared" si="445"/>
        <v>0</v>
      </c>
      <c r="AG475" s="126"/>
      <c r="AH475" s="126"/>
      <c r="AI475" s="126">
        <f t="shared" si="433"/>
        <v>0</v>
      </c>
      <c r="AJ475" s="126">
        <f t="shared" si="441"/>
        <v>0</v>
      </c>
      <c r="AK475" s="126">
        <f t="shared" si="441"/>
        <v>0</v>
      </c>
      <c r="AL475" s="126">
        <f t="shared" si="442"/>
        <v>0</v>
      </c>
      <c r="AM475" s="126">
        <f t="shared" si="442"/>
        <v>0</v>
      </c>
      <c r="AN475" s="126"/>
      <c r="AO475" s="130">
        <f t="shared" si="434"/>
        <v>0</v>
      </c>
      <c r="AP475" s="116"/>
    </row>
    <row r="476" spans="1:42" s="117" customFormat="1" ht="14" hidden="1" outlineLevel="1">
      <c r="A476" s="146"/>
      <c r="B476" s="140" t="s">
        <v>594</v>
      </c>
      <c r="C476" s="126">
        <f t="shared" si="435"/>
        <v>65</v>
      </c>
      <c r="D476" s="126">
        <v>0</v>
      </c>
      <c r="E476" s="126">
        <f>10+15+30+10</f>
        <v>65</v>
      </c>
      <c r="F476" s="141">
        <v>0</v>
      </c>
      <c r="G476" s="141">
        <f>10-10</f>
        <v>0</v>
      </c>
      <c r="H476" s="126">
        <f>I476+L476</f>
        <v>265</v>
      </c>
      <c r="I476" s="126">
        <f>J476+K476</f>
        <v>265</v>
      </c>
      <c r="J476" s="126"/>
      <c r="K476" s="126">
        <v>265</v>
      </c>
      <c r="L476" s="126"/>
      <c r="M476" s="141"/>
      <c r="N476" s="141"/>
      <c r="O476" s="141"/>
      <c r="P476" s="141"/>
      <c r="Q476" s="141"/>
      <c r="R476" s="141"/>
      <c r="S476" s="141"/>
      <c r="T476" s="141"/>
      <c r="U476" s="141"/>
      <c r="V476" s="141">
        <f>W476+Z476</f>
        <v>0</v>
      </c>
      <c r="W476" s="141">
        <f>X476+Y476</f>
        <v>0</v>
      </c>
      <c r="X476" s="141"/>
      <c r="Y476" s="141"/>
      <c r="Z476" s="141"/>
      <c r="AA476" s="141"/>
      <c r="AB476" s="141"/>
      <c r="AC476" s="141"/>
      <c r="AD476" s="141"/>
      <c r="AE476" s="141"/>
      <c r="AF476" s="141"/>
      <c r="AG476" s="141"/>
      <c r="AH476" s="141"/>
      <c r="AI476" s="126">
        <f t="shared" si="433"/>
        <v>330</v>
      </c>
      <c r="AJ476" s="126">
        <f t="shared" si="441"/>
        <v>0</v>
      </c>
      <c r="AK476" s="126">
        <f t="shared" si="441"/>
        <v>330</v>
      </c>
      <c r="AL476" s="141">
        <f t="shared" si="442"/>
        <v>0</v>
      </c>
      <c r="AM476" s="141">
        <f t="shared" si="442"/>
        <v>0</v>
      </c>
      <c r="AN476" s="126"/>
      <c r="AO476" s="130">
        <f t="shared" si="434"/>
        <v>0</v>
      </c>
      <c r="AP476" s="116"/>
    </row>
    <row r="477" spans="1:42" s="117" customFormat="1" ht="14" collapsed="1">
      <c r="A477" s="136">
        <v>21</v>
      </c>
      <c r="B477" s="137" t="s">
        <v>758</v>
      </c>
      <c r="C477" s="126">
        <f>SUM(C478:C489)</f>
        <v>50.570999999999998</v>
      </c>
      <c r="D477" s="126">
        <f t="shared" ref="D477:AB477" si="446">SUM(D478:D489)</f>
        <v>0</v>
      </c>
      <c r="E477" s="126">
        <f t="shared" si="446"/>
        <v>50.271000000000001</v>
      </c>
      <c r="F477" s="126">
        <f t="shared" si="446"/>
        <v>0</v>
      </c>
      <c r="G477" s="126">
        <f t="shared" si="446"/>
        <v>0.30000000000000071</v>
      </c>
      <c r="H477" s="126">
        <f t="shared" si="446"/>
        <v>4361</v>
      </c>
      <c r="I477" s="126">
        <f t="shared" si="446"/>
        <v>3389.9859999999999</v>
      </c>
      <c r="J477" s="126">
        <f t="shared" si="446"/>
        <v>0</v>
      </c>
      <c r="K477" s="126">
        <f t="shared" si="446"/>
        <v>3389.9859999999999</v>
      </c>
      <c r="L477" s="126">
        <f t="shared" si="446"/>
        <v>971.01400000000001</v>
      </c>
      <c r="M477" s="126">
        <f t="shared" si="446"/>
        <v>0</v>
      </c>
      <c r="N477" s="126">
        <f t="shared" si="446"/>
        <v>971.01400000000001</v>
      </c>
      <c r="O477" s="126">
        <f t="shared" si="446"/>
        <v>3849.3840000000005</v>
      </c>
      <c r="P477" s="126">
        <f t="shared" si="446"/>
        <v>3010</v>
      </c>
      <c r="Q477" s="126">
        <f t="shared" si="446"/>
        <v>0</v>
      </c>
      <c r="R477" s="126">
        <f t="shared" si="446"/>
        <v>3010</v>
      </c>
      <c r="S477" s="126">
        <f t="shared" si="446"/>
        <v>839.38400000000001</v>
      </c>
      <c r="T477" s="126">
        <f t="shared" si="446"/>
        <v>0</v>
      </c>
      <c r="U477" s="126">
        <f t="shared" si="446"/>
        <v>839.38400000000001</v>
      </c>
      <c r="V477" s="126">
        <f t="shared" si="446"/>
        <v>10.06</v>
      </c>
      <c r="W477" s="126">
        <f t="shared" si="446"/>
        <v>0</v>
      </c>
      <c r="X477" s="126">
        <f t="shared" si="446"/>
        <v>0</v>
      </c>
      <c r="Y477" s="126">
        <f t="shared" si="446"/>
        <v>0</v>
      </c>
      <c r="Z477" s="126">
        <f t="shared" si="446"/>
        <v>10.06</v>
      </c>
      <c r="AA477" s="126">
        <f t="shared" si="446"/>
        <v>0</v>
      </c>
      <c r="AB477" s="126">
        <f t="shared" si="446"/>
        <v>10.06</v>
      </c>
      <c r="AC477" s="126">
        <f t="shared" ref="AC477:AH477" si="447">SUM(AC478:AC488)</f>
        <v>0</v>
      </c>
      <c r="AD477" s="126">
        <f t="shared" si="447"/>
        <v>0</v>
      </c>
      <c r="AE477" s="126">
        <f t="shared" si="447"/>
        <v>0</v>
      </c>
      <c r="AF477" s="126">
        <f t="shared" si="447"/>
        <v>0</v>
      </c>
      <c r="AG477" s="126">
        <f t="shared" si="447"/>
        <v>0</v>
      </c>
      <c r="AH477" s="126">
        <f t="shared" si="447"/>
        <v>0</v>
      </c>
      <c r="AI477" s="126">
        <f t="shared" si="433"/>
        <v>552.12699999999995</v>
      </c>
      <c r="AJ477" s="126">
        <f>SUM(AJ478:AJ489)</f>
        <v>0</v>
      </c>
      <c r="AK477" s="126">
        <f>SUM(AK478:AK489)</f>
        <v>430.25700000000001</v>
      </c>
      <c r="AL477" s="126">
        <f>SUM(AL478:AL489)</f>
        <v>0</v>
      </c>
      <c r="AM477" s="126">
        <f>SUM(AM478:AM489)</f>
        <v>121.87</v>
      </c>
      <c r="AN477" s="126"/>
      <c r="AO477" s="130">
        <f t="shared" si="434"/>
        <v>0</v>
      </c>
      <c r="AP477" s="116"/>
    </row>
    <row r="478" spans="1:42" s="117" customFormat="1" ht="14" hidden="1" outlineLevel="1">
      <c r="A478" s="136"/>
      <c r="B478" s="137" t="s">
        <v>756</v>
      </c>
      <c r="C478" s="126">
        <f t="shared" ref="C478:C489" si="448">SUM(D478:G478)</f>
        <v>0</v>
      </c>
      <c r="D478" s="126">
        <v>0</v>
      </c>
      <c r="E478" s="126">
        <v>0</v>
      </c>
      <c r="F478" s="126">
        <v>0</v>
      </c>
      <c r="G478" s="126">
        <v>0</v>
      </c>
      <c r="H478" s="126">
        <f t="shared" ref="H478:H488" si="449">I478+L478</f>
        <v>3010</v>
      </c>
      <c r="I478" s="126">
        <f t="shared" ref="I478:I488" si="450">J478+K478</f>
        <v>3010</v>
      </c>
      <c r="J478" s="126"/>
      <c r="K478" s="126">
        <f>(200+1520+30+70+215+250+153+700+250)-378</f>
        <v>3010</v>
      </c>
      <c r="L478" s="126"/>
      <c r="M478" s="126"/>
      <c r="N478" s="126"/>
      <c r="O478" s="126">
        <f t="shared" si="405"/>
        <v>3010</v>
      </c>
      <c r="P478" s="126">
        <f t="shared" si="406"/>
        <v>3010</v>
      </c>
      <c r="Q478" s="126"/>
      <c r="R478" s="126">
        <v>3010</v>
      </c>
      <c r="S478" s="126">
        <f t="shared" si="407"/>
        <v>0</v>
      </c>
      <c r="T478" s="126"/>
      <c r="U478" s="126"/>
      <c r="V478" s="126">
        <f>W478+Z478+AC478+AF478</f>
        <v>0</v>
      </c>
      <c r="W478" s="126">
        <f>X478+Y478</f>
        <v>0</v>
      </c>
      <c r="X478" s="126"/>
      <c r="Y478" s="126"/>
      <c r="Z478" s="126"/>
      <c r="AA478" s="126"/>
      <c r="AB478" s="126"/>
      <c r="AC478" s="126">
        <f>AD478+AE478</f>
        <v>0</v>
      </c>
      <c r="AD478" s="126"/>
      <c r="AE478" s="126"/>
      <c r="AF478" s="126">
        <f>AG478+AH478</f>
        <v>0</v>
      </c>
      <c r="AG478" s="126"/>
      <c r="AH478" s="126"/>
      <c r="AI478" s="126">
        <f t="shared" si="433"/>
        <v>0</v>
      </c>
      <c r="AJ478" s="126">
        <f t="shared" ref="AJ478:AK489" si="451">D478+J478-Q478-X478-AD478</f>
        <v>0</v>
      </c>
      <c r="AK478" s="126">
        <f t="shared" si="451"/>
        <v>0</v>
      </c>
      <c r="AL478" s="126">
        <f t="shared" ref="AL478:AM489" si="452">F478+M478-T478-AA478-AG478</f>
        <v>0</v>
      </c>
      <c r="AM478" s="126">
        <f t="shared" si="452"/>
        <v>0</v>
      </c>
      <c r="AN478" s="126"/>
      <c r="AO478" s="130">
        <f t="shared" si="434"/>
        <v>0</v>
      </c>
      <c r="AP478" s="116"/>
    </row>
    <row r="479" spans="1:42" s="117" customFormat="1" ht="14" hidden="1" outlineLevel="1">
      <c r="A479" s="136"/>
      <c r="B479" s="137" t="s">
        <v>337</v>
      </c>
      <c r="C479" s="126">
        <f t="shared" si="448"/>
        <v>0</v>
      </c>
      <c r="D479" s="126">
        <v>0</v>
      </c>
      <c r="E479" s="126">
        <v>0</v>
      </c>
      <c r="F479" s="126">
        <v>0</v>
      </c>
      <c r="G479" s="126">
        <v>0</v>
      </c>
      <c r="H479" s="126">
        <f t="shared" si="449"/>
        <v>153</v>
      </c>
      <c r="I479" s="126">
        <f t="shared" si="450"/>
        <v>0</v>
      </c>
      <c r="J479" s="126"/>
      <c r="K479" s="126"/>
      <c r="L479" s="126">
        <f t="shared" ref="L479:L488" si="453">M479+N479</f>
        <v>153</v>
      </c>
      <c r="M479" s="126"/>
      <c r="N479" s="126">
        <v>153</v>
      </c>
      <c r="O479" s="126">
        <f t="shared" si="405"/>
        <v>101.76</v>
      </c>
      <c r="P479" s="126">
        <f t="shared" si="406"/>
        <v>0</v>
      </c>
      <c r="Q479" s="126"/>
      <c r="R479" s="126"/>
      <c r="S479" s="126">
        <f t="shared" si="407"/>
        <v>101.76</v>
      </c>
      <c r="T479" s="126"/>
      <c r="U479" s="126">
        <f>101.76</f>
        <v>101.76</v>
      </c>
      <c r="V479" s="126">
        <f>W479+Z479+AC479+AF479</f>
        <v>0</v>
      </c>
      <c r="W479" s="126"/>
      <c r="X479" s="126"/>
      <c r="Y479" s="126"/>
      <c r="Z479" s="126"/>
      <c r="AA479" s="126"/>
      <c r="AB479" s="126"/>
      <c r="AC479" s="126">
        <f>AD479+AE479</f>
        <v>0</v>
      </c>
      <c r="AD479" s="126"/>
      <c r="AE479" s="126"/>
      <c r="AF479" s="126">
        <f>AG479+AH479</f>
        <v>0</v>
      </c>
      <c r="AG479" s="126"/>
      <c r="AH479" s="126"/>
      <c r="AI479" s="126">
        <f t="shared" si="433"/>
        <v>51.239999999999995</v>
      </c>
      <c r="AJ479" s="126">
        <f t="shared" si="451"/>
        <v>0</v>
      </c>
      <c r="AK479" s="126">
        <f t="shared" si="451"/>
        <v>0</v>
      </c>
      <c r="AL479" s="126">
        <f t="shared" si="452"/>
        <v>0</v>
      </c>
      <c r="AM479" s="126">
        <f t="shared" si="452"/>
        <v>51.239999999999995</v>
      </c>
      <c r="AN479" s="126"/>
      <c r="AO479" s="130">
        <f t="shared" si="434"/>
        <v>0</v>
      </c>
      <c r="AP479" s="116"/>
    </row>
    <row r="480" spans="1:42" s="117" customFormat="1" ht="14" hidden="1" outlineLevel="1">
      <c r="A480" s="136"/>
      <c r="B480" s="137" t="s">
        <v>560</v>
      </c>
      <c r="C480" s="126">
        <f t="shared" si="448"/>
        <v>0</v>
      </c>
      <c r="D480" s="126">
        <v>0</v>
      </c>
      <c r="E480" s="126">
        <v>0</v>
      </c>
      <c r="F480" s="126">
        <v>0</v>
      </c>
      <c r="G480" s="126">
        <v>0</v>
      </c>
      <c r="H480" s="126">
        <f t="shared" si="449"/>
        <v>101</v>
      </c>
      <c r="I480" s="126">
        <f t="shared" si="450"/>
        <v>0</v>
      </c>
      <c r="J480" s="126"/>
      <c r="K480" s="126"/>
      <c r="L480" s="126">
        <f t="shared" si="453"/>
        <v>101</v>
      </c>
      <c r="M480" s="126"/>
      <c r="N480" s="126">
        <v>101</v>
      </c>
      <c r="O480" s="126">
        <f t="shared" si="405"/>
        <v>101</v>
      </c>
      <c r="P480" s="126">
        <f t="shared" si="406"/>
        <v>0</v>
      </c>
      <c r="Q480" s="126"/>
      <c r="R480" s="126"/>
      <c r="S480" s="126">
        <f t="shared" si="407"/>
        <v>101</v>
      </c>
      <c r="T480" s="126"/>
      <c r="U480" s="126">
        <f>N480</f>
        <v>101</v>
      </c>
      <c r="V480" s="126">
        <f>W480+Z480+AC480+AF480</f>
        <v>0</v>
      </c>
      <c r="W480" s="126"/>
      <c r="X480" s="126"/>
      <c r="Y480" s="126"/>
      <c r="Z480" s="126"/>
      <c r="AA480" s="126"/>
      <c r="AB480" s="126"/>
      <c r="AC480" s="126">
        <f>AD480+AE480</f>
        <v>0</v>
      </c>
      <c r="AD480" s="126"/>
      <c r="AE480" s="126"/>
      <c r="AF480" s="126">
        <f>AG480+AH480</f>
        <v>0</v>
      </c>
      <c r="AG480" s="126"/>
      <c r="AH480" s="126"/>
      <c r="AI480" s="126">
        <f t="shared" si="433"/>
        <v>0</v>
      </c>
      <c r="AJ480" s="126">
        <f t="shared" si="451"/>
        <v>0</v>
      </c>
      <c r="AK480" s="126">
        <f t="shared" si="451"/>
        <v>0</v>
      </c>
      <c r="AL480" s="126">
        <f t="shared" si="452"/>
        <v>0</v>
      </c>
      <c r="AM480" s="126">
        <f t="shared" si="452"/>
        <v>0</v>
      </c>
      <c r="AN480" s="126"/>
      <c r="AO480" s="130">
        <f t="shared" si="434"/>
        <v>0</v>
      </c>
      <c r="AP480" s="116"/>
    </row>
    <row r="481" spans="1:42" s="117" customFormat="1" ht="14" hidden="1" outlineLevel="1">
      <c r="A481" s="136"/>
      <c r="B481" s="137" t="s">
        <v>562</v>
      </c>
      <c r="C481" s="126">
        <f t="shared" si="448"/>
        <v>0</v>
      </c>
      <c r="D481" s="126">
        <v>0</v>
      </c>
      <c r="E481" s="126">
        <v>0</v>
      </c>
      <c r="F481" s="126">
        <v>0</v>
      </c>
      <c r="G481" s="126">
        <v>0</v>
      </c>
      <c r="H481" s="126">
        <f t="shared" si="449"/>
        <v>133</v>
      </c>
      <c r="I481" s="126">
        <f t="shared" si="450"/>
        <v>0</v>
      </c>
      <c r="J481" s="126"/>
      <c r="K481" s="126"/>
      <c r="L481" s="126">
        <f t="shared" si="453"/>
        <v>133</v>
      </c>
      <c r="M481" s="126"/>
      <c r="N481" s="126">
        <v>133</v>
      </c>
      <c r="O481" s="126">
        <f t="shared" si="405"/>
        <v>133</v>
      </c>
      <c r="P481" s="126">
        <f t="shared" si="406"/>
        <v>0</v>
      </c>
      <c r="Q481" s="126"/>
      <c r="R481" s="126"/>
      <c r="S481" s="126">
        <f t="shared" si="407"/>
        <v>133</v>
      </c>
      <c r="T481" s="126"/>
      <c r="U481" s="126">
        <f>N481</f>
        <v>133</v>
      </c>
      <c r="V481" s="126">
        <f>W481+Z481+AC481+AF481</f>
        <v>0</v>
      </c>
      <c r="W481" s="126"/>
      <c r="X481" s="126"/>
      <c r="Y481" s="126"/>
      <c r="Z481" s="126"/>
      <c r="AA481" s="126"/>
      <c r="AB481" s="126"/>
      <c r="AC481" s="126">
        <f>AD481+AE481</f>
        <v>0</v>
      </c>
      <c r="AD481" s="126"/>
      <c r="AE481" s="126"/>
      <c r="AF481" s="126">
        <f>AG481+AH481</f>
        <v>0</v>
      </c>
      <c r="AG481" s="126"/>
      <c r="AH481" s="126"/>
      <c r="AI481" s="126">
        <f t="shared" si="433"/>
        <v>0</v>
      </c>
      <c r="AJ481" s="126">
        <f t="shared" si="451"/>
        <v>0</v>
      </c>
      <c r="AK481" s="126">
        <f t="shared" si="451"/>
        <v>0</v>
      </c>
      <c r="AL481" s="126">
        <f t="shared" si="452"/>
        <v>0</v>
      </c>
      <c r="AM481" s="126">
        <f t="shared" si="452"/>
        <v>0</v>
      </c>
      <c r="AN481" s="126"/>
      <c r="AO481" s="130">
        <f t="shared" si="434"/>
        <v>0</v>
      </c>
      <c r="AP481" s="116"/>
    </row>
    <row r="482" spans="1:42" s="117" customFormat="1" ht="14" hidden="1" outlineLevel="1">
      <c r="A482" s="136"/>
      <c r="B482" s="137" t="s">
        <v>561</v>
      </c>
      <c r="C482" s="126">
        <f t="shared" si="448"/>
        <v>0</v>
      </c>
      <c r="D482" s="126">
        <v>0</v>
      </c>
      <c r="E482" s="126">
        <v>0</v>
      </c>
      <c r="F482" s="126">
        <v>0</v>
      </c>
      <c r="G482" s="126">
        <f>25.271-25.271</f>
        <v>0</v>
      </c>
      <c r="H482" s="126">
        <f t="shared" si="449"/>
        <v>86</v>
      </c>
      <c r="I482" s="126">
        <f t="shared" si="450"/>
        <v>0</v>
      </c>
      <c r="J482" s="126"/>
      <c r="K482" s="126"/>
      <c r="L482" s="126">
        <f t="shared" si="453"/>
        <v>86</v>
      </c>
      <c r="M482" s="126"/>
      <c r="N482" s="126">
        <v>86</v>
      </c>
      <c r="O482" s="126">
        <f t="shared" si="405"/>
        <v>58.4</v>
      </c>
      <c r="P482" s="126">
        <f t="shared" si="406"/>
        <v>0</v>
      </c>
      <c r="Q482" s="126"/>
      <c r="R482" s="126"/>
      <c r="S482" s="126">
        <f t="shared" si="407"/>
        <v>58.4</v>
      </c>
      <c r="T482" s="126"/>
      <c r="U482" s="126">
        <f>10+36+10+2.4</f>
        <v>58.4</v>
      </c>
      <c r="V482" s="126"/>
      <c r="W482" s="126"/>
      <c r="X482" s="126"/>
      <c r="Y482" s="126"/>
      <c r="Z482" s="126"/>
      <c r="AA482" s="126"/>
      <c r="AB482" s="126"/>
      <c r="AC482" s="126"/>
      <c r="AD482" s="126"/>
      <c r="AE482" s="126"/>
      <c r="AF482" s="126"/>
      <c r="AG482" s="126"/>
      <c r="AH482" s="126"/>
      <c r="AI482" s="126">
        <f t="shared" si="433"/>
        <v>27.6</v>
      </c>
      <c r="AJ482" s="126">
        <f t="shared" si="451"/>
        <v>0</v>
      </c>
      <c r="AK482" s="126">
        <f t="shared" si="451"/>
        <v>0</v>
      </c>
      <c r="AL482" s="126">
        <f t="shared" si="452"/>
        <v>0</v>
      </c>
      <c r="AM482" s="126">
        <f t="shared" si="452"/>
        <v>27.6</v>
      </c>
      <c r="AN482" s="126"/>
      <c r="AO482" s="130">
        <f t="shared" si="434"/>
        <v>0</v>
      </c>
      <c r="AP482" s="116"/>
    </row>
    <row r="483" spans="1:42" s="117" customFormat="1" ht="14" hidden="1" outlineLevel="1">
      <c r="A483" s="136"/>
      <c r="B483" s="137" t="s">
        <v>680</v>
      </c>
      <c r="C483" s="126">
        <f t="shared" si="448"/>
        <v>0</v>
      </c>
      <c r="D483" s="126">
        <v>0</v>
      </c>
      <c r="E483" s="126">
        <v>0</v>
      </c>
      <c r="F483" s="126">
        <v>0</v>
      </c>
      <c r="G483" s="126">
        <v>0</v>
      </c>
      <c r="H483" s="126">
        <f t="shared" si="449"/>
        <v>127.014</v>
      </c>
      <c r="I483" s="126">
        <f t="shared" si="450"/>
        <v>0</v>
      </c>
      <c r="J483" s="126"/>
      <c r="K483" s="126"/>
      <c r="L483" s="126">
        <f t="shared" si="453"/>
        <v>127.014</v>
      </c>
      <c r="M483" s="126"/>
      <c r="N483" s="126">
        <f>129-1.986</f>
        <v>127.014</v>
      </c>
      <c r="O483" s="126">
        <f t="shared" si="405"/>
        <v>127.014</v>
      </c>
      <c r="P483" s="126">
        <f t="shared" si="406"/>
        <v>0</v>
      </c>
      <c r="Q483" s="126"/>
      <c r="R483" s="126"/>
      <c r="S483" s="126">
        <f t="shared" si="407"/>
        <v>127.014</v>
      </c>
      <c r="T483" s="126"/>
      <c r="U483" s="126">
        <f>N483</f>
        <v>127.014</v>
      </c>
      <c r="V483" s="126"/>
      <c r="W483" s="126"/>
      <c r="X483" s="126"/>
      <c r="Y483" s="126"/>
      <c r="Z483" s="126"/>
      <c r="AA483" s="126"/>
      <c r="AB483" s="126"/>
      <c r="AC483" s="126"/>
      <c r="AD483" s="126"/>
      <c r="AE483" s="126"/>
      <c r="AF483" s="126"/>
      <c r="AG483" s="126"/>
      <c r="AH483" s="126"/>
      <c r="AI483" s="126">
        <f t="shared" si="433"/>
        <v>0</v>
      </c>
      <c r="AJ483" s="126">
        <f t="shared" si="451"/>
        <v>0</v>
      </c>
      <c r="AK483" s="126">
        <f t="shared" si="451"/>
        <v>0</v>
      </c>
      <c r="AL483" s="126">
        <f t="shared" si="452"/>
        <v>0</v>
      </c>
      <c r="AM483" s="126">
        <f t="shared" si="452"/>
        <v>0</v>
      </c>
      <c r="AN483" s="126"/>
      <c r="AO483" s="130">
        <f t="shared" si="434"/>
        <v>0</v>
      </c>
      <c r="AP483" s="116"/>
    </row>
    <row r="484" spans="1:42" s="117" customFormat="1" ht="14" hidden="1" outlineLevel="1">
      <c r="A484" s="136"/>
      <c r="B484" s="137" t="s">
        <v>563</v>
      </c>
      <c r="C484" s="126">
        <f t="shared" si="448"/>
        <v>0</v>
      </c>
      <c r="D484" s="126">
        <v>0</v>
      </c>
      <c r="E484" s="126">
        <v>0</v>
      </c>
      <c r="F484" s="126">
        <v>0</v>
      </c>
      <c r="G484" s="126">
        <v>0</v>
      </c>
      <c r="H484" s="126">
        <f t="shared" si="449"/>
        <v>100</v>
      </c>
      <c r="I484" s="126">
        <f t="shared" si="450"/>
        <v>0</v>
      </c>
      <c r="J484" s="126"/>
      <c r="K484" s="126"/>
      <c r="L484" s="126">
        <f t="shared" si="453"/>
        <v>100</v>
      </c>
      <c r="M484" s="126"/>
      <c r="N484" s="126">
        <v>100</v>
      </c>
      <c r="O484" s="126">
        <f t="shared" si="405"/>
        <v>100</v>
      </c>
      <c r="P484" s="126">
        <f t="shared" si="406"/>
        <v>0</v>
      </c>
      <c r="Q484" s="126"/>
      <c r="R484" s="126"/>
      <c r="S484" s="126">
        <f t="shared" si="407"/>
        <v>100</v>
      </c>
      <c r="T484" s="126"/>
      <c r="U484" s="126">
        <f>N484</f>
        <v>100</v>
      </c>
      <c r="V484" s="126"/>
      <c r="W484" s="126"/>
      <c r="X484" s="126"/>
      <c r="Y484" s="126"/>
      <c r="Z484" s="126"/>
      <c r="AA484" s="126"/>
      <c r="AB484" s="126"/>
      <c r="AC484" s="126"/>
      <c r="AD484" s="126"/>
      <c r="AE484" s="126"/>
      <c r="AF484" s="126"/>
      <c r="AG484" s="126"/>
      <c r="AH484" s="126"/>
      <c r="AI484" s="126">
        <f t="shared" si="433"/>
        <v>0</v>
      </c>
      <c r="AJ484" s="126">
        <f t="shared" si="451"/>
        <v>0</v>
      </c>
      <c r="AK484" s="126">
        <f t="shared" si="451"/>
        <v>0</v>
      </c>
      <c r="AL484" s="126">
        <f t="shared" si="452"/>
        <v>0</v>
      </c>
      <c r="AM484" s="126">
        <f t="shared" si="452"/>
        <v>0</v>
      </c>
      <c r="AN484" s="126"/>
      <c r="AO484" s="130">
        <f t="shared" si="434"/>
        <v>0</v>
      </c>
      <c r="AP484" s="116"/>
    </row>
    <row r="485" spans="1:42" s="117" customFormat="1" ht="14" hidden="1" outlineLevel="1">
      <c r="A485" s="136"/>
      <c r="B485" s="137" t="s">
        <v>566</v>
      </c>
      <c r="C485" s="126">
        <f t="shared" si="448"/>
        <v>0.30000000000000071</v>
      </c>
      <c r="D485" s="126">
        <v>0</v>
      </c>
      <c r="E485" s="126">
        <v>0</v>
      </c>
      <c r="F485" s="126">
        <v>0</v>
      </c>
      <c r="G485" s="126">
        <v>0.30000000000000071</v>
      </c>
      <c r="H485" s="126">
        <f t="shared" si="449"/>
        <v>97</v>
      </c>
      <c r="I485" s="126">
        <f t="shared" si="450"/>
        <v>0</v>
      </c>
      <c r="J485" s="126"/>
      <c r="K485" s="126"/>
      <c r="L485" s="126">
        <f t="shared" si="453"/>
        <v>97</v>
      </c>
      <c r="M485" s="126"/>
      <c r="N485" s="126">
        <v>97</v>
      </c>
      <c r="O485" s="126">
        <f t="shared" si="405"/>
        <v>62.902000000000001</v>
      </c>
      <c r="P485" s="126">
        <f t="shared" si="406"/>
        <v>0</v>
      </c>
      <c r="Q485" s="126"/>
      <c r="R485" s="126"/>
      <c r="S485" s="126">
        <f t="shared" si="407"/>
        <v>62.902000000000001</v>
      </c>
      <c r="T485" s="126"/>
      <c r="U485" s="126">
        <f>15+14.16+0+33.742</f>
        <v>62.902000000000001</v>
      </c>
      <c r="V485" s="126">
        <f>W485+Z485</f>
        <v>10.06</v>
      </c>
      <c r="W485" s="126">
        <f>X485+Y485</f>
        <v>0</v>
      </c>
      <c r="X485" s="126"/>
      <c r="Y485" s="126"/>
      <c r="Z485" s="126">
        <f>AA485+AB485</f>
        <v>10.06</v>
      </c>
      <c r="AA485" s="126"/>
      <c r="AB485" s="126">
        <f>0.300000000000001+9.76</f>
        <v>10.06</v>
      </c>
      <c r="AC485" s="126"/>
      <c r="AD485" s="126"/>
      <c r="AE485" s="126"/>
      <c r="AF485" s="126"/>
      <c r="AG485" s="126"/>
      <c r="AH485" s="126"/>
      <c r="AI485" s="126">
        <f t="shared" si="433"/>
        <v>24.337999999999994</v>
      </c>
      <c r="AJ485" s="126">
        <f t="shared" si="451"/>
        <v>0</v>
      </c>
      <c r="AK485" s="126">
        <f t="shared" si="451"/>
        <v>0</v>
      </c>
      <c r="AL485" s="126">
        <f t="shared" si="452"/>
        <v>0</v>
      </c>
      <c r="AM485" s="126">
        <f t="shared" si="452"/>
        <v>24.337999999999994</v>
      </c>
      <c r="AN485" s="126"/>
      <c r="AO485" s="130">
        <f t="shared" si="434"/>
        <v>0</v>
      </c>
      <c r="AP485" s="116"/>
    </row>
    <row r="486" spans="1:42" s="117" customFormat="1" ht="14" hidden="1" outlineLevel="1">
      <c r="A486" s="136"/>
      <c r="B486" s="137" t="s">
        <v>759</v>
      </c>
      <c r="C486" s="126">
        <f t="shared" si="448"/>
        <v>0</v>
      </c>
      <c r="D486" s="126">
        <v>0</v>
      </c>
      <c r="E486" s="126">
        <v>0</v>
      </c>
      <c r="F486" s="126">
        <v>0</v>
      </c>
      <c r="G486" s="126">
        <f>15-15</f>
        <v>0</v>
      </c>
      <c r="H486" s="126">
        <f t="shared" si="449"/>
        <v>50</v>
      </c>
      <c r="I486" s="126">
        <f t="shared" si="450"/>
        <v>0</v>
      </c>
      <c r="J486" s="126"/>
      <c r="K486" s="126"/>
      <c r="L486" s="126">
        <f t="shared" si="453"/>
        <v>50</v>
      </c>
      <c r="M486" s="126"/>
      <c r="N486" s="126">
        <v>50</v>
      </c>
      <c r="O486" s="126">
        <f t="shared" si="405"/>
        <v>50</v>
      </c>
      <c r="P486" s="126">
        <f t="shared" si="406"/>
        <v>0</v>
      </c>
      <c r="Q486" s="126"/>
      <c r="R486" s="126"/>
      <c r="S486" s="126">
        <f t="shared" si="407"/>
        <v>50</v>
      </c>
      <c r="T486" s="126"/>
      <c r="U486" s="126">
        <f>N486</f>
        <v>50</v>
      </c>
      <c r="V486" s="126"/>
      <c r="W486" s="126"/>
      <c r="X486" s="126"/>
      <c r="Y486" s="126"/>
      <c r="Z486" s="126"/>
      <c r="AA486" s="126"/>
      <c r="AB486" s="126"/>
      <c r="AC486" s="126"/>
      <c r="AD486" s="126"/>
      <c r="AE486" s="126"/>
      <c r="AF486" s="126"/>
      <c r="AG486" s="126"/>
      <c r="AH486" s="126"/>
      <c r="AI486" s="126">
        <f t="shared" si="433"/>
        <v>0</v>
      </c>
      <c r="AJ486" s="126">
        <f t="shared" si="451"/>
        <v>0</v>
      </c>
      <c r="AK486" s="126">
        <f t="shared" si="451"/>
        <v>0</v>
      </c>
      <c r="AL486" s="126">
        <f t="shared" si="452"/>
        <v>0</v>
      </c>
      <c r="AM486" s="126">
        <f t="shared" si="452"/>
        <v>0</v>
      </c>
      <c r="AN486" s="126"/>
      <c r="AO486" s="130">
        <f t="shared" si="434"/>
        <v>0</v>
      </c>
      <c r="AP486" s="116"/>
    </row>
    <row r="487" spans="1:42" s="117" customFormat="1" ht="14" hidden="1" outlineLevel="1">
      <c r="A487" s="139"/>
      <c r="B487" s="182" t="s">
        <v>606</v>
      </c>
      <c r="C487" s="126">
        <f t="shared" si="448"/>
        <v>0</v>
      </c>
      <c r="D487" s="180">
        <v>0</v>
      </c>
      <c r="E487" s="180">
        <v>0</v>
      </c>
      <c r="F487" s="180">
        <v>0</v>
      </c>
      <c r="G487" s="180">
        <f>10-10</f>
        <v>0</v>
      </c>
      <c r="H487" s="126">
        <f t="shared" si="449"/>
        <v>40</v>
      </c>
      <c r="I487" s="126">
        <f t="shared" si="450"/>
        <v>0</v>
      </c>
      <c r="J487" s="126"/>
      <c r="K487" s="126"/>
      <c r="L487" s="126">
        <f t="shared" si="453"/>
        <v>40</v>
      </c>
      <c r="M487" s="180"/>
      <c r="N487" s="180">
        <v>40</v>
      </c>
      <c r="O487" s="126">
        <f t="shared" si="405"/>
        <v>26.308</v>
      </c>
      <c r="P487" s="126">
        <f t="shared" si="406"/>
        <v>0</v>
      </c>
      <c r="Q487" s="126"/>
      <c r="R487" s="126"/>
      <c r="S487" s="126">
        <f t="shared" si="407"/>
        <v>26.308</v>
      </c>
      <c r="T487" s="180"/>
      <c r="U487" s="180">
        <f>10+6.48+9.828</f>
        <v>26.308</v>
      </c>
      <c r="V487" s="180"/>
      <c r="W487" s="180"/>
      <c r="X487" s="180"/>
      <c r="Y487" s="180"/>
      <c r="Z487" s="180"/>
      <c r="AA487" s="180"/>
      <c r="AB487" s="180"/>
      <c r="AC487" s="126"/>
      <c r="AD487" s="126"/>
      <c r="AE487" s="126"/>
      <c r="AF487" s="126"/>
      <c r="AG487" s="180"/>
      <c r="AH487" s="180"/>
      <c r="AI487" s="126">
        <f t="shared" si="433"/>
        <v>13.692</v>
      </c>
      <c r="AJ487" s="126">
        <f t="shared" si="451"/>
        <v>0</v>
      </c>
      <c r="AK487" s="126">
        <f t="shared" si="451"/>
        <v>0</v>
      </c>
      <c r="AL487" s="126">
        <f t="shared" si="452"/>
        <v>0</v>
      </c>
      <c r="AM487" s="126">
        <f t="shared" si="452"/>
        <v>13.692</v>
      </c>
      <c r="AN487" s="126"/>
      <c r="AO487" s="130">
        <f t="shared" si="434"/>
        <v>0</v>
      </c>
      <c r="AP487" s="116"/>
    </row>
    <row r="488" spans="1:42" s="117" customFormat="1" ht="14" hidden="1" outlineLevel="1">
      <c r="A488" s="139"/>
      <c r="B488" s="182" t="s">
        <v>602</v>
      </c>
      <c r="C488" s="126">
        <f t="shared" si="448"/>
        <v>0</v>
      </c>
      <c r="D488" s="180">
        <v>0</v>
      </c>
      <c r="E488" s="180">
        <v>0</v>
      </c>
      <c r="F488" s="180">
        <v>0</v>
      </c>
      <c r="G488" s="180">
        <v>0</v>
      </c>
      <c r="H488" s="126">
        <f t="shared" si="449"/>
        <v>84</v>
      </c>
      <c r="I488" s="126">
        <f t="shared" si="450"/>
        <v>0</v>
      </c>
      <c r="J488" s="126"/>
      <c r="K488" s="126"/>
      <c r="L488" s="126">
        <f t="shared" si="453"/>
        <v>84</v>
      </c>
      <c r="M488" s="180"/>
      <c r="N488" s="180">
        <v>84</v>
      </c>
      <c r="O488" s="126">
        <f t="shared" si="405"/>
        <v>79</v>
      </c>
      <c r="P488" s="126">
        <f t="shared" si="406"/>
        <v>0</v>
      </c>
      <c r="Q488" s="126"/>
      <c r="R488" s="126"/>
      <c r="S488" s="126">
        <f t="shared" si="407"/>
        <v>79</v>
      </c>
      <c r="T488" s="180"/>
      <c r="U488" s="180">
        <v>79</v>
      </c>
      <c r="V488" s="180"/>
      <c r="W488" s="180"/>
      <c r="X488" s="180"/>
      <c r="Y488" s="180"/>
      <c r="Z488" s="180"/>
      <c r="AA488" s="180"/>
      <c r="AB488" s="180"/>
      <c r="AC488" s="126"/>
      <c r="AD488" s="126"/>
      <c r="AE488" s="126"/>
      <c r="AF488" s="126"/>
      <c r="AG488" s="180"/>
      <c r="AH488" s="180"/>
      <c r="AI488" s="126">
        <f t="shared" si="433"/>
        <v>5</v>
      </c>
      <c r="AJ488" s="126">
        <f t="shared" si="451"/>
        <v>0</v>
      </c>
      <c r="AK488" s="126">
        <f t="shared" si="451"/>
        <v>0</v>
      </c>
      <c r="AL488" s="126">
        <f t="shared" si="452"/>
        <v>0</v>
      </c>
      <c r="AM488" s="126">
        <f t="shared" si="452"/>
        <v>5</v>
      </c>
      <c r="AN488" s="126"/>
      <c r="AO488" s="130">
        <f t="shared" si="434"/>
        <v>0</v>
      </c>
      <c r="AP488" s="116"/>
    </row>
    <row r="489" spans="1:42" s="117" customFormat="1" ht="14" hidden="1" outlineLevel="1">
      <c r="A489" s="146"/>
      <c r="B489" s="140" t="s">
        <v>594</v>
      </c>
      <c r="C489" s="126">
        <f t="shared" si="448"/>
        <v>50.271000000000001</v>
      </c>
      <c r="D489" s="126">
        <v>0</v>
      </c>
      <c r="E489" s="126">
        <f>10+15+25.271</f>
        <v>50.271000000000001</v>
      </c>
      <c r="F489" s="141">
        <v>0</v>
      </c>
      <c r="G489" s="141"/>
      <c r="H489" s="126">
        <f>I489+L489</f>
        <v>379.98599999999999</v>
      </c>
      <c r="I489" s="126">
        <f>J489+K489</f>
        <v>379.98599999999999</v>
      </c>
      <c r="J489" s="126"/>
      <c r="K489" s="126">
        <f>378+1.986</f>
        <v>379.98599999999999</v>
      </c>
      <c r="L489" s="126">
        <f>N489</f>
        <v>0</v>
      </c>
      <c r="M489" s="141"/>
      <c r="N489" s="141">
        <f>1.986-1.986</f>
        <v>0</v>
      </c>
      <c r="O489" s="141"/>
      <c r="P489" s="141"/>
      <c r="Q489" s="141"/>
      <c r="R489" s="141"/>
      <c r="S489" s="141"/>
      <c r="T489" s="141"/>
      <c r="U489" s="141"/>
      <c r="V489" s="141">
        <f>W489+Z489</f>
        <v>0</v>
      </c>
      <c r="W489" s="141">
        <f>X489+Y489</f>
        <v>0</v>
      </c>
      <c r="X489" s="141"/>
      <c r="Y489" s="141"/>
      <c r="Z489" s="141"/>
      <c r="AA489" s="141"/>
      <c r="AB489" s="141"/>
      <c r="AC489" s="141"/>
      <c r="AD489" s="141"/>
      <c r="AE489" s="141"/>
      <c r="AF489" s="141"/>
      <c r="AG489" s="141"/>
      <c r="AH489" s="141"/>
      <c r="AI489" s="126">
        <f t="shared" si="433"/>
        <v>430.25700000000001</v>
      </c>
      <c r="AJ489" s="126">
        <f t="shared" si="451"/>
        <v>0</v>
      </c>
      <c r="AK489" s="126">
        <f t="shared" si="451"/>
        <v>430.25700000000001</v>
      </c>
      <c r="AL489" s="141">
        <f t="shared" si="452"/>
        <v>0</v>
      </c>
      <c r="AM489" s="141">
        <f t="shared" si="452"/>
        <v>0</v>
      </c>
      <c r="AN489" s="126"/>
      <c r="AO489" s="130">
        <f t="shared" si="434"/>
        <v>0</v>
      </c>
      <c r="AP489" s="116"/>
    </row>
    <row r="490" spans="1:42" s="117" customFormat="1" ht="14" collapsed="1">
      <c r="A490" s="166">
        <v>22</v>
      </c>
      <c r="B490" s="137" t="s">
        <v>760</v>
      </c>
      <c r="C490" s="126">
        <f>SUM(C491:C493)</f>
        <v>7229.7361039999996</v>
      </c>
      <c r="D490" s="126">
        <f t="shared" ref="D490:AM490" si="454">SUM(D491:D493)</f>
        <v>0</v>
      </c>
      <c r="E490" s="126">
        <f t="shared" si="454"/>
        <v>7229.7361039999996</v>
      </c>
      <c r="F490" s="126">
        <f t="shared" si="454"/>
        <v>0</v>
      </c>
      <c r="G490" s="126">
        <f t="shared" si="454"/>
        <v>0</v>
      </c>
      <c r="H490" s="126">
        <f t="shared" si="454"/>
        <v>6405</v>
      </c>
      <c r="I490" s="126">
        <f t="shared" si="454"/>
        <v>6405</v>
      </c>
      <c r="J490" s="126">
        <f t="shared" si="454"/>
        <v>0</v>
      </c>
      <c r="K490" s="126">
        <f t="shared" si="454"/>
        <v>6405</v>
      </c>
      <c r="L490" s="126">
        <f t="shared" si="454"/>
        <v>0</v>
      </c>
      <c r="M490" s="126">
        <f t="shared" si="454"/>
        <v>0</v>
      </c>
      <c r="N490" s="126">
        <f t="shared" si="454"/>
        <v>0</v>
      </c>
      <c r="O490" s="126">
        <f t="shared" si="454"/>
        <v>4666.5253400000001</v>
      </c>
      <c r="P490" s="126">
        <f t="shared" si="454"/>
        <v>4666.5253400000001</v>
      </c>
      <c r="Q490" s="126">
        <f t="shared" si="454"/>
        <v>0</v>
      </c>
      <c r="R490" s="126">
        <f t="shared" si="454"/>
        <v>4666.5253400000001</v>
      </c>
      <c r="S490" s="126">
        <f t="shared" si="454"/>
        <v>0</v>
      </c>
      <c r="T490" s="126">
        <f t="shared" si="454"/>
        <v>0</v>
      </c>
      <c r="U490" s="126">
        <f t="shared" si="454"/>
        <v>0</v>
      </c>
      <c r="V490" s="126">
        <f t="shared" si="454"/>
        <v>7229.7361039999996</v>
      </c>
      <c r="W490" s="126">
        <f t="shared" si="454"/>
        <v>7229.7361039999996</v>
      </c>
      <c r="X490" s="126">
        <f t="shared" si="454"/>
        <v>0</v>
      </c>
      <c r="Y490" s="126">
        <f t="shared" si="454"/>
        <v>7229.7361039999996</v>
      </c>
      <c r="Z490" s="126">
        <f t="shared" si="454"/>
        <v>0</v>
      </c>
      <c r="AA490" s="126">
        <f t="shared" si="454"/>
        <v>0</v>
      </c>
      <c r="AB490" s="126">
        <f t="shared" si="454"/>
        <v>0</v>
      </c>
      <c r="AC490" s="126">
        <f t="shared" si="454"/>
        <v>0</v>
      </c>
      <c r="AD490" s="126">
        <f t="shared" si="454"/>
        <v>0</v>
      </c>
      <c r="AE490" s="126">
        <f t="shared" si="454"/>
        <v>0</v>
      </c>
      <c r="AF490" s="126">
        <f t="shared" si="454"/>
        <v>0</v>
      </c>
      <c r="AG490" s="126">
        <f t="shared" si="454"/>
        <v>0</v>
      </c>
      <c r="AH490" s="126">
        <f t="shared" si="454"/>
        <v>0</v>
      </c>
      <c r="AI490" s="126">
        <f t="shared" si="454"/>
        <v>1738.4746600000001</v>
      </c>
      <c r="AJ490" s="126">
        <f t="shared" si="454"/>
        <v>0</v>
      </c>
      <c r="AK490" s="126">
        <f t="shared" si="454"/>
        <v>1738.4746600000001</v>
      </c>
      <c r="AL490" s="126">
        <f t="shared" si="454"/>
        <v>0</v>
      </c>
      <c r="AM490" s="126">
        <f t="shared" si="454"/>
        <v>0</v>
      </c>
      <c r="AN490" s="126"/>
      <c r="AO490" s="130">
        <f t="shared" si="434"/>
        <v>0</v>
      </c>
      <c r="AP490" s="116"/>
    </row>
    <row r="491" spans="1:42" s="117" customFormat="1" ht="14" hidden="1" outlineLevel="1">
      <c r="A491" s="136"/>
      <c r="B491" s="137" t="s">
        <v>313</v>
      </c>
      <c r="C491" s="126">
        <f>SUM(D491:G491)</f>
        <v>7086.6161039999997</v>
      </c>
      <c r="D491" s="126">
        <v>0</v>
      </c>
      <c r="E491" s="126">
        <v>7086.6161039999997</v>
      </c>
      <c r="F491" s="126">
        <v>0</v>
      </c>
      <c r="G491" s="126">
        <v>0</v>
      </c>
      <c r="H491" s="126">
        <f>I491+L491</f>
        <v>4666.5253400000001</v>
      </c>
      <c r="I491" s="126">
        <f>J491+K491</f>
        <v>4666.5253400000001</v>
      </c>
      <c r="J491" s="126"/>
      <c r="K491" s="126">
        <f>6405-473-1265.47466</f>
        <v>4666.5253400000001</v>
      </c>
      <c r="L491" s="126"/>
      <c r="M491" s="126"/>
      <c r="N491" s="126"/>
      <c r="O491" s="126">
        <f t="shared" si="405"/>
        <v>4666.5253400000001</v>
      </c>
      <c r="P491" s="126">
        <f t="shared" si="406"/>
        <v>4666.5253400000001</v>
      </c>
      <c r="Q491" s="126"/>
      <c r="R491" s="126">
        <f>K491</f>
        <v>4666.5253400000001</v>
      </c>
      <c r="S491" s="126">
        <f t="shared" si="407"/>
        <v>0</v>
      </c>
      <c r="T491" s="126"/>
      <c r="U491" s="126"/>
      <c r="V491" s="126">
        <f>W491+Z491+AC491+AF491</f>
        <v>7086.6161039999997</v>
      </c>
      <c r="W491" s="126">
        <f>X491+Y491</f>
        <v>7086.6161039999997</v>
      </c>
      <c r="X491" s="126"/>
      <c r="Y491" s="126">
        <f>E491</f>
        <v>7086.6161039999997</v>
      </c>
      <c r="Z491" s="126">
        <f>AA491+AB491</f>
        <v>0</v>
      </c>
      <c r="AA491" s="126"/>
      <c r="AB491" s="126"/>
      <c r="AC491" s="126">
        <f>AD491+AE491</f>
        <v>0</v>
      </c>
      <c r="AD491" s="126"/>
      <c r="AE491" s="126"/>
      <c r="AF491" s="126">
        <f>AG491+AH491</f>
        <v>0</v>
      </c>
      <c r="AG491" s="126"/>
      <c r="AH491" s="126"/>
      <c r="AI491" s="126">
        <f t="shared" ref="AI491:AI499" si="455">SUM(AJ491:AM491)</f>
        <v>0</v>
      </c>
      <c r="AJ491" s="126">
        <f t="shared" ref="AJ491:AK496" si="456">D491+J491-Q491-X491-AD491</f>
        <v>0</v>
      </c>
      <c r="AK491" s="126">
        <f>E491+K491-R491-Y491</f>
        <v>0</v>
      </c>
      <c r="AL491" s="126">
        <f t="shared" ref="AL491:AM496" si="457">F491+M491-T491-AA491-AG491</f>
        <v>0</v>
      </c>
      <c r="AM491" s="126">
        <f t="shared" si="457"/>
        <v>0</v>
      </c>
      <c r="AN491" s="126"/>
      <c r="AO491" s="130">
        <f t="shared" si="434"/>
        <v>9.0949470177292824E-13</v>
      </c>
      <c r="AP491" s="116"/>
    </row>
    <row r="492" spans="1:42" s="117" customFormat="1" ht="14" hidden="1" outlineLevel="1">
      <c r="A492" s="136"/>
      <c r="B492" s="137" t="s">
        <v>570</v>
      </c>
      <c r="C492" s="126">
        <f>SUM(D492:G492)</f>
        <v>143.12</v>
      </c>
      <c r="D492" s="126">
        <v>0</v>
      </c>
      <c r="E492" s="126">
        <v>143.12</v>
      </c>
      <c r="F492" s="126">
        <v>0</v>
      </c>
      <c r="G492" s="126">
        <v>0</v>
      </c>
      <c r="H492" s="126">
        <f>I492+L492</f>
        <v>0</v>
      </c>
      <c r="I492" s="126">
        <f>J492+K492</f>
        <v>0</v>
      </c>
      <c r="J492" s="126"/>
      <c r="K492" s="126"/>
      <c r="L492" s="126"/>
      <c r="M492" s="126"/>
      <c r="N492" s="126"/>
      <c r="O492" s="126">
        <f t="shared" si="405"/>
        <v>0</v>
      </c>
      <c r="P492" s="126">
        <f t="shared" si="406"/>
        <v>0</v>
      </c>
      <c r="Q492" s="126"/>
      <c r="R492" s="126"/>
      <c r="S492" s="126">
        <f t="shared" si="407"/>
        <v>0</v>
      </c>
      <c r="T492" s="126"/>
      <c r="U492" s="126"/>
      <c r="V492" s="126">
        <f>W492+Z492+AC492+AF492</f>
        <v>143.12</v>
      </c>
      <c r="W492" s="126">
        <f>X492+Y492</f>
        <v>143.12</v>
      </c>
      <c r="X492" s="126"/>
      <c r="Y492" s="126">
        <v>143.12</v>
      </c>
      <c r="Z492" s="126"/>
      <c r="AA492" s="126"/>
      <c r="AB492" s="126"/>
      <c r="AC492" s="126"/>
      <c r="AD492" s="126"/>
      <c r="AE492" s="126"/>
      <c r="AF492" s="126"/>
      <c r="AG492" s="126"/>
      <c r="AH492" s="126"/>
      <c r="AI492" s="126">
        <f t="shared" si="455"/>
        <v>0</v>
      </c>
      <c r="AJ492" s="126">
        <f t="shared" si="456"/>
        <v>0</v>
      </c>
      <c r="AK492" s="126">
        <f t="shared" si="456"/>
        <v>0</v>
      </c>
      <c r="AL492" s="126">
        <f t="shared" si="457"/>
        <v>0</v>
      </c>
      <c r="AM492" s="126">
        <f t="shared" si="457"/>
        <v>0</v>
      </c>
      <c r="AN492" s="126"/>
      <c r="AO492" s="130">
        <f t="shared" si="434"/>
        <v>0</v>
      </c>
      <c r="AP492" s="116"/>
    </row>
    <row r="493" spans="1:42" s="117" customFormat="1" ht="14" hidden="1" outlineLevel="1">
      <c r="A493" s="136"/>
      <c r="B493" s="137" t="s">
        <v>604</v>
      </c>
      <c r="C493" s="126">
        <f>SUM(D493:G493)</f>
        <v>0</v>
      </c>
      <c r="D493" s="126">
        <v>0</v>
      </c>
      <c r="E493" s="126"/>
      <c r="F493" s="126">
        <v>0</v>
      </c>
      <c r="G493" s="126">
        <v>0</v>
      </c>
      <c r="H493" s="126">
        <f>I493+L493</f>
        <v>1738.4746600000001</v>
      </c>
      <c r="I493" s="126">
        <f>J493+K493</f>
        <v>1738.4746600000001</v>
      </c>
      <c r="J493" s="126"/>
      <c r="K493" s="126">
        <f>473+1265.47466</f>
        <v>1738.4746600000001</v>
      </c>
      <c r="L493" s="126"/>
      <c r="M493" s="126"/>
      <c r="N493" s="126"/>
      <c r="O493" s="126">
        <f>P493+S493</f>
        <v>0</v>
      </c>
      <c r="P493" s="126">
        <f>Q493+R493</f>
        <v>0</v>
      </c>
      <c r="Q493" s="126"/>
      <c r="R493" s="126"/>
      <c r="S493" s="126">
        <f>T493+U493</f>
        <v>0</v>
      </c>
      <c r="T493" s="126"/>
      <c r="U493" s="126"/>
      <c r="V493" s="126">
        <f>W493+Z493+AC493+AF493</f>
        <v>0</v>
      </c>
      <c r="W493" s="126">
        <f>X493+Y493</f>
        <v>0</v>
      </c>
      <c r="X493" s="126"/>
      <c r="Y493" s="126"/>
      <c r="Z493" s="126">
        <f>AA493+AB493</f>
        <v>0</v>
      </c>
      <c r="AA493" s="126"/>
      <c r="AB493" s="126"/>
      <c r="AC493" s="126">
        <f>AD493+AE493</f>
        <v>0</v>
      </c>
      <c r="AD493" s="126"/>
      <c r="AE493" s="126"/>
      <c r="AF493" s="126">
        <f>AG493+AH493</f>
        <v>0</v>
      </c>
      <c r="AG493" s="126"/>
      <c r="AH493" s="126"/>
      <c r="AI493" s="126">
        <f t="shared" ref="AI493" si="458">SUM(AJ493:AM493)</f>
        <v>1738.4746600000001</v>
      </c>
      <c r="AJ493" s="126">
        <f t="shared" si="456"/>
        <v>0</v>
      </c>
      <c r="AK493" s="126">
        <f t="shared" si="456"/>
        <v>1738.4746600000001</v>
      </c>
      <c r="AL493" s="126">
        <f t="shared" si="457"/>
        <v>0</v>
      </c>
      <c r="AM493" s="126">
        <f t="shared" si="457"/>
        <v>0</v>
      </c>
      <c r="AN493" s="126"/>
      <c r="AO493" s="130">
        <f t="shared" si="434"/>
        <v>0</v>
      </c>
      <c r="AP493" s="116"/>
    </row>
    <row r="494" spans="1:42" s="117" customFormat="1" ht="14" collapsed="1">
      <c r="A494" s="166">
        <v>23</v>
      </c>
      <c r="B494" s="137" t="s">
        <v>761</v>
      </c>
      <c r="C494" s="126">
        <f>SUM(C495:C496)</f>
        <v>47.059000000000196</v>
      </c>
      <c r="D494" s="126">
        <f t="shared" ref="D494:AM494" si="459">SUM(D495:D496)</f>
        <v>0</v>
      </c>
      <c r="E494" s="126">
        <f t="shared" si="459"/>
        <v>47.059000000000196</v>
      </c>
      <c r="F494" s="126">
        <f t="shared" si="459"/>
        <v>0</v>
      </c>
      <c r="G494" s="126">
        <f t="shared" si="459"/>
        <v>0</v>
      </c>
      <c r="H494" s="126">
        <f t="shared" si="459"/>
        <v>2081</v>
      </c>
      <c r="I494" s="126">
        <f t="shared" si="459"/>
        <v>2081</v>
      </c>
      <c r="J494" s="126">
        <f t="shared" si="459"/>
        <v>0</v>
      </c>
      <c r="K494" s="126">
        <f t="shared" si="459"/>
        <v>2081</v>
      </c>
      <c r="L494" s="126">
        <f t="shared" si="459"/>
        <v>0</v>
      </c>
      <c r="M494" s="126">
        <f t="shared" si="459"/>
        <v>0</v>
      </c>
      <c r="N494" s="126">
        <f t="shared" si="459"/>
        <v>0</v>
      </c>
      <c r="O494" s="126">
        <f t="shared" si="459"/>
        <v>2076</v>
      </c>
      <c r="P494" s="126">
        <f t="shared" si="459"/>
        <v>2076</v>
      </c>
      <c r="Q494" s="126">
        <f t="shared" si="459"/>
        <v>0</v>
      </c>
      <c r="R494" s="126">
        <f t="shared" si="459"/>
        <v>2076</v>
      </c>
      <c r="S494" s="126">
        <f t="shared" si="459"/>
        <v>0</v>
      </c>
      <c r="T494" s="126">
        <f t="shared" si="459"/>
        <v>0</v>
      </c>
      <c r="U494" s="126">
        <f t="shared" si="459"/>
        <v>0</v>
      </c>
      <c r="V494" s="126">
        <f t="shared" si="459"/>
        <v>47.059000000000196</v>
      </c>
      <c r="W494" s="126">
        <f t="shared" si="459"/>
        <v>47.059000000000196</v>
      </c>
      <c r="X494" s="126">
        <f t="shared" si="459"/>
        <v>0</v>
      </c>
      <c r="Y494" s="126">
        <f t="shared" si="459"/>
        <v>47.059000000000196</v>
      </c>
      <c r="Z494" s="126">
        <f t="shared" si="459"/>
        <v>0</v>
      </c>
      <c r="AA494" s="126">
        <f t="shared" si="459"/>
        <v>0</v>
      </c>
      <c r="AB494" s="126">
        <f t="shared" si="459"/>
        <v>0</v>
      </c>
      <c r="AC494" s="126">
        <f t="shared" si="459"/>
        <v>0</v>
      </c>
      <c r="AD494" s="126">
        <f t="shared" si="459"/>
        <v>0</v>
      </c>
      <c r="AE494" s="126">
        <f t="shared" si="459"/>
        <v>0</v>
      </c>
      <c r="AF494" s="126">
        <f t="shared" si="459"/>
        <v>0</v>
      </c>
      <c r="AG494" s="126">
        <f t="shared" si="459"/>
        <v>0</v>
      </c>
      <c r="AH494" s="126">
        <f t="shared" si="459"/>
        <v>0</v>
      </c>
      <c r="AI494" s="126">
        <f t="shared" si="459"/>
        <v>5</v>
      </c>
      <c r="AJ494" s="126">
        <f t="shared" si="459"/>
        <v>0</v>
      </c>
      <c r="AK494" s="126">
        <f t="shared" si="459"/>
        <v>5</v>
      </c>
      <c r="AL494" s="126">
        <f t="shared" si="459"/>
        <v>0</v>
      </c>
      <c r="AM494" s="126">
        <f t="shared" si="459"/>
        <v>0</v>
      </c>
      <c r="AN494" s="126"/>
      <c r="AO494" s="130">
        <f t="shared" si="434"/>
        <v>0</v>
      </c>
      <c r="AP494" s="116"/>
    </row>
    <row r="495" spans="1:42" s="117" customFormat="1" ht="14" hidden="1" outlineLevel="1">
      <c r="A495" s="166"/>
      <c r="B495" s="137" t="s">
        <v>671</v>
      </c>
      <c r="C495" s="126">
        <f>SUM(D495:G495)</f>
        <v>47.059000000000196</v>
      </c>
      <c r="D495" s="126">
        <v>0</v>
      </c>
      <c r="E495" s="126">
        <v>47.059000000000196</v>
      </c>
      <c r="F495" s="126">
        <v>0</v>
      </c>
      <c r="G495" s="126">
        <v>0</v>
      </c>
      <c r="H495" s="126">
        <f>I495+L495</f>
        <v>2076</v>
      </c>
      <c r="I495" s="126">
        <f>J495+K495</f>
        <v>2076</v>
      </c>
      <c r="J495" s="126"/>
      <c r="K495" s="126">
        <f>2081-5</f>
        <v>2076</v>
      </c>
      <c r="L495" s="126"/>
      <c r="M495" s="126"/>
      <c r="N495" s="126"/>
      <c r="O495" s="126">
        <f>P495+S495</f>
        <v>2076</v>
      </c>
      <c r="P495" s="126">
        <f>Q495+R495</f>
        <v>2076</v>
      </c>
      <c r="Q495" s="126"/>
      <c r="R495" s="126">
        <v>2076</v>
      </c>
      <c r="S495" s="126">
        <f>T495+U495</f>
        <v>0</v>
      </c>
      <c r="T495" s="126"/>
      <c r="U495" s="126"/>
      <c r="V495" s="126">
        <f>W495+Z495+AC495+AF495</f>
        <v>47.059000000000196</v>
      </c>
      <c r="W495" s="126">
        <f>X495+Y495</f>
        <v>47.059000000000196</v>
      </c>
      <c r="X495" s="126"/>
      <c r="Y495" s="126">
        <v>47.059000000000196</v>
      </c>
      <c r="Z495" s="126"/>
      <c r="AA495" s="126"/>
      <c r="AB495" s="126"/>
      <c r="AC495" s="126">
        <f>AD495+AE495</f>
        <v>0</v>
      </c>
      <c r="AD495" s="126"/>
      <c r="AE495" s="126"/>
      <c r="AF495" s="126">
        <f>AG495+AH495</f>
        <v>0</v>
      </c>
      <c r="AG495" s="126"/>
      <c r="AH495" s="126"/>
      <c r="AI495" s="126">
        <f t="shared" ref="AI495" si="460">SUM(AJ495:AM495)</f>
        <v>0</v>
      </c>
      <c r="AJ495" s="126">
        <f t="shared" ref="AJ495:AK495" si="461">D495+J495-Q495-X495-AD495</f>
        <v>0</v>
      </c>
      <c r="AK495" s="126">
        <f t="shared" si="461"/>
        <v>0</v>
      </c>
      <c r="AL495" s="126">
        <f t="shared" ref="AL495:AM495" si="462">F495+M495-T495-AA495-AG495</f>
        <v>0</v>
      </c>
      <c r="AM495" s="126">
        <f t="shared" si="462"/>
        <v>0</v>
      </c>
      <c r="AN495" s="126"/>
      <c r="AO495" s="130">
        <f t="shared" si="434"/>
        <v>0</v>
      </c>
      <c r="AP495" s="116"/>
    </row>
    <row r="496" spans="1:42" s="117" customFormat="1" ht="14" hidden="1" outlineLevel="1">
      <c r="A496" s="166"/>
      <c r="B496" s="137" t="s">
        <v>594</v>
      </c>
      <c r="C496" s="126">
        <f>SUM(D496:G496)</f>
        <v>0</v>
      </c>
      <c r="D496" s="126">
        <v>0</v>
      </c>
      <c r="E496" s="126"/>
      <c r="F496" s="126">
        <v>0</v>
      </c>
      <c r="G496" s="126">
        <v>0</v>
      </c>
      <c r="H496" s="126">
        <f>I496+L496</f>
        <v>5</v>
      </c>
      <c r="I496" s="126">
        <f>J496+K496</f>
        <v>5</v>
      </c>
      <c r="J496" s="126"/>
      <c r="K496" s="126">
        <f>5</f>
        <v>5</v>
      </c>
      <c r="L496" s="126"/>
      <c r="M496" s="126"/>
      <c r="N496" s="126"/>
      <c r="O496" s="126">
        <f>P496+S496</f>
        <v>0</v>
      </c>
      <c r="P496" s="126">
        <f>Q496+R496</f>
        <v>0</v>
      </c>
      <c r="Q496" s="126"/>
      <c r="R496" s="126"/>
      <c r="S496" s="126">
        <f>T496+U496</f>
        <v>0</v>
      </c>
      <c r="T496" s="126"/>
      <c r="U496" s="126"/>
      <c r="V496" s="126">
        <f>W496+Z496+AC496+AF496</f>
        <v>0</v>
      </c>
      <c r="W496" s="126">
        <f>X496+Y496</f>
        <v>0</v>
      </c>
      <c r="X496" s="126"/>
      <c r="Y496" s="126"/>
      <c r="Z496" s="126"/>
      <c r="AA496" s="126"/>
      <c r="AB496" s="126"/>
      <c r="AC496" s="126">
        <f>AD496+AE496</f>
        <v>0</v>
      </c>
      <c r="AD496" s="126"/>
      <c r="AE496" s="126"/>
      <c r="AF496" s="126">
        <f>AG496+AH496</f>
        <v>0</v>
      </c>
      <c r="AG496" s="126"/>
      <c r="AH496" s="126"/>
      <c r="AI496" s="126">
        <f t="shared" si="455"/>
        <v>5</v>
      </c>
      <c r="AJ496" s="126">
        <f t="shared" si="456"/>
        <v>0</v>
      </c>
      <c r="AK496" s="126">
        <f t="shared" si="456"/>
        <v>5</v>
      </c>
      <c r="AL496" s="126">
        <f t="shared" si="457"/>
        <v>0</v>
      </c>
      <c r="AM496" s="126">
        <f t="shared" si="457"/>
        <v>0</v>
      </c>
      <c r="AN496" s="126"/>
      <c r="AO496" s="130">
        <f t="shared" si="434"/>
        <v>0</v>
      </c>
      <c r="AP496" s="116"/>
    </row>
    <row r="497" spans="1:42" s="117" customFormat="1" ht="14" collapsed="1">
      <c r="A497" s="136">
        <v>24</v>
      </c>
      <c r="B497" s="137" t="s">
        <v>762</v>
      </c>
      <c r="C497" s="126">
        <f t="shared" ref="C497:I497" si="463">SUM(C498:C499)</f>
        <v>5.4500000000000028</v>
      </c>
      <c r="D497" s="126">
        <f t="shared" si="463"/>
        <v>0</v>
      </c>
      <c r="E497" s="126">
        <f t="shared" si="463"/>
        <v>5.4500000000000028</v>
      </c>
      <c r="F497" s="126">
        <f t="shared" si="463"/>
        <v>0</v>
      </c>
      <c r="G497" s="126">
        <f t="shared" si="463"/>
        <v>0</v>
      </c>
      <c r="H497" s="126">
        <f t="shared" si="463"/>
        <v>1590</v>
      </c>
      <c r="I497" s="126">
        <f t="shared" si="463"/>
        <v>1590</v>
      </c>
      <c r="J497" s="126">
        <f t="shared" ref="J497:AM497" si="464">SUM(J498:J499)</f>
        <v>0</v>
      </c>
      <c r="K497" s="126">
        <f t="shared" si="464"/>
        <v>1590</v>
      </c>
      <c r="L497" s="126">
        <f t="shared" si="464"/>
        <v>0</v>
      </c>
      <c r="M497" s="126">
        <f t="shared" si="464"/>
        <v>0</v>
      </c>
      <c r="N497" s="126">
        <f t="shared" si="464"/>
        <v>0</v>
      </c>
      <c r="O497" s="126">
        <f t="shared" si="464"/>
        <v>1590</v>
      </c>
      <c r="P497" s="126">
        <f t="shared" si="464"/>
        <v>1590</v>
      </c>
      <c r="Q497" s="126">
        <f t="shared" si="464"/>
        <v>0</v>
      </c>
      <c r="R497" s="126">
        <f t="shared" si="464"/>
        <v>1590</v>
      </c>
      <c r="S497" s="126">
        <f t="shared" si="464"/>
        <v>0</v>
      </c>
      <c r="T497" s="126">
        <f t="shared" si="464"/>
        <v>0</v>
      </c>
      <c r="U497" s="126">
        <f t="shared" si="464"/>
        <v>0</v>
      </c>
      <c r="V497" s="126">
        <f t="shared" si="464"/>
        <v>5.4500000000000028</v>
      </c>
      <c r="W497" s="126">
        <f t="shared" si="464"/>
        <v>5.4500000000000028</v>
      </c>
      <c r="X497" s="126">
        <f t="shared" si="464"/>
        <v>0</v>
      </c>
      <c r="Y497" s="126">
        <f t="shared" si="464"/>
        <v>5.4500000000000028</v>
      </c>
      <c r="Z497" s="126">
        <f t="shared" si="464"/>
        <v>0</v>
      </c>
      <c r="AA497" s="126">
        <f t="shared" si="464"/>
        <v>0</v>
      </c>
      <c r="AB497" s="126">
        <f t="shared" si="464"/>
        <v>0</v>
      </c>
      <c r="AC497" s="126">
        <f t="shared" si="464"/>
        <v>0</v>
      </c>
      <c r="AD497" s="126">
        <f t="shared" si="464"/>
        <v>0</v>
      </c>
      <c r="AE497" s="126">
        <f t="shared" si="464"/>
        <v>0</v>
      </c>
      <c r="AF497" s="126">
        <f t="shared" si="464"/>
        <v>0</v>
      </c>
      <c r="AG497" s="126">
        <f t="shared" si="464"/>
        <v>0</v>
      </c>
      <c r="AH497" s="126">
        <f t="shared" si="464"/>
        <v>0</v>
      </c>
      <c r="AI497" s="126">
        <f t="shared" si="455"/>
        <v>0</v>
      </c>
      <c r="AJ497" s="126">
        <f t="shared" si="464"/>
        <v>0</v>
      </c>
      <c r="AK497" s="126">
        <f t="shared" si="464"/>
        <v>0</v>
      </c>
      <c r="AL497" s="126">
        <f t="shared" si="464"/>
        <v>0</v>
      </c>
      <c r="AM497" s="126">
        <f t="shared" si="464"/>
        <v>0</v>
      </c>
      <c r="AN497" s="126"/>
      <c r="AO497" s="130">
        <f t="shared" si="434"/>
        <v>4.2632564145606011E-14</v>
      </c>
      <c r="AP497" s="116"/>
    </row>
    <row r="498" spans="1:42" s="117" customFormat="1" ht="14" hidden="1" outlineLevel="1">
      <c r="A498" s="136"/>
      <c r="B498" s="137" t="s">
        <v>572</v>
      </c>
      <c r="C498" s="126">
        <f>SUM(D498:G498)</f>
        <v>5.4500000000000028</v>
      </c>
      <c r="D498" s="126">
        <v>0</v>
      </c>
      <c r="E498" s="126">
        <v>5.4500000000000028</v>
      </c>
      <c r="F498" s="126">
        <v>0</v>
      </c>
      <c r="G498" s="126">
        <v>0</v>
      </c>
      <c r="H498" s="126">
        <f>I498+L498</f>
        <v>50</v>
      </c>
      <c r="I498" s="126">
        <f>J498+K498</f>
        <v>50</v>
      </c>
      <c r="J498" s="126"/>
      <c r="K498" s="126">
        <v>50</v>
      </c>
      <c r="L498" s="126"/>
      <c r="M498" s="126"/>
      <c r="N498" s="126"/>
      <c r="O498" s="126">
        <f>P498+S498</f>
        <v>50</v>
      </c>
      <c r="P498" s="126">
        <f>Q498+R498</f>
        <v>50</v>
      </c>
      <c r="Q498" s="126"/>
      <c r="R498" s="126">
        <f>K498</f>
        <v>50</v>
      </c>
      <c r="S498" s="126">
        <f>T498+U498</f>
        <v>0</v>
      </c>
      <c r="T498" s="126"/>
      <c r="U498" s="126"/>
      <c r="V498" s="126">
        <f>W498+Z498+AC498+AF498</f>
        <v>5.4500000000000028</v>
      </c>
      <c r="W498" s="126">
        <f>X498+Y498</f>
        <v>5.4500000000000028</v>
      </c>
      <c r="X498" s="126"/>
      <c r="Y498" s="126">
        <v>5.4500000000000028</v>
      </c>
      <c r="Z498" s="126"/>
      <c r="AA498" s="126"/>
      <c r="AB498" s="126"/>
      <c r="AC498" s="126"/>
      <c r="AD498" s="126"/>
      <c r="AE498" s="126"/>
      <c r="AF498" s="126"/>
      <c r="AG498" s="126"/>
      <c r="AH498" s="126"/>
      <c r="AI498" s="126">
        <f t="shared" si="455"/>
        <v>0</v>
      </c>
      <c r="AJ498" s="126">
        <f>D498+J498-Q498-X498-AD498</f>
        <v>0</v>
      </c>
      <c r="AK498" s="126">
        <f>E498+K498-R498-Y498-AE498</f>
        <v>0</v>
      </c>
      <c r="AL498" s="126">
        <f>F498+L498-S498-Z498-AF498</f>
        <v>0</v>
      </c>
      <c r="AM498" s="126">
        <f>G498+M498-T498-AA498-AG498</f>
        <v>0</v>
      </c>
      <c r="AN498" s="126"/>
      <c r="AO498" s="130">
        <f t="shared" si="434"/>
        <v>0</v>
      </c>
      <c r="AP498" s="116"/>
    </row>
    <row r="499" spans="1:42" s="117" customFormat="1" ht="14" hidden="1" outlineLevel="1">
      <c r="A499" s="136"/>
      <c r="B499" s="137" t="s">
        <v>745</v>
      </c>
      <c r="C499" s="126">
        <f>SUM(D499:G499)</f>
        <v>0</v>
      </c>
      <c r="D499" s="126">
        <v>0</v>
      </c>
      <c r="E499" s="126">
        <v>0</v>
      </c>
      <c r="F499" s="126">
        <v>0</v>
      </c>
      <c r="G499" s="126">
        <v>0</v>
      </c>
      <c r="H499" s="126">
        <f>I499+L499</f>
        <v>1540</v>
      </c>
      <c r="I499" s="126">
        <f>J499+K499</f>
        <v>1540</v>
      </c>
      <c r="J499" s="126"/>
      <c r="K499" s="126">
        <v>1540</v>
      </c>
      <c r="L499" s="126"/>
      <c r="M499" s="126"/>
      <c r="N499" s="126"/>
      <c r="O499" s="126">
        <f>P499+S499</f>
        <v>1540</v>
      </c>
      <c r="P499" s="126">
        <f>Q499+R499</f>
        <v>1540</v>
      </c>
      <c r="Q499" s="126"/>
      <c r="R499" s="126">
        <v>1540</v>
      </c>
      <c r="S499" s="126">
        <f>T499+U499</f>
        <v>0</v>
      </c>
      <c r="T499" s="126"/>
      <c r="U499" s="126"/>
      <c r="V499" s="126"/>
      <c r="W499" s="126"/>
      <c r="X499" s="126"/>
      <c r="Y499" s="126"/>
      <c r="Z499" s="126"/>
      <c r="AA499" s="126"/>
      <c r="AB499" s="126"/>
      <c r="AC499" s="126"/>
      <c r="AD499" s="126"/>
      <c r="AE499" s="126"/>
      <c r="AF499" s="126"/>
      <c r="AG499" s="126"/>
      <c r="AH499" s="126"/>
      <c r="AI499" s="126">
        <f t="shared" si="455"/>
        <v>0</v>
      </c>
      <c r="AJ499" s="126">
        <f>D499+J499-Q499-X499-AD499</f>
        <v>0</v>
      </c>
      <c r="AK499" s="126">
        <f>E499+K499-R499-Y499-AE499</f>
        <v>0</v>
      </c>
      <c r="AL499" s="126">
        <f>F499+M499-T499-AA499-AG499</f>
        <v>0</v>
      </c>
      <c r="AM499" s="126">
        <f>G499+N499-U499-AB499-AH499</f>
        <v>0</v>
      </c>
      <c r="AN499" s="126"/>
      <c r="AO499" s="130">
        <f t="shared" si="434"/>
        <v>0</v>
      </c>
      <c r="AP499" s="116"/>
    </row>
    <row r="500" spans="1:42" s="116" customFormat="1" ht="14" collapsed="1">
      <c r="A500" s="136">
        <v>25</v>
      </c>
      <c r="B500" s="137" t="s">
        <v>763</v>
      </c>
      <c r="C500" s="126">
        <f>SUM(C501:C529)</f>
        <v>21046.912</v>
      </c>
      <c r="D500" s="126">
        <f>SUM(D501:D529)</f>
        <v>0</v>
      </c>
      <c r="E500" s="126">
        <f>SUM(E501:E529)</f>
        <v>21046.912</v>
      </c>
      <c r="F500" s="126">
        <f>SUM(F501:F529)</f>
        <v>0</v>
      </c>
      <c r="G500" s="126">
        <f>SUM(G501:G529)</f>
        <v>0</v>
      </c>
      <c r="H500" s="126">
        <f t="shared" ref="H500:AM500" si="465">SUM(H501:H529)</f>
        <v>27700.425594</v>
      </c>
      <c r="I500" s="126">
        <f t="shared" si="465"/>
        <v>26264.425594</v>
      </c>
      <c r="J500" s="126">
        <f t="shared" si="465"/>
        <v>0</v>
      </c>
      <c r="K500" s="126">
        <f t="shared" si="465"/>
        <v>26264.425594</v>
      </c>
      <c r="L500" s="126">
        <f t="shared" si="465"/>
        <v>1436</v>
      </c>
      <c r="M500" s="126">
        <f t="shared" si="465"/>
        <v>0</v>
      </c>
      <c r="N500" s="126">
        <f t="shared" si="465"/>
        <v>1436</v>
      </c>
      <c r="O500" s="126">
        <f t="shared" si="465"/>
        <v>33766.331351000001</v>
      </c>
      <c r="P500" s="126">
        <f t="shared" si="465"/>
        <v>32332.701351000003</v>
      </c>
      <c r="Q500" s="126">
        <f t="shared" si="465"/>
        <v>0</v>
      </c>
      <c r="R500" s="126">
        <f>SUM(R501:R529)</f>
        <v>32332.701351000003</v>
      </c>
      <c r="S500" s="126">
        <f t="shared" si="465"/>
        <v>1433.63</v>
      </c>
      <c r="T500" s="126">
        <f t="shared" si="465"/>
        <v>0</v>
      </c>
      <c r="U500" s="126">
        <f t="shared" si="465"/>
        <v>1433.63</v>
      </c>
      <c r="V500" s="126">
        <f t="shared" si="465"/>
        <v>0</v>
      </c>
      <c r="W500" s="126">
        <f t="shared" si="465"/>
        <v>0</v>
      </c>
      <c r="X500" s="126">
        <f t="shared" si="465"/>
        <v>0</v>
      </c>
      <c r="Y500" s="126">
        <f t="shared" si="465"/>
        <v>0</v>
      </c>
      <c r="Z500" s="126">
        <f t="shared" si="465"/>
        <v>0</v>
      </c>
      <c r="AA500" s="126">
        <f t="shared" si="465"/>
        <v>0</v>
      </c>
      <c r="AB500" s="126">
        <f t="shared" si="465"/>
        <v>0</v>
      </c>
      <c r="AC500" s="126">
        <f t="shared" si="465"/>
        <v>0</v>
      </c>
      <c r="AD500" s="126">
        <f t="shared" si="465"/>
        <v>0</v>
      </c>
      <c r="AE500" s="126">
        <f t="shared" si="465"/>
        <v>0</v>
      </c>
      <c r="AF500" s="126">
        <f t="shared" si="465"/>
        <v>0</v>
      </c>
      <c r="AG500" s="126">
        <f t="shared" si="465"/>
        <v>0</v>
      </c>
      <c r="AH500" s="126">
        <f t="shared" si="465"/>
        <v>0</v>
      </c>
      <c r="AI500" s="126">
        <f t="shared" ref="AI500:AI516" si="466">SUM(AJ500:AM500)</f>
        <v>14981.006243000002</v>
      </c>
      <c r="AJ500" s="126">
        <f t="shared" si="465"/>
        <v>0</v>
      </c>
      <c r="AK500" s="126">
        <f t="shared" si="465"/>
        <v>14978.636243000001</v>
      </c>
      <c r="AL500" s="126">
        <f t="shared" si="465"/>
        <v>0</v>
      </c>
      <c r="AM500" s="126">
        <f t="shared" si="465"/>
        <v>2.3700000000000045</v>
      </c>
      <c r="AN500" s="126"/>
      <c r="AO500" s="130">
        <f t="shared" si="434"/>
        <v>0</v>
      </c>
    </row>
    <row r="501" spans="1:42" s="116" customFormat="1" ht="14" hidden="1" outlineLevel="1">
      <c r="A501" s="136"/>
      <c r="B501" s="137" t="s">
        <v>764</v>
      </c>
      <c r="C501" s="126">
        <f t="shared" ref="C501:C516" si="467">SUM(D501:G501)</f>
        <v>0</v>
      </c>
      <c r="D501" s="126">
        <v>0</v>
      </c>
      <c r="E501" s="126">
        <v>0</v>
      </c>
      <c r="F501" s="126">
        <v>0</v>
      </c>
      <c r="G501" s="126">
        <v>0</v>
      </c>
      <c r="H501" s="126">
        <f t="shared" ref="H501:H529" si="468">I501+L501</f>
        <v>0</v>
      </c>
      <c r="I501" s="126">
        <f t="shared" ref="I501:I529" si="469">J501+K501</f>
        <v>0</v>
      </c>
      <c r="J501" s="126"/>
      <c r="K501" s="126">
        <v>0</v>
      </c>
      <c r="L501" s="126"/>
      <c r="M501" s="126"/>
      <c r="N501" s="126"/>
      <c r="O501" s="126">
        <f t="shared" ref="O501:O534" si="470">P501+S501</f>
        <v>0</v>
      </c>
      <c r="P501" s="126">
        <f t="shared" ref="P501:P534" si="471">Q501+R501</f>
        <v>0</v>
      </c>
      <c r="Q501" s="126"/>
      <c r="R501" s="126"/>
      <c r="S501" s="126">
        <f>T501+U501</f>
        <v>0</v>
      </c>
      <c r="T501" s="126"/>
      <c r="U501" s="126"/>
      <c r="V501" s="126">
        <f t="shared" ref="V501:V507" si="472">W501+Z501+AC501+AF501</f>
        <v>0</v>
      </c>
      <c r="W501" s="126"/>
      <c r="X501" s="126"/>
      <c r="Y501" s="126"/>
      <c r="Z501" s="126"/>
      <c r="AA501" s="126"/>
      <c r="AB501" s="126"/>
      <c r="AC501" s="126">
        <f t="shared" ref="AC501:AC507" si="473">AD501+AE501</f>
        <v>0</v>
      </c>
      <c r="AD501" s="126"/>
      <c r="AE501" s="126"/>
      <c r="AF501" s="126">
        <f t="shared" ref="AF501:AF507" si="474">AG501+AH501</f>
        <v>0</v>
      </c>
      <c r="AG501" s="126"/>
      <c r="AH501" s="126"/>
      <c r="AI501" s="126">
        <f t="shared" si="466"/>
        <v>0</v>
      </c>
      <c r="AJ501" s="126">
        <f t="shared" ref="AJ501:AK516" si="475">D501+J501-Q501-X501-AD501</f>
        <v>0</v>
      </c>
      <c r="AK501" s="126">
        <f t="shared" si="475"/>
        <v>0</v>
      </c>
      <c r="AL501" s="126">
        <f t="shared" ref="AL501:AM516" si="476">F501+M501-T501-AA501-AG501</f>
        <v>0</v>
      </c>
      <c r="AM501" s="126">
        <f t="shared" si="476"/>
        <v>0</v>
      </c>
      <c r="AN501" s="126"/>
      <c r="AO501" s="130">
        <f t="shared" si="434"/>
        <v>0</v>
      </c>
    </row>
    <row r="502" spans="1:42" s="116" customFormat="1" ht="14" hidden="1" outlineLevel="1">
      <c r="A502" s="136"/>
      <c r="B502" s="137" t="s">
        <v>765</v>
      </c>
      <c r="C502" s="126">
        <f t="shared" si="467"/>
        <v>0</v>
      </c>
      <c r="D502" s="126">
        <v>0</v>
      </c>
      <c r="E502" s="126">
        <v>0</v>
      </c>
      <c r="F502" s="126">
        <v>0</v>
      </c>
      <c r="G502" s="126">
        <v>0</v>
      </c>
      <c r="H502" s="126">
        <f t="shared" si="468"/>
        <v>0</v>
      </c>
      <c r="I502" s="126">
        <f t="shared" si="469"/>
        <v>0</v>
      </c>
      <c r="J502" s="126"/>
      <c r="K502" s="126">
        <v>0</v>
      </c>
      <c r="L502" s="126"/>
      <c r="M502" s="126"/>
      <c r="N502" s="126"/>
      <c r="O502" s="126">
        <f t="shared" si="470"/>
        <v>0</v>
      </c>
      <c r="P502" s="126">
        <f t="shared" si="471"/>
        <v>0</v>
      </c>
      <c r="Q502" s="126"/>
      <c r="R502" s="126"/>
      <c r="S502" s="126">
        <f>T502+U502</f>
        <v>0</v>
      </c>
      <c r="T502" s="126"/>
      <c r="U502" s="126"/>
      <c r="V502" s="126">
        <f t="shared" si="472"/>
        <v>0</v>
      </c>
      <c r="W502" s="126"/>
      <c r="X502" s="126"/>
      <c r="Y502" s="126"/>
      <c r="Z502" s="126"/>
      <c r="AA502" s="126"/>
      <c r="AB502" s="126"/>
      <c r="AC502" s="126">
        <f t="shared" si="473"/>
        <v>0</v>
      </c>
      <c r="AD502" s="126"/>
      <c r="AE502" s="126"/>
      <c r="AF502" s="126">
        <f t="shared" si="474"/>
        <v>0</v>
      </c>
      <c r="AG502" s="126"/>
      <c r="AH502" s="126"/>
      <c r="AI502" s="126">
        <f t="shared" si="466"/>
        <v>0</v>
      </c>
      <c r="AJ502" s="126">
        <f t="shared" si="475"/>
        <v>0</v>
      </c>
      <c r="AK502" s="126">
        <f t="shared" si="475"/>
        <v>0</v>
      </c>
      <c r="AL502" s="126">
        <f t="shared" si="476"/>
        <v>0</v>
      </c>
      <c r="AM502" s="126">
        <f t="shared" si="476"/>
        <v>0</v>
      </c>
      <c r="AN502" s="126"/>
      <c r="AO502" s="130">
        <f t="shared" si="434"/>
        <v>0</v>
      </c>
    </row>
    <row r="503" spans="1:42" s="116" customFormat="1" ht="14" hidden="1" outlineLevel="1">
      <c r="A503" s="136"/>
      <c r="B503" s="137" t="s">
        <v>766</v>
      </c>
      <c r="C503" s="126">
        <f t="shared" si="467"/>
        <v>3151.4719999999998</v>
      </c>
      <c r="D503" s="126">
        <v>0</v>
      </c>
      <c r="E503" s="126">
        <f>3188+1712-1748.528</f>
        <v>3151.4719999999998</v>
      </c>
      <c r="F503" s="126">
        <v>0</v>
      </c>
      <c r="G503" s="126">
        <v>0</v>
      </c>
      <c r="H503" s="126">
        <f t="shared" si="468"/>
        <v>4709</v>
      </c>
      <c r="I503" s="126">
        <f t="shared" si="469"/>
        <v>4709</v>
      </c>
      <c r="J503" s="126"/>
      <c r="K503" s="126">
        <v>4709</v>
      </c>
      <c r="L503" s="126"/>
      <c r="M503" s="126"/>
      <c r="N503" s="126"/>
      <c r="O503" s="126">
        <f t="shared" si="470"/>
        <v>6148</v>
      </c>
      <c r="P503" s="126">
        <f t="shared" si="471"/>
        <v>6148</v>
      </c>
      <c r="Q503" s="126"/>
      <c r="R503" s="126">
        <v>6148</v>
      </c>
      <c r="S503" s="126"/>
      <c r="T503" s="126"/>
      <c r="U503" s="126"/>
      <c r="V503" s="126"/>
      <c r="W503" s="126"/>
      <c r="X503" s="126"/>
      <c r="Y503" s="126"/>
      <c r="Z503" s="126"/>
      <c r="AA503" s="126"/>
      <c r="AB503" s="126"/>
      <c r="AC503" s="126"/>
      <c r="AD503" s="126"/>
      <c r="AE503" s="126"/>
      <c r="AF503" s="126"/>
      <c r="AG503" s="126"/>
      <c r="AH503" s="126"/>
      <c r="AI503" s="126">
        <f t="shared" si="466"/>
        <v>1712.4719999999998</v>
      </c>
      <c r="AJ503" s="126">
        <f t="shared" si="475"/>
        <v>0</v>
      </c>
      <c r="AK503" s="126">
        <f t="shared" si="475"/>
        <v>1712.4719999999998</v>
      </c>
      <c r="AL503" s="126">
        <f t="shared" si="476"/>
        <v>0</v>
      </c>
      <c r="AM503" s="126">
        <f t="shared" si="476"/>
        <v>0</v>
      </c>
      <c r="AN503" s="126"/>
      <c r="AO503" s="130">
        <f t="shared" si="434"/>
        <v>0</v>
      </c>
    </row>
    <row r="504" spans="1:42" s="116" customFormat="1" ht="14" hidden="1" outlineLevel="1">
      <c r="A504" s="136"/>
      <c r="B504" s="137" t="s">
        <v>767</v>
      </c>
      <c r="C504" s="126">
        <f t="shared" si="467"/>
        <v>1980</v>
      </c>
      <c r="D504" s="126">
        <v>0</v>
      </c>
      <c r="E504" s="126">
        <v>1980</v>
      </c>
      <c r="F504" s="126">
        <v>0</v>
      </c>
      <c r="G504" s="126">
        <v>0</v>
      </c>
      <c r="H504" s="126">
        <f t="shared" si="468"/>
        <v>5450</v>
      </c>
      <c r="I504" s="126">
        <f t="shared" si="469"/>
        <v>5450</v>
      </c>
      <c r="J504" s="126"/>
      <c r="K504" s="126">
        <v>5450</v>
      </c>
      <c r="L504" s="126"/>
      <c r="M504" s="126"/>
      <c r="N504" s="126"/>
      <c r="O504" s="126">
        <f t="shared" si="470"/>
        <v>7430</v>
      </c>
      <c r="P504" s="126">
        <f t="shared" si="471"/>
        <v>7430</v>
      </c>
      <c r="Q504" s="126"/>
      <c r="R504" s="186">
        <f>5450+1980</f>
        <v>7430</v>
      </c>
      <c r="S504" s="126">
        <f t="shared" ref="S504:S534" si="477">T504+U504</f>
        <v>0</v>
      </c>
      <c r="T504" s="126"/>
      <c r="U504" s="126"/>
      <c r="V504" s="126">
        <f t="shared" si="472"/>
        <v>0</v>
      </c>
      <c r="W504" s="126"/>
      <c r="X504" s="126"/>
      <c r="Y504" s="126"/>
      <c r="Z504" s="126"/>
      <c r="AA504" s="126"/>
      <c r="AB504" s="126"/>
      <c r="AC504" s="126">
        <f t="shared" si="473"/>
        <v>0</v>
      </c>
      <c r="AD504" s="126"/>
      <c r="AE504" s="126"/>
      <c r="AF504" s="126">
        <f t="shared" si="474"/>
        <v>0</v>
      </c>
      <c r="AG504" s="126"/>
      <c r="AH504" s="126"/>
      <c r="AI504" s="126">
        <f t="shared" si="466"/>
        <v>0</v>
      </c>
      <c r="AJ504" s="126">
        <f t="shared" si="475"/>
        <v>0</v>
      </c>
      <c r="AK504" s="126">
        <f t="shared" si="475"/>
        <v>0</v>
      </c>
      <c r="AL504" s="126">
        <f t="shared" si="476"/>
        <v>0</v>
      </c>
      <c r="AM504" s="126">
        <f t="shared" si="476"/>
        <v>0</v>
      </c>
      <c r="AN504" s="126"/>
      <c r="AO504" s="130">
        <f t="shared" si="434"/>
        <v>0</v>
      </c>
    </row>
    <row r="505" spans="1:42" s="116" customFormat="1" ht="14" hidden="1" outlineLevel="1">
      <c r="A505" s="136"/>
      <c r="B505" s="137" t="s">
        <v>768</v>
      </c>
      <c r="C505" s="126">
        <f t="shared" si="467"/>
        <v>3024</v>
      </c>
      <c r="D505" s="126">
        <v>0</v>
      </c>
      <c r="E505" s="126">
        <v>3024</v>
      </c>
      <c r="F505" s="126">
        <v>0</v>
      </c>
      <c r="G505" s="126">
        <v>0</v>
      </c>
      <c r="H505" s="126">
        <f t="shared" si="468"/>
        <v>8318</v>
      </c>
      <c r="I505" s="126">
        <f t="shared" si="469"/>
        <v>8318</v>
      </c>
      <c r="J505" s="126"/>
      <c r="K505" s="126">
        <v>8318</v>
      </c>
      <c r="L505" s="126"/>
      <c r="M505" s="126"/>
      <c r="N505" s="126"/>
      <c r="O505" s="126">
        <f t="shared" si="470"/>
        <v>11164.099126999999</v>
      </c>
      <c r="P505" s="126">
        <f t="shared" si="471"/>
        <v>11164.099126999999</v>
      </c>
      <c r="Q505" s="126"/>
      <c r="R505" s="126">
        <v>11164.099126999999</v>
      </c>
      <c r="S505" s="126">
        <f t="shared" si="477"/>
        <v>0</v>
      </c>
      <c r="T505" s="126"/>
      <c r="U505" s="126"/>
      <c r="V505" s="126">
        <f t="shared" si="472"/>
        <v>0</v>
      </c>
      <c r="W505" s="126"/>
      <c r="X505" s="126"/>
      <c r="Y505" s="126"/>
      <c r="Z505" s="126"/>
      <c r="AA505" s="126"/>
      <c r="AB505" s="126"/>
      <c r="AC505" s="126">
        <f t="shared" si="473"/>
        <v>0</v>
      </c>
      <c r="AD505" s="126"/>
      <c r="AE505" s="126"/>
      <c r="AF505" s="126">
        <f t="shared" si="474"/>
        <v>0</v>
      </c>
      <c r="AG505" s="126"/>
      <c r="AH505" s="126"/>
      <c r="AI505" s="126">
        <f t="shared" si="466"/>
        <v>177.9008730000005</v>
      </c>
      <c r="AJ505" s="126">
        <f t="shared" si="475"/>
        <v>0</v>
      </c>
      <c r="AK505" s="126">
        <f t="shared" si="475"/>
        <v>177.9008730000005</v>
      </c>
      <c r="AL505" s="126">
        <f t="shared" si="476"/>
        <v>0</v>
      </c>
      <c r="AM505" s="126">
        <f t="shared" si="476"/>
        <v>0</v>
      </c>
      <c r="AN505" s="126"/>
      <c r="AO505" s="130">
        <f t="shared" si="434"/>
        <v>0</v>
      </c>
    </row>
    <row r="506" spans="1:42" s="116" customFormat="1" ht="14" hidden="1" outlineLevel="1">
      <c r="A506" s="136"/>
      <c r="B506" s="137" t="s">
        <v>769</v>
      </c>
      <c r="C506" s="126">
        <f t="shared" si="467"/>
        <v>0</v>
      </c>
      <c r="D506" s="126">
        <v>0</v>
      </c>
      <c r="E506" s="126"/>
      <c r="F506" s="126">
        <v>0</v>
      </c>
      <c r="G506" s="126">
        <v>0</v>
      </c>
      <c r="H506" s="126">
        <f t="shared" si="468"/>
        <v>3622.044594</v>
      </c>
      <c r="I506" s="126">
        <f t="shared" si="469"/>
        <v>3622.044594</v>
      </c>
      <c r="J506" s="126"/>
      <c r="K506" s="126">
        <f>4356-733.955406</f>
        <v>3622.044594</v>
      </c>
      <c r="L506" s="126"/>
      <c r="M506" s="126"/>
      <c r="N506" s="126"/>
      <c r="O506" s="126">
        <f t="shared" si="470"/>
        <v>3622.044594</v>
      </c>
      <c r="P506" s="126">
        <f t="shared" si="471"/>
        <v>3622.044594</v>
      </c>
      <c r="Q506" s="126"/>
      <c r="R506" s="126">
        <v>3622.044594</v>
      </c>
      <c r="S506" s="126">
        <f t="shared" si="477"/>
        <v>0</v>
      </c>
      <c r="T506" s="126"/>
      <c r="U506" s="126"/>
      <c r="V506" s="126">
        <f t="shared" si="472"/>
        <v>0</v>
      </c>
      <c r="W506" s="126"/>
      <c r="X506" s="126"/>
      <c r="Y506" s="126"/>
      <c r="Z506" s="126"/>
      <c r="AA506" s="126"/>
      <c r="AB506" s="126"/>
      <c r="AC506" s="126">
        <f t="shared" si="473"/>
        <v>0</v>
      </c>
      <c r="AD506" s="126"/>
      <c r="AE506" s="126"/>
      <c r="AF506" s="126">
        <f t="shared" si="474"/>
        <v>0</v>
      </c>
      <c r="AG506" s="126"/>
      <c r="AH506" s="126"/>
      <c r="AI506" s="126">
        <f t="shared" si="466"/>
        <v>0</v>
      </c>
      <c r="AJ506" s="126">
        <f t="shared" si="475"/>
        <v>0</v>
      </c>
      <c r="AK506" s="126">
        <f t="shared" si="475"/>
        <v>0</v>
      </c>
      <c r="AL506" s="126">
        <f t="shared" si="476"/>
        <v>0</v>
      </c>
      <c r="AM506" s="126">
        <f t="shared" si="476"/>
        <v>0</v>
      </c>
      <c r="AN506" s="126"/>
      <c r="AO506" s="130">
        <f t="shared" si="434"/>
        <v>0</v>
      </c>
    </row>
    <row r="507" spans="1:42" s="116" customFormat="1" ht="14" hidden="1" outlineLevel="1">
      <c r="A507" s="136"/>
      <c r="B507" s="137" t="s">
        <v>770</v>
      </c>
      <c r="C507" s="126">
        <f t="shared" si="467"/>
        <v>121</v>
      </c>
      <c r="D507" s="126">
        <v>0</v>
      </c>
      <c r="E507" s="126">
        <v>121</v>
      </c>
      <c r="F507" s="126">
        <v>0</v>
      </c>
      <c r="G507" s="126">
        <v>0</v>
      </c>
      <c r="H507" s="126">
        <f t="shared" si="468"/>
        <v>333</v>
      </c>
      <c r="I507" s="126">
        <f t="shared" si="469"/>
        <v>333</v>
      </c>
      <c r="J507" s="126"/>
      <c r="K507" s="126">
        <v>333</v>
      </c>
      <c r="L507" s="126"/>
      <c r="M507" s="126"/>
      <c r="N507" s="126"/>
      <c r="O507" s="126">
        <f t="shared" si="470"/>
        <v>453.91699999999997</v>
      </c>
      <c r="P507" s="126">
        <f t="shared" si="471"/>
        <v>453.91699999999997</v>
      </c>
      <c r="Q507" s="126"/>
      <c r="R507" s="187">
        <v>453.91699999999997</v>
      </c>
      <c r="S507" s="126">
        <f t="shared" si="477"/>
        <v>0</v>
      </c>
      <c r="T507" s="126"/>
      <c r="U507" s="126"/>
      <c r="V507" s="126">
        <f t="shared" si="472"/>
        <v>0</v>
      </c>
      <c r="W507" s="126"/>
      <c r="X507" s="126"/>
      <c r="Y507" s="126"/>
      <c r="Z507" s="126"/>
      <c r="AA507" s="126"/>
      <c r="AB507" s="126"/>
      <c r="AC507" s="126">
        <f t="shared" si="473"/>
        <v>0</v>
      </c>
      <c r="AD507" s="126"/>
      <c r="AE507" s="126"/>
      <c r="AF507" s="126">
        <f t="shared" si="474"/>
        <v>0</v>
      </c>
      <c r="AG507" s="126"/>
      <c r="AH507" s="126"/>
      <c r="AI507" s="126">
        <f t="shared" si="466"/>
        <v>8.300000000002683E-2</v>
      </c>
      <c r="AJ507" s="126">
        <f t="shared" si="475"/>
        <v>0</v>
      </c>
      <c r="AK507" s="126">
        <f t="shared" si="475"/>
        <v>8.300000000002683E-2</v>
      </c>
      <c r="AL507" s="126">
        <f t="shared" si="476"/>
        <v>0</v>
      </c>
      <c r="AM507" s="126">
        <f t="shared" si="476"/>
        <v>0</v>
      </c>
      <c r="AN507" s="126"/>
      <c r="AO507" s="130">
        <f t="shared" si="434"/>
        <v>0</v>
      </c>
    </row>
    <row r="508" spans="1:42" s="116" customFormat="1" ht="14" hidden="1" outlineLevel="1">
      <c r="A508" s="136"/>
      <c r="B508" s="137" t="s">
        <v>450</v>
      </c>
      <c r="C508" s="126">
        <f t="shared" si="467"/>
        <v>0</v>
      </c>
      <c r="D508" s="126">
        <v>0</v>
      </c>
      <c r="E508" s="126"/>
      <c r="F508" s="126">
        <v>0</v>
      </c>
      <c r="G508" s="126">
        <v>0</v>
      </c>
      <c r="H508" s="126">
        <f t="shared" si="468"/>
        <v>0</v>
      </c>
      <c r="I508" s="126">
        <f t="shared" si="469"/>
        <v>0</v>
      </c>
      <c r="J508" s="126"/>
      <c r="K508" s="126"/>
      <c r="L508" s="126"/>
      <c r="M508" s="126"/>
      <c r="N508" s="126"/>
      <c r="O508" s="126">
        <f t="shared" si="470"/>
        <v>0</v>
      </c>
      <c r="P508" s="126">
        <f t="shared" si="471"/>
        <v>0</v>
      </c>
      <c r="Q508" s="126"/>
      <c r="R508" s="126"/>
      <c r="S508" s="126">
        <f t="shared" si="477"/>
        <v>0</v>
      </c>
      <c r="T508" s="126"/>
      <c r="U508" s="126"/>
      <c r="V508" s="126"/>
      <c r="W508" s="126"/>
      <c r="X508" s="126"/>
      <c r="Y508" s="126"/>
      <c r="Z508" s="126"/>
      <c r="AA508" s="126"/>
      <c r="AB508" s="126"/>
      <c r="AC508" s="126"/>
      <c r="AD508" s="126"/>
      <c r="AE508" s="126"/>
      <c r="AF508" s="126"/>
      <c r="AG508" s="126"/>
      <c r="AH508" s="126"/>
      <c r="AI508" s="126">
        <f t="shared" si="466"/>
        <v>0</v>
      </c>
      <c r="AJ508" s="126">
        <f t="shared" si="475"/>
        <v>0</v>
      </c>
      <c r="AK508" s="126">
        <f t="shared" si="475"/>
        <v>0</v>
      </c>
      <c r="AL508" s="126">
        <f t="shared" si="476"/>
        <v>0</v>
      </c>
      <c r="AM508" s="126">
        <f t="shared" si="476"/>
        <v>0</v>
      </c>
      <c r="AN508" s="126"/>
      <c r="AO508" s="130">
        <f t="shared" si="434"/>
        <v>0</v>
      </c>
    </row>
    <row r="509" spans="1:42" s="116" customFormat="1" ht="14" hidden="1" outlineLevel="1">
      <c r="A509" s="136"/>
      <c r="B509" s="137" t="s">
        <v>771</v>
      </c>
      <c r="C509" s="126">
        <f t="shared" si="467"/>
        <v>0</v>
      </c>
      <c r="D509" s="126">
        <v>0</v>
      </c>
      <c r="E509" s="126"/>
      <c r="F509" s="126">
        <v>0</v>
      </c>
      <c r="G509" s="126">
        <v>0</v>
      </c>
      <c r="H509" s="126">
        <f t="shared" si="468"/>
        <v>0</v>
      </c>
      <c r="I509" s="126">
        <f t="shared" si="469"/>
        <v>0</v>
      </c>
      <c r="J509" s="126"/>
      <c r="K509" s="126"/>
      <c r="L509" s="126"/>
      <c r="M509" s="126"/>
      <c r="N509" s="126"/>
      <c r="O509" s="126">
        <f t="shared" si="470"/>
        <v>0</v>
      </c>
      <c r="P509" s="126">
        <f t="shared" si="471"/>
        <v>0</v>
      </c>
      <c r="Q509" s="126"/>
      <c r="R509" s="126"/>
      <c r="S509" s="126">
        <f t="shared" si="477"/>
        <v>0</v>
      </c>
      <c r="T509" s="126"/>
      <c r="U509" s="126"/>
      <c r="V509" s="126"/>
      <c r="W509" s="126"/>
      <c r="X509" s="126"/>
      <c r="Y509" s="126"/>
      <c r="Z509" s="126"/>
      <c r="AA509" s="126"/>
      <c r="AB509" s="126"/>
      <c r="AC509" s="126"/>
      <c r="AD509" s="126"/>
      <c r="AE509" s="126"/>
      <c r="AF509" s="126"/>
      <c r="AG509" s="126"/>
      <c r="AH509" s="126"/>
      <c r="AI509" s="126">
        <f t="shared" si="466"/>
        <v>0</v>
      </c>
      <c r="AJ509" s="126">
        <f t="shared" si="475"/>
        <v>0</v>
      </c>
      <c r="AK509" s="126"/>
      <c r="AL509" s="126">
        <f t="shared" si="476"/>
        <v>0</v>
      </c>
      <c r="AM509" s="126">
        <f t="shared" si="476"/>
        <v>0</v>
      </c>
      <c r="AN509" s="126"/>
      <c r="AO509" s="130">
        <f t="shared" si="434"/>
        <v>0</v>
      </c>
    </row>
    <row r="510" spans="1:42" s="116" customFormat="1" ht="14" hidden="1" outlineLevel="1">
      <c r="A510" s="136"/>
      <c r="B510" s="137" t="s">
        <v>772</v>
      </c>
      <c r="C510" s="126">
        <f t="shared" si="467"/>
        <v>0</v>
      </c>
      <c r="D510" s="126">
        <v>0</v>
      </c>
      <c r="E510" s="126"/>
      <c r="F510" s="126">
        <v>0</v>
      </c>
      <c r="G510" s="126">
        <v>0</v>
      </c>
      <c r="H510" s="126">
        <f t="shared" si="468"/>
        <v>0</v>
      </c>
      <c r="I510" s="126">
        <f t="shared" si="469"/>
        <v>0</v>
      </c>
      <c r="J510" s="126"/>
      <c r="K510" s="126"/>
      <c r="L510" s="126"/>
      <c r="M510" s="126"/>
      <c r="N510" s="126"/>
      <c r="O510" s="126">
        <f t="shared" si="470"/>
        <v>0</v>
      </c>
      <c r="P510" s="126">
        <f t="shared" si="471"/>
        <v>0</v>
      </c>
      <c r="Q510" s="126"/>
      <c r="R510" s="126"/>
      <c r="S510" s="126">
        <f t="shared" si="477"/>
        <v>0</v>
      </c>
      <c r="T510" s="126"/>
      <c r="U510" s="126"/>
      <c r="V510" s="126"/>
      <c r="W510" s="126"/>
      <c r="X510" s="126"/>
      <c r="Y510" s="126"/>
      <c r="Z510" s="126"/>
      <c r="AA510" s="126"/>
      <c r="AB510" s="126"/>
      <c r="AC510" s="126"/>
      <c r="AD510" s="126"/>
      <c r="AE510" s="126"/>
      <c r="AF510" s="126"/>
      <c r="AG510" s="126"/>
      <c r="AH510" s="126"/>
      <c r="AI510" s="126">
        <f t="shared" si="466"/>
        <v>0</v>
      </c>
      <c r="AJ510" s="126">
        <f t="shared" si="475"/>
        <v>0</v>
      </c>
      <c r="AK510" s="126">
        <f t="shared" si="475"/>
        <v>0</v>
      </c>
      <c r="AL510" s="126">
        <f t="shared" si="476"/>
        <v>0</v>
      </c>
      <c r="AM510" s="126">
        <f t="shared" si="476"/>
        <v>0</v>
      </c>
      <c r="AN510" s="126"/>
      <c r="AO510" s="130">
        <f t="shared" si="434"/>
        <v>0</v>
      </c>
    </row>
    <row r="511" spans="1:42" s="116" customFormat="1" ht="14" hidden="1" outlineLevel="1">
      <c r="A511" s="136"/>
      <c r="B511" s="137" t="s">
        <v>773</v>
      </c>
      <c r="C511" s="126">
        <f t="shared" si="467"/>
        <v>0</v>
      </c>
      <c r="D511" s="126">
        <v>0</v>
      </c>
      <c r="E511" s="126"/>
      <c r="F511" s="126">
        <v>0</v>
      </c>
      <c r="G511" s="126">
        <v>0</v>
      </c>
      <c r="H511" s="126">
        <f t="shared" si="468"/>
        <v>0</v>
      </c>
      <c r="I511" s="126">
        <f t="shared" si="469"/>
        <v>0</v>
      </c>
      <c r="J511" s="126"/>
      <c r="K511" s="126"/>
      <c r="L511" s="126"/>
      <c r="M511" s="126"/>
      <c r="N511" s="126"/>
      <c r="O511" s="126">
        <f t="shared" si="470"/>
        <v>0</v>
      </c>
      <c r="P511" s="126">
        <f t="shared" si="471"/>
        <v>0</v>
      </c>
      <c r="Q511" s="126"/>
      <c r="R511" s="126">
        <v>0</v>
      </c>
      <c r="S511" s="126">
        <f t="shared" si="477"/>
        <v>0</v>
      </c>
      <c r="T511" s="126"/>
      <c r="U511" s="126"/>
      <c r="V511" s="126"/>
      <c r="W511" s="126"/>
      <c r="X511" s="126"/>
      <c r="Y511" s="126"/>
      <c r="Z511" s="126"/>
      <c r="AA511" s="126"/>
      <c r="AB511" s="126"/>
      <c r="AC511" s="126"/>
      <c r="AD511" s="126"/>
      <c r="AE511" s="126"/>
      <c r="AF511" s="126"/>
      <c r="AG511" s="126"/>
      <c r="AH511" s="126"/>
      <c r="AI511" s="126">
        <f t="shared" si="466"/>
        <v>0</v>
      </c>
      <c r="AJ511" s="126">
        <f t="shared" si="475"/>
        <v>0</v>
      </c>
      <c r="AK511" s="126">
        <f t="shared" si="475"/>
        <v>0</v>
      </c>
      <c r="AL511" s="126">
        <f t="shared" si="476"/>
        <v>0</v>
      </c>
      <c r="AM511" s="126">
        <f t="shared" si="476"/>
        <v>0</v>
      </c>
      <c r="AN511" s="126"/>
      <c r="AO511" s="130">
        <f t="shared" si="434"/>
        <v>0</v>
      </c>
    </row>
    <row r="512" spans="1:42" s="116" customFormat="1" ht="14" hidden="1" outlineLevel="1">
      <c r="A512" s="136"/>
      <c r="B512" s="137" t="s">
        <v>774</v>
      </c>
      <c r="C512" s="126">
        <f t="shared" si="467"/>
        <v>0</v>
      </c>
      <c r="D512" s="126">
        <v>0</v>
      </c>
      <c r="E512" s="126"/>
      <c r="F512" s="126">
        <v>0</v>
      </c>
      <c r="G512" s="126">
        <v>0</v>
      </c>
      <c r="H512" s="126">
        <f t="shared" si="468"/>
        <v>0</v>
      </c>
      <c r="I512" s="126">
        <f t="shared" si="469"/>
        <v>0</v>
      </c>
      <c r="J512" s="126"/>
      <c r="K512" s="126"/>
      <c r="L512" s="126"/>
      <c r="M512" s="126"/>
      <c r="N512" s="126"/>
      <c r="O512" s="126">
        <f t="shared" si="470"/>
        <v>0</v>
      </c>
      <c r="P512" s="126">
        <f t="shared" si="471"/>
        <v>0</v>
      </c>
      <c r="Q512" s="126"/>
      <c r="R512" s="126"/>
      <c r="S512" s="126">
        <f t="shared" si="477"/>
        <v>0</v>
      </c>
      <c r="T512" s="126"/>
      <c r="U512" s="126"/>
      <c r="V512" s="126"/>
      <c r="W512" s="126"/>
      <c r="X512" s="126"/>
      <c r="Y512" s="126"/>
      <c r="Z512" s="126"/>
      <c r="AA512" s="126"/>
      <c r="AB512" s="126"/>
      <c r="AC512" s="126"/>
      <c r="AD512" s="126"/>
      <c r="AE512" s="126"/>
      <c r="AF512" s="126"/>
      <c r="AG512" s="126"/>
      <c r="AH512" s="126"/>
      <c r="AI512" s="126">
        <f t="shared" si="466"/>
        <v>0</v>
      </c>
      <c r="AJ512" s="126">
        <f t="shared" si="475"/>
        <v>0</v>
      </c>
      <c r="AK512" s="126">
        <f t="shared" si="475"/>
        <v>0</v>
      </c>
      <c r="AL512" s="126">
        <f t="shared" si="476"/>
        <v>0</v>
      </c>
      <c r="AM512" s="126">
        <f t="shared" si="476"/>
        <v>0</v>
      </c>
      <c r="AN512" s="126"/>
      <c r="AO512" s="130">
        <f t="shared" si="434"/>
        <v>0</v>
      </c>
    </row>
    <row r="513" spans="1:41" s="116" customFormat="1" ht="14" hidden="1" outlineLevel="2">
      <c r="A513" s="136"/>
      <c r="B513" s="137" t="s">
        <v>775</v>
      </c>
      <c r="C513" s="126">
        <f t="shared" si="467"/>
        <v>0</v>
      </c>
      <c r="D513" s="126">
        <v>0</v>
      </c>
      <c r="E513" s="126"/>
      <c r="F513" s="126">
        <v>0</v>
      </c>
      <c r="G513" s="126">
        <v>0</v>
      </c>
      <c r="H513" s="126">
        <f t="shared" si="468"/>
        <v>0</v>
      </c>
      <c r="I513" s="126">
        <f t="shared" si="469"/>
        <v>0</v>
      </c>
      <c r="J513" s="126"/>
      <c r="K513" s="126"/>
      <c r="L513" s="126"/>
      <c r="M513" s="126"/>
      <c r="N513" s="126"/>
      <c r="O513" s="126">
        <f t="shared" si="470"/>
        <v>0</v>
      </c>
      <c r="P513" s="126">
        <f t="shared" si="471"/>
        <v>0</v>
      </c>
      <c r="Q513" s="126"/>
      <c r="R513" s="126"/>
      <c r="S513" s="126">
        <f t="shared" si="477"/>
        <v>0</v>
      </c>
      <c r="T513" s="126"/>
      <c r="U513" s="126"/>
      <c r="V513" s="126"/>
      <c r="W513" s="126"/>
      <c r="X513" s="126"/>
      <c r="Y513" s="126"/>
      <c r="Z513" s="126"/>
      <c r="AA513" s="126"/>
      <c r="AB513" s="126"/>
      <c r="AC513" s="126"/>
      <c r="AD513" s="126"/>
      <c r="AE513" s="126"/>
      <c r="AF513" s="126"/>
      <c r="AG513" s="126"/>
      <c r="AH513" s="126"/>
      <c r="AI513" s="126">
        <f t="shared" si="466"/>
        <v>0</v>
      </c>
      <c r="AJ513" s="126">
        <f t="shared" si="475"/>
        <v>0</v>
      </c>
      <c r="AK513" s="126">
        <f t="shared" si="475"/>
        <v>0</v>
      </c>
      <c r="AL513" s="126">
        <f t="shared" si="476"/>
        <v>0</v>
      </c>
      <c r="AM513" s="126">
        <f t="shared" si="476"/>
        <v>0</v>
      </c>
      <c r="AN513" s="126"/>
      <c r="AO513" s="130">
        <f t="shared" si="434"/>
        <v>0</v>
      </c>
    </row>
    <row r="514" spans="1:41" s="116" customFormat="1" ht="14" hidden="1" outlineLevel="2">
      <c r="A514" s="136"/>
      <c r="B514" s="137" t="s">
        <v>776</v>
      </c>
      <c r="C514" s="126">
        <f t="shared" si="467"/>
        <v>0</v>
      </c>
      <c r="D514" s="126">
        <v>0</v>
      </c>
      <c r="E514" s="126"/>
      <c r="F514" s="126">
        <v>0</v>
      </c>
      <c r="G514" s="126">
        <v>0</v>
      </c>
      <c r="H514" s="126">
        <f t="shared" si="468"/>
        <v>0</v>
      </c>
      <c r="I514" s="126">
        <f t="shared" si="469"/>
        <v>0</v>
      </c>
      <c r="J514" s="126"/>
      <c r="K514" s="126"/>
      <c r="L514" s="126"/>
      <c r="M514" s="126"/>
      <c r="N514" s="126"/>
      <c r="O514" s="126">
        <f t="shared" si="470"/>
        <v>0</v>
      </c>
      <c r="P514" s="126">
        <f t="shared" si="471"/>
        <v>0</v>
      </c>
      <c r="Q514" s="126"/>
      <c r="R514" s="126"/>
      <c r="S514" s="126">
        <f t="shared" si="477"/>
        <v>0</v>
      </c>
      <c r="T514" s="126"/>
      <c r="U514" s="126"/>
      <c r="V514" s="126"/>
      <c r="W514" s="126"/>
      <c r="X514" s="126"/>
      <c r="Y514" s="126"/>
      <c r="Z514" s="126"/>
      <c r="AA514" s="126"/>
      <c r="AB514" s="126"/>
      <c r="AC514" s="126"/>
      <c r="AD514" s="126"/>
      <c r="AE514" s="126"/>
      <c r="AF514" s="126"/>
      <c r="AG514" s="126"/>
      <c r="AH514" s="126"/>
      <c r="AI514" s="126">
        <f t="shared" si="466"/>
        <v>0</v>
      </c>
      <c r="AJ514" s="126">
        <f t="shared" si="475"/>
        <v>0</v>
      </c>
      <c r="AK514" s="126">
        <f t="shared" si="475"/>
        <v>0</v>
      </c>
      <c r="AL514" s="126">
        <f t="shared" si="476"/>
        <v>0</v>
      </c>
      <c r="AM514" s="126">
        <f t="shared" si="476"/>
        <v>0</v>
      </c>
      <c r="AN514" s="126"/>
      <c r="AO514" s="130">
        <f t="shared" si="434"/>
        <v>0</v>
      </c>
    </row>
    <row r="515" spans="1:41" s="116" customFormat="1" ht="14" hidden="1" outlineLevel="1">
      <c r="A515" s="136"/>
      <c r="B515" s="137" t="s">
        <v>777</v>
      </c>
      <c r="C515" s="126">
        <f t="shared" si="467"/>
        <v>0</v>
      </c>
      <c r="D515" s="126">
        <v>0</v>
      </c>
      <c r="E515" s="126"/>
      <c r="F515" s="126">
        <v>0</v>
      </c>
      <c r="G515" s="126">
        <v>0</v>
      </c>
      <c r="H515" s="126">
        <f t="shared" si="468"/>
        <v>0</v>
      </c>
      <c r="I515" s="126">
        <f t="shared" si="469"/>
        <v>0</v>
      </c>
      <c r="J515" s="126"/>
      <c r="K515" s="126">
        <v>0</v>
      </c>
      <c r="L515" s="126"/>
      <c r="M515" s="126"/>
      <c r="N515" s="126"/>
      <c r="O515" s="126">
        <f t="shared" si="470"/>
        <v>0</v>
      </c>
      <c r="P515" s="126">
        <f t="shared" si="471"/>
        <v>0</v>
      </c>
      <c r="Q515" s="126"/>
      <c r="R515" s="126">
        <v>0</v>
      </c>
      <c r="S515" s="126">
        <f t="shared" si="477"/>
        <v>0</v>
      </c>
      <c r="T515" s="126"/>
      <c r="U515" s="126"/>
      <c r="V515" s="126"/>
      <c r="W515" s="126"/>
      <c r="X515" s="126"/>
      <c r="Y515" s="126"/>
      <c r="Z515" s="126"/>
      <c r="AA515" s="126"/>
      <c r="AB515" s="126"/>
      <c r="AC515" s="126"/>
      <c r="AD515" s="126"/>
      <c r="AE515" s="126"/>
      <c r="AF515" s="126"/>
      <c r="AG515" s="126"/>
      <c r="AH515" s="126"/>
      <c r="AI515" s="126">
        <f t="shared" si="466"/>
        <v>0</v>
      </c>
      <c r="AJ515" s="126">
        <f t="shared" si="475"/>
        <v>0</v>
      </c>
      <c r="AK515" s="126">
        <f t="shared" si="475"/>
        <v>0</v>
      </c>
      <c r="AL515" s="126">
        <f t="shared" si="476"/>
        <v>0</v>
      </c>
      <c r="AM515" s="126">
        <f t="shared" si="476"/>
        <v>0</v>
      </c>
      <c r="AN515" s="126"/>
      <c r="AO515" s="130">
        <f t="shared" si="434"/>
        <v>0</v>
      </c>
    </row>
    <row r="516" spans="1:41" s="116" customFormat="1" ht="14" hidden="1" outlineLevel="1">
      <c r="A516" s="136"/>
      <c r="B516" s="137" t="s">
        <v>778</v>
      </c>
      <c r="C516" s="126">
        <f t="shared" si="467"/>
        <v>0</v>
      </c>
      <c r="D516" s="126">
        <v>0</v>
      </c>
      <c r="E516" s="126"/>
      <c r="F516" s="126">
        <v>0</v>
      </c>
      <c r="G516" s="126">
        <v>0</v>
      </c>
      <c r="H516" s="126">
        <f t="shared" si="468"/>
        <v>0</v>
      </c>
      <c r="I516" s="126">
        <f t="shared" si="469"/>
        <v>0</v>
      </c>
      <c r="J516" s="126"/>
      <c r="K516" s="126">
        <v>0</v>
      </c>
      <c r="L516" s="126"/>
      <c r="M516" s="126"/>
      <c r="N516" s="126"/>
      <c r="O516" s="126">
        <f t="shared" si="470"/>
        <v>0</v>
      </c>
      <c r="P516" s="126">
        <f t="shared" si="471"/>
        <v>0</v>
      </c>
      <c r="Q516" s="126"/>
      <c r="R516" s="126">
        <v>0</v>
      </c>
      <c r="S516" s="126">
        <f t="shared" si="477"/>
        <v>0</v>
      </c>
      <c r="T516" s="126"/>
      <c r="U516" s="126"/>
      <c r="V516" s="126"/>
      <c r="W516" s="126"/>
      <c r="X516" s="126"/>
      <c r="Y516" s="126"/>
      <c r="Z516" s="126"/>
      <c r="AA516" s="126"/>
      <c r="AB516" s="126"/>
      <c r="AC516" s="126"/>
      <c r="AD516" s="126"/>
      <c r="AE516" s="126"/>
      <c r="AF516" s="126"/>
      <c r="AG516" s="126"/>
      <c r="AH516" s="126"/>
      <c r="AI516" s="126">
        <f t="shared" si="466"/>
        <v>0</v>
      </c>
      <c r="AJ516" s="126">
        <f t="shared" si="475"/>
        <v>0</v>
      </c>
      <c r="AK516" s="126">
        <f t="shared" si="475"/>
        <v>0</v>
      </c>
      <c r="AL516" s="126">
        <f t="shared" si="476"/>
        <v>0</v>
      </c>
      <c r="AM516" s="126">
        <f t="shared" si="476"/>
        <v>0</v>
      </c>
      <c r="AN516" s="126"/>
      <c r="AO516" s="130">
        <f t="shared" si="434"/>
        <v>0</v>
      </c>
    </row>
    <row r="517" spans="1:41" s="116" customFormat="1" ht="14" hidden="1" outlineLevel="1">
      <c r="A517" s="136"/>
      <c r="B517" s="137" t="s">
        <v>779</v>
      </c>
      <c r="C517" s="126">
        <f t="shared" ref="C517:C526" si="478">SUM(D517:G517)</f>
        <v>1458.44</v>
      </c>
      <c r="D517" s="126">
        <v>0</v>
      </c>
      <c r="E517" s="126">
        <v>1458.44</v>
      </c>
      <c r="F517" s="126">
        <v>0</v>
      </c>
      <c r="G517" s="126">
        <v>0</v>
      </c>
      <c r="H517" s="126">
        <f t="shared" si="468"/>
        <v>2376.3809999999999</v>
      </c>
      <c r="I517" s="126">
        <f t="shared" si="469"/>
        <v>2376.3809999999999</v>
      </c>
      <c r="J517" s="126"/>
      <c r="K517" s="126">
        <f>2784-348.139-59.48</f>
        <v>2376.3809999999999</v>
      </c>
      <c r="L517" s="126"/>
      <c r="M517" s="126"/>
      <c r="N517" s="126"/>
      <c r="O517" s="126">
        <f t="shared" si="470"/>
        <v>3428.4406300000001</v>
      </c>
      <c r="P517" s="126">
        <f t="shared" si="471"/>
        <v>3428.4406300000001</v>
      </c>
      <c r="Q517" s="126"/>
      <c r="R517" s="126">
        <f>15+20+730.921+1362.51963+15+15+207+1063</f>
        <v>3428.4406300000001</v>
      </c>
      <c r="S517" s="126">
        <f t="shared" si="477"/>
        <v>0</v>
      </c>
      <c r="T517" s="126"/>
      <c r="U517" s="126"/>
      <c r="V517" s="126"/>
      <c r="W517" s="126"/>
      <c r="X517" s="126"/>
      <c r="Y517" s="126"/>
      <c r="Z517" s="126"/>
      <c r="AA517" s="126"/>
      <c r="AB517" s="126"/>
      <c r="AC517" s="126"/>
      <c r="AD517" s="126"/>
      <c r="AE517" s="126"/>
      <c r="AF517" s="126"/>
      <c r="AG517" s="126"/>
      <c r="AH517" s="126"/>
      <c r="AI517" s="126">
        <f t="shared" ref="AI517:AI526" si="479">SUM(AJ517:AM517)</f>
        <v>406.38036999999986</v>
      </c>
      <c r="AJ517" s="126">
        <f t="shared" ref="AJ517:AK528" si="480">D517+J517-Q517-X517-AD517</f>
        <v>0</v>
      </c>
      <c r="AK517" s="126">
        <f t="shared" si="480"/>
        <v>406.38036999999986</v>
      </c>
      <c r="AL517" s="126">
        <f t="shared" ref="AL517:AM528" si="481">F517+M517-T517-AA517-AG517</f>
        <v>0</v>
      </c>
      <c r="AM517" s="126">
        <f t="shared" si="481"/>
        <v>0</v>
      </c>
      <c r="AN517" s="126"/>
      <c r="AO517" s="130">
        <f t="shared" si="434"/>
        <v>0</v>
      </c>
    </row>
    <row r="518" spans="1:41" s="116" customFormat="1" ht="14" hidden="1" outlineLevel="1">
      <c r="A518" s="136"/>
      <c r="B518" s="137" t="s">
        <v>780</v>
      </c>
      <c r="C518" s="126">
        <f t="shared" si="478"/>
        <v>0</v>
      </c>
      <c r="D518" s="126">
        <v>0</v>
      </c>
      <c r="E518" s="126"/>
      <c r="F518" s="126">
        <v>0</v>
      </c>
      <c r="G518" s="126">
        <v>0</v>
      </c>
      <c r="H518" s="126">
        <f t="shared" si="468"/>
        <v>314</v>
      </c>
      <c r="I518" s="126">
        <f t="shared" si="469"/>
        <v>314</v>
      </c>
      <c r="J518" s="126"/>
      <c r="K518" s="126">
        <v>314</v>
      </c>
      <c r="L518" s="126"/>
      <c r="M518" s="126"/>
      <c r="N518" s="126"/>
      <c r="O518" s="126">
        <f t="shared" si="470"/>
        <v>86.2</v>
      </c>
      <c r="P518" s="126">
        <f t="shared" si="471"/>
        <v>86.2</v>
      </c>
      <c r="Q518" s="126"/>
      <c r="R518" s="126">
        <f>86.2</f>
        <v>86.2</v>
      </c>
      <c r="S518" s="126">
        <f t="shared" si="477"/>
        <v>0</v>
      </c>
      <c r="T518" s="126"/>
      <c r="U518" s="126"/>
      <c r="V518" s="126"/>
      <c r="W518" s="126"/>
      <c r="X518" s="126"/>
      <c r="Y518" s="126"/>
      <c r="Z518" s="126"/>
      <c r="AA518" s="126"/>
      <c r="AB518" s="126"/>
      <c r="AC518" s="126"/>
      <c r="AD518" s="126"/>
      <c r="AE518" s="126"/>
      <c r="AF518" s="126"/>
      <c r="AG518" s="126"/>
      <c r="AH518" s="126"/>
      <c r="AI518" s="126">
        <f t="shared" si="479"/>
        <v>227.8</v>
      </c>
      <c r="AJ518" s="126">
        <f t="shared" si="480"/>
        <v>0</v>
      </c>
      <c r="AK518" s="126">
        <f t="shared" si="480"/>
        <v>227.8</v>
      </c>
      <c r="AL518" s="126">
        <f t="shared" si="481"/>
        <v>0</v>
      </c>
      <c r="AM518" s="126">
        <f t="shared" si="481"/>
        <v>0</v>
      </c>
      <c r="AN518" s="126"/>
      <c r="AO518" s="130">
        <f t="shared" si="434"/>
        <v>0</v>
      </c>
    </row>
    <row r="519" spans="1:41" s="116" customFormat="1" ht="14" hidden="1" outlineLevel="1">
      <c r="A519" s="136"/>
      <c r="B519" s="137" t="s">
        <v>337</v>
      </c>
      <c r="C519" s="126">
        <f t="shared" si="478"/>
        <v>0</v>
      </c>
      <c r="D519" s="126">
        <v>0</v>
      </c>
      <c r="E519" s="126">
        <v>0</v>
      </c>
      <c r="F519" s="126">
        <v>0</v>
      </c>
      <c r="G519" s="126">
        <v>0</v>
      </c>
      <c r="H519" s="126">
        <f t="shared" si="468"/>
        <v>0</v>
      </c>
      <c r="I519" s="126">
        <f t="shared" si="469"/>
        <v>0</v>
      </c>
      <c r="J519" s="126"/>
      <c r="K519" s="126"/>
      <c r="L519" s="126">
        <f t="shared" ref="L519:L528" si="482">M519+N519</f>
        <v>0</v>
      </c>
      <c r="M519" s="126"/>
      <c r="N519" s="126">
        <v>0</v>
      </c>
      <c r="O519" s="126">
        <f t="shared" si="470"/>
        <v>0</v>
      </c>
      <c r="P519" s="126">
        <f t="shared" si="471"/>
        <v>0</v>
      </c>
      <c r="Q519" s="126"/>
      <c r="R519" s="126"/>
      <c r="S519" s="126">
        <f t="shared" si="477"/>
        <v>0</v>
      </c>
      <c r="T519" s="126"/>
      <c r="U519" s="126"/>
      <c r="V519" s="126">
        <f>W519+Z519+AC519+AF519</f>
        <v>0</v>
      </c>
      <c r="W519" s="126"/>
      <c r="X519" s="126"/>
      <c r="Y519" s="126"/>
      <c r="Z519" s="126"/>
      <c r="AA519" s="126"/>
      <c r="AB519" s="126"/>
      <c r="AC519" s="126">
        <f>AD519+AE519</f>
        <v>0</v>
      </c>
      <c r="AD519" s="126"/>
      <c r="AE519" s="126"/>
      <c r="AF519" s="126">
        <f>AG519+AH519</f>
        <v>0</v>
      </c>
      <c r="AG519" s="126"/>
      <c r="AH519" s="126"/>
      <c r="AI519" s="126">
        <f t="shared" si="479"/>
        <v>0</v>
      </c>
      <c r="AJ519" s="126">
        <f t="shared" si="480"/>
        <v>0</v>
      </c>
      <c r="AK519" s="126">
        <f t="shared" si="480"/>
        <v>0</v>
      </c>
      <c r="AL519" s="126">
        <f t="shared" si="481"/>
        <v>0</v>
      </c>
      <c r="AM519" s="126">
        <f t="shared" si="481"/>
        <v>0</v>
      </c>
      <c r="AN519" s="126"/>
      <c r="AO519" s="130">
        <f t="shared" si="434"/>
        <v>0</v>
      </c>
    </row>
    <row r="520" spans="1:41" s="116" customFormat="1" ht="14" hidden="1" outlineLevel="1">
      <c r="A520" s="136"/>
      <c r="B520" s="137" t="s">
        <v>560</v>
      </c>
      <c r="C520" s="126">
        <f t="shared" si="478"/>
        <v>0</v>
      </c>
      <c r="D520" s="126">
        <v>0</v>
      </c>
      <c r="E520" s="126">
        <v>0</v>
      </c>
      <c r="F520" s="126">
        <v>0</v>
      </c>
      <c r="G520" s="126">
        <v>0</v>
      </c>
      <c r="H520" s="126">
        <f t="shared" si="468"/>
        <v>0</v>
      </c>
      <c r="I520" s="126">
        <f t="shared" si="469"/>
        <v>0</v>
      </c>
      <c r="J520" s="126"/>
      <c r="K520" s="126"/>
      <c r="L520" s="126">
        <f t="shared" si="482"/>
        <v>0</v>
      </c>
      <c r="M520" s="126"/>
      <c r="N520" s="126">
        <v>0</v>
      </c>
      <c r="O520" s="126">
        <f t="shared" si="470"/>
        <v>0</v>
      </c>
      <c r="P520" s="126">
        <f t="shared" si="471"/>
        <v>0</v>
      </c>
      <c r="Q520" s="126"/>
      <c r="R520" s="126"/>
      <c r="S520" s="126">
        <f t="shared" si="477"/>
        <v>0</v>
      </c>
      <c r="T520" s="126"/>
      <c r="U520" s="126">
        <f>L520+G520</f>
        <v>0</v>
      </c>
      <c r="V520" s="126">
        <f>W520+Z520+AC520+AF520</f>
        <v>0</v>
      </c>
      <c r="W520" s="126"/>
      <c r="X520" s="126"/>
      <c r="Y520" s="126"/>
      <c r="Z520" s="126"/>
      <c r="AA520" s="126"/>
      <c r="AB520" s="126"/>
      <c r="AC520" s="126">
        <f>AD520+AE520</f>
        <v>0</v>
      </c>
      <c r="AD520" s="126"/>
      <c r="AE520" s="126"/>
      <c r="AF520" s="126">
        <f>AG520+AH520</f>
        <v>0</v>
      </c>
      <c r="AG520" s="126"/>
      <c r="AH520" s="126"/>
      <c r="AI520" s="126">
        <f t="shared" si="479"/>
        <v>0</v>
      </c>
      <c r="AJ520" s="126">
        <f t="shared" si="480"/>
        <v>0</v>
      </c>
      <c r="AK520" s="126">
        <f t="shared" si="480"/>
        <v>0</v>
      </c>
      <c r="AL520" s="126">
        <f t="shared" si="481"/>
        <v>0</v>
      </c>
      <c r="AM520" s="126">
        <f t="shared" si="481"/>
        <v>0</v>
      </c>
      <c r="AN520" s="126"/>
      <c r="AO520" s="130">
        <f t="shared" si="434"/>
        <v>0</v>
      </c>
    </row>
    <row r="521" spans="1:41" s="116" customFormat="1" ht="14" hidden="1" outlineLevel="1">
      <c r="A521" s="136"/>
      <c r="B521" s="137" t="s">
        <v>562</v>
      </c>
      <c r="C521" s="126">
        <f t="shared" si="478"/>
        <v>0</v>
      </c>
      <c r="D521" s="126">
        <v>0</v>
      </c>
      <c r="E521" s="126"/>
      <c r="F521" s="126">
        <v>0</v>
      </c>
      <c r="G521" s="126">
        <v>0</v>
      </c>
      <c r="H521" s="126">
        <f t="shared" si="468"/>
        <v>3</v>
      </c>
      <c r="I521" s="126">
        <f t="shared" si="469"/>
        <v>0</v>
      </c>
      <c r="J521" s="126"/>
      <c r="K521" s="126"/>
      <c r="L521" s="126">
        <f t="shared" si="482"/>
        <v>3</v>
      </c>
      <c r="M521" s="126"/>
      <c r="N521" s="126">
        <v>3</v>
      </c>
      <c r="O521" s="126">
        <f t="shared" si="470"/>
        <v>3</v>
      </c>
      <c r="P521" s="126">
        <f t="shared" si="471"/>
        <v>0</v>
      </c>
      <c r="Q521" s="126"/>
      <c r="R521" s="126"/>
      <c r="S521" s="126">
        <f t="shared" si="477"/>
        <v>3</v>
      </c>
      <c r="T521" s="126"/>
      <c r="U521" s="126">
        <f>N521</f>
        <v>3</v>
      </c>
      <c r="V521" s="126">
        <f>W521+Z521+AC521+AF521</f>
        <v>0</v>
      </c>
      <c r="W521" s="126"/>
      <c r="X521" s="126"/>
      <c r="Y521" s="126"/>
      <c r="Z521" s="126"/>
      <c r="AA521" s="126"/>
      <c r="AB521" s="126"/>
      <c r="AC521" s="126">
        <f>AD521+AE521</f>
        <v>0</v>
      </c>
      <c r="AD521" s="126"/>
      <c r="AE521" s="126"/>
      <c r="AF521" s="126">
        <f>AG521+AH521</f>
        <v>0</v>
      </c>
      <c r="AG521" s="126"/>
      <c r="AH521" s="126"/>
      <c r="AI521" s="126">
        <f t="shared" si="479"/>
        <v>0</v>
      </c>
      <c r="AJ521" s="126">
        <f t="shared" si="480"/>
        <v>0</v>
      </c>
      <c r="AK521" s="126">
        <f t="shared" si="480"/>
        <v>0</v>
      </c>
      <c r="AL521" s="126">
        <f t="shared" si="481"/>
        <v>0</v>
      </c>
      <c r="AM521" s="126">
        <f t="shared" si="481"/>
        <v>0</v>
      </c>
      <c r="AN521" s="126"/>
      <c r="AO521" s="130">
        <f t="shared" si="434"/>
        <v>0</v>
      </c>
    </row>
    <row r="522" spans="1:41" s="116" customFormat="1" ht="14" hidden="1" outlineLevel="1">
      <c r="A522" s="136"/>
      <c r="B522" s="137" t="s">
        <v>561</v>
      </c>
      <c r="C522" s="126">
        <f t="shared" si="478"/>
        <v>0</v>
      </c>
      <c r="D522" s="126">
        <v>0</v>
      </c>
      <c r="E522" s="126">
        <v>0</v>
      </c>
      <c r="F522" s="126">
        <v>0</v>
      </c>
      <c r="G522" s="126"/>
      <c r="H522" s="126">
        <f t="shared" si="468"/>
        <v>0</v>
      </c>
      <c r="I522" s="126">
        <f t="shared" si="469"/>
        <v>0</v>
      </c>
      <c r="J522" s="126"/>
      <c r="K522" s="126"/>
      <c r="L522" s="126">
        <f t="shared" si="482"/>
        <v>0</v>
      </c>
      <c r="M522" s="126"/>
      <c r="N522" s="126">
        <v>0</v>
      </c>
      <c r="O522" s="126">
        <f t="shared" si="470"/>
        <v>0</v>
      </c>
      <c r="P522" s="126">
        <f t="shared" si="471"/>
        <v>0</v>
      </c>
      <c r="Q522" s="126"/>
      <c r="R522" s="126"/>
      <c r="S522" s="126">
        <f t="shared" si="477"/>
        <v>0</v>
      </c>
      <c r="T522" s="126"/>
      <c r="U522" s="126"/>
      <c r="V522" s="126"/>
      <c r="W522" s="126"/>
      <c r="X522" s="126"/>
      <c r="Y522" s="126"/>
      <c r="Z522" s="126"/>
      <c r="AA522" s="126"/>
      <c r="AB522" s="126"/>
      <c r="AC522" s="126"/>
      <c r="AD522" s="126"/>
      <c r="AE522" s="126"/>
      <c r="AF522" s="126"/>
      <c r="AG522" s="126"/>
      <c r="AH522" s="126"/>
      <c r="AI522" s="126">
        <f t="shared" si="479"/>
        <v>0</v>
      </c>
      <c r="AJ522" s="126">
        <f t="shared" si="480"/>
        <v>0</v>
      </c>
      <c r="AK522" s="126">
        <f t="shared" si="480"/>
        <v>0</v>
      </c>
      <c r="AL522" s="126">
        <f t="shared" si="481"/>
        <v>0</v>
      </c>
      <c r="AM522" s="126">
        <f t="shared" si="481"/>
        <v>0</v>
      </c>
      <c r="AN522" s="126"/>
      <c r="AO522" s="130">
        <f t="shared" si="434"/>
        <v>0</v>
      </c>
    </row>
    <row r="523" spans="1:41" s="116" customFormat="1" ht="14" hidden="1" outlineLevel="1">
      <c r="A523" s="136"/>
      <c r="B523" s="137" t="s">
        <v>680</v>
      </c>
      <c r="C523" s="126">
        <f t="shared" si="478"/>
        <v>0</v>
      </c>
      <c r="D523" s="126">
        <v>0</v>
      </c>
      <c r="E523" s="126"/>
      <c r="F523" s="126">
        <v>0</v>
      </c>
      <c r="G523" s="126"/>
      <c r="H523" s="126">
        <f t="shared" si="468"/>
        <v>673</v>
      </c>
      <c r="I523" s="126">
        <f t="shared" si="469"/>
        <v>0</v>
      </c>
      <c r="J523" s="126"/>
      <c r="K523" s="126"/>
      <c r="L523" s="126">
        <f t="shared" si="482"/>
        <v>673</v>
      </c>
      <c r="M523" s="126"/>
      <c r="N523" s="126">
        <v>673</v>
      </c>
      <c r="O523" s="126">
        <f t="shared" si="470"/>
        <v>673</v>
      </c>
      <c r="P523" s="126">
        <f t="shared" si="471"/>
        <v>0</v>
      </c>
      <c r="Q523" s="126"/>
      <c r="R523" s="126"/>
      <c r="S523" s="126">
        <f t="shared" si="477"/>
        <v>673</v>
      </c>
      <c r="T523" s="126"/>
      <c r="U523" s="126">
        <f>N523</f>
        <v>673</v>
      </c>
      <c r="V523" s="126"/>
      <c r="W523" s="126"/>
      <c r="X523" s="126"/>
      <c r="Y523" s="126"/>
      <c r="Z523" s="126"/>
      <c r="AA523" s="126"/>
      <c r="AB523" s="126"/>
      <c r="AC523" s="126"/>
      <c r="AD523" s="126"/>
      <c r="AE523" s="126"/>
      <c r="AF523" s="126"/>
      <c r="AG523" s="126"/>
      <c r="AH523" s="126"/>
      <c r="AI523" s="126">
        <f t="shared" si="479"/>
        <v>0</v>
      </c>
      <c r="AJ523" s="126">
        <f t="shared" si="480"/>
        <v>0</v>
      </c>
      <c r="AK523" s="126">
        <f t="shared" si="480"/>
        <v>0</v>
      </c>
      <c r="AL523" s="126">
        <f t="shared" si="481"/>
        <v>0</v>
      </c>
      <c r="AM523" s="126">
        <f t="shared" si="481"/>
        <v>0</v>
      </c>
      <c r="AN523" s="126"/>
      <c r="AO523" s="130">
        <f t="shared" si="434"/>
        <v>0</v>
      </c>
    </row>
    <row r="524" spans="1:41" s="116" customFormat="1" ht="14" hidden="1" outlineLevel="1">
      <c r="A524" s="136"/>
      <c r="B524" s="137" t="s">
        <v>563</v>
      </c>
      <c r="C524" s="126">
        <f t="shared" si="478"/>
        <v>0</v>
      </c>
      <c r="D524" s="126">
        <v>0</v>
      </c>
      <c r="E524" s="126"/>
      <c r="F524" s="126">
        <v>0</v>
      </c>
      <c r="G524" s="126"/>
      <c r="H524" s="126">
        <f t="shared" si="468"/>
        <v>10</v>
      </c>
      <c r="I524" s="126">
        <f t="shared" si="469"/>
        <v>0</v>
      </c>
      <c r="J524" s="126"/>
      <c r="K524" s="126"/>
      <c r="L524" s="126">
        <f t="shared" si="482"/>
        <v>10</v>
      </c>
      <c r="M524" s="126"/>
      <c r="N524" s="126">
        <v>10</v>
      </c>
      <c r="O524" s="126">
        <f t="shared" si="470"/>
        <v>10</v>
      </c>
      <c r="P524" s="126">
        <f t="shared" si="471"/>
        <v>0</v>
      </c>
      <c r="Q524" s="126"/>
      <c r="R524" s="126"/>
      <c r="S524" s="126">
        <f t="shared" si="477"/>
        <v>10</v>
      </c>
      <c r="T524" s="126"/>
      <c r="U524" s="126">
        <f>N524</f>
        <v>10</v>
      </c>
      <c r="V524" s="126"/>
      <c r="W524" s="126"/>
      <c r="X524" s="126"/>
      <c r="Y524" s="126"/>
      <c r="Z524" s="126"/>
      <c r="AA524" s="126"/>
      <c r="AB524" s="126"/>
      <c r="AC524" s="126"/>
      <c r="AD524" s="126"/>
      <c r="AE524" s="126"/>
      <c r="AF524" s="126"/>
      <c r="AG524" s="126"/>
      <c r="AH524" s="126"/>
      <c r="AI524" s="126">
        <f t="shared" si="479"/>
        <v>0</v>
      </c>
      <c r="AJ524" s="126">
        <f t="shared" si="480"/>
        <v>0</v>
      </c>
      <c r="AK524" s="126">
        <f t="shared" si="480"/>
        <v>0</v>
      </c>
      <c r="AL524" s="126">
        <f t="shared" si="481"/>
        <v>0</v>
      </c>
      <c r="AM524" s="126">
        <f t="shared" si="481"/>
        <v>0</v>
      </c>
      <c r="AN524" s="126"/>
      <c r="AO524" s="130">
        <f t="shared" si="434"/>
        <v>0</v>
      </c>
    </row>
    <row r="525" spans="1:41" s="116" customFormat="1" ht="14" hidden="1" outlineLevel="1">
      <c r="A525" s="136"/>
      <c r="B525" s="137" t="s">
        <v>566</v>
      </c>
      <c r="C525" s="126">
        <f t="shared" si="478"/>
        <v>0</v>
      </c>
      <c r="D525" s="126">
        <v>0</v>
      </c>
      <c r="E525" s="126">
        <v>0</v>
      </c>
      <c r="F525" s="126">
        <v>0</v>
      </c>
      <c r="G525" s="126"/>
      <c r="H525" s="126">
        <f t="shared" si="468"/>
        <v>0</v>
      </c>
      <c r="I525" s="126">
        <f t="shared" si="469"/>
        <v>0</v>
      </c>
      <c r="J525" s="126"/>
      <c r="K525" s="126"/>
      <c r="L525" s="126">
        <f t="shared" si="482"/>
        <v>0</v>
      </c>
      <c r="M525" s="126"/>
      <c r="N525" s="126">
        <v>0</v>
      </c>
      <c r="O525" s="126">
        <f t="shared" si="470"/>
        <v>0</v>
      </c>
      <c r="P525" s="126">
        <f t="shared" si="471"/>
        <v>0</v>
      </c>
      <c r="Q525" s="126"/>
      <c r="R525" s="126"/>
      <c r="S525" s="126">
        <f t="shared" si="477"/>
        <v>0</v>
      </c>
      <c r="T525" s="126"/>
      <c r="U525" s="126"/>
      <c r="V525" s="126"/>
      <c r="W525" s="126"/>
      <c r="X525" s="126"/>
      <c r="Y525" s="126"/>
      <c r="Z525" s="126"/>
      <c r="AA525" s="126"/>
      <c r="AB525" s="126"/>
      <c r="AC525" s="126"/>
      <c r="AD525" s="126"/>
      <c r="AE525" s="126"/>
      <c r="AF525" s="126"/>
      <c r="AG525" s="126"/>
      <c r="AH525" s="126"/>
      <c r="AI525" s="126">
        <f t="shared" si="479"/>
        <v>0</v>
      </c>
      <c r="AJ525" s="126">
        <f t="shared" si="480"/>
        <v>0</v>
      </c>
      <c r="AK525" s="126">
        <f t="shared" si="480"/>
        <v>0</v>
      </c>
      <c r="AL525" s="126">
        <f t="shared" si="481"/>
        <v>0</v>
      </c>
      <c r="AM525" s="126">
        <f t="shared" si="481"/>
        <v>0</v>
      </c>
      <c r="AN525" s="126"/>
      <c r="AO525" s="130">
        <f t="shared" si="434"/>
        <v>0</v>
      </c>
    </row>
    <row r="526" spans="1:41" s="116" customFormat="1" ht="14" hidden="1" outlineLevel="1">
      <c r="A526" s="136"/>
      <c r="B526" s="137" t="s">
        <v>567</v>
      </c>
      <c r="C526" s="126">
        <f t="shared" si="478"/>
        <v>0</v>
      </c>
      <c r="D526" s="126">
        <v>0</v>
      </c>
      <c r="E526" s="126"/>
      <c r="F526" s="126">
        <v>0</v>
      </c>
      <c r="G526" s="126"/>
      <c r="H526" s="126">
        <f t="shared" si="468"/>
        <v>224</v>
      </c>
      <c r="I526" s="126">
        <f t="shared" si="469"/>
        <v>0</v>
      </c>
      <c r="J526" s="126"/>
      <c r="K526" s="126"/>
      <c r="L526" s="126">
        <f t="shared" si="482"/>
        <v>224</v>
      </c>
      <c r="M526" s="126"/>
      <c r="N526" s="126">
        <v>224</v>
      </c>
      <c r="O526" s="126">
        <f t="shared" si="470"/>
        <v>224</v>
      </c>
      <c r="P526" s="126">
        <f t="shared" si="471"/>
        <v>0</v>
      </c>
      <c r="Q526" s="126"/>
      <c r="R526" s="126"/>
      <c r="S526" s="126">
        <f t="shared" si="477"/>
        <v>224</v>
      </c>
      <c r="T526" s="126"/>
      <c r="U526" s="126">
        <f>N526</f>
        <v>224</v>
      </c>
      <c r="V526" s="126"/>
      <c r="W526" s="126"/>
      <c r="X526" s="126"/>
      <c r="Y526" s="126"/>
      <c r="Z526" s="126"/>
      <c r="AA526" s="126"/>
      <c r="AB526" s="126"/>
      <c r="AC526" s="126"/>
      <c r="AD526" s="126"/>
      <c r="AE526" s="126"/>
      <c r="AF526" s="126"/>
      <c r="AG526" s="126"/>
      <c r="AH526" s="126"/>
      <c r="AI526" s="126">
        <f t="shared" si="479"/>
        <v>0</v>
      </c>
      <c r="AJ526" s="126">
        <f t="shared" si="480"/>
        <v>0</v>
      </c>
      <c r="AK526" s="126">
        <f t="shared" si="480"/>
        <v>0</v>
      </c>
      <c r="AL526" s="126">
        <f t="shared" si="481"/>
        <v>0</v>
      </c>
      <c r="AM526" s="126">
        <f t="shared" si="481"/>
        <v>0</v>
      </c>
      <c r="AN526" s="126"/>
      <c r="AO526" s="130">
        <f t="shared" si="434"/>
        <v>0</v>
      </c>
    </row>
    <row r="527" spans="1:41" s="116" customFormat="1" ht="14" hidden="1" outlineLevel="1" collapsed="1">
      <c r="A527" s="139"/>
      <c r="B527" s="182" t="s">
        <v>606</v>
      </c>
      <c r="C527" s="126">
        <f>SUM(D527:G527)</f>
        <v>0</v>
      </c>
      <c r="D527" s="180">
        <v>0</v>
      </c>
      <c r="E527" s="180"/>
      <c r="F527" s="180">
        <v>0</v>
      </c>
      <c r="G527" s="180"/>
      <c r="H527" s="126">
        <f t="shared" si="468"/>
        <v>526</v>
      </c>
      <c r="I527" s="126">
        <f t="shared" si="469"/>
        <v>0</v>
      </c>
      <c r="J527" s="126"/>
      <c r="K527" s="126"/>
      <c r="L527" s="126">
        <f t="shared" si="482"/>
        <v>526</v>
      </c>
      <c r="M527" s="180"/>
      <c r="N527" s="180">
        <v>526</v>
      </c>
      <c r="O527" s="126">
        <f t="shared" si="470"/>
        <v>523.63</v>
      </c>
      <c r="P527" s="126">
        <f t="shared" si="471"/>
        <v>0</v>
      </c>
      <c r="Q527" s="126"/>
      <c r="R527" s="126"/>
      <c r="S527" s="126">
        <f t="shared" si="477"/>
        <v>523.63</v>
      </c>
      <c r="T527" s="180"/>
      <c r="U527" s="180">
        <f>523.63</f>
        <v>523.63</v>
      </c>
      <c r="V527" s="180"/>
      <c r="W527" s="180"/>
      <c r="X527" s="180"/>
      <c r="Y527" s="180"/>
      <c r="Z527" s="180"/>
      <c r="AA527" s="180"/>
      <c r="AB527" s="180"/>
      <c r="AC527" s="126"/>
      <c r="AD527" s="126"/>
      <c r="AE527" s="126"/>
      <c r="AF527" s="126"/>
      <c r="AG527" s="180"/>
      <c r="AH527" s="180"/>
      <c r="AI527" s="126">
        <f t="shared" ref="AI527:AI536" si="483">SUM(AJ527:AM527)</f>
        <v>2.3700000000000045</v>
      </c>
      <c r="AJ527" s="126">
        <f t="shared" si="480"/>
        <v>0</v>
      </c>
      <c r="AK527" s="126">
        <f t="shared" si="480"/>
        <v>0</v>
      </c>
      <c r="AL527" s="126">
        <f t="shared" si="481"/>
        <v>0</v>
      </c>
      <c r="AM527" s="126">
        <f t="shared" si="481"/>
        <v>2.3700000000000045</v>
      </c>
      <c r="AN527" s="126"/>
      <c r="AO527" s="130">
        <f t="shared" ref="AO527:AO590" si="484">C527+H527-O527-V527-AI527</f>
        <v>0</v>
      </c>
    </row>
    <row r="528" spans="1:41" s="116" customFormat="1" ht="14" hidden="1" outlineLevel="1">
      <c r="A528" s="139"/>
      <c r="B528" s="182" t="s">
        <v>602</v>
      </c>
      <c r="C528" s="126">
        <f>SUM(D528:G528)</f>
        <v>0</v>
      </c>
      <c r="D528" s="180">
        <v>0</v>
      </c>
      <c r="E528" s="180">
        <v>0</v>
      </c>
      <c r="F528" s="180">
        <v>0</v>
      </c>
      <c r="G528" s="180"/>
      <c r="H528" s="126">
        <f t="shared" si="468"/>
        <v>0</v>
      </c>
      <c r="I528" s="126">
        <f t="shared" si="469"/>
        <v>0</v>
      </c>
      <c r="J528" s="126"/>
      <c r="K528" s="126"/>
      <c r="L528" s="126">
        <f t="shared" si="482"/>
        <v>0</v>
      </c>
      <c r="M528" s="180"/>
      <c r="N528" s="180">
        <v>0</v>
      </c>
      <c r="O528" s="126">
        <f t="shared" si="470"/>
        <v>0</v>
      </c>
      <c r="P528" s="126">
        <f t="shared" si="471"/>
        <v>0</v>
      </c>
      <c r="Q528" s="126"/>
      <c r="R528" s="126"/>
      <c r="S528" s="126">
        <f t="shared" si="477"/>
        <v>0</v>
      </c>
      <c r="T528" s="180"/>
      <c r="U528" s="180"/>
      <c r="V528" s="180"/>
      <c r="W528" s="180"/>
      <c r="X528" s="180"/>
      <c r="Y528" s="180"/>
      <c r="Z528" s="180"/>
      <c r="AA528" s="180"/>
      <c r="AB528" s="180"/>
      <c r="AC528" s="126"/>
      <c r="AD528" s="126"/>
      <c r="AE528" s="126"/>
      <c r="AF528" s="126"/>
      <c r="AG528" s="180"/>
      <c r="AH528" s="180"/>
      <c r="AI528" s="126">
        <f t="shared" si="483"/>
        <v>0</v>
      </c>
      <c r="AJ528" s="126">
        <f t="shared" si="480"/>
        <v>0</v>
      </c>
      <c r="AK528" s="126">
        <f t="shared" si="480"/>
        <v>0</v>
      </c>
      <c r="AL528" s="126">
        <f t="shared" si="481"/>
        <v>0</v>
      </c>
      <c r="AM528" s="126">
        <f t="shared" si="481"/>
        <v>0</v>
      </c>
      <c r="AN528" s="126"/>
      <c r="AO528" s="130">
        <f t="shared" si="484"/>
        <v>0</v>
      </c>
    </row>
    <row r="529" spans="1:42" s="116" customFormat="1" ht="14" hidden="1" outlineLevel="1">
      <c r="A529" s="136"/>
      <c r="B529" s="137" t="s">
        <v>781</v>
      </c>
      <c r="C529" s="126">
        <f>SUM(D529:G529)</f>
        <v>11312</v>
      </c>
      <c r="D529" s="126">
        <v>0</v>
      </c>
      <c r="E529" s="126">
        <f>16474+4739-8759-1142</f>
        <v>11312</v>
      </c>
      <c r="F529" s="126">
        <v>0</v>
      </c>
      <c r="G529" s="126">
        <v>0</v>
      </c>
      <c r="H529" s="126">
        <f t="shared" si="468"/>
        <v>1142</v>
      </c>
      <c r="I529" s="126">
        <f t="shared" si="469"/>
        <v>1142</v>
      </c>
      <c r="J529" s="126"/>
      <c r="K529" s="126">
        <f>1142</f>
        <v>1142</v>
      </c>
      <c r="L529" s="126"/>
      <c r="M529" s="126"/>
      <c r="N529" s="126"/>
      <c r="O529" s="126">
        <f t="shared" si="470"/>
        <v>0</v>
      </c>
      <c r="P529" s="126">
        <f t="shared" si="471"/>
        <v>0</v>
      </c>
      <c r="Q529" s="126"/>
      <c r="R529" s="126"/>
      <c r="S529" s="126">
        <f t="shared" si="477"/>
        <v>0</v>
      </c>
      <c r="T529" s="126"/>
      <c r="U529" s="126"/>
      <c r="V529" s="126">
        <f>W529+Z529+AC529+AF529</f>
        <v>0</v>
      </c>
      <c r="W529" s="126">
        <f>X529+Y529</f>
        <v>0</v>
      </c>
      <c r="X529" s="126"/>
      <c r="Y529" s="126"/>
      <c r="Z529" s="126"/>
      <c r="AA529" s="126"/>
      <c r="AB529" s="126"/>
      <c r="AC529" s="126">
        <f>AD529+AE529</f>
        <v>0</v>
      </c>
      <c r="AD529" s="126"/>
      <c r="AE529" s="126"/>
      <c r="AF529" s="126">
        <f>AG529+AH529</f>
        <v>0</v>
      </c>
      <c r="AG529" s="126"/>
      <c r="AH529" s="126"/>
      <c r="AI529" s="126">
        <f t="shared" si="483"/>
        <v>12454</v>
      </c>
      <c r="AJ529" s="126">
        <f>D529+J529-Q529-X529-AD529</f>
        <v>0</v>
      </c>
      <c r="AK529" s="126">
        <f>E529+K529-R529-Y529-AE529</f>
        <v>12454</v>
      </c>
      <c r="AL529" s="126">
        <f>F529+M529-T529-AA529-AG529</f>
        <v>0</v>
      </c>
      <c r="AM529" s="126">
        <f>G529+N529-U529-AB529-AH529</f>
        <v>0</v>
      </c>
      <c r="AN529" s="126"/>
      <c r="AO529" s="130">
        <f t="shared" si="484"/>
        <v>0</v>
      </c>
    </row>
    <row r="530" spans="1:42" s="117" customFormat="1" ht="28" collapsed="1">
      <c r="A530" s="166">
        <v>26</v>
      </c>
      <c r="B530" s="137" t="s">
        <v>782</v>
      </c>
      <c r="C530" s="126">
        <f t="shared" ref="C530:N530" si="485">SUM(C531:C534)</f>
        <v>5581</v>
      </c>
      <c r="D530" s="126">
        <f t="shared" si="485"/>
        <v>0</v>
      </c>
      <c r="E530" s="126">
        <f t="shared" si="485"/>
        <v>1000</v>
      </c>
      <c r="F530" s="126">
        <f t="shared" si="485"/>
        <v>0</v>
      </c>
      <c r="G530" s="126">
        <f t="shared" si="485"/>
        <v>4581</v>
      </c>
      <c r="H530" s="126">
        <f>SUM(H531:H534)</f>
        <v>1500</v>
      </c>
      <c r="I530" s="126">
        <f t="shared" si="485"/>
        <v>0</v>
      </c>
      <c r="J530" s="126">
        <f t="shared" si="485"/>
        <v>0</v>
      </c>
      <c r="K530" s="126">
        <f t="shared" si="485"/>
        <v>0</v>
      </c>
      <c r="L530" s="126">
        <f t="shared" si="485"/>
        <v>1500</v>
      </c>
      <c r="M530" s="126">
        <f t="shared" si="485"/>
        <v>0</v>
      </c>
      <c r="N530" s="126">
        <f t="shared" si="485"/>
        <v>1500</v>
      </c>
      <c r="O530" s="126">
        <f t="shared" si="470"/>
        <v>2364.12</v>
      </c>
      <c r="P530" s="126">
        <f t="shared" si="471"/>
        <v>0</v>
      </c>
      <c r="Q530" s="126"/>
      <c r="R530" s="126"/>
      <c r="S530" s="126">
        <f t="shared" si="477"/>
        <v>2364.12</v>
      </c>
      <c r="T530" s="126">
        <f t="shared" ref="T530:AH530" si="486">SUM(T531:T534)</f>
        <v>0</v>
      </c>
      <c r="U530" s="126">
        <f t="shared" si="486"/>
        <v>2364.12</v>
      </c>
      <c r="V530" s="126">
        <f t="shared" si="486"/>
        <v>0</v>
      </c>
      <c r="W530" s="126">
        <f t="shared" si="486"/>
        <v>0</v>
      </c>
      <c r="X530" s="126">
        <f t="shared" si="486"/>
        <v>0</v>
      </c>
      <c r="Y530" s="126">
        <f t="shared" si="486"/>
        <v>0</v>
      </c>
      <c r="Z530" s="126">
        <f t="shared" si="486"/>
        <v>0</v>
      </c>
      <c r="AA530" s="126">
        <f t="shared" si="486"/>
        <v>0</v>
      </c>
      <c r="AB530" s="126">
        <f t="shared" si="486"/>
        <v>0</v>
      </c>
      <c r="AC530" s="126">
        <f t="shared" si="486"/>
        <v>0</v>
      </c>
      <c r="AD530" s="126">
        <f t="shared" si="486"/>
        <v>0</v>
      </c>
      <c r="AE530" s="126">
        <f t="shared" si="486"/>
        <v>0</v>
      </c>
      <c r="AF530" s="126">
        <f t="shared" si="486"/>
        <v>0</v>
      </c>
      <c r="AG530" s="126">
        <f t="shared" si="486"/>
        <v>0</v>
      </c>
      <c r="AH530" s="126">
        <f t="shared" si="486"/>
        <v>0</v>
      </c>
      <c r="AI530" s="126">
        <f t="shared" si="483"/>
        <v>4716.88</v>
      </c>
      <c r="AJ530" s="126">
        <f>SUM(AJ531:AJ534)</f>
        <v>0</v>
      </c>
      <c r="AK530" s="126">
        <f>SUM(AK531:AK534)</f>
        <v>1000</v>
      </c>
      <c r="AL530" s="126">
        <f>SUM(AL531:AL534)</f>
        <v>0</v>
      </c>
      <c r="AM530" s="126">
        <f>SUM(AM531:AM534)</f>
        <v>3716.88</v>
      </c>
      <c r="AN530" s="126"/>
      <c r="AO530" s="130">
        <f t="shared" si="484"/>
        <v>0</v>
      </c>
      <c r="AP530" s="116"/>
    </row>
    <row r="531" spans="1:42" s="117" customFormat="1" ht="14" hidden="1" outlineLevel="1">
      <c r="A531" s="166"/>
      <c r="B531" s="137" t="s">
        <v>565</v>
      </c>
      <c r="C531" s="126">
        <f>SUM(D531:G531)</f>
        <v>4581</v>
      </c>
      <c r="D531" s="126">
        <v>0</v>
      </c>
      <c r="E531" s="126">
        <v>0</v>
      </c>
      <c r="F531" s="126">
        <v>0</v>
      </c>
      <c r="G531" s="126">
        <v>4581</v>
      </c>
      <c r="H531" s="126">
        <f>I531+L531</f>
        <v>0</v>
      </c>
      <c r="I531" s="126">
        <f>J531+K531</f>
        <v>0</v>
      </c>
      <c r="J531" s="126"/>
      <c r="K531" s="126"/>
      <c r="L531" s="126"/>
      <c r="M531" s="126"/>
      <c r="N531" s="126"/>
      <c r="O531" s="126">
        <f t="shared" si="470"/>
        <v>864.12</v>
      </c>
      <c r="P531" s="126">
        <f t="shared" si="471"/>
        <v>0</v>
      </c>
      <c r="Q531" s="126"/>
      <c r="R531" s="126"/>
      <c r="S531" s="126">
        <f t="shared" si="477"/>
        <v>864.12</v>
      </c>
      <c r="T531" s="126"/>
      <c r="U531" s="126">
        <f>864.12</f>
        <v>864.12</v>
      </c>
      <c r="V531" s="126"/>
      <c r="W531" s="126"/>
      <c r="X531" s="126"/>
      <c r="Y531" s="126"/>
      <c r="Z531" s="126"/>
      <c r="AA531" s="126"/>
      <c r="AB531" s="126"/>
      <c r="AC531" s="126"/>
      <c r="AD531" s="126"/>
      <c r="AE531" s="126"/>
      <c r="AF531" s="126"/>
      <c r="AG531" s="126"/>
      <c r="AH531" s="126"/>
      <c r="AI531" s="126">
        <f t="shared" si="483"/>
        <v>3716.88</v>
      </c>
      <c r="AJ531" s="126">
        <f>D531+J531-Q531-X531-AD531</f>
        <v>0</v>
      </c>
      <c r="AK531" s="126">
        <f>E531+K531-R531-Y531-AE531</f>
        <v>0</v>
      </c>
      <c r="AL531" s="126">
        <f t="shared" ref="AL531:AM534" si="487">F531+M531-T531-AA531-AG531</f>
        <v>0</v>
      </c>
      <c r="AM531" s="126">
        <f t="shared" si="487"/>
        <v>3716.88</v>
      </c>
      <c r="AN531" s="126"/>
      <c r="AO531" s="130">
        <f t="shared" si="484"/>
        <v>0</v>
      </c>
      <c r="AP531" s="116"/>
    </row>
    <row r="532" spans="1:42" s="117" customFormat="1" ht="14" hidden="1" outlineLevel="1">
      <c r="A532" s="166"/>
      <c r="B532" s="137" t="s">
        <v>680</v>
      </c>
      <c r="C532" s="126">
        <f>SUM(D532:G532)</f>
        <v>0</v>
      </c>
      <c r="D532" s="126"/>
      <c r="E532" s="126">
        <f>1000-1000</f>
        <v>0</v>
      </c>
      <c r="F532" s="126">
        <v>0</v>
      </c>
      <c r="G532" s="126">
        <v>0</v>
      </c>
      <c r="H532" s="126">
        <f>I532+L532</f>
        <v>1500</v>
      </c>
      <c r="I532" s="126">
        <f>J532+K532</f>
        <v>0</v>
      </c>
      <c r="J532" s="126"/>
      <c r="K532" s="126">
        <f>1500-1500</f>
        <v>0</v>
      </c>
      <c r="L532" s="126">
        <f>M532+N532</f>
        <v>1500</v>
      </c>
      <c r="M532" s="126"/>
      <c r="N532" s="126">
        <f>1500</f>
        <v>1500</v>
      </c>
      <c r="O532" s="126">
        <f t="shared" si="470"/>
        <v>1500</v>
      </c>
      <c r="P532" s="126">
        <f t="shared" si="471"/>
        <v>0</v>
      </c>
      <c r="Q532" s="126"/>
      <c r="R532" s="126"/>
      <c r="S532" s="126">
        <f t="shared" si="477"/>
        <v>1500</v>
      </c>
      <c r="T532" s="126"/>
      <c r="U532" s="126">
        <f>N532</f>
        <v>1500</v>
      </c>
      <c r="V532" s="126"/>
      <c r="W532" s="126"/>
      <c r="X532" s="126"/>
      <c r="Y532" s="126"/>
      <c r="Z532" s="126"/>
      <c r="AA532" s="126"/>
      <c r="AB532" s="126"/>
      <c r="AC532" s="126"/>
      <c r="AD532" s="126"/>
      <c r="AE532" s="126"/>
      <c r="AF532" s="126"/>
      <c r="AG532" s="126"/>
      <c r="AH532" s="126"/>
      <c r="AI532" s="126">
        <f t="shared" ref="AI532" si="488">SUM(AJ532:AM532)</f>
        <v>0</v>
      </c>
      <c r="AJ532" s="126"/>
      <c r="AK532" s="126">
        <f>E532+K532-R532-Y532-AE532</f>
        <v>0</v>
      </c>
      <c r="AL532" s="126">
        <f t="shared" si="487"/>
        <v>0</v>
      </c>
      <c r="AM532" s="126">
        <f t="shared" si="487"/>
        <v>0</v>
      </c>
      <c r="AN532" s="126"/>
      <c r="AO532" s="130">
        <f t="shared" si="484"/>
        <v>0</v>
      </c>
      <c r="AP532" s="116"/>
    </row>
    <row r="533" spans="1:42" s="117" customFormat="1" ht="14" hidden="1" outlineLevel="1">
      <c r="A533" s="166"/>
      <c r="B533" s="137" t="s">
        <v>570</v>
      </c>
      <c r="C533" s="126">
        <f>SUM(D533:G533)</f>
        <v>0</v>
      </c>
      <c r="D533" s="126"/>
      <c r="E533" s="126">
        <f>1000-1000</f>
        <v>0</v>
      </c>
      <c r="F533" s="126">
        <v>0</v>
      </c>
      <c r="G533" s="126">
        <v>0</v>
      </c>
      <c r="H533" s="126">
        <f>I533+L533</f>
        <v>0</v>
      </c>
      <c r="I533" s="126">
        <f>J533+K533</f>
        <v>0</v>
      </c>
      <c r="J533" s="126"/>
      <c r="K533" s="126">
        <f>1500-1500</f>
        <v>0</v>
      </c>
      <c r="L533" s="126">
        <f>M533+N533</f>
        <v>0</v>
      </c>
      <c r="M533" s="126"/>
      <c r="N533" s="126"/>
      <c r="O533" s="126">
        <f t="shared" si="470"/>
        <v>0</v>
      </c>
      <c r="P533" s="126">
        <f t="shared" si="471"/>
        <v>0</v>
      </c>
      <c r="Q533" s="126"/>
      <c r="R533" s="126"/>
      <c r="S533" s="126">
        <f t="shared" si="477"/>
        <v>0</v>
      </c>
      <c r="T533" s="126"/>
      <c r="U533" s="126"/>
      <c r="V533" s="126"/>
      <c r="W533" s="126"/>
      <c r="X533" s="126"/>
      <c r="Y533" s="126"/>
      <c r="Z533" s="126"/>
      <c r="AA533" s="126"/>
      <c r="AB533" s="126"/>
      <c r="AC533" s="126"/>
      <c r="AD533" s="126"/>
      <c r="AE533" s="126"/>
      <c r="AF533" s="126"/>
      <c r="AG533" s="126"/>
      <c r="AH533" s="126"/>
      <c r="AI533" s="126">
        <f t="shared" si="483"/>
        <v>0</v>
      </c>
      <c r="AJ533" s="126"/>
      <c r="AK533" s="126">
        <f>E533+K533-R533-Y533-AE533</f>
        <v>0</v>
      </c>
      <c r="AL533" s="126">
        <f t="shared" si="487"/>
        <v>0</v>
      </c>
      <c r="AM533" s="126">
        <f t="shared" si="487"/>
        <v>0</v>
      </c>
      <c r="AN533" s="126"/>
      <c r="AO533" s="130">
        <f t="shared" si="484"/>
        <v>0</v>
      </c>
      <c r="AP533" s="116"/>
    </row>
    <row r="534" spans="1:42" s="117" customFormat="1" ht="14" hidden="1" outlineLevel="1">
      <c r="A534" s="166"/>
      <c r="B534" s="137" t="s">
        <v>783</v>
      </c>
      <c r="C534" s="126">
        <f>SUM(D534:G534)</f>
        <v>1000</v>
      </c>
      <c r="D534" s="126">
        <v>0</v>
      </c>
      <c r="E534" s="126">
        <f>1000</f>
        <v>1000</v>
      </c>
      <c r="F534" s="126">
        <v>0</v>
      </c>
      <c r="G534" s="126">
        <v>0</v>
      </c>
      <c r="H534" s="126">
        <f>I534+L534</f>
        <v>0</v>
      </c>
      <c r="I534" s="126">
        <f>J534+K534</f>
        <v>0</v>
      </c>
      <c r="J534" s="126"/>
      <c r="K534" s="126"/>
      <c r="L534" s="126"/>
      <c r="M534" s="126"/>
      <c r="N534" s="126"/>
      <c r="O534" s="126">
        <f t="shared" si="470"/>
        <v>0</v>
      </c>
      <c r="P534" s="126">
        <f t="shared" si="471"/>
        <v>0</v>
      </c>
      <c r="Q534" s="126"/>
      <c r="R534" s="126"/>
      <c r="S534" s="126">
        <f t="shared" si="477"/>
        <v>0</v>
      </c>
      <c r="T534" s="126"/>
      <c r="U534" s="126"/>
      <c r="V534" s="126">
        <f>W534+Z534+AC534+AF534</f>
        <v>0</v>
      </c>
      <c r="W534" s="126">
        <f>X534+Y534</f>
        <v>0</v>
      </c>
      <c r="X534" s="126"/>
      <c r="Y534" s="126"/>
      <c r="Z534" s="126">
        <f>AA534+AB534</f>
        <v>0</v>
      </c>
      <c r="AA534" s="126"/>
      <c r="AB534" s="126"/>
      <c r="AC534" s="126">
        <f>AD534+AE534</f>
        <v>0</v>
      </c>
      <c r="AD534" s="126"/>
      <c r="AE534" s="126"/>
      <c r="AF534" s="126">
        <f>AG534+AH534</f>
        <v>0</v>
      </c>
      <c r="AG534" s="126"/>
      <c r="AH534" s="126"/>
      <c r="AI534" s="126">
        <f t="shared" si="483"/>
        <v>1000</v>
      </c>
      <c r="AJ534" s="126">
        <f>D534+J534-Q534-X534-AD534</f>
        <v>0</v>
      </c>
      <c r="AK534" s="126">
        <f>E534+K534-R534-Y534-AE534</f>
        <v>1000</v>
      </c>
      <c r="AL534" s="126">
        <f t="shared" si="487"/>
        <v>0</v>
      </c>
      <c r="AM534" s="126">
        <f t="shared" si="487"/>
        <v>0</v>
      </c>
      <c r="AN534" s="126"/>
      <c r="AO534" s="130">
        <f t="shared" si="484"/>
        <v>0</v>
      </c>
      <c r="AP534" s="116"/>
    </row>
    <row r="535" spans="1:42" s="117" customFormat="1" ht="14" collapsed="1">
      <c r="A535" s="136">
        <v>27</v>
      </c>
      <c r="B535" s="137" t="s">
        <v>784</v>
      </c>
      <c r="C535" s="126">
        <f t="shared" ref="C535:AM537" si="489">C536</f>
        <v>0</v>
      </c>
      <c r="D535" s="126">
        <f t="shared" si="489"/>
        <v>0</v>
      </c>
      <c r="E535" s="126">
        <f t="shared" si="489"/>
        <v>0</v>
      </c>
      <c r="F535" s="126">
        <f t="shared" si="489"/>
        <v>0</v>
      </c>
      <c r="G535" s="126">
        <f t="shared" si="489"/>
        <v>0</v>
      </c>
      <c r="H535" s="126">
        <f t="shared" si="489"/>
        <v>280</v>
      </c>
      <c r="I535" s="126">
        <f t="shared" si="489"/>
        <v>280</v>
      </c>
      <c r="J535" s="126">
        <f t="shared" si="489"/>
        <v>0</v>
      </c>
      <c r="K535" s="126">
        <f t="shared" si="489"/>
        <v>280</v>
      </c>
      <c r="L535" s="126">
        <f t="shared" si="489"/>
        <v>0</v>
      </c>
      <c r="M535" s="126">
        <f t="shared" si="489"/>
        <v>0</v>
      </c>
      <c r="N535" s="126">
        <f t="shared" si="489"/>
        <v>0</v>
      </c>
      <c r="O535" s="126">
        <f t="shared" si="489"/>
        <v>280</v>
      </c>
      <c r="P535" s="126">
        <f t="shared" si="489"/>
        <v>280</v>
      </c>
      <c r="Q535" s="126">
        <f t="shared" si="489"/>
        <v>0</v>
      </c>
      <c r="R535" s="126">
        <f t="shared" si="489"/>
        <v>280</v>
      </c>
      <c r="S535" s="126">
        <f t="shared" si="489"/>
        <v>0</v>
      </c>
      <c r="T535" s="126">
        <f t="shared" si="489"/>
        <v>0</v>
      </c>
      <c r="U535" s="126">
        <f t="shared" si="489"/>
        <v>0</v>
      </c>
      <c r="V535" s="126">
        <f t="shared" si="489"/>
        <v>0</v>
      </c>
      <c r="W535" s="126">
        <f t="shared" si="489"/>
        <v>0</v>
      </c>
      <c r="X535" s="126">
        <f t="shared" si="489"/>
        <v>0</v>
      </c>
      <c r="Y535" s="126">
        <f t="shared" si="489"/>
        <v>0</v>
      </c>
      <c r="Z535" s="126">
        <f t="shared" si="489"/>
        <v>0</v>
      </c>
      <c r="AA535" s="126">
        <f t="shared" si="489"/>
        <v>0</v>
      </c>
      <c r="AB535" s="126">
        <f t="shared" si="489"/>
        <v>0</v>
      </c>
      <c r="AC535" s="126">
        <f t="shared" si="489"/>
        <v>0</v>
      </c>
      <c r="AD535" s="126">
        <f t="shared" si="489"/>
        <v>0</v>
      </c>
      <c r="AE535" s="126">
        <f t="shared" si="489"/>
        <v>0</v>
      </c>
      <c r="AF535" s="126">
        <f t="shared" si="489"/>
        <v>0</v>
      </c>
      <c r="AG535" s="126">
        <f t="shared" si="489"/>
        <v>0</v>
      </c>
      <c r="AH535" s="126">
        <f t="shared" si="489"/>
        <v>0</v>
      </c>
      <c r="AI535" s="126">
        <f t="shared" si="483"/>
        <v>0</v>
      </c>
      <c r="AJ535" s="126">
        <f t="shared" si="489"/>
        <v>0</v>
      </c>
      <c r="AK535" s="126">
        <f t="shared" si="489"/>
        <v>0</v>
      </c>
      <c r="AL535" s="126">
        <f t="shared" si="489"/>
        <v>0</v>
      </c>
      <c r="AM535" s="126">
        <f t="shared" si="489"/>
        <v>0</v>
      </c>
      <c r="AN535" s="126"/>
      <c r="AO535" s="130">
        <f t="shared" si="484"/>
        <v>0</v>
      </c>
      <c r="AP535" s="116"/>
    </row>
    <row r="536" spans="1:42" s="117" customFormat="1" ht="14" hidden="1" outlineLevel="1">
      <c r="A536" s="136"/>
      <c r="B536" s="137" t="s">
        <v>498</v>
      </c>
      <c r="C536" s="126">
        <f>SUM(D536:G536)</f>
        <v>0</v>
      </c>
      <c r="D536" s="126">
        <v>0</v>
      </c>
      <c r="E536" s="126">
        <v>0</v>
      </c>
      <c r="F536" s="126">
        <v>0</v>
      </c>
      <c r="G536" s="126">
        <v>0</v>
      </c>
      <c r="H536" s="126">
        <f>I536+L536</f>
        <v>280</v>
      </c>
      <c r="I536" s="126">
        <f>J536+K536</f>
        <v>280</v>
      </c>
      <c r="J536" s="126"/>
      <c r="K536" s="126">
        <v>280</v>
      </c>
      <c r="L536" s="126"/>
      <c r="M536" s="126"/>
      <c r="N536" s="126"/>
      <c r="O536" s="126">
        <f>P536+S536</f>
        <v>280</v>
      </c>
      <c r="P536" s="126">
        <f>Q536+R536</f>
        <v>280</v>
      </c>
      <c r="Q536" s="126"/>
      <c r="R536" s="126">
        <v>280</v>
      </c>
      <c r="S536" s="126">
        <f>T536+U536</f>
        <v>0</v>
      </c>
      <c r="T536" s="126"/>
      <c r="U536" s="126"/>
      <c r="V536" s="126"/>
      <c r="W536" s="126"/>
      <c r="X536" s="126"/>
      <c r="Y536" s="126"/>
      <c r="Z536" s="126"/>
      <c r="AA536" s="126"/>
      <c r="AB536" s="126"/>
      <c r="AC536" s="126"/>
      <c r="AD536" s="126"/>
      <c r="AE536" s="126"/>
      <c r="AF536" s="126"/>
      <c r="AG536" s="126"/>
      <c r="AH536" s="126"/>
      <c r="AI536" s="126">
        <f t="shared" si="483"/>
        <v>0</v>
      </c>
      <c r="AJ536" s="126">
        <f>D536+J536-Q536-X536-AD536</f>
        <v>0</v>
      </c>
      <c r="AK536" s="126">
        <f>E536+K536-R536-Y536-AE536</f>
        <v>0</v>
      </c>
      <c r="AL536" s="126">
        <f>F536+M536-T536-AA536-AG536</f>
        <v>0</v>
      </c>
      <c r="AM536" s="126">
        <f>G536+N536-U536-AB536-AH536</f>
        <v>0</v>
      </c>
      <c r="AN536" s="126"/>
      <c r="AO536" s="130">
        <f t="shared" si="484"/>
        <v>0</v>
      </c>
      <c r="AP536" s="116"/>
    </row>
    <row r="537" spans="1:42" s="117" customFormat="1" ht="14" collapsed="1">
      <c r="A537" s="136">
        <v>28</v>
      </c>
      <c r="B537" s="137" t="s">
        <v>785</v>
      </c>
      <c r="C537" s="126">
        <f t="shared" ref="C537:H537" si="490">C538</f>
        <v>0</v>
      </c>
      <c r="D537" s="126">
        <f t="shared" si="490"/>
        <v>0</v>
      </c>
      <c r="E537" s="126">
        <f t="shared" si="490"/>
        <v>0</v>
      </c>
      <c r="F537" s="126">
        <f t="shared" si="490"/>
        <v>0</v>
      </c>
      <c r="G537" s="126">
        <f t="shared" si="490"/>
        <v>0</v>
      </c>
      <c r="H537" s="126">
        <f t="shared" si="490"/>
        <v>20000</v>
      </c>
      <c r="I537" s="126">
        <f t="shared" si="489"/>
        <v>20000</v>
      </c>
      <c r="J537" s="126">
        <f t="shared" si="489"/>
        <v>0</v>
      </c>
      <c r="K537" s="126">
        <f t="shared" si="489"/>
        <v>20000</v>
      </c>
      <c r="L537" s="126">
        <f t="shared" si="489"/>
        <v>0</v>
      </c>
      <c r="M537" s="126">
        <f t="shared" si="489"/>
        <v>0</v>
      </c>
      <c r="N537" s="126">
        <f t="shared" si="489"/>
        <v>0</v>
      </c>
      <c r="O537" s="126">
        <f t="shared" si="489"/>
        <v>20000</v>
      </c>
      <c r="P537" s="126">
        <f t="shared" si="489"/>
        <v>20000</v>
      </c>
      <c r="Q537" s="126">
        <f t="shared" si="489"/>
        <v>0</v>
      </c>
      <c r="R537" s="126">
        <f t="shared" si="489"/>
        <v>20000</v>
      </c>
      <c r="S537" s="126">
        <f t="shared" si="489"/>
        <v>0</v>
      </c>
      <c r="T537" s="126">
        <f t="shared" si="489"/>
        <v>0</v>
      </c>
      <c r="U537" s="126">
        <f t="shared" si="489"/>
        <v>0</v>
      </c>
      <c r="V537" s="126">
        <f t="shared" si="489"/>
        <v>0</v>
      </c>
      <c r="W537" s="126">
        <f t="shared" si="489"/>
        <v>0</v>
      </c>
      <c r="X537" s="126">
        <f t="shared" si="489"/>
        <v>0</v>
      </c>
      <c r="Y537" s="126">
        <f t="shared" si="489"/>
        <v>0</v>
      </c>
      <c r="Z537" s="126">
        <f t="shared" si="489"/>
        <v>0</v>
      </c>
      <c r="AA537" s="126">
        <f t="shared" si="489"/>
        <v>0</v>
      </c>
      <c r="AB537" s="126">
        <f t="shared" si="489"/>
        <v>0</v>
      </c>
      <c r="AC537" s="126">
        <f t="shared" si="489"/>
        <v>0</v>
      </c>
      <c r="AD537" s="126">
        <f t="shared" si="489"/>
        <v>0</v>
      </c>
      <c r="AE537" s="126">
        <f t="shared" si="489"/>
        <v>0</v>
      </c>
      <c r="AF537" s="126">
        <f t="shared" si="489"/>
        <v>0</v>
      </c>
      <c r="AG537" s="126">
        <f t="shared" si="489"/>
        <v>0</v>
      </c>
      <c r="AH537" s="126">
        <f t="shared" si="489"/>
        <v>0</v>
      </c>
      <c r="AI537" s="126">
        <f t="shared" ref="AI537:AI538" si="491">SUM(AJ537:AM537)</f>
        <v>0</v>
      </c>
      <c r="AJ537" s="126">
        <f t="shared" si="489"/>
        <v>0</v>
      </c>
      <c r="AK537" s="126">
        <f t="shared" si="489"/>
        <v>0</v>
      </c>
      <c r="AL537" s="126">
        <f t="shared" si="489"/>
        <v>0</v>
      </c>
      <c r="AM537" s="126">
        <f t="shared" si="489"/>
        <v>0</v>
      </c>
      <c r="AN537" s="126"/>
      <c r="AO537" s="130">
        <f t="shared" si="484"/>
        <v>0</v>
      </c>
      <c r="AP537" s="116"/>
    </row>
    <row r="538" spans="1:42" s="117" customFormat="1" ht="14" hidden="1" outlineLevel="1">
      <c r="A538" s="136"/>
      <c r="B538" s="178" t="s">
        <v>715</v>
      </c>
      <c r="C538" s="126">
        <f>SUM(D538:G538)</f>
        <v>0</v>
      </c>
      <c r="D538" s="126">
        <v>0</v>
      </c>
      <c r="E538" s="126">
        <v>0</v>
      </c>
      <c r="F538" s="126">
        <v>0</v>
      </c>
      <c r="G538" s="126">
        <v>0</v>
      </c>
      <c r="H538" s="126">
        <f>I538+L538</f>
        <v>20000</v>
      </c>
      <c r="I538" s="126">
        <f>J538+K538</f>
        <v>20000</v>
      </c>
      <c r="J538" s="126"/>
      <c r="K538" s="126">
        <v>20000</v>
      </c>
      <c r="L538" s="126"/>
      <c r="M538" s="126"/>
      <c r="N538" s="126"/>
      <c r="O538" s="126">
        <f>P538+S538</f>
        <v>20000</v>
      </c>
      <c r="P538" s="126">
        <f>Q538+R538</f>
        <v>20000</v>
      </c>
      <c r="Q538" s="126"/>
      <c r="R538" s="126">
        <f>K538</f>
        <v>20000</v>
      </c>
      <c r="S538" s="126">
        <f>T538+U538</f>
        <v>0</v>
      </c>
      <c r="T538" s="126"/>
      <c r="U538" s="126"/>
      <c r="V538" s="126"/>
      <c r="W538" s="126"/>
      <c r="X538" s="126"/>
      <c r="Y538" s="126"/>
      <c r="Z538" s="126"/>
      <c r="AA538" s="126"/>
      <c r="AB538" s="126"/>
      <c r="AC538" s="126"/>
      <c r="AD538" s="126"/>
      <c r="AE538" s="126"/>
      <c r="AF538" s="126"/>
      <c r="AG538" s="126"/>
      <c r="AH538" s="126"/>
      <c r="AI538" s="126">
        <f t="shared" si="491"/>
        <v>0</v>
      </c>
      <c r="AJ538" s="126">
        <f>D538+J538-Q538-X538-AD538</f>
        <v>0</v>
      </c>
      <c r="AK538" s="126">
        <f>E538+K538-R538-Y538-AE538</f>
        <v>0</v>
      </c>
      <c r="AL538" s="126">
        <f>F538+M538-T538-AA538-AG538</f>
        <v>0</v>
      </c>
      <c r="AM538" s="126">
        <f>G538+N538-U538-AB538-AH538</f>
        <v>0</v>
      </c>
      <c r="AN538" s="126"/>
      <c r="AO538" s="130">
        <f t="shared" si="484"/>
        <v>0</v>
      </c>
      <c r="AP538" s="116"/>
    </row>
    <row r="539" spans="1:42" s="116" customFormat="1" ht="14" collapsed="1">
      <c r="A539" s="136">
        <v>29</v>
      </c>
      <c r="B539" s="137" t="s">
        <v>786</v>
      </c>
      <c r="C539" s="126">
        <f t="shared" ref="C539:AH539" si="492">SUM(C540:C551)</f>
        <v>707.38680500000009</v>
      </c>
      <c r="D539" s="126">
        <f t="shared" si="492"/>
        <v>0</v>
      </c>
      <c r="E539" s="126">
        <f t="shared" si="492"/>
        <v>707.38680500000009</v>
      </c>
      <c r="F539" s="126">
        <f t="shared" si="492"/>
        <v>0</v>
      </c>
      <c r="G539" s="126">
        <f t="shared" si="492"/>
        <v>0</v>
      </c>
      <c r="H539" s="126">
        <f>SUM(H540:H551)</f>
        <v>10742</v>
      </c>
      <c r="I539" s="126">
        <f t="shared" si="492"/>
        <v>8554</v>
      </c>
      <c r="J539" s="126">
        <f t="shared" si="492"/>
        <v>0</v>
      </c>
      <c r="K539" s="126">
        <f t="shared" si="492"/>
        <v>8554</v>
      </c>
      <c r="L539" s="126">
        <f t="shared" si="492"/>
        <v>2188</v>
      </c>
      <c r="M539" s="126">
        <f t="shared" si="492"/>
        <v>0</v>
      </c>
      <c r="N539" s="126">
        <f>SUM(N540:N551)</f>
        <v>2188</v>
      </c>
      <c r="O539" s="126">
        <f t="shared" si="492"/>
        <v>10389.541999999999</v>
      </c>
      <c r="P539" s="126">
        <f t="shared" si="492"/>
        <v>8582</v>
      </c>
      <c r="Q539" s="126">
        <f t="shared" si="492"/>
        <v>0</v>
      </c>
      <c r="R539" s="126">
        <f t="shared" si="492"/>
        <v>8582</v>
      </c>
      <c r="S539" s="126">
        <f t="shared" si="492"/>
        <v>1807.5419999999999</v>
      </c>
      <c r="T539" s="126">
        <f t="shared" si="492"/>
        <v>0</v>
      </c>
      <c r="U539" s="126">
        <f t="shared" si="492"/>
        <v>1807.5419999999999</v>
      </c>
      <c r="V539" s="126">
        <f t="shared" si="492"/>
        <v>0</v>
      </c>
      <c r="W539" s="126">
        <f t="shared" si="492"/>
        <v>0</v>
      </c>
      <c r="X539" s="126">
        <f t="shared" si="492"/>
        <v>0</v>
      </c>
      <c r="Y539" s="126">
        <f t="shared" si="492"/>
        <v>0</v>
      </c>
      <c r="Z539" s="126">
        <f t="shared" si="492"/>
        <v>0</v>
      </c>
      <c r="AA539" s="126">
        <f t="shared" si="492"/>
        <v>0</v>
      </c>
      <c r="AB539" s="126">
        <f t="shared" si="492"/>
        <v>0</v>
      </c>
      <c r="AC539" s="126">
        <f t="shared" si="492"/>
        <v>0</v>
      </c>
      <c r="AD539" s="126">
        <f t="shared" si="492"/>
        <v>0</v>
      </c>
      <c r="AE539" s="126">
        <f t="shared" si="492"/>
        <v>0</v>
      </c>
      <c r="AF539" s="126">
        <f t="shared" si="492"/>
        <v>0</v>
      </c>
      <c r="AG539" s="126">
        <f t="shared" si="492"/>
        <v>0</v>
      </c>
      <c r="AH539" s="126">
        <f t="shared" si="492"/>
        <v>0</v>
      </c>
      <c r="AI539" s="126">
        <f t="shared" ref="AI539:AI551" si="493">SUM(AJ539:AM539)</f>
        <v>1059.8448050000002</v>
      </c>
      <c r="AJ539" s="126">
        <f>SUM(AJ540:AJ551)</f>
        <v>0</v>
      </c>
      <c r="AK539" s="126">
        <f>SUM(AK540:AK551)</f>
        <v>679.38680500000009</v>
      </c>
      <c r="AL539" s="126">
        <f>SUM(AL540:AL551)</f>
        <v>0</v>
      </c>
      <c r="AM539" s="126">
        <f>SUM(AM540:AM551)</f>
        <v>380.45799999999997</v>
      </c>
      <c r="AN539" s="126">
        <f t="shared" ref="AN539:AN551" si="494">C539+H539-O539-W539-Z539</f>
        <v>1059.8448050000006</v>
      </c>
      <c r="AO539" s="130">
        <f t="shared" ref="AO539:AO551" si="495">AI539-AN539</f>
        <v>0</v>
      </c>
      <c r="AP539" s="115"/>
    </row>
    <row r="540" spans="1:42" s="116" customFormat="1" ht="14" hidden="1" outlineLevel="1">
      <c r="A540" s="188"/>
      <c r="B540" s="189" t="s">
        <v>787</v>
      </c>
      <c r="C540" s="190">
        <f t="shared" ref="C540:C551" si="496">SUM(D540:G540)</f>
        <v>0</v>
      </c>
      <c r="D540" s="190">
        <v>0</v>
      </c>
      <c r="E540" s="190">
        <v>0</v>
      </c>
      <c r="F540" s="190">
        <v>0</v>
      </c>
      <c r="G540" s="190">
        <v>0</v>
      </c>
      <c r="H540" s="190">
        <f t="shared" ref="H540:H551" si="497">I540+L540</f>
        <v>8411</v>
      </c>
      <c r="I540" s="190">
        <f t="shared" ref="I540:I551" si="498">J540+K540</f>
        <v>8411</v>
      </c>
      <c r="J540" s="190"/>
      <c r="K540" s="190">
        <f>8411</f>
        <v>8411</v>
      </c>
      <c r="L540" s="190">
        <f>M540+N540</f>
        <v>0</v>
      </c>
      <c r="M540" s="190"/>
      <c r="N540" s="190"/>
      <c r="O540" s="190">
        <f t="shared" ref="O540:O551" si="499">P540+S540</f>
        <v>8411</v>
      </c>
      <c r="P540" s="190">
        <f t="shared" ref="P540:P551" si="500">Q540+R540</f>
        <v>8411</v>
      </c>
      <c r="Q540" s="190"/>
      <c r="R540" s="190">
        <v>8411</v>
      </c>
      <c r="S540" s="190">
        <f t="shared" ref="S540:S551" si="501">T540+U540</f>
        <v>0</v>
      </c>
      <c r="T540" s="190"/>
      <c r="U540" s="190"/>
      <c r="V540" s="190">
        <f t="shared" ref="V540:V551" si="502">W540+Z540+AC540+AF540</f>
        <v>0</v>
      </c>
      <c r="W540" s="190">
        <f t="shared" ref="W540:W551" si="503">X540+Y540</f>
        <v>0</v>
      </c>
      <c r="X540" s="190"/>
      <c r="Y540" s="190"/>
      <c r="Z540" s="190">
        <f t="shared" ref="Z540:Z551" si="504">AA540+AB540</f>
        <v>0</v>
      </c>
      <c r="AA540" s="190"/>
      <c r="AB540" s="190"/>
      <c r="AC540" s="190">
        <f>AD540+AE540</f>
        <v>0</v>
      </c>
      <c r="AD540" s="190"/>
      <c r="AE540" s="190"/>
      <c r="AF540" s="190">
        <f>AG540+AH540</f>
        <v>0</v>
      </c>
      <c r="AG540" s="190"/>
      <c r="AH540" s="190"/>
      <c r="AI540" s="190">
        <f t="shared" si="493"/>
        <v>0</v>
      </c>
      <c r="AJ540" s="190">
        <f t="shared" ref="AJ540:AK551" si="505">D540+J540-Q540-X540-AD540</f>
        <v>0</v>
      </c>
      <c r="AK540" s="190">
        <f t="shared" si="505"/>
        <v>0</v>
      </c>
      <c r="AL540" s="190">
        <f t="shared" ref="AL540:AM551" si="506">F540+M540-T540-AA540-AG540</f>
        <v>0</v>
      </c>
      <c r="AM540" s="190">
        <f t="shared" si="506"/>
        <v>0</v>
      </c>
      <c r="AN540" s="190">
        <f t="shared" si="494"/>
        <v>0</v>
      </c>
      <c r="AO540" s="130">
        <f t="shared" si="495"/>
        <v>0</v>
      </c>
      <c r="AP540" s="115" t="s">
        <v>788</v>
      </c>
    </row>
    <row r="541" spans="1:42" s="116" customFormat="1" ht="14" hidden="1" outlineLevel="1">
      <c r="A541" s="188"/>
      <c r="B541" s="189" t="s">
        <v>337</v>
      </c>
      <c r="C541" s="190">
        <f t="shared" si="496"/>
        <v>0</v>
      </c>
      <c r="D541" s="190">
        <v>0</v>
      </c>
      <c r="E541" s="190">
        <v>0</v>
      </c>
      <c r="F541" s="190">
        <v>0</v>
      </c>
      <c r="G541" s="190"/>
      <c r="H541" s="190">
        <f t="shared" si="497"/>
        <v>96</v>
      </c>
      <c r="I541" s="190">
        <f t="shared" si="498"/>
        <v>0</v>
      </c>
      <c r="J541" s="190"/>
      <c r="K541" s="190"/>
      <c r="L541" s="190">
        <f>M541+N541</f>
        <v>96</v>
      </c>
      <c r="M541" s="190"/>
      <c r="N541" s="190">
        <v>96</v>
      </c>
      <c r="O541" s="190">
        <f t="shared" si="499"/>
        <v>0</v>
      </c>
      <c r="P541" s="190">
        <f t="shared" si="500"/>
        <v>0</v>
      </c>
      <c r="Q541" s="190"/>
      <c r="R541" s="190"/>
      <c r="S541" s="190">
        <f t="shared" si="501"/>
        <v>0</v>
      </c>
      <c r="T541" s="190"/>
      <c r="U541" s="190">
        <f>0</f>
        <v>0</v>
      </c>
      <c r="V541" s="190">
        <f t="shared" si="502"/>
        <v>0</v>
      </c>
      <c r="W541" s="190">
        <f t="shared" si="503"/>
        <v>0</v>
      </c>
      <c r="X541" s="190"/>
      <c r="Y541" s="190"/>
      <c r="Z541" s="190">
        <f t="shared" si="504"/>
        <v>0</v>
      </c>
      <c r="AA541" s="190"/>
      <c r="AB541" s="190"/>
      <c r="AC541" s="190"/>
      <c r="AD541" s="190"/>
      <c r="AE541" s="190"/>
      <c r="AF541" s="190"/>
      <c r="AG541" s="190"/>
      <c r="AH541" s="190"/>
      <c r="AI541" s="190">
        <f t="shared" si="493"/>
        <v>96</v>
      </c>
      <c r="AJ541" s="190">
        <f t="shared" si="505"/>
        <v>0</v>
      </c>
      <c r="AK541" s="190">
        <f t="shared" si="505"/>
        <v>0</v>
      </c>
      <c r="AL541" s="190">
        <f t="shared" si="506"/>
        <v>0</v>
      </c>
      <c r="AM541" s="190">
        <f t="shared" si="506"/>
        <v>96</v>
      </c>
      <c r="AN541" s="190">
        <f t="shared" si="494"/>
        <v>96</v>
      </c>
      <c r="AO541" s="130">
        <f t="shared" si="495"/>
        <v>0</v>
      </c>
      <c r="AP541" s="115"/>
    </row>
    <row r="542" spans="1:42" s="116" customFormat="1" ht="14" hidden="1" outlineLevel="1">
      <c r="A542" s="188"/>
      <c r="B542" s="189" t="s">
        <v>560</v>
      </c>
      <c r="C542" s="190">
        <f t="shared" si="496"/>
        <v>0</v>
      </c>
      <c r="D542" s="190">
        <v>0</v>
      </c>
      <c r="E542" s="190">
        <v>0</v>
      </c>
      <c r="F542" s="190">
        <v>0</v>
      </c>
      <c r="G542" s="190"/>
      <c r="H542" s="190">
        <f t="shared" si="497"/>
        <v>483</v>
      </c>
      <c r="I542" s="190">
        <f t="shared" si="498"/>
        <v>0</v>
      </c>
      <c r="J542" s="190"/>
      <c r="K542" s="190"/>
      <c r="L542" s="190">
        <f t="shared" ref="L542:L551" si="507">M542+N542</f>
        <v>483</v>
      </c>
      <c r="M542" s="190"/>
      <c r="N542" s="190">
        <f>483</f>
        <v>483</v>
      </c>
      <c r="O542" s="190">
        <f t="shared" si="499"/>
        <v>483</v>
      </c>
      <c r="P542" s="190">
        <f t="shared" si="500"/>
        <v>0</v>
      </c>
      <c r="Q542" s="190"/>
      <c r="R542" s="190"/>
      <c r="S542" s="190">
        <f t="shared" si="501"/>
        <v>483</v>
      </c>
      <c r="T542" s="190"/>
      <c r="U542" s="190">
        <f>N542</f>
        <v>483</v>
      </c>
      <c r="V542" s="190">
        <f t="shared" si="502"/>
        <v>0</v>
      </c>
      <c r="W542" s="190">
        <f t="shared" si="503"/>
        <v>0</v>
      </c>
      <c r="X542" s="190"/>
      <c r="Y542" s="190"/>
      <c r="Z542" s="190">
        <f t="shared" si="504"/>
        <v>0</v>
      </c>
      <c r="AA542" s="190"/>
      <c r="AB542" s="190"/>
      <c r="AC542" s="190">
        <f t="shared" ref="AC542:AC551" si="508">AD542+AE542</f>
        <v>0</v>
      </c>
      <c r="AD542" s="190"/>
      <c r="AE542" s="190"/>
      <c r="AF542" s="190">
        <f t="shared" ref="AF542:AF551" si="509">AG542+AH542</f>
        <v>0</v>
      </c>
      <c r="AG542" s="190"/>
      <c r="AH542" s="190"/>
      <c r="AI542" s="190">
        <f t="shared" si="493"/>
        <v>0</v>
      </c>
      <c r="AJ542" s="190">
        <f t="shared" si="505"/>
        <v>0</v>
      </c>
      <c r="AK542" s="190">
        <f t="shared" si="505"/>
        <v>0</v>
      </c>
      <c r="AL542" s="190">
        <f t="shared" si="506"/>
        <v>0</v>
      </c>
      <c r="AM542" s="190">
        <f t="shared" si="506"/>
        <v>0</v>
      </c>
      <c r="AN542" s="190">
        <f t="shared" si="494"/>
        <v>0</v>
      </c>
      <c r="AO542" s="130">
        <f t="shared" si="495"/>
        <v>0</v>
      </c>
      <c r="AP542" s="115"/>
    </row>
    <row r="543" spans="1:42" s="116" customFormat="1" ht="14" hidden="1" outlineLevel="1">
      <c r="A543" s="188"/>
      <c r="B543" s="189" t="s">
        <v>561</v>
      </c>
      <c r="C543" s="190">
        <f t="shared" si="496"/>
        <v>0</v>
      </c>
      <c r="D543" s="190">
        <v>0</v>
      </c>
      <c r="E543" s="190">
        <v>0</v>
      </c>
      <c r="F543" s="190">
        <v>0</v>
      </c>
      <c r="G543" s="190">
        <f>12.74-12.74</f>
        <v>0</v>
      </c>
      <c r="H543" s="190">
        <f t="shared" si="497"/>
        <v>223</v>
      </c>
      <c r="I543" s="190">
        <f t="shared" si="498"/>
        <v>0</v>
      </c>
      <c r="J543" s="190"/>
      <c r="K543" s="190"/>
      <c r="L543" s="190">
        <f t="shared" si="507"/>
        <v>223</v>
      </c>
      <c r="M543" s="190"/>
      <c r="N543" s="190">
        <v>223</v>
      </c>
      <c r="O543" s="190">
        <f t="shared" si="499"/>
        <v>223</v>
      </c>
      <c r="P543" s="190">
        <f t="shared" si="500"/>
        <v>0</v>
      </c>
      <c r="Q543" s="190"/>
      <c r="R543" s="190"/>
      <c r="S543" s="190">
        <f t="shared" si="501"/>
        <v>223</v>
      </c>
      <c r="T543" s="190"/>
      <c r="U543" s="190">
        <f>N543</f>
        <v>223</v>
      </c>
      <c r="V543" s="190">
        <f t="shared" si="502"/>
        <v>0</v>
      </c>
      <c r="W543" s="190">
        <f t="shared" si="503"/>
        <v>0</v>
      </c>
      <c r="X543" s="190"/>
      <c r="Y543" s="190"/>
      <c r="Z543" s="190">
        <f t="shared" si="504"/>
        <v>0</v>
      </c>
      <c r="AA543" s="190"/>
      <c r="AB543" s="190"/>
      <c r="AC543" s="190">
        <f t="shared" si="508"/>
        <v>0</v>
      </c>
      <c r="AD543" s="190"/>
      <c r="AE543" s="190"/>
      <c r="AF543" s="190">
        <f t="shared" si="509"/>
        <v>0</v>
      </c>
      <c r="AG543" s="190"/>
      <c r="AH543" s="190"/>
      <c r="AI543" s="190">
        <f t="shared" si="493"/>
        <v>0</v>
      </c>
      <c r="AJ543" s="190">
        <f t="shared" si="505"/>
        <v>0</v>
      </c>
      <c r="AK543" s="190">
        <f t="shared" si="505"/>
        <v>0</v>
      </c>
      <c r="AL543" s="190">
        <f t="shared" si="506"/>
        <v>0</v>
      </c>
      <c r="AM543" s="190">
        <f t="shared" si="506"/>
        <v>0</v>
      </c>
      <c r="AN543" s="190">
        <f t="shared" si="494"/>
        <v>0</v>
      </c>
      <c r="AO543" s="130">
        <f t="shared" si="495"/>
        <v>0</v>
      </c>
      <c r="AP543" s="115"/>
    </row>
    <row r="544" spans="1:42" s="116" customFormat="1" ht="14" hidden="1" outlineLevel="1">
      <c r="A544" s="188"/>
      <c r="B544" s="189" t="s">
        <v>562</v>
      </c>
      <c r="C544" s="190">
        <f t="shared" si="496"/>
        <v>0</v>
      </c>
      <c r="D544" s="190">
        <v>0</v>
      </c>
      <c r="E544" s="190">
        <v>0</v>
      </c>
      <c r="F544" s="190">
        <v>0</v>
      </c>
      <c r="G544" s="190">
        <f>40.56-40.56</f>
        <v>0</v>
      </c>
      <c r="H544" s="190">
        <f t="shared" si="497"/>
        <v>105</v>
      </c>
      <c r="I544" s="190">
        <f t="shared" si="498"/>
        <v>0</v>
      </c>
      <c r="J544" s="190"/>
      <c r="K544" s="190"/>
      <c r="L544" s="190">
        <f t="shared" si="507"/>
        <v>105</v>
      </c>
      <c r="M544" s="190"/>
      <c r="N544" s="190">
        <f>105</f>
        <v>105</v>
      </c>
      <c r="O544" s="190">
        <f t="shared" si="499"/>
        <v>0</v>
      </c>
      <c r="P544" s="190">
        <f t="shared" si="500"/>
        <v>0</v>
      </c>
      <c r="Q544" s="190"/>
      <c r="R544" s="190"/>
      <c r="S544" s="190">
        <f t="shared" si="501"/>
        <v>0</v>
      </c>
      <c r="T544" s="190"/>
      <c r="U544" s="190">
        <f>0</f>
        <v>0</v>
      </c>
      <c r="V544" s="190">
        <f t="shared" si="502"/>
        <v>0</v>
      </c>
      <c r="W544" s="190">
        <f t="shared" si="503"/>
        <v>0</v>
      </c>
      <c r="X544" s="190"/>
      <c r="Y544" s="190"/>
      <c r="Z544" s="190">
        <f t="shared" si="504"/>
        <v>0</v>
      </c>
      <c r="AA544" s="190"/>
      <c r="AB544" s="190"/>
      <c r="AC544" s="190">
        <f t="shared" si="508"/>
        <v>0</v>
      </c>
      <c r="AD544" s="190"/>
      <c r="AE544" s="190"/>
      <c r="AF544" s="190">
        <f t="shared" si="509"/>
        <v>0</v>
      </c>
      <c r="AG544" s="190"/>
      <c r="AH544" s="190"/>
      <c r="AI544" s="190">
        <f t="shared" si="493"/>
        <v>105</v>
      </c>
      <c r="AJ544" s="190">
        <f t="shared" si="505"/>
        <v>0</v>
      </c>
      <c r="AK544" s="190">
        <f t="shared" si="505"/>
        <v>0</v>
      </c>
      <c r="AL544" s="190">
        <f t="shared" si="506"/>
        <v>0</v>
      </c>
      <c r="AM544" s="190">
        <f t="shared" si="506"/>
        <v>105</v>
      </c>
      <c r="AN544" s="190">
        <f t="shared" si="494"/>
        <v>105</v>
      </c>
      <c r="AO544" s="130">
        <f t="shared" si="495"/>
        <v>0</v>
      </c>
      <c r="AP544" s="115"/>
    </row>
    <row r="545" spans="1:42" s="116" customFormat="1" ht="14" hidden="1" outlineLevel="1">
      <c r="A545" s="188"/>
      <c r="B545" s="189" t="s">
        <v>563</v>
      </c>
      <c r="C545" s="190">
        <f t="shared" si="496"/>
        <v>0</v>
      </c>
      <c r="D545" s="190">
        <v>0</v>
      </c>
      <c r="E545" s="190">
        <v>0</v>
      </c>
      <c r="F545" s="190">
        <v>0</v>
      </c>
      <c r="G545" s="191">
        <f>(516.386805-516.386805)+(3.7-3.7)</f>
        <v>0</v>
      </c>
      <c r="H545" s="190">
        <f t="shared" si="497"/>
        <v>492</v>
      </c>
      <c r="I545" s="190">
        <f t="shared" si="498"/>
        <v>0</v>
      </c>
      <c r="J545" s="190"/>
      <c r="K545" s="190"/>
      <c r="L545" s="190">
        <f t="shared" si="507"/>
        <v>492</v>
      </c>
      <c r="M545" s="190"/>
      <c r="N545" s="190">
        <f>492</f>
        <v>492</v>
      </c>
      <c r="O545" s="190">
        <f t="shared" si="499"/>
        <v>492</v>
      </c>
      <c r="P545" s="190">
        <f t="shared" si="500"/>
        <v>0</v>
      </c>
      <c r="Q545" s="190"/>
      <c r="R545" s="190"/>
      <c r="S545" s="190">
        <f t="shared" si="501"/>
        <v>492</v>
      </c>
      <c r="T545" s="190"/>
      <c r="U545" s="190">
        <f>N545</f>
        <v>492</v>
      </c>
      <c r="V545" s="190">
        <f t="shared" si="502"/>
        <v>0</v>
      </c>
      <c r="W545" s="190">
        <f t="shared" si="503"/>
        <v>0</v>
      </c>
      <c r="X545" s="190"/>
      <c r="Y545" s="190"/>
      <c r="Z545" s="190">
        <f t="shared" si="504"/>
        <v>0</v>
      </c>
      <c r="AA545" s="190"/>
      <c r="AB545" s="190"/>
      <c r="AC545" s="190">
        <f t="shared" si="508"/>
        <v>0</v>
      </c>
      <c r="AD545" s="190"/>
      <c r="AE545" s="190"/>
      <c r="AF545" s="190">
        <f t="shared" si="509"/>
        <v>0</v>
      </c>
      <c r="AG545" s="190"/>
      <c r="AH545" s="190"/>
      <c r="AI545" s="190">
        <f t="shared" si="493"/>
        <v>0</v>
      </c>
      <c r="AJ545" s="190">
        <f t="shared" si="505"/>
        <v>0</v>
      </c>
      <c r="AK545" s="190">
        <f t="shared" si="505"/>
        <v>0</v>
      </c>
      <c r="AL545" s="190">
        <f t="shared" si="506"/>
        <v>0</v>
      </c>
      <c r="AM545" s="190">
        <f t="shared" si="506"/>
        <v>0</v>
      </c>
      <c r="AN545" s="190">
        <f t="shared" si="494"/>
        <v>0</v>
      </c>
      <c r="AO545" s="130">
        <f t="shared" si="495"/>
        <v>0</v>
      </c>
      <c r="AP545" s="115"/>
    </row>
    <row r="546" spans="1:42" s="116" customFormat="1" ht="14" hidden="1" outlineLevel="1">
      <c r="A546" s="188"/>
      <c r="B546" s="189" t="s">
        <v>680</v>
      </c>
      <c r="C546" s="190">
        <f t="shared" si="496"/>
        <v>0</v>
      </c>
      <c r="D546" s="190">
        <v>0</v>
      </c>
      <c r="E546" s="190">
        <v>0</v>
      </c>
      <c r="F546" s="190">
        <v>0</v>
      </c>
      <c r="G546" s="190"/>
      <c r="H546" s="190">
        <f t="shared" si="497"/>
        <v>14</v>
      </c>
      <c r="I546" s="190">
        <f t="shared" si="498"/>
        <v>0</v>
      </c>
      <c r="J546" s="190"/>
      <c r="K546" s="190"/>
      <c r="L546" s="190">
        <f t="shared" si="507"/>
        <v>14</v>
      </c>
      <c r="M546" s="190"/>
      <c r="N546" s="190">
        <v>14</v>
      </c>
      <c r="O546" s="190">
        <f t="shared" si="499"/>
        <v>14</v>
      </c>
      <c r="P546" s="190">
        <f t="shared" si="500"/>
        <v>0</v>
      </c>
      <c r="Q546" s="190"/>
      <c r="R546" s="190"/>
      <c r="S546" s="190">
        <f t="shared" si="501"/>
        <v>14</v>
      </c>
      <c r="T546" s="190"/>
      <c r="U546" s="190">
        <f>N546</f>
        <v>14</v>
      </c>
      <c r="V546" s="190">
        <f t="shared" si="502"/>
        <v>0</v>
      </c>
      <c r="W546" s="190">
        <f t="shared" si="503"/>
        <v>0</v>
      </c>
      <c r="X546" s="190"/>
      <c r="Y546" s="190"/>
      <c r="Z546" s="190">
        <f t="shared" si="504"/>
        <v>0</v>
      </c>
      <c r="AA546" s="190"/>
      <c r="AB546" s="190"/>
      <c r="AC546" s="190">
        <f t="shared" si="508"/>
        <v>0</v>
      </c>
      <c r="AD546" s="190"/>
      <c r="AE546" s="190"/>
      <c r="AF546" s="190">
        <f t="shared" si="509"/>
        <v>0</v>
      </c>
      <c r="AG546" s="190"/>
      <c r="AH546" s="190"/>
      <c r="AI546" s="190">
        <f t="shared" si="493"/>
        <v>0</v>
      </c>
      <c r="AJ546" s="190">
        <f t="shared" si="505"/>
        <v>0</v>
      </c>
      <c r="AK546" s="190">
        <f t="shared" si="505"/>
        <v>0</v>
      </c>
      <c r="AL546" s="190">
        <f t="shared" si="506"/>
        <v>0</v>
      </c>
      <c r="AM546" s="190">
        <f t="shared" si="506"/>
        <v>0</v>
      </c>
      <c r="AN546" s="190">
        <f t="shared" si="494"/>
        <v>0</v>
      </c>
      <c r="AO546" s="130">
        <f t="shared" si="495"/>
        <v>0</v>
      </c>
      <c r="AP546" s="115"/>
    </row>
    <row r="547" spans="1:42" s="116" customFormat="1" ht="14" hidden="1" outlineLevel="1">
      <c r="A547" s="188"/>
      <c r="B547" s="189" t="s">
        <v>565</v>
      </c>
      <c r="C547" s="190">
        <f t="shared" si="496"/>
        <v>0</v>
      </c>
      <c r="D547" s="190">
        <v>0</v>
      </c>
      <c r="E547" s="190">
        <v>0</v>
      </c>
      <c r="F547" s="190">
        <v>0</v>
      </c>
      <c r="G547" s="190"/>
      <c r="H547" s="190">
        <f t="shared" si="497"/>
        <v>0</v>
      </c>
      <c r="I547" s="190">
        <f t="shared" si="498"/>
        <v>0</v>
      </c>
      <c r="J547" s="190"/>
      <c r="K547" s="190"/>
      <c r="L547" s="190">
        <f t="shared" si="507"/>
        <v>0</v>
      </c>
      <c r="M547" s="190"/>
      <c r="N547" s="190"/>
      <c r="O547" s="190">
        <f t="shared" si="499"/>
        <v>0</v>
      </c>
      <c r="P547" s="190">
        <f t="shared" si="500"/>
        <v>0</v>
      </c>
      <c r="Q547" s="190"/>
      <c r="R547" s="190"/>
      <c r="S547" s="190">
        <f t="shared" si="501"/>
        <v>0</v>
      </c>
      <c r="T547" s="190"/>
      <c r="U547" s="190"/>
      <c r="V547" s="190">
        <f t="shared" si="502"/>
        <v>0</v>
      </c>
      <c r="W547" s="190">
        <f t="shared" si="503"/>
        <v>0</v>
      </c>
      <c r="X547" s="190"/>
      <c r="Y547" s="190"/>
      <c r="Z547" s="190">
        <f t="shared" si="504"/>
        <v>0</v>
      </c>
      <c r="AA547" s="190"/>
      <c r="AB547" s="190"/>
      <c r="AC547" s="190">
        <f t="shared" si="508"/>
        <v>0</v>
      </c>
      <c r="AD547" s="190"/>
      <c r="AE547" s="190"/>
      <c r="AF547" s="190">
        <f t="shared" si="509"/>
        <v>0</v>
      </c>
      <c r="AG547" s="190"/>
      <c r="AH547" s="190"/>
      <c r="AI547" s="190">
        <f t="shared" si="493"/>
        <v>0</v>
      </c>
      <c r="AJ547" s="190">
        <f t="shared" si="505"/>
        <v>0</v>
      </c>
      <c r="AK547" s="190">
        <f t="shared" si="505"/>
        <v>0</v>
      </c>
      <c r="AL547" s="190">
        <f t="shared" si="506"/>
        <v>0</v>
      </c>
      <c r="AM547" s="190">
        <f t="shared" si="506"/>
        <v>0</v>
      </c>
      <c r="AN547" s="190">
        <f t="shared" si="494"/>
        <v>0</v>
      </c>
      <c r="AO547" s="130">
        <f t="shared" si="495"/>
        <v>0</v>
      </c>
      <c r="AP547" s="115"/>
    </row>
    <row r="548" spans="1:42" s="116" customFormat="1" ht="14" hidden="1" outlineLevel="1">
      <c r="A548" s="188"/>
      <c r="B548" s="189" t="s">
        <v>566</v>
      </c>
      <c r="C548" s="190">
        <f t="shared" si="496"/>
        <v>0</v>
      </c>
      <c r="D548" s="190">
        <v>0</v>
      </c>
      <c r="E548" s="190">
        <v>0</v>
      </c>
      <c r="F548" s="190">
        <v>0</v>
      </c>
      <c r="G548" s="190"/>
      <c r="H548" s="190">
        <f t="shared" si="497"/>
        <v>128</v>
      </c>
      <c r="I548" s="190">
        <f t="shared" si="498"/>
        <v>0</v>
      </c>
      <c r="J548" s="190"/>
      <c r="K548" s="190"/>
      <c r="L548" s="190">
        <f t="shared" si="507"/>
        <v>128</v>
      </c>
      <c r="M548" s="190"/>
      <c r="N548" s="190">
        <v>128</v>
      </c>
      <c r="O548" s="190">
        <f t="shared" si="499"/>
        <v>0</v>
      </c>
      <c r="P548" s="190">
        <f t="shared" si="500"/>
        <v>0</v>
      </c>
      <c r="Q548" s="190"/>
      <c r="R548" s="190"/>
      <c r="S548" s="190">
        <f t="shared" si="501"/>
        <v>0</v>
      </c>
      <c r="T548" s="190"/>
      <c r="U548" s="190">
        <f>0</f>
        <v>0</v>
      </c>
      <c r="V548" s="190">
        <f t="shared" si="502"/>
        <v>0</v>
      </c>
      <c r="W548" s="190">
        <f t="shared" si="503"/>
        <v>0</v>
      </c>
      <c r="X548" s="190"/>
      <c r="Y548" s="190"/>
      <c r="Z548" s="190">
        <f t="shared" si="504"/>
        <v>0</v>
      </c>
      <c r="AA548" s="190"/>
      <c r="AB548" s="190"/>
      <c r="AC548" s="190">
        <f t="shared" si="508"/>
        <v>0</v>
      </c>
      <c r="AD548" s="190"/>
      <c r="AE548" s="190"/>
      <c r="AF548" s="190">
        <f t="shared" si="509"/>
        <v>0</v>
      </c>
      <c r="AG548" s="190"/>
      <c r="AH548" s="190"/>
      <c r="AI548" s="190">
        <f t="shared" si="493"/>
        <v>128</v>
      </c>
      <c r="AJ548" s="190">
        <f t="shared" si="505"/>
        <v>0</v>
      </c>
      <c r="AK548" s="190">
        <f t="shared" si="505"/>
        <v>0</v>
      </c>
      <c r="AL548" s="190">
        <f t="shared" si="506"/>
        <v>0</v>
      </c>
      <c r="AM548" s="190">
        <f t="shared" si="506"/>
        <v>128</v>
      </c>
      <c r="AN548" s="190">
        <f t="shared" si="494"/>
        <v>128</v>
      </c>
      <c r="AO548" s="130">
        <f t="shared" si="495"/>
        <v>0</v>
      </c>
      <c r="AP548" s="115"/>
    </row>
    <row r="549" spans="1:42" s="116" customFormat="1" ht="14" hidden="1" outlineLevel="1">
      <c r="A549" s="188"/>
      <c r="B549" s="189" t="s">
        <v>567</v>
      </c>
      <c r="C549" s="190">
        <f t="shared" si="496"/>
        <v>0</v>
      </c>
      <c r="D549" s="190">
        <v>0</v>
      </c>
      <c r="E549" s="190">
        <v>0</v>
      </c>
      <c r="F549" s="190">
        <v>0</v>
      </c>
      <c r="G549" s="190"/>
      <c r="H549" s="190">
        <f t="shared" si="497"/>
        <v>354</v>
      </c>
      <c r="I549" s="190">
        <f t="shared" si="498"/>
        <v>0</v>
      </c>
      <c r="J549" s="190"/>
      <c r="K549" s="190"/>
      <c r="L549" s="190">
        <f t="shared" si="507"/>
        <v>354</v>
      </c>
      <c r="M549" s="190"/>
      <c r="N549" s="190">
        <v>354</v>
      </c>
      <c r="O549" s="190">
        <f t="shared" si="499"/>
        <v>354</v>
      </c>
      <c r="P549" s="190">
        <f t="shared" si="500"/>
        <v>0</v>
      </c>
      <c r="Q549" s="190"/>
      <c r="R549" s="190"/>
      <c r="S549" s="190">
        <f t="shared" si="501"/>
        <v>354</v>
      </c>
      <c r="T549" s="190"/>
      <c r="U549" s="190">
        <f>N549</f>
        <v>354</v>
      </c>
      <c r="V549" s="190">
        <f t="shared" si="502"/>
        <v>0</v>
      </c>
      <c r="W549" s="190">
        <f t="shared" si="503"/>
        <v>0</v>
      </c>
      <c r="X549" s="190"/>
      <c r="Y549" s="190"/>
      <c r="Z549" s="190">
        <f t="shared" si="504"/>
        <v>0</v>
      </c>
      <c r="AA549" s="190"/>
      <c r="AB549" s="190"/>
      <c r="AC549" s="190">
        <f t="shared" si="508"/>
        <v>0</v>
      </c>
      <c r="AD549" s="190"/>
      <c r="AE549" s="190"/>
      <c r="AF549" s="190">
        <f t="shared" si="509"/>
        <v>0</v>
      </c>
      <c r="AG549" s="190"/>
      <c r="AH549" s="190"/>
      <c r="AI549" s="190">
        <f t="shared" si="493"/>
        <v>0</v>
      </c>
      <c r="AJ549" s="190">
        <f t="shared" si="505"/>
        <v>0</v>
      </c>
      <c r="AK549" s="190">
        <f t="shared" si="505"/>
        <v>0</v>
      </c>
      <c r="AL549" s="190">
        <f t="shared" si="506"/>
        <v>0</v>
      </c>
      <c r="AM549" s="190">
        <f t="shared" si="506"/>
        <v>0</v>
      </c>
      <c r="AN549" s="190">
        <f t="shared" si="494"/>
        <v>0</v>
      </c>
      <c r="AO549" s="130">
        <f t="shared" si="495"/>
        <v>0</v>
      </c>
      <c r="AP549" s="115"/>
    </row>
    <row r="550" spans="1:42" s="116" customFormat="1" ht="14" hidden="1" outlineLevel="1">
      <c r="A550" s="188"/>
      <c r="B550" s="189" t="s">
        <v>757</v>
      </c>
      <c r="C550" s="190">
        <f>SUM(D550:G550)</f>
        <v>0</v>
      </c>
      <c r="D550" s="190">
        <v>0</v>
      </c>
      <c r="E550" s="190">
        <v>0</v>
      </c>
      <c r="F550" s="190">
        <v>0</v>
      </c>
      <c r="G550" s="190"/>
      <c r="H550" s="190">
        <f>I550+L550</f>
        <v>293</v>
      </c>
      <c r="I550" s="190">
        <f>J550+K550</f>
        <v>0</v>
      </c>
      <c r="J550" s="190"/>
      <c r="K550" s="190"/>
      <c r="L550" s="190">
        <f>M550+N550</f>
        <v>293</v>
      </c>
      <c r="M550" s="190"/>
      <c r="N550" s="190">
        <f>436-143</f>
        <v>293</v>
      </c>
      <c r="O550" s="190">
        <f>P550+S550</f>
        <v>241.542</v>
      </c>
      <c r="P550" s="190">
        <f>Q550+R550</f>
        <v>0</v>
      </c>
      <c r="Q550" s="190"/>
      <c r="R550" s="190"/>
      <c r="S550" s="190">
        <f>T550+U550</f>
        <v>241.542</v>
      </c>
      <c r="T550" s="190"/>
      <c r="U550" s="190">
        <v>241.542</v>
      </c>
      <c r="V550" s="190">
        <f>W550+Z550+AC550+AF550</f>
        <v>0</v>
      </c>
      <c r="W550" s="190">
        <f>X550+Y550</f>
        <v>0</v>
      </c>
      <c r="X550" s="190"/>
      <c r="Y550" s="190"/>
      <c r="Z550" s="190">
        <f>AA550+AB550</f>
        <v>0</v>
      </c>
      <c r="AA550" s="190"/>
      <c r="AB550" s="190"/>
      <c r="AC550" s="190">
        <f>AD550+AE550</f>
        <v>0</v>
      </c>
      <c r="AD550" s="190"/>
      <c r="AE550" s="190"/>
      <c r="AF550" s="190">
        <f>AG550+AH550</f>
        <v>0</v>
      </c>
      <c r="AG550" s="190"/>
      <c r="AH550" s="190"/>
      <c r="AI550" s="190">
        <f>SUM(AJ550:AM550)</f>
        <v>51.457999999999998</v>
      </c>
      <c r="AJ550" s="190">
        <f>D550+J550-Q550-X550-AD550</f>
        <v>0</v>
      </c>
      <c r="AK550" s="190">
        <f>E550+K550-R550-Y550-AE550</f>
        <v>0</v>
      </c>
      <c r="AL550" s="190">
        <f>F550+M550-T550-AA550-AG550</f>
        <v>0</v>
      </c>
      <c r="AM550" s="190">
        <f>G550+N550-U550-AB550-AH550</f>
        <v>51.457999999999998</v>
      </c>
      <c r="AN550" s="190">
        <f>C550+H550-O550-W550-Z550</f>
        <v>51.457999999999998</v>
      </c>
      <c r="AO550" s="130">
        <f>AI550-AN550</f>
        <v>0</v>
      </c>
      <c r="AP550" s="115"/>
    </row>
    <row r="551" spans="1:42" s="116" customFormat="1" ht="14" hidden="1" outlineLevel="1">
      <c r="A551" s="188"/>
      <c r="B551" s="189" t="s">
        <v>604</v>
      </c>
      <c r="C551" s="190">
        <f t="shared" si="496"/>
        <v>707.38680500000009</v>
      </c>
      <c r="D551" s="190">
        <v>0</v>
      </c>
      <c r="E551" s="190">
        <f>35+99+40.56+516.386805+12.74+3.7</f>
        <v>707.38680500000009</v>
      </c>
      <c r="F551" s="190">
        <v>0</v>
      </c>
      <c r="G551" s="190">
        <f>12.74-12.74</f>
        <v>0</v>
      </c>
      <c r="H551" s="190">
        <f t="shared" si="497"/>
        <v>143</v>
      </c>
      <c r="I551" s="190">
        <f t="shared" si="498"/>
        <v>143</v>
      </c>
      <c r="J551" s="190"/>
      <c r="K551" s="190">
        <f>143</f>
        <v>143</v>
      </c>
      <c r="L551" s="190">
        <f t="shared" si="507"/>
        <v>0</v>
      </c>
      <c r="M551" s="190"/>
      <c r="N551" s="190">
        <f>143-143</f>
        <v>0</v>
      </c>
      <c r="O551" s="190">
        <f t="shared" si="499"/>
        <v>171</v>
      </c>
      <c r="P551" s="190">
        <f t="shared" si="500"/>
        <v>171</v>
      </c>
      <c r="Q551" s="190"/>
      <c r="R551" s="190">
        <f>143+28</f>
        <v>171</v>
      </c>
      <c r="S551" s="190">
        <f t="shared" si="501"/>
        <v>0</v>
      </c>
      <c r="T551" s="190"/>
      <c r="U551" s="190"/>
      <c r="V551" s="190">
        <f t="shared" si="502"/>
        <v>0</v>
      </c>
      <c r="W551" s="190">
        <f t="shared" si="503"/>
        <v>0</v>
      </c>
      <c r="X551" s="190"/>
      <c r="Y551" s="190"/>
      <c r="Z551" s="190">
        <f t="shared" si="504"/>
        <v>0</v>
      </c>
      <c r="AA551" s="190"/>
      <c r="AB551" s="190"/>
      <c r="AC551" s="190">
        <f t="shared" si="508"/>
        <v>0</v>
      </c>
      <c r="AD551" s="190"/>
      <c r="AE551" s="190"/>
      <c r="AF551" s="190">
        <f t="shared" si="509"/>
        <v>0</v>
      </c>
      <c r="AG551" s="190"/>
      <c r="AH551" s="190"/>
      <c r="AI551" s="190">
        <f t="shared" si="493"/>
        <v>679.38680500000009</v>
      </c>
      <c r="AJ551" s="190">
        <f t="shared" si="505"/>
        <v>0</v>
      </c>
      <c r="AK551" s="190">
        <f t="shared" si="505"/>
        <v>679.38680500000009</v>
      </c>
      <c r="AL551" s="190">
        <f t="shared" si="506"/>
        <v>0</v>
      </c>
      <c r="AM551" s="190">
        <f t="shared" si="506"/>
        <v>0</v>
      </c>
      <c r="AN551" s="190">
        <f t="shared" si="494"/>
        <v>679.38680500000009</v>
      </c>
      <c r="AO551" s="130">
        <f t="shared" si="495"/>
        <v>0</v>
      </c>
      <c r="AP551" s="115"/>
    </row>
    <row r="552" spans="1:42" s="117" customFormat="1" ht="28" collapsed="1">
      <c r="A552" s="136">
        <v>30</v>
      </c>
      <c r="B552" s="137" t="s">
        <v>264</v>
      </c>
      <c r="C552" s="126">
        <f t="shared" ref="C552:AM552" si="510">C553</f>
        <v>19004</v>
      </c>
      <c r="D552" s="126">
        <f t="shared" si="510"/>
        <v>0</v>
      </c>
      <c r="E552" s="126">
        <f t="shared" si="510"/>
        <v>19004</v>
      </c>
      <c r="F552" s="126">
        <f t="shared" si="510"/>
        <v>0</v>
      </c>
      <c r="G552" s="126">
        <f t="shared" si="510"/>
        <v>0</v>
      </c>
      <c r="H552" s="126">
        <f t="shared" si="510"/>
        <v>34113</v>
      </c>
      <c r="I552" s="126">
        <f t="shared" si="510"/>
        <v>34113</v>
      </c>
      <c r="J552" s="126">
        <f t="shared" si="510"/>
        <v>0</v>
      </c>
      <c r="K552" s="126">
        <f t="shared" si="510"/>
        <v>34113</v>
      </c>
      <c r="L552" s="126">
        <f t="shared" si="510"/>
        <v>0</v>
      </c>
      <c r="M552" s="126">
        <f t="shared" si="510"/>
        <v>0</v>
      </c>
      <c r="N552" s="126">
        <f t="shared" si="510"/>
        <v>0</v>
      </c>
      <c r="O552" s="126">
        <f t="shared" si="510"/>
        <v>53117</v>
      </c>
      <c r="P552" s="126">
        <f t="shared" si="510"/>
        <v>53117</v>
      </c>
      <c r="Q552" s="126">
        <f t="shared" si="510"/>
        <v>0</v>
      </c>
      <c r="R552" s="126">
        <f t="shared" si="510"/>
        <v>53117</v>
      </c>
      <c r="S552" s="126">
        <f t="shared" si="510"/>
        <v>0</v>
      </c>
      <c r="T552" s="126">
        <f t="shared" si="510"/>
        <v>0</v>
      </c>
      <c r="U552" s="126">
        <f t="shared" si="510"/>
        <v>0</v>
      </c>
      <c r="V552" s="126">
        <f t="shared" si="510"/>
        <v>0</v>
      </c>
      <c r="W552" s="126">
        <f t="shared" si="510"/>
        <v>0</v>
      </c>
      <c r="X552" s="126">
        <f t="shared" si="510"/>
        <v>0</v>
      </c>
      <c r="Y552" s="126">
        <f t="shared" si="510"/>
        <v>0</v>
      </c>
      <c r="Z552" s="126">
        <f t="shared" si="510"/>
        <v>0</v>
      </c>
      <c r="AA552" s="126">
        <f t="shared" si="510"/>
        <v>0</v>
      </c>
      <c r="AB552" s="126">
        <f t="shared" si="510"/>
        <v>0</v>
      </c>
      <c r="AC552" s="126">
        <f t="shared" si="510"/>
        <v>0</v>
      </c>
      <c r="AD552" s="126">
        <f t="shared" si="510"/>
        <v>0</v>
      </c>
      <c r="AE552" s="126">
        <f t="shared" si="510"/>
        <v>0</v>
      </c>
      <c r="AF552" s="126">
        <f t="shared" si="510"/>
        <v>0</v>
      </c>
      <c r="AG552" s="126">
        <f t="shared" si="510"/>
        <v>0</v>
      </c>
      <c r="AH552" s="126">
        <f t="shared" si="510"/>
        <v>0</v>
      </c>
      <c r="AI552" s="126">
        <f>SUM(AJ552:AM552)</f>
        <v>0</v>
      </c>
      <c r="AJ552" s="126">
        <f t="shared" si="510"/>
        <v>0</v>
      </c>
      <c r="AK552" s="126">
        <f t="shared" si="510"/>
        <v>0</v>
      </c>
      <c r="AL552" s="126">
        <f t="shared" si="510"/>
        <v>0</v>
      </c>
      <c r="AM552" s="126">
        <f t="shared" si="510"/>
        <v>0</v>
      </c>
      <c r="AN552" s="126"/>
      <c r="AO552" s="130">
        <f t="shared" si="484"/>
        <v>0</v>
      </c>
      <c r="AP552" s="116"/>
    </row>
    <row r="553" spans="1:42" s="117" customFormat="1" ht="28" hidden="1" outlineLevel="1">
      <c r="A553" s="136"/>
      <c r="B553" s="178" t="s">
        <v>789</v>
      </c>
      <c r="C553" s="126">
        <f>SUM(D553:G553)</f>
        <v>19004</v>
      </c>
      <c r="D553" s="126">
        <v>0</v>
      </c>
      <c r="E553" s="126">
        <f>19004</f>
        <v>19004</v>
      </c>
      <c r="F553" s="126">
        <v>0</v>
      </c>
      <c r="G553" s="126">
        <v>0</v>
      </c>
      <c r="H553" s="126">
        <f>I553+L553</f>
        <v>34113</v>
      </c>
      <c r="I553" s="126">
        <f>J553+K553</f>
        <v>34113</v>
      </c>
      <c r="J553" s="126"/>
      <c r="K553" s="126">
        <v>34113</v>
      </c>
      <c r="L553" s="126"/>
      <c r="M553" s="126"/>
      <c r="N553" s="126"/>
      <c r="O553" s="126">
        <f t="shared" ref="O553:O568" si="511">P553+S553</f>
        <v>53117</v>
      </c>
      <c r="P553" s="126">
        <f t="shared" ref="P553:P568" si="512">Q553+R553</f>
        <v>53117</v>
      </c>
      <c r="Q553" s="126"/>
      <c r="R553" s="126">
        <f>K553+E553</f>
        <v>53117</v>
      </c>
      <c r="S553" s="126">
        <f t="shared" ref="S553:S568" si="513">T553+U553</f>
        <v>0</v>
      </c>
      <c r="T553" s="126"/>
      <c r="U553" s="126"/>
      <c r="V553" s="126"/>
      <c r="W553" s="126"/>
      <c r="X553" s="126"/>
      <c r="Y553" s="126"/>
      <c r="Z553" s="126"/>
      <c r="AA553" s="126"/>
      <c r="AB553" s="126"/>
      <c r="AC553" s="126"/>
      <c r="AD553" s="126"/>
      <c r="AE553" s="126"/>
      <c r="AF553" s="126"/>
      <c r="AG553" s="126"/>
      <c r="AH553" s="126"/>
      <c r="AI553" s="126">
        <f>SUM(AJ553:AM553)</f>
        <v>0</v>
      </c>
      <c r="AJ553" s="126">
        <f>D553+J553-Q553-X553-AD553</f>
        <v>0</v>
      </c>
      <c r="AK553" s="126">
        <f>E553+K553-R553-Y553-AE553</f>
        <v>0</v>
      </c>
      <c r="AL553" s="126">
        <f>F553+M553-T553-AA553-AG553</f>
        <v>0</v>
      </c>
      <c r="AM553" s="126">
        <f>G553+N553-U553-AB553-AH553</f>
        <v>0</v>
      </c>
      <c r="AN553" s="126"/>
      <c r="AO553" s="130">
        <f t="shared" si="484"/>
        <v>0</v>
      </c>
      <c r="AP553" s="116"/>
    </row>
    <row r="554" spans="1:42" s="117" customFormat="1" ht="28" collapsed="1">
      <c r="A554" s="136">
        <v>31</v>
      </c>
      <c r="B554" s="137" t="s">
        <v>790</v>
      </c>
      <c r="C554" s="126">
        <f>C555+C556</f>
        <v>6181</v>
      </c>
      <c r="D554" s="126">
        <f t="shared" ref="D554:AM554" si="514">D555+D556</f>
        <v>0</v>
      </c>
      <c r="E554" s="126">
        <f t="shared" si="514"/>
        <v>6181</v>
      </c>
      <c r="F554" s="126">
        <f t="shared" si="514"/>
        <v>0</v>
      </c>
      <c r="G554" s="126">
        <f t="shared" si="514"/>
        <v>0</v>
      </c>
      <c r="H554" s="126">
        <f t="shared" si="514"/>
        <v>2417</v>
      </c>
      <c r="I554" s="126">
        <f t="shared" si="514"/>
        <v>2417</v>
      </c>
      <c r="J554" s="126">
        <f t="shared" si="514"/>
        <v>0</v>
      </c>
      <c r="K554" s="126">
        <f t="shared" si="514"/>
        <v>2417</v>
      </c>
      <c r="L554" s="126">
        <f t="shared" si="514"/>
        <v>0</v>
      </c>
      <c r="M554" s="126">
        <f t="shared" si="514"/>
        <v>0</v>
      </c>
      <c r="N554" s="126">
        <f t="shared" si="514"/>
        <v>0</v>
      </c>
      <c r="O554" s="126">
        <f t="shared" si="514"/>
        <v>8107.63</v>
      </c>
      <c r="P554" s="126">
        <f t="shared" si="514"/>
        <v>8107.63</v>
      </c>
      <c r="Q554" s="126">
        <f t="shared" si="514"/>
        <v>0</v>
      </c>
      <c r="R554" s="126">
        <f t="shared" si="514"/>
        <v>8107.63</v>
      </c>
      <c r="S554" s="126">
        <f t="shared" si="514"/>
        <v>0</v>
      </c>
      <c r="T554" s="126">
        <f t="shared" si="514"/>
        <v>0</v>
      </c>
      <c r="U554" s="126">
        <f t="shared" si="514"/>
        <v>0</v>
      </c>
      <c r="V554" s="126">
        <f t="shared" si="514"/>
        <v>0</v>
      </c>
      <c r="W554" s="126">
        <f t="shared" si="514"/>
        <v>0</v>
      </c>
      <c r="X554" s="126">
        <f t="shared" si="514"/>
        <v>0</v>
      </c>
      <c r="Y554" s="126">
        <f t="shared" si="514"/>
        <v>0</v>
      </c>
      <c r="Z554" s="126">
        <f t="shared" si="514"/>
        <v>0</v>
      </c>
      <c r="AA554" s="126">
        <f t="shared" si="514"/>
        <v>0</v>
      </c>
      <c r="AB554" s="126">
        <f t="shared" si="514"/>
        <v>0</v>
      </c>
      <c r="AC554" s="126">
        <f t="shared" si="514"/>
        <v>0</v>
      </c>
      <c r="AD554" s="126">
        <f t="shared" si="514"/>
        <v>0</v>
      </c>
      <c r="AE554" s="126">
        <f t="shared" si="514"/>
        <v>0</v>
      </c>
      <c r="AF554" s="126">
        <f t="shared" si="514"/>
        <v>0</v>
      </c>
      <c r="AG554" s="126">
        <f t="shared" si="514"/>
        <v>0</v>
      </c>
      <c r="AH554" s="126">
        <f t="shared" si="514"/>
        <v>0</v>
      </c>
      <c r="AI554" s="126">
        <f t="shared" si="514"/>
        <v>490.37</v>
      </c>
      <c r="AJ554" s="126">
        <f t="shared" si="514"/>
        <v>0</v>
      </c>
      <c r="AK554" s="126">
        <f t="shared" si="514"/>
        <v>490.37</v>
      </c>
      <c r="AL554" s="126">
        <f t="shared" si="514"/>
        <v>0</v>
      </c>
      <c r="AM554" s="126">
        <f t="shared" si="514"/>
        <v>0</v>
      </c>
      <c r="AN554" s="126"/>
      <c r="AO554" s="130">
        <f t="shared" si="484"/>
        <v>0</v>
      </c>
      <c r="AP554" s="116"/>
    </row>
    <row r="555" spans="1:42" s="117" customFormat="1" ht="14" hidden="1" outlineLevel="1">
      <c r="A555" s="136"/>
      <c r="B555" s="137" t="s">
        <v>498</v>
      </c>
      <c r="C555" s="126">
        <f>SUM(D555:G555)</f>
        <v>5690.63</v>
      </c>
      <c r="D555" s="126">
        <v>0</v>
      </c>
      <c r="E555" s="126">
        <f>6181-490.37</f>
        <v>5690.63</v>
      </c>
      <c r="F555" s="126">
        <v>0</v>
      </c>
      <c r="G555" s="126">
        <v>0</v>
      </c>
      <c r="H555" s="126">
        <f>I555+L555</f>
        <v>2417</v>
      </c>
      <c r="I555" s="126">
        <f>J555+K555</f>
        <v>2417</v>
      </c>
      <c r="J555" s="126"/>
      <c r="K555" s="126">
        <v>2417</v>
      </c>
      <c r="L555" s="126"/>
      <c r="M555" s="126"/>
      <c r="N555" s="126"/>
      <c r="O555" s="126">
        <f t="shared" si="511"/>
        <v>8107.63</v>
      </c>
      <c r="P555" s="126">
        <f t="shared" si="512"/>
        <v>8107.63</v>
      </c>
      <c r="Q555" s="126"/>
      <c r="R555" s="126">
        <v>8107.63</v>
      </c>
      <c r="S555" s="126">
        <f t="shared" si="513"/>
        <v>0</v>
      </c>
      <c r="T555" s="126"/>
      <c r="U555" s="126"/>
      <c r="V555" s="126"/>
      <c r="W555" s="126"/>
      <c r="X555" s="126"/>
      <c r="Y555" s="126"/>
      <c r="Z555" s="126"/>
      <c r="AA555" s="126"/>
      <c r="AB555" s="126"/>
      <c r="AC555" s="126"/>
      <c r="AD555" s="126"/>
      <c r="AE555" s="126"/>
      <c r="AF555" s="126"/>
      <c r="AG555" s="126"/>
      <c r="AH555" s="126"/>
      <c r="AI555" s="126">
        <f t="shared" ref="AI555:AI568" si="515">SUM(AJ555:AM555)</f>
        <v>0</v>
      </c>
      <c r="AJ555" s="126">
        <f>D555+J555-Q555-X555-AD555</f>
        <v>0</v>
      </c>
      <c r="AK555" s="126">
        <f>E555+K555-R555-Y555-AE555</f>
        <v>0</v>
      </c>
      <c r="AL555" s="126">
        <f>F555+M555-T555-AA555-AG555</f>
        <v>0</v>
      </c>
      <c r="AM555" s="126">
        <f>G555+N555-U555-AB555-AH555</f>
        <v>0</v>
      </c>
      <c r="AN555" s="126"/>
      <c r="AO555" s="130">
        <f t="shared" si="484"/>
        <v>0</v>
      </c>
      <c r="AP555" s="116"/>
    </row>
    <row r="556" spans="1:42" s="117" customFormat="1" ht="14" hidden="1" outlineLevel="1">
      <c r="A556" s="136"/>
      <c r="B556" s="137" t="s">
        <v>604</v>
      </c>
      <c r="C556" s="126">
        <f>E556</f>
        <v>490.37</v>
      </c>
      <c r="D556" s="126"/>
      <c r="E556" s="126">
        <f>490.37</f>
        <v>490.37</v>
      </c>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f t="shared" si="515"/>
        <v>490.37</v>
      </c>
      <c r="AJ556" s="126">
        <f>D556+J556-Q556-X556-AD556</f>
        <v>0</v>
      </c>
      <c r="AK556" s="126">
        <f>E556+K556-R556-Y556-AE556</f>
        <v>490.37</v>
      </c>
      <c r="AL556" s="126">
        <f>F556+M556-T556-AA556-AG556</f>
        <v>0</v>
      </c>
      <c r="AM556" s="126">
        <f>G556+N556-U556-AB556-AH556</f>
        <v>0</v>
      </c>
      <c r="AN556" s="126"/>
      <c r="AO556" s="130">
        <f t="shared" si="484"/>
        <v>0</v>
      </c>
      <c r="AP556" s="116"/>
    </row>
    <row r="557" spans="1:42" s="117" customFormat="1" ht="28" collapsed="1">
      <c r="A557" s="136">
        <v>32</v>
      </c>
      <c r="B557" s="137" t="s">
        <v>791</v>
      </c>
      <c r="C557" s="126">
        <f t="shared" ref="C557:M557" si="516">SUM(C558:C568)</f>
        <v>2923</v>
      </c>
      <c r="D557" s="126">
        <f t="shared" si="516"/>
        <v>0</v>
      </c>
      <c r="E557" s="126">
        <f t="shared" si="516"/>
        <v>24.1203</v>
      </c>
      <c r="F557" s="126">
        <f t="shared" si="516"/>
        <v>0</v>
      </c>
      <c r="G557" s="126">
        <f t="shared" si="516"/>
        <v>2898.8797</v>
      </c>
      <c r="H557" s="126">
        <f t="shared" si="516"/>
        <v>5090</v>
      </c>
      <c r="I557" s="126">
        <f t="shared" si="516"/>
        <v>0</v>
      </c>
      <c r="J557" s="126">
        <f t="shared" si="516"/>
        <v>0</v>
      </c>
      <c r="K557" s="126">
        <f t="shared" si="516"/>
        <v>0</v>
      </c>
      <c r="L557" s="126">
        <f t="shared" si="516"/>
        <v>5090</v>
      </c>
      <c r="M557" s="126">
        <f t="shared" si="516"/>
        <v>0</v>
      </c>
      <c r="N557" s="126">
        <f>SUM(N558:N568)</f>
        <v>5090</v>
      </c>
      <c r="O557" s="126">
        <f t="shared" ref="O557:AM557" si="517">SUM(O558:O568)</f>
        <v>7847.5796999999993</v>
      </c>
      <c r="P557" s="126">
        <f t="shared" si="517"/>
        <v>0</v>
      </c>
      <c r="Q557" s="126">
        <f t="shared" si="517"/>
        <v>0</v>
      </c>
      <c r="R557" s="126">
        <f t="shared" si="517"/>
        <v>0</v>
      </c>
      <c r="S557" s="126">
        <f t="shared" si="517"/>
        <v>7847.5796999999993</v>
      </c>
      <c r="T557" s="126">
        <f t="shared" si="517"/>
        <v>0</v>
      </c>
      <c r="U557" s="126">
        <f t="shared" si="517"/>
        <v>7847.5796999999993</v>
      </c>
      <c r="V557" s="126">
        <f t="shared" si="517"/>
        <v>0</v>
      </c>
      <c r="W557" s="126">
        <f t="shared" si="517"/>
        <v>0</v>
      </c>
      <c r="X557" s="126">
        <f t="shared" si="517"/>
        <v>0</v>
      </c>
      <c r="Y557" s="126">
        <f t="shared" si="517"/>
        <v>0</v>
      </c>
      <c r="Z557" s="126">
        <f t="shared" si="517"/>
        <v>0</v>
      </c>
      <c r="AA557" s="126">
        <f t="shared" si="517"/>
        <v>0</v>
      </c>
      <c r="AB557" s="126">
        <f t="shared" si="517"/>
        <v>0</v>
      </c>
      <c r="AC557" s="126">
        <f t="shared" si="517"/>
        <v>0</v>
      </c>
      <c r="AD557" s="126">
        <f t="shared" si="517"/>
        <v>0</v>
      </c>
      <c r="AE557" s="126">
        <f t="shared" si="517"/>
        <v>0</v>
      </c>
      <c r="AF557" s="126">
        <f t="shared" si="517"/>
        <v>0</v>
      </c>
      <c r="AG557" s="126">
        <f t="shared" si="517"/>
        <v>0</v>
      </c>
      <c r="AH557" s="126">
        <f t="shared" si="517"/>
        <v>0</v>
      </c>
      <c r="AI557" s="126">
        <f t="shared" si="517"/>
        <v>165.42029999999994</v>
      </c>
      <c r="AJ557" s="126">
        <f t="shared" si="517"/>
        <v>0</v>
      </c>
      <c r="AK557" s="126">
        <f t="shared" si="517"/>
        <v>24.1203</v>
      </c>
      <c r="AL557" s="126">
        <f t="shared" si="517"/>
        <v>0</v>
      </c>
      <c r="AM557" s="126">
        <f t="shared" si="517"/>
        <v>141.29999999999995</v>
      </c>
      <c r="AN557" s="126"/>
      <c r="AO557" s="130">
        <f t="shared" si="484"/>
        <v>7.3896444519050419E-13</v>
      </c>
      <c r="AP557" s="116"/>
    </row>
    <row r="558" spans="1:42" s="117" customFormat="1" ht="14" hidden="1" outlineLevel="1">
      <c r="A558" s="136"/>
      <c r="B558" s="137" t="s">
        <v>337</v>
      </c>
      <c r="C558" s="126">
        <f t="shared" ref="C558:C568" si="518">SUM(D558:G558)</f>
        <v>304</v>
      </c>
      <c r="D558" s="126">
        <v>0</v>
      </c>
      <c r="E558" s="126">
        <v>0</v>
      </c>
      <c r="F558" s="126">
        <v>0</v>
      </c>
      <c r="G558" s="126">
        <v>304</v>
      </c>
      <c r="H558" s="126">
        <f t="shared" ref="H558:H568" si="519">I558+L558</f>
        <v>405</v>
      </c>
      <c r="I558" s="126">
        <f t="shared" ref="I558:I568" si="520">J558+K558</f>
        <v>0</v>
      </c>
      <c r="J558" s="126"/>
      <c r="K558" s="126"/>
      <c r="L558" s="126">
        <f>M558+N558</f>
        <v>405</v>
      </c>
      <c r="M558" s="126"/>
      <c r="N558" s="126">
        <v>405</v>
      </c>
      <c r="O558" s="126">
        <f t="shared" si="511"/>
        <v>709</v>
      </c>
      <c r="P558" s="126">
        <f t="shared" si="512"/>
        <v>0</v>
      </c>
      <c r="Q558" s="126"/>
      <c r="R558" s="126"/>
      <c r="S558" s="126">
        <f t="shared" si="513"/>
        <v>709</v>
      </c>
      <c r="T558" s="126"/>
      <c r="U558" s="126">
        <f>709</f>
        <v>709</v>
      </c>
      <c r="V558" s="126"/>
      <c r="W558" s="126"/>
      <c r="X558" s="126"/>
      <c r="Y558" s="126"/>
      <c r="Z558" s="126"/>
      <c r="AA558" s="126"/>
      <c r="AB558" s="126"/>
      <c r="AC558" s="126"/>
      <c r="AD558" s="126"/>
      <c r="AE558" s="126"/>
      <c r="AF558" s="126"/>
      <c r="AG558" s="126"/>
      <c r="AH558" s="126"/>
      <c r="AI558" s="126">
        <f t="shared" si="515"/>
        <v>0</v>
      </c>
      <c r="AJ558" s="126">
        <f t="shared" ref="AJ558:AK568" si="521">D558+J558-Q558-X558-AD558</f>
        <v>0</v>
      </c>
      <c r="AK558" s="126">
        <f t="shared" si="521"/>
        <v>0</v>
      </c>
      <c r="AL558" s="126">
        <f t="shared" ref="AL558:AM568" si="522">F558+M558-T558-AA558-AG558</f>
        <v>0</v>
      </c>
      <c r="AM558" s="126">
        <f t="shared" si="522"/>
        <v>0</v>
      </c>
      <c r="AN558" s="126"/>
      <c r="AO558" s="130">
        <f t="shared" si="484"/>
        <v>0</v>
      </c>
      <c r="AP558" s="116"/>
    </row>
    <row r="559" spans="1:42" s="117" customFormat="1" ht="14" hidden="1" outlineLevel="1">
      <c r="A559" s="136"/>
      <c r="B559" s="137" t="s">
        <v>560</v>
      </c>
      <c r="C559" s="126">
        <f t="shared" si="518"/>
        <v>285</v>
      </c>
      <c r="D559" s="126">
        <v>0</v>
      </c>
      <c r="E559" s="126">
        <v>0</v>
      </c>
      <c r="F559" s="126">
        <v>0</v>
      </c>
      <c r="G559" s="126">
        <v>285</v>
      </c>
      <c r="H559" s="126">
        <f t="shared" si="519"/>
        <v>380</v>
      </c>
      <c r="I559" s="126">
        <f t="shared" si="520"/>
        <v>0</v>
      </c>
      <c r="J559" s="126"/>
      <c r="K559" s="126"/>
      <c r="L559" s="126">
        <f t="shared" ref="L559:L568" si="523">M559+N559</f>
        <v>380</v>
      </c>
      <c r="M559" s="126"/>
      <c r="N559" s="126">
        <v>380</v>
      </c>
      <c r="O559" s="126">
        <f t="shared" si="511"/>
        <v>659</v>
      </c>
      <c r="P559" s="126">
        <f t="shared" si="512"/>
        <v>0</v>
      </c>
      <c r="Q559" s="126"/>
      <c r="R559" s="126"/>
      <c r="S559" s="126">
        <f t="shared" si="513"/>
        <v>659</v>
      </c>
      <c r="T559" s="126"/>
      <c r="U559" s="126">
        <f>659</f>
        <v>659</v>
      </c>
      <c r="V559" s="126"/>
      <c r="W559" s="126"/>
      <c r="X559" s="126"/>
      <c r="Y559" s="126"/>
      <c r="Z559" s="126"/>
      <c r="AA559" s="126"/>
      <c r="AB559" s="126"/>
      <c r="AC559" s="126"/>
      <c r="AD559" s="126"/>
      <c r="AE559" s="126"/>
      <c r="AF559" s="126"/>
      <c r="AG559" s="126"/>
      <c r="AH559" s="126"/>
      <c r="AI559" s="126">
        <f t="shared" si="515"/>
        <v>6</v>
      </c>
      <c r="AJ559" s="126">
        <f t="shared" si="521"/>
        <v>0</v>
      </c>
      <c r="AK559" s="126">
        <f t="shared" si="521"/>
        <v>0</v>
      </c>
      <c r="AL559" s="126">
        <f t="shared" si="522"/>
        <v>0</v>
      </c>
      <c r="AM559" s="126">
        <f t="shared" si="522"/>
        <v>6</v>
      </c>
      <c r="AN559" s="126"/>
      <c r="AO559" s="130">
        <f t="shared" si="484"/>
        <v>0</v>
      </c>
      <c r="AP559" s="116"/>
    </row>
    <row r="560" spans="1:42" s="117" customFormat="1" ht="14" hidden="1" outlineLevel="1">
      <c r="A560" s="136"/>
      <c r="B560" s="137" t="s">
        <v>561</v>
      </c>
      <c r="C560" s="126">
        <f t="shared" si="518"/>
        <v>364</v>
      </c>
      <c r="D560" s="126">
        <v>0</v>
      </c>
      <c r="E560" s="126">
        <v>0</v>
      </c>
      <c r="F560" s="126">
        <v>0</v>
      </c>
      <c r="G560" s="126">
        <v>364</v>
      </c>
      <c r="H560" s="126">
        <f t="shared" si="519"/>
        <v>485</v>
      </c>
      <c r="I560" s="126">
        <f t="shared" si="520"/>
        <v>0</v>
      </c>
      <c r="J560" s="126"/>
      <c r="K560" s="126"/>
      <c r="L560" s="126">
        <f t="shared" si="523"/>
        <v>485</v>
      </c>
      <c r="M560" s="126"/>
      <c r="N560" s="126">
        <v>485</v>
      </c>
      <c r="O560" s="126">
        <f t="shared" si="511"/>
        <v>849</v>
      </c>
      <c r="P560" s="126">
        <f t="shared" si="512"/>
        <v>0</v>
      </c>
      <c r="Q560" s="126"/>
      <c r="R560" s="126"/>
      <c r="S560" s="126">
        <f t="shared" si="513"/>
        <v>849</v>
      </c>
      <c r="T560" s="126"/>
      <c r="U560" s="126">
        <f>N560+G560</f>
        <v>849</v>
      </c>
      <c r="V560" s="126"/>
      <c r="W560" s="126"/>
      <c r="X560" s="126"/>
      <c r="Y560" s="126"/>
      <c r="Z560" s="126"/>
      <c r="AA560" s="126"/>
      <c r="AB560" s="126"/>
      <c r="AC560" s="126"/>
      <c r="AD560" s="126"/>
      <c r="AE560" s="126"/>
      <c r="AF560" s="126"/>
      <c r="AG560" s="126"/>
      <c r="AH560" s="126"/>
      <c r="AI560" s="126">
        <f t="shared" si="515"/>
        <v>0</v>
      </c>
      <c r="AJ560" s="126">
        <f t="shared" si="521"/>
        <v>0</v>
      </c>
      <c r="AK560" s="126">
        <f t="shared" si="521"/>
        <v>0</v>
      </c>
      <c r="AL560" s="126">
        <f t="shared" si="522"/>
        <v>0</v>
      </c>
      <c r="AM560" s="126">
        <f t="shared" si="522"/>
        <v>0</v>
      </c>
      <c r="AN560" s="126"/>
      <c r="AO560" s="130">
        <f t="shared" si="484"/>
        <v>0</v>
      </c>
      <c r="AP560" s="116"/>
    </row>
    <row r="561" spans="1:42" s="117" customFormat="1" ht="14" hidden="1" outlineLevel="1">
      <c r="A561" s="136"/>
      <c r="B561" s="137" t="s">
        <v>709</v>
      </c>
      <c r="C561" s="126">
        <f t="shared" si="518"/>
        <v>354</v>
      </c>
      <c r="D561" s="126">
        <v>0</v>
      </c>
      <c r="E561" s="126">
        <v>0</v>
      </c>
      <c r="F561" s="126">
        <v>0</v>
      </c>
      <c r="G561" s="126">
        <v>354</v>
      </c>
      <c r="H561" s="126">
        <f t="shared" si="519"/>
        <v>472</v>
      </c>
      <c r="I561" s="126">
        <f t="shared" si="520"/>
        <v>0</v>
      </c>
      <c r="J561" s="126"/>
      <c r="K561" s="126"/>
      <c r="L561" s="126">
        <f t="shared" si="523"/>
        <v>472</v>
      </c>
      <c r="M561" s="126"/>
      <c r="N561" s="126">
        <v>472</v>
      </c>
      <c r="O561" s="126">
        <f t="shared" si="511"/>
        <v>693.5</v>
      </c>
      <c r="P561" s="126">
        <f t="shared" si="512"/>
        <v>0</v>
      </c>
      <c r="Q561" s="126"/>
      <c r="R561" s="126"/>
      <c r="S561" s="126">
        <f t="shared" si="513"/>
        <v>693.5</v>
      </c>
      <c r="T561" s="126"/>
      <c r="U561" s="126">
        <f>693.5</f>
        <v>693.5</v>
      </c>
      <c r="V561" s="126"/>
      <c r="W561" s="126"/>
      <c r="X561" s="126"/>
      <c r="Y561" s="126"/>
      <c r="Z561" s="126"/>
      <c r="AA561" s="126"/>
      <c r="AB561" s="126"/>
      <c r="AC561" s="126"/>
      <c r="AD561" s="126"/>
      <c r="AE561" s="126"/>
      <c r="AF561" s="126"/>
      <c r="AG561" s="126"/>
      <c r="AH561" s="126"/>
      <c r="AI561" s="126">
        <f t="shared" si="515"/>
        <v>132.5</v>
      </c>
      <c r="AJ561" s="126">
        <f t="shared" si="521"/>
        <v>0</v>
      </c>
      <c r="AK561" s="126">
        <f t="shared" si="521"/>
        <v>0</v>
      </c>
      <c r="AL561" s="126">
        <f t="shared" si="522"/>
        <v>0</v>
      </c>
      <c r="AM561" s="126">
        <f t="shared" si="522"/>
        <v>132.5</v>
      </c>
      <c r="AN561" s="126"/>
      <c r="AO561" s="130">
        <f t="shared" si="484"/>
        <v>0</v>
      </c>
      <c r="AP561" s="116"/>
    </row>
    <row r="562" spans="1:42" s="117" customFormat="1" ht="14" hidden="1" outlineLevel="1">
      <c r="A562" s="136"/>
      <c r="B562" s="137" t="s">
        <v>563</v>
      </c>
      <c r="C562" s="126">
        <f t="shared" si="518"/>
        <v>0</v>
      </c>
      <c r="D562" s="126">
        <v>0</v>
      </c>
      <c r="E562" s="126">
        <v>0</v>
      </c>
      <c r="F562" s="126">
        <v>0</v>
      </c>
      <c r="G562" s="126">
        <v>0</v>
      </c>
      <c r="H562" s="126">
        <f t="shared" si="519"/>
        <v>553</v>
      </c>
      <c r="I562" s="126">
        <f t="shared" si="520"/>
        <v>0</v>
      </c>
      <c r="J562" s="126"/>
      <c r="K562" s="126"/>
      <c r="L562" s="126">
        <f t="shared" si="523"/>
        <v>553</v>
      </c>
      <c r="M562" s="126"/>
      <c r="N562" s="126">
        <v>553</v>
      </c>
      <c r="O562" s="126">
        <f t="shared" si="511"/>
        <v>553</v>
      </c>
      <c r="P562" s="126">
        <f t="shared" si="512"/>
        <v>0</v>
      </c>
      <c r="Q562" s="126"/>
      <c r="R562" s="126"/>
      <c r="S562" s="126">
        <f t="shared" si="513"/>
        <v>553</v>
      </c>
      <c r="T562" s="126"/>
      <c r="U562" s="126">
        <f>N562</f>
        <v>553</v>
      </c>
      <c r="V562" s="126"/>
      <c r="W562" s="126"/>
      <c r="X562" s="126"/>
      <c r="Y562" s="126"/>
      <c r="Z562" s="126"/>
      <c r="AA562" s="126"/>
      <c r="AB562" s="126"/>
      <c r="AC562" s="126"/>
      <c r="AD562" s="126"/>
      <c r="AE562" s="126"/>
      <c r="AF562" s="126"/>
      <c r="AG562" s="126"/>
      <c r="AH562" s="126"/>
      <c r="AI562" s="126">
        <f t="shared" si="515"/>
        <v>0</v>
      </c>
      <c r="AJ562" s="126">
        <f t="shared" si="521"/>
        <v>0</v>
      </c>
      <c r="AK562" s="126">
        <f t="shared" si="521"/>
        <v>0</v>
      </c>
      <c r="AL562" s="126">
        <f t="shared" si="522"/>
        <v>0</v>
      </c>
      <c r="AM562" s="126">
        <f t="shared" si="522"/>
        <v>0</v>
      </c>
      <c r="AN562" s="126"/>
      <c r="AO562" s="130">
        <f t="shared" si="484"/>
        <v>0</v>
      </c>
      <c r="AP562" s="116"/>
    </row>
    <row r="563" spans="1:42" s="117" customFormat="1" ht="14" hidden="1" outlineLevel="1">
      <c r="A563" s="136"/>
      <c r="B563" s="137" t="s">
        <v>680</v>
      </c>
      <c r="C563" s="126">
        <f t="shared" si="518"/>
        <v>156.87970000000001</v>
      </c>
      <c r="D563" s="126">
        <v>0</v>
      </c>
      <c r="E563" s="126">
        <v>0</v>
      </c>
      <c r="F563" s="126">
        <v>0</v>
      </c>
      <c r="G563" s="126">
        <f>180-23.1203</f>
        <v>156.87970000000001</v>
      </c>
      <c r="H563" s="126">
        <f t="shared" si="519"/>
        <v>880</v>
      </c>
      <c r="I563" s="126">
        <f t="shared" si="520"/>
        <v>0</v>
      </c>
      <c r="J563" s="126"/>
      <c r="K563" s="126"/>
      <c r="L563" s="126">
        <f t="shared" si="523"/>
        <v>880</v>
      </c>
      <c r="M563" s="126"/>
      <c r="N563" s="126">
        <v>880</v>
      </c>
      <c r="O563" s="126">
        <f t="shared" si="511"/>
        <v>1036.8797</v>
      </c>
      <c r="P563" s="126">
        <f t="shared" si="512"/>
        <v>0</v>
      </c>
      <c r="Q563" s="126"/>
      <c r="R563" s="126"/>
      <c r="S563" s="126">
        <f t="shared" si="513"/>
        <v>1036.8797</v>
      </c>
      <c r="T563" s="126"/>
      <c r="U563" s="126">
        <v>1036.8797</v>
      </c>
      <c r="V563" s="126"/>
      <c r="W563" s="126"/>
      <c r="X563" s="126"/>
      <c r="Y563" s="126"/>
      <c r="Z563" s="126"/>
      <c r="AA563" s="126"/>
      <c r="AB563" s="126"/>
      <c r="AC563" s="126"/>
      <c r="AD563" s="126"/>
      <c r="AE563" s="126"/>
      <c r="AF563" s="126"/>
      <c r="AG563" s="126"/>
      <c r="AH563" s="126"/>
      <c r="AI563" s="126">
        <f t="shared" si="515"/>
        <v>0</v>
      </c>
      <c r="AJ563" s="126">
        <f t="shared" si="521"/>
        <v>0</v>
      </c>
      <c r="AK563" s="126">
        <f t="shared" si="521"/>
        <v>0</v>
      </c>
      <c r="AL563" s="126">
        <f t="shared" si="522"/>
        <v>0</v>
      </c>
      <c r="AM563" s="126">
        <f t="shared" si="522"/>
        <v>0</v>
      </c>
      <c r="AN563" s="126"/>
      <c r="AO563" s="130">
        <f t="shared" si="484"/>
        <v>0</v>
      </c>
      <c r="AP563" s="116"/>
    </row>
    <row r="564" spans="1:42" s="117" customFormat="1" ht="14" hidden="1" outlineLevel="1">
      <c r="A564" s="136"/>
      <c r="B564" s="137" t="s">
        <v>565</v>
      </c>
      <c r="C564" s="126">
        <f t="shared" si="518"/>
        <v>270</v>
      </c>
      <c r="D564" s="126">
        <v>0</v>
      </c>
      <c r="E564" s="126">
        <v>0</v>
      </c>
      <c r="F564" s="126">
        <v>0</v>
      </c>
      <c r="G564" s="126">
        <f>271-1</f>
        <v>270</v>
      </c>
      <c r="H564" s="126">
        <f t="shared" si="519"/>
        <v>361</v>
      </c>
      <c r="I564" s="126">
        <f t="shared" si="520"/>
        <v>0</v>
      </c>
      <c r="J564" s="126"/>
      <c r="K564" s="126"/>
      <c r="L564" s="126">
        <f t="shared" si="523"/>
        <v>361</v>
      </c>
      <c r="M564" s="126"/>
      <c r="N564" s="126">
        <f>361</f>
        <v>361</v>
      </c>
      <c r="O564" s="126">
        <f t="shared" si="511"/>
        <v>630</v>
      </c>
      <c r="P564" s="126">
        <f t="shared" si="512"/>
        <v>0</v>
      </c>
      <c r="Q564" s="126"/>
      <c r="R564" s="126"/>
      <c r="S564" s="126">
        <f t="shared" si="513"/>
        <v>630</v>
      </c>
      <c r="T564" s="126"/>
      <c r="U564" s="126">
        <f>360+270</f>
        <v>630</v>
      </c>
      <c r="V564" s="126"/>
      <c r="W564" s="126"/>
      <c r="X564" s="126"/>
      <c r="Y564" s="126"/>
      <c r="Z564" s="126"/>
      <c r="AA564" s="126"/>
      <c r="AB564" s="126"/>
      <c r="AC564" s="126"/>
      <c r="AD564" s="126"/>
      <c r="AE564" s="126"/>
      <c r="AF564" s="126"/>
      <c r="AG564" s="126"/>
      <c r="AH564" s="126"/>
      <c r="AI564" s="126">
        <f t="shared" si="515"/>
        <v>1</v>
      </c>
      <c r="AJ564" s="126">
        <f t="shared" si="521"/>
        <v>0</v>
      </c>
      <c r="AK564" s="126">
        <f t="shared" si="521"/>
        <v>0</v>
      </c>
      <c r="AL564" s="126">
        <f t="shared" si="522"/>
        <v>0</v>
      </c>
      <c r="AM564" s="126">
        <f t="shared" si="522"/>
        <v>1</v>
      </c>
      <c r="AN564" s="126"/>
      <c r="AO564" s="130">
        <f t="shared" si="484"/>
        <v>0</v>
      </c>
      <c r="AP564" s="116"/>
    </row>
    <row r="565" spans="1:42" s="117" customFormat="1" ht="14" hidden="1" outlineLevel="1">
      <c r="A565" s="136"/>
      <c r="B565" s="137" t="s">
        <v>566</v>
      </c>
      <c r="C565" s="126">
        <f t="shared" si="518"/>
        <v>345</v>
      </c>
      <c r="D565" s="126">
        <v>0</v>
      </c>
      <c r="E565" s="126">
        <v>0</v>
      </c>
      <c r="F565" s="126">
        <v>0</v>
      </c>
      <c r="G565" s="126">
        <v>345</v>
      </c>
      <c r="H565" s="126">
        <f t="shared" si="519"/>
        <v>461</v>
      </c>
      <c r="I565" s="126">
        <f t="shared" si="520"/>
        <v>0</v>
      </c>
      <c r="J565" s="126"/>
      <c r="K565" s="126"/>
      <c r="L565" s="126">
        <f t="shared" si="523"/>
        <v>461</v>
      </c>
      <c r="M565" s="126"/>
      <c r="N565" s="126">
        <v>461</v>
      </c>
      <c r="O565" s="126">
        <f t="shared" si="511"/>
        <v>805.5</v>
      </c>
      <c r="P565" s="126">
        <f t="shared" si="512"/>
        <v>0</v>
      </c>
      <c r="Q565" s="126"/>
      <c r="R565" s="126"/>
      <c r="S565" s="126">
        <f t="shared" si="513"/>
        <v>805.5</v>
      </c>
      <c r="T565" s="126"/>
      <c r="U565" s="126">
        <v>805.5</v>
      </c>
      <c r="V565" s="126"/>
      <c r="W565" s="126"/>
      <c r="X565" s="126"/>
      <c r="Y565" s="126"/>
      <c r="Z565" s="126"/>
      <c r="AA565" s="126"/>
      <c r="AB565" s="126"/>
      <c r="AC565" s="126"/>
      <c r="AD565" s="126"/>
      <c r="AE565" s="126"/>
      <c r="AF565" s="126"/>
      <c r="AG565" s="126"/>
      <c r="AH565" s="126"/>
      <c r="AI565" s="126">
        <f t="shared" si="515"/>
        <v>0.5</v>
      </c>
      <c r="AJ565" s="126">
        <f t="shared" si="521"/>
        <v>0</v>
      </c>
      <c r="AK565" s="126">
        <f t="shared" si="521"/>
        <v>0</v>
      </c>
      <c r="AL565" s="126">
        <f t="shared" si="522"/>
        <v>0</v>
      </c>
      <c r="AM565" s="126">
        <f t="shared" si="522"/>
        <v>0.5</v>
      </c>
      <c r="AN565" s="126"/>
      <c r="AO565" s="130">
        <f t="shared" si="484"/>
        <v>0</v>
      </c>
      <c r="AP565" s="116"/>
    </row>
    <row r="566" spans="1:42" s="117" customFormat="1" ht="14" hidden="1" outlineLevel="1">
      <c r="A566" s="136"/>
      <c r="B566" s="137" t="s">
        <v>567</v>
      </c>
      <c r="C566" s="126">
        <f t="shared" si="518"/>
        <v>183</v>
      </c>
      <c r="D566" s="126">
        <v>0</v>
      </c>
      <c r="E566" s="126">
        <v>0</v>
      </c>
      <c r="F566" s="126">
        <v>0</v>
      </c>
      <c r="G566" s="126">
        <v>183</v>
      </c>
      <c r="H566" s="126">
        <f t="shared" si="519"/>
        <v>244</v>
      </c>
      <c r="I566" s="126">
        <f t="shared" si="520"/>
        <v>0</v>
      </c>
      <c r="J566" s="126"/>
      <c r="K566" s="126"/>
      <c r="L566" s="126">
        <f t="shared" si="523"/>
        <v>244</v>
      </c>
      <c r="M566" s="126"/>
      <c r="N566" s="126">
        <v>244</v>
      </c>
      <c r="O566" s="126">
        <f t="shared" si="511"/>
        <v>427</v>
      </c>
      <c r="P566" s="126">
        <f t="shared" si="512"/>
        <v>0</v>
      </c>
      <c r="Q566" s="126"/>
      <c r="R566" s="126"/>
      <c r="S566" s="126">
        <f t="shared" si="513"/>
        <v>427</v>
      </c>
      <c r="T566" s="126"/>
      <c r="U566" s="126">
        <f>G566+N566</f>
        <v>427</v>
      </c>
      <c r="V566" s="126"/>
      <c r="W566" s="126"/>
      <c r="X566" s="126"/>
      <c r="Y566" s="126"/>
      <c r="Z566" s="126"/>
      <c r="AA566" s="126"/>
      <c r="AB566" s="126"/>
      <c r="AC566" s="126"/>
      <c r="AD566" s="126"/>
      <c r="AE566" s="126"/>
      <c r="AF566" s="126"/>
      <c r="AG566" s="126"/>
      <c r="AH566" s="126"/>
      <c r="AI566" s="126">
        <f t="shared" si="515"/>
        <v>0</v>
      </c>
      <c r="AJ566" s="126">
        <f t="shared" si="521"/>
        <v>0</v>
      </c>
      <c r="AK566" s="126">
        <f t="shared" si="521"/>
        <v>0</v>
      </c>
      <c r="AL566" s="126">
        <f t="shared" si="522"/>
        <v>0</v>
      </c>
      <c r="AM566" s="126">
        <f t="shared" si="522"/>
        <v>0</v>
      </c>
      <c r="AN566" s="126"/>
      <c r="AO566" s="130">
        <f t="shared" si="484"/>
        <v>0</v>
      </c>
      <c r="AP566" s="116"/>
    </row>
    <row r="567" spans="1:42" s="117" customFormat="1" ht="14" hidden="1" outlineLevel="1">
      <c r="A567" s="136"/>
      <c r="B567" s="137" t="s">
        <v>568</v>
      </c>
      <c r="C567" s="126">
        <f>SUM(D567:G567)</f>
        <v>637</v>
      </c>
      <c r="D567" s="126">
        <v>0</v>
      </c>
      <c r="E567" s="126">
        <v>0</v>
      </c>
      <c r="F567" s="126">
        <v>0</v>
      </c>
      <c r="G567" s="126">
        <v>637</v>
      </c>
      <c r="H567" s="126">
        <f>I567+L567</f>
        <v>849</v>
      </c>
      <c r="I567" s="126">
        <f>J567+K567</f>
        <v>0</v>
      </c>
      <c r="J567" s="126"/>
      <c r="K567" s="126"/>
      <c r="L567" s="126">
        <f>M567+N567</f>
        <v>849</v>
      </c>
      <c r="M567" s="126"/>
      <c r="N567" s="126">
        <v>849</v>
      </c>
      <c r="O567" s="126">
        <f>P567+S567</f>
        <v>1484.7</v>
      </c>
      <c r="P567" s="126">
        <f>Q567+R567</f>
        <v>0</v>
      </c>
      <c r="Q567" s="126"/>
      <c r="R567" s="126"/>
      <c r="S567" s="126">
        <f>T567+U567</f>
        <v>1484.7</v>
      </c>
      <c r="T567" s="126"/>
      <c r="U567" s="126">
        <v>1484.7</v>
      </c>
      <c r="V567" s="126"/>
      <c r="W567" s="126"/>
      <c r="X567" s="126"/>
      <c r="Y567" s="126"/>
      <c r="Z567" s="126"/>
      <c r="AA567" s="126"/>
      <c r="AB567" s="126"/>
      <c r="AC567" s="126"/>
      <c r="AD567" s="126"/>
      <c r="AE567" s="126"/>
      <c r="AF567" s="126"/>
      <c r="AG567" s="126"/>
      <c r="AH567" s="126"/>
      <c r="AI567" s="126">
        <f>SUM(AJ567:AM567)</f>
        <v>1.2999999999999545</v>
      </c>
      <c r="AJ567" s="126">
        <f>D567+J567-Q567-X567-AD567</f>
        <v>0</v>
      </c>
      <c r="AK567" s="126">
        <f>E567+K567-R567-Y567-AE567</f>
        <v>0</v>
      </c>
      <c r="AL567" s="126">
        <f>F567+M567-T567-AA567-AG567</f>
        <v>0</v>
      </c>
      <c r="AM567" s="126">
        <f>G567+N567-U567-AB567-AH567</f>
        <v>1.2999999999999545</v>
      </c>
      <c r="AN567" s="126"/>
      <c r="AO567" s="130">
        <f t="shared" si="484"/>
        <v>0</v>
      </c>
      <c r="AP567" s="116"/>
    </row>
    <row r="568" spans="1:42" s="117" customFormat="1" ht="14" hidden="1" outlineLevel="1">
      <c r="A568" s="136"/>
      <c r="B568" s="137" t="s">
        <v>594</v>
      </c>
      <c r="C568" s="126">
        <f t="shared" si="518"/>
        <v>24.1203</v>
      </c>
      <c r="D568" s="126">
        <v>0</v>
      </c>
      <c r="E568" s="126">
        <f>1+23.1203</f>
        <v>24.1203</v>
      </c>
      <c r="F568" s="126">
        <v>0</v>
      </c>
      <c r="G568" s="126">
        <f>1-1</f>
        <v>0</v>
      </c>
      <c r="H568" s="126">
        <f t="shared" si="519"/>
        <v>0</v>
      </c>
      <c r="I568" s="126">
        <f t="shared" si="520"/>
        <v>0</v>
      </c>
      <c r="J568" s="126"/>
      <c r="K568" s="126"/>
      <c r="L568" s="126">
        <f t="shared" si="523"/>
        <v>0</v>
      </c>
      <c r="M568" s="126"/>
      <c r="N568" s="126"/>
      <c r="O568" s="126">
        <f t="shared" si="511"/>
        <v>0</v>
      </c>
      <c r="P568" s="126">
        <f t="shared" si="512"/>
        <v>0</v>
      </c>
      <c r="Q568" s="126"/>
      <c r="R568" s="126"/>
      <c r="S568" s="126">
        <f t="shared" si="513"/>
        <v>0</v>
      </c>
      <c r="T568" s="126"/>
      <c r="U568" s="126"/>
      <c r="V568" s="126"/>
      <c r="W568" s="126"/>
      <c r="X568" s="126"/>
      <c r="Y568" s="126"/>
      <c r="Z568" s="126"/>
      <c r="AA568" s="126"/>
      <c r="AB568" s="126"/>
      <c r="AC568" s="126"/>
      <c r="AD568" s="126"/>
      <c r="AE568" s="126"/>
      <c r="AF568" s="126"/>
      <c r="AG568" s="126"/>
      <c r="AH568" s="126"/>
      <c r="AI568" s="126">
        <f t="shared" si="515"/>
        <v>24.1203</v>
      </c>
      <c r="AJ568" s="126">
        <f t="shared" si="521"/>
        <v>0</v>
      </c>
      <c r="AK568" s="126">
        <f t="shared" si="521"/>
        <v>24.1203</v>
      </c>
      <c r="AL568" s="126">
        <f t="shared" si="522"/>
        <v>0</v>
      </c>
      <c r="AM568" s="126">
        <f t="shared" si="522"/>
        <v>0</v>
      </c>
      <c r="AN568" s="126"/>
      <c r="AO568" s="130">
        <f t="shared" si="484"/>
        <v>0</v>
      </c>
      <c r="AP568" s="116"/>
    </row>
    <row r="569" spans="1:42" s="117" customFormat="1" ht="28" collapsed="1">
      <c r="A569" s="166">
        <v>33</v>
      </c>
      <c r="B569" s="137" t="s">
        <v>792</v>
      </c>
      <c r="C569" s="126">
        <f>SUM(C570:C571)</f>
        <v>17900</v>
      </c>
      <c r="D569" s="126">
        <f t="shared" ref="D569:AM569" si="524">SUM(D570:D571)</f>
        <v>0</v>
      </c>
      <c r="E569" s="126">
        <f t="shared" si="524"/>
        <v>17900</v>
      </c>
      <c r="F569" s="126">
        <f t="shared" si="524"/>
        <v>0</v>
      </c>
      <c r="G569" s="126">
        <f t="shared" si="524"/>
        <v>0</v>
      </c>
      <c r="H569" s="126">
        <f t="shared" si="524"/>
        <v>20900</v>
      </c>
      <c r="I569" s="126">
        <f t="shared" si="524"/>
        <v>20900</v>
      </c>
      <c r="J569" s="126">
        <f t="shared" si="524"/>
        <v>0</v>
      </c>
      <c r="K569" s="126">
        <f t="shared" si="524"/>
        <v>20900</v>
      </c>
      <c r="L569" s="126">
        <f t="shared" si="524"/>
        <v>0</v>
      </c>
      <c r="M569" s="126">
        <f t="shared" si="524"/>
        <v>0</v>
      </c>
      <c r="N569" s="126">
        <f t="shared" si="524"/>
        <v>0</v>
      </c>
      <c r="O569" s="126">
        <f t="shared" si="524"/>
        <v>38490.210999999996</v>
      </c>
      <c r="P569" s="126">
        <f t="shared" si="524"/>
        <v>38490.210999999996</v>
      </c>
      <c r="Q569" s="126">
        <f t="shared" si="524"/>
        <v>0</v>
      </c>
      <c r="R569" s="126">
        <f t="shared" si="524"/>
        <v>38490.210999999996</v>
      </c>
      <c r="S569" s="126">
        <f t="shared" si="524"/>
        <v>0</v>
      </c>
      <c r="T569" s="126">
        <f t="shared" si="524"/>
        <v>0</v>
      </c>
      <c r="U569" s="126">
        <f t="shared" si="524"/>
        <v>0</v>
      </c>
      <c r="V569" s="126">
        <f t="shared" si="524"/>
        <v>0</v>
      </c>
      <c r="W569" s="126">
        <f t="shared" si="524"/>
        <v>0</v>
      </c>
      <c r="X569" s="126">
        <f t="shared" si="524"/>
        <v>0</v>
      </c>
      <c r="Y569" s="126">
        <f t="shared" si="524"/>
        <v>0</v>
      </c>
      <c r="Z569" s="126">
        <f t="shared" si="524"/>
        <v>0</v>
      </c>
      <c r="AA569" s="126">
        <f t="shared" si="524"/>
        <v>0</v>
      </c>
      <c r="AB569" s="126">
        <f t="shared" si="524"/>
        <v>0</v>
      </c>
      <c r="AC569" s="126">
        <f t="shared" si="524"/>
        <v>0</v>
      </c>
      <c r="AD569" s="126">
        <f t="shared" si="524"/>
        <v>0</v>
      </c>
      <c r="AE569" s="126">
        <f t="shared" si="524"/>
        <v>0</v>
      </c>
      <c r="AF569" s="126">
        <f t="shared" si="524"/>
        <v>0</v>
      </c>
      <c r="AG569" s="126">
        <f t="shared" si="524"/>
        <v>0</v>
      </c>
      <c r="AH569" s="126">
        <f t="shared" si="524"/>
        <v>0</v>
      </c>
      <c r="AI569" s="126">
        <f t="shared" si="524"/>
        <v>309.78899999999999</v>
      </c>
      <c r="AJ569" s="126">
        <f t="shared" si="524"/>
        <v>0</v>
      </c>
      <c r="AK569" s="126">
        <f t="shared" si="524"/>
        <v>309.78899999999999</v>
      </c>
      <c r="AL569" s="126">
        <f t="shared" si="524"/>
        <v>0</v>
      </c>
      <c r="AM569" s="126">
        <f t="shared" si="524"/>
        <v>0</v>
      </c>
      <c r="AN569" s="126"/>
      <c r="AO569" s="130">
        <f t="shared" si="484"/>
        <v>4.3200998334214091E-12</v>
      </c>
      <c r="AP569" s="116"/>
    </row>
    <row r="570" spans="1:42" s="117" customFormat="1" ht="15.75" hidden="1" customHeight="1" outlineLevel="1">
      <c r="A570" s="166"/>
      <c r="B570" s="137" t="s">
        <v>681</v>
      </c>
      <c r="C570" s="126">
        <f>SUM(D570:G570)</f>
        <v>17900</v>
      </c>
      <c r="D570" s="126">
        <v>0</v>
      </c>
      <c r="E570" s="126">
        <f>17900</f>
        <v>17900</v>
      </c>
      <c r="F570" s="126">
        <v>0</v>
      </c>
      <c r="G570" s="126">
        <v>0</v>
      </c>
      <c r="H570" s="126">
        <f>I570+L570</f>
        <v>20590.210999999999</v>
      </c>
      <c r="I570" s="126">
        <f>J570+K570</f>
        <v>20590.210999999999</v>
      </c>
      <c r="J570" s="126"/>
      <c r="K570" s="126">
        <f>20900-309.789</f>
        <v>20590.210999999999</v>
      </c>
      <c r="L570" s="126"/>
      <c r="M570" s="126"/>
      <c r="N570" s="126"/>
      <c r="O570" s="126">
        <f t="shared" ref="O570:O576" si="525">P570+S570</f>
        <v>38490.210999999996</v>
      </c>
      <c r="P570" s="126">
        <f t="shared" ref="P570:P576" si="526">Q570+R570</f>
        <v>38490.210999999996</v>
      </c>
      <c r="Q570" s="126"/>
      <c r="R570" s="126">
        <f>E570+K570</f>
        <v>38490.210999999996</v>
      </c>
      <c r="S570" s="126">
        <f t="shared" ref="S570:S576" si="527">T570+U570</f>
        <v>0</v>
      </c>
      <c r="T570" s="126"/>
      <c r="U570" s="126"/>
      <c r="V570" s="126">
        <f>W570+Z570+AC570+AF570</f>
        <v>0</v>
      </c>
      <c r="W570" s="126">
        <f>X570+Y570</f>
        <v>0</v>
      </c>
      <c r="X570" s="126"/>
      <c r="Y570" s="126"/>
      <c r="Z570" s="126"/>
      <c r="AA570" s="126"/>
      <c r="AB570" s="126"/>
      <c r="AC570" s="126">
        <f>AD570+AE570</f>
        <v>0</v>
      </c>
      <c r="AD570" s="126"/>
      <c r="AE570" s="126"/>
      <c r="AF570" s="126">
        <f>AG570+AH570</f>
        <v>0</v>
      </c>
      <c r="AG570" s="126"/>
      <c r="AH570" s="126"/>
      <c r="AI570" s="126">
        <f t="shared" ref="AI570:AI576" si="528">SUM(AJ570:AM570)</f>
        <v>0</v>
      </c>
      <c r="AJ570" s="126">
        <f>D570+J570-Q570-X570-AD570</f>
        <v>0</v>
      </c>
      <c r="AK570" s="126">
        <f>E570+K570-R570-Y570-AE570</f>
        <v>0</v>
      </c>
      <c r="AL570" s="126">
        <f>F570+M570-T570-AA570-AG570</f>
        <v>0</v>
      </c>
      <c r="AM570" s="126">
        <f>G570+N570-U570-AB570-AH570</f>
        <v>0</v>
      </c>
      <c r="AN570" s="126"/>
      <c r="AO570" s="130">
        <f t="shared" si="484"/>
        <v>0</v>
      </c>
      <c r="AP570" s="116"/>
    </row>
    <row r="571" spans="1:42" s="117" customFormat="1" ht="14" hidden="1" outlineLevel="1">
      <c r="A571" s="166"/>
      <c r="B571" s="137" t="s">
        <v>604</v>
      </c>
      <c r="C571" s="126">
        <f>SUM(D571:G571)</f>
        <v>0</v>
      </c>
      <c r="D571" s="126">
        <v>0</v>
      </c>
      <c r="E571" s="126"/>
      <c r="F571" s="126">
        <v>0</v>
      </c>
      <c r="G571" s="126">
        <v>0</v>
      </c>
      <c r="H571" s="126">
        <f>I571+L571</f>
        <v>309.78899999999999</v>
      </c>
      <c r="I571" s="126">
        <f>J571+K571</f>
        <v>309.78899999999999</v>
      </c>
      <c r="J571" s="126"/>
      <c r="K571" s="126">
        <f>309.789</f>
        <v>309.78899999999999</v>
      </c>
      <c r="L571" s="126"/>
      <c r="M571" s="126"/>
      <c r="N571" s="126"/>
      <c r="O571" s="126">
        <f t="shared" si="525"/>
        <v>0</v>
      </c>
      <c r="P571" s="126">
        <f t="shared" si="526"/>
        <v>0</v>
      </c>
      <c r="Q571" s="126"/>
      <c r="R571" s="126"/>
      <c r="S571" s="126">
        <f t="shared" si="527"/>
        <v>0</v>
      </c>
      <c r="T571" s="126"/>
      <c r="U571" s="126"/>
      <c r="V571" s="126">
        <f>W571+Z571+AC571+AF571</f>
        <v>0</v>
      </c>
      <c r="W571" s="126">
        <f>X571+Y571</f>
        <v>0</v>
      </c>
      <c r="X571" s="126"/>
      <c r="Y571" s="126"/>
      <c r="Z571" s="126"/>
      <c r="AA571" s="126"/>
      <c r="AB571" s="126"/>
      <c r="AC571" s="126">
        <f>AD571+AE571</f>
        <v>0</v>
      </c>
      <c r="AD571" s="126"/>
      <c r="AE571" s="126"/>
      <c r="AF571" s="126">
        <f>AG571+AH571</f>
        <v>0</v>
      </c>
      <c r="AG571" s="126"/>
      <c r="AH571" s="126"/>
      <c r="AI571" s="126">
        <f t="shared" ref="AI571" si="529">SUM(AJ571:AM571)</f>
        <v>309.78899999999999</v>
      </c>
      <c r="AJ571" s="126">
        <f>D571+J571-Q571-X571-AD571</f>
        <v>0</v>
      </c>
      <c r="AK571" s="126">
        <f>E571+K571-R571-Y571-AE571</f>
        <v>309.78899999999999</v>
      </c>
      <c r="AL571" s="126">
        <f>F571+M571-T571-AA571-AG571</f>
        <v>0</v>
      </c>
      <c r="AM571" s="126">
        <f>G571+N571-U571-AB571-AH571</f>
        <v>0</v>
      </c>
      <c r="AN571" s="126"/>
      <c r="AO571" s="130">
        <f t="shared" si="484"/>
        <v>0</v>
      </c>
      <c r="AP571" s="116"/>
    </row>
    <row r="572" spans="1:42" s="117" customFormat="1" ht="14" collapsed="1">
      <c r="A572" s="136">
        <v>34</v>
      </c>
      <c r="B572" s="137" t="s">
        <v>793</v>
      </c>
      <c r="C572" s="126">
        <f>C573+C574</f>
        <v>1000</v>
      </c>
      <c r="D572" s="126">
        <f t="shared" ref="D572:AM572" si="530">D573+D574</f>
        <v>0</v>
      </c>
      <c r="E572" s="126">
        <f t="shared" si="530"/>
        <v>1000</v>
      </c>
      <c r="F572" s="126">
        <f t="shared" si="530"/>
        <v>0</v>
      </c>
      <c r="G572" s="126">
        <f t="shared" si="530"/>
        <v>0</v>
      </c>
      <c r="H572" s="126">
        <f t="shared" si="530"/>
        <v>290</v>
      </c>
      <c r="I572" s="126">
        <f t="shared" si="530"/>
        <v>290</v>
      </c>
      <c r="J572" s="126">
        <f t="shared" si="530"/>
        <v>0</v>
      </c>
      <c r="K572" s="126">
        <f t="shared" si="530"/>
        <v>290</v>
      </c>
      <c r="L572" s="126">
        <f t="shared" si="530"/>
        <v>0</v>
      </c>
      <c r="M572" s="126">
        <f t="shared" si="530"/>
        <v>0</v>
      </c>
      <c r="N572" s="126">
        <f t="shared" si="530"/>
        <v>0</v>
      </c>
      <c r="O572" s="126">
        <f t="shared" si="530"/>
        <v>265.19</v>
      </c>
      <c r="P572" s="126">
        <f t="shared" si="530"/>
        <v>265.19</v>
      </c>
      <c r="Q572" s="126">
        <f t="shared" si="530"/>
        <v>0</v>
      </c>
      <c r="R572" s="126">
        <f t="shared" si="530"/>
        <v>265.19</v>
      </c>
      <c r="S572" s="126">
        <f t="shared" si="530"/>
        <v>0</v>
      </c>
      <c r="T572" s="126">
        <f t="shared" si="530"/>
        <v>0</v>
      </c>
      <c r="U572" s="126">
        <f t="shared" si="530"/>
        <v>0</v>
      </c>
      <c r="V572" s="126">
        <f t="shared" si="530"/>
        <v>0</v>
      </c>
      <c r="W572" s="126">
        <f t="shared" si="530"/>
        <v>0</v>
      </c>
      <c r="X572" s="126">
        <f t="shared" si="530"/>
        <v>0</v>
      </c>
      <c r="Y572" s="126">
        <f t="shared" si="530"/>
        <v>0</v>
      </c>
      <c r="Z572" s="126">
        <f t="shared" si="530"/>
        <v>0</v>
      </c>
      <c r="AA572" s="126">
        <f t="shared" si="530"/>
        <v>0</v>
      </c>
      <c r="AB572" s="126">
        <f t="shared" si="530"/>
        <v>0</v>
      </c>
      <c r="AC572" s="126">
        <f t="shared" si="530"/>
        <v>0</v>
      </c>
      <c r="AD572" s="126">
        <f t="shared" si="530"/>
        <v>0</v>
      </c>
      <c r="AE572" s="126">
        <f t="shared" si="530"/>
        <v>0</v>
      </c>
      <c r="AF572" s="126">
        <f t="shared" si="530"/>
        <v>0</v>
      </c>
      <c r="AG572" s="126">
        <f t="shared" si="530"/>
        <v>0</v>
      </c>
      <c r="AH572" s="126">
        <f t="shared" si="530"/>
        <v>0</v>
      </c>
      <c r="AI572" s="126">
        <f t="shared" si="530"/>
        <v>1024.81</v>
      </c>
      <c r="AJ572" s="126">
        <f t="shared" si="530"/>
        <v>0</v>
      </c>
      <c r="AK572" s="126">
        <f t="shared" si="530"/>
        <v>1024.81</v>
      </c>
      <c r="AL572" s="126">
        <f t="shared" si="530"/>
        <v>0</v>
      </c>
      <c r="AM572" s="126">
        <f t="shared" si="530"/>
        <v>0</v>
      </c>
      <c r="AN572" s="126"/>
      <c r="AO572" s="130">
        <f t="shared" si="484"/>
        <v>0</v>
      </c>
      <c r="AP572" s="116"/>
    </row>
    <row r="573" spans="1:42" s="117" customFormat="1" ht="14" hidden="1" outlineLevel="1">
      <c r="A573" s="136"/>
      <c r="B573" s="137" t="s">
        <v>593</v>
      </c>
      <c r="C573" s="126">
        <f>SUM(D573:G573)</f>
        <v>0</v>
      </c>
      <c r="D573" s="126">
        <v>0</v>
      </c>
      <c r="E573" s="126">
        <f>1000-1000</f>
        <v>0</v>
      </c>
      <c r="F573" s="126">
        <v>0</v>
      </c>
      <c r="G573" s="126">
        <v>0</v>
      </c>
      <c r="H573" s="126">
        <f>I573+L573</f>
        <v>265.19</v>
      </c>
      <c r="I573" s="126">
        <f>J573+K573</f>
        <v>265.19</v>
      </c>
      <c r="J573" s="126"/>
      <c r="K573" s="126">
        <f>290-24.81</f>
        <v>265.19</v>
      </c>
      <c r="L573" s="126"/>
      <c r="M573" s="126"/>
      <c r="N573" s="126"/>
      <c r="O573" s="126">
        <f t="shared" si="525"/>
        <v>265.19</v>
      </c>
      <c r="P573" s="126">
        <f t="shared" si="526"/>
        <v>265.19</v>
      </c>
      <c r="Q573" s="126"/>
      <c r="R573" s="126">
        <v>265.19</v>
      </c>
      <c r="S573" s="126">
        <f t="shared" si="527"/>
        <v>0</v>
      </c>
      <c r="T573" s="126"/>
      <c r="U573" s="126"/>
      <c r="V573" s="126"/>
      <c r="W573" s="126"/>
      <c r="X573" s="126"/>
      <c r="Y573" s="126"/>
      <c r="Z573" s="126"/>
      <c r="AA573" s="126"/>
      <c r="AB573" s="126"/>
      <c r="AC573" s="126"/>
      <c r="AD573" s="126"/>
      <c r="AE573" s="126"/>
      <c r="AF573" s="126"/>
      <c r="AG573" s="126"/>
      <c r="AH573" s="126"/>
      <c r="AI573" s="126">
        <f t="shared" si="528"/>
        <v>0</v>
      </c>
      <c r="AJ573" s="126">
        <f>D573+J573-Q573-X573-AD573</f>
        <v>0</v>
      </c>
      <c r="AK573" s="126">
        <f>E573+K573-R573-Y573-AE573</f>
        <v>0</v>
      </c>
      <c r="AL573" s="126">
        <f>F573+M573-T573-AA573-AG573</f>
        <v>0</v>
      </c>
      <c r="AM573" s="126">
        <f>G573+N573-U573-AB573-AH573</f>
        <v>0</v>
      </c>
      <c r="AN573" s="126"/>
      <c r="AO573" s="130">
        <f t="shared" si="484"/>
        <v>0</v>
      </c>
      <c r="AP573" s="116"/>
    </row>
    <row r="574" spans="1:42" s="117" customFormat="1" ht="14" hidden="1" outlineLevel="1">
      <c r="A574" s="136"/>
      <c r="B574" s="137" t="s">
        <v>604</v>
      </c>
      <c r="C574" s="126">
        <f>SUM(D574:G574)</f>
        <v>1000</v>
      </c>
      <c r="D574" s="126"/>
      <c r="E574" s="126">
        <f>1000</f>
        <v>1000</v>
      </c>
      <c r="F574" s="126"/>
      <c r="G574" s="126"/>
      <c r="H574" s="126">
        <f>I574+L574</f>
        <v>24.81</v>
      </c>
      <c r="I574" s="126">
        <f>J574+K574</f>
        <v>24.81</v>
      </c>
      <c r="J574" s="126"/>
      <c r="K574" s="126">
        <f>24.81</f>
        <v>24.81</v>
      </c>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f t="shared" ref="AI574" si="531">SUM(AJ574:AM574)</f>
        <v>1024.81</v>
      </c>
      <c r="AJ574" s="126">
        <f>D574+J574-Q574-X574-AD574</f>
        <v>0</v>
      </c>
      <c r="AK574" s="126">
        <f>E574+K574-R574-Y574-AE574</f>
        <v>1024.81</v>
      </c>
      <c r="AL574" s="126">
        <f>F574+M574-T574-AA574-AG574</f>
        <v>0</v>
      </c>
      <c r="AM574" s="126">
        <f>G574+N574-U574-AB574-AH574</f>
        <v>0</v>
      </c>
      <c r="AN574" s="126"/>
      <c r="AO574" s="130">
        <f t="shared" si="484"/>
        <v>0</v>
      </c>
      <c r="AP574" s="116"/>
    </row>
    <row r="575" spans="1:42" s="117" customFormat="1" ht="28" collapsed="1">
      <c r="A575" s="136">
        <v>35</v>
      </c>
      <c r="B575" s="137" t="s">
        <v>794</v>
      </c>
      <c r="C575" s="126">
        <f>C576+C577</f>
        <v>700</v>
      </c>
      <c r="D575" s="126">
        <f t="shared" ref="D575:AM575" si="532">D576+D577</f>
        <v>0</v>
      </c>
      <c r="E575" s="126">
        <f t="shared" si="532"/>
        <v>700</v>
      </c>
      <c r="F575" s="126">
        <f t="shared" si="532"/>
        <v>0</v>
      </c>
      <c r="G575" s="126">
        <f t="shared" si="532"/>
        <v>0</v>
      </c>
      <c r="H575" s="126">
        <f t="shared" si="532"/>
        <v>400</v>
      </c>
      <c r="I575" s="126">
        <f t="shared" si="532"/>
        <v>400</v>
      </c>
      <c r="J575" s="126">
        <f t="shared" si="532"/>
        <v>0</v>
      </c>
      <c r="K575" s="126">
        <f t="shared" si="532"/>
        <v>400</v>
      </c>
      <c r="L575" s="126">
        <f t="shared" si="532"/>
        <v>0</v>
      </c>
      <c r="M575" s="126">
        <f t="shared" si="532"/>
        <v>0</v>
      </c>
      <c r="N575" s="126">
        <f t="shared" si="532"/>
        <v>0</v>
      </c>
      <c r="O575" s="126">
        <f t="shared" si="532"/>
        <v>1072.54</v>
      </c>
      <c r="P575" s="126">
        <f t="shared" si="532"/>
        <v>1072.54</v>
      </c>
      <c r="Q575" s="126">
        <f t="shared" si="532"/>
        <v>0</v>
      </c>
      <c r="R575" s="126">
        <f t="shared" si="532"/>
        <v>1072.54</v>
      </c>
      <c r="S575" s="126">
        <f t="shared" si="532"/>
        <v>0</v>
      </c>
      <c r="T575" s="126">
        <f t="shared" si="532"/>
        <v>0</v>
      </c>
      <c r="U575" s="126">
        <f t="shared" si="532"/>
        <v>0</v>
      </c>
      <c r="V575" s="126">
        <f t="shared" si="532"/>
        <v>0</v>
      </c>
      <c r="W575" s="126">
        <f t="shared" si="532"/>
        <v>0</v>
      </c>
      <c r="X575" s="126">
        <f t="shared" si="532"/>
        <v>0</v>
      </c>
      <c r="Y575" s="126">
        <f t="shared" si="532"/>
        <v>0</v>
      </c>
      <c r="Z575" s="126">
        <f t="shared" si="532"/>
        <v>0</v>
      </c>
      <c r="AA575" s="126">
        <f t="shared" si="532"/>
        <v>0</v>
      </c>
      <c r="AB575" s="126">
        <f t="shared" si="532"/>
        <v>0</v>
      </c>
      <c r="AC575" s="126">
        <f t="shared" si="532"/>
        <v>0</v>
      </c>
      <c r="AD575" s="126">
        <f t="shared" si="532"/>
        <v>0</v>
      </c>
      <c r="AE575" s="126">
        <f t="shared" si="532"/>
        <v>0</v>
      </c>
      <c r="AF575" s="126">
        <f t="shared" si="532"/>
        <v>0</v>
      </c>
      <c r="AG575" s="126">
        <f t="shared" si="532"/>
        <v>0</v>
      </c>
      <c r="AH575" s="126">
        <f t="shared" si="532"/>
        <v>0</v>
      </c>
      <c r="AI575" s="126">
        <f t="shared" si="532"/>
        <v>27.46</v>
      </c>
      <c r="AJ575" s="126">
        <f t="shared" si="532"/>
        <v>0</v>
      </c>
      <c r="AK575" s="126">
        <f t="shared" si="532"/>
        <v>27.46</v>
      </c>
      <c r="AL575" s="126">
        <f t="shared" si="532"/>
        <v>0</v>
      </c>
      <c r="AM575" s="126">
        <f t="shared" si="532"/>
        <v>0</v>
      </c>
      <c r="AN575" s="126"/>
      <c r="AO575" s="130">
        <f t="shared" si="484"/>
        <v>3.5527136788005009E-14</v>
      </c>
      <c r="AP575" s="116"/>
    </row>
    <row r="576" spans="1:42" s="117" customFormat="1" ht="14" hidden="1" outlineLevel="1">
      <c r="A576" s="136"/>
      <c r="B576" s="137" t="s">
        <v>795</v>
      </c>
      <c r="C576" s="126">
        <f>SUM(D576:G576)</f>
        <v>672.54</v>
      </c>
      <c r="D576" s="126">
        <v>0</v>
      </c>
      <c r="E576" s="126">
        <f>700-27.46</f>
        <v>672.54</v>
      </c>
      <c r="F576" s="126">
        <v>0</v>
      </c>
      <c r="G576" s="126">
        <v>0</v>
      </c>
      <c r="H576" s="126">
        <f>I576+L576</f>
        <v>400</v>
      </c>
      <c r="I576" s="126">
        <f>J576+K576</f>
        <v>400</v>
      </c>
      <c r="J576" s="126"/>
      <c r="K576" s="126">
        <v>400</v>
      </c>
      <c r="L576" s="126"/>
      <c r="M576" s="126"/>
      <c r="N576" s="126"/>
      <c r="O576" s="126">
        <f t="shared" si="525"/>
        <v>1072.54</v>
      </c>
      <c r="P576" s="126">
        <f t="shared" si="526"/>
        <v>1072.54</v>
      </c>
      <c r="Q576" s="126"/>
      <c r="R576" s="126">
        <f>1072.54</f>
        <v>1072.54</v>
      </c>
      <c r="S576" s="126">
        <f t="shared" si="527"/>
        <v>0</v>
      </c>
      <c r="T576" s="126"/>
      <c r="U576" s="126"/>
      <c r="V576" s="126"/>
      <c r="W576" s="126"/>
      <c r="X576" s="126"/>
      <c r="Y576" s="126"/>
      <c r="Z576" s="126"/>
      <c r="AA576" s="126"/>
      <c r="AB576" s="126"/>
      <c r="AC576" s="126"/>
      <c r="AD576" s="126"/>
      <c r="AE576" s="126"/>
      <c r="AF576" s="126"/>
      <c r="AG576" s="126"/>
      <c r="AH576" s="126"/>
      <c r="AI576" s="126">
        <f t="shared" si="528"/>
        <v>0</v>
      </c>
      <c r="AJ576" s="126">
        <f>D576+J576-Q576-X576-AD576</f>
        <v>0</v>
      </c>
      <c r="AK576" s="126">
        <f>E576+K576-R576-Y576-AE576</f>
        <v>0</v>
      </c>
      <c r="AL576" s="126">
        <f>F576+M576-T576-AA576-AG576</f>
        <v>0</v>
      </c>
      <c r="AM576" s="126">
        <f>G576+N576-U576-AB576-AH576</f>
        <v>0</v>
      </c>
      <c r="AN576" s="126"/>
      <c r="AO576" s="130">
        <f t="shared" si="484"/>
        <v>0</v>
      </c>
      <c r="AP576" s="116"/>
    </row>
    <row r="577" spans="1:42" s="117" customFormat="1" ht="14" hidden="1" outlineLevel="1">
      <c r="A577" s="136"/>
      <c r="B577" s="137" t="s">
        <v>604</v>
      </c>
      <c r="C577" s="126">
        <f>SUM(D577:G577)</f>
        <v>27.46</v>
      </c>
      <c r="D577" s="126"/>
      <c r="E577" s="126">
        <f>27.46</f>
        <v>27.46</v>
      </c>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f t="shared" ref="AI577" si="533">SUM(AJ577:AM577)</f>
        <v>27.46</v>
      </c>
      <c r="AJ577" s="126">
        <f>D577+J577-Q577-X577-AD577</f>
        <v>0</v>
      </c>
      <c r="AK577" s="126">
        <f>E577+K577-R577-Y577-AE577</f>
        <v>27.46</v>
      </c>
      <c r="AL577" s="126">
        <f>F577+M577-T577-AA577-AG577</f>
        <v>0</v>
      </c>
      <c r="AM577" s="126">
        <f>G577+N577-U577-AB577-AH577</f>
        <v>0</v>
      </c>
      <c r="AN577" s="126"/>
      <c r="AO577" s="130">
        <f t="shared" si="484"/>
        <v>0</v>
      </c>
      <c r="AP577" s="116"/>
    </row>
    <row r="578" spans="1:42" s="132" customFormat="1" ht="14" collapsed="1">
      <c r="A578" s="192" t="s">
        <v>796</v>
      </c>
      <c r="B578" s="150" t="s">
        <v>597</v>
      </c>
      <c r="C578" s="145">
        <f>C579+C591+C593+C595+C605+C607+C612+C618+C627+C638</f>
        <v>28571.559700000002</v>
      </c>
      <c r="D578" s="145">
        <f t="shared" ref="D578:AM578" si="534">D579+D591+D593+D595+D605+D607+D612+D618+D627+D638</f>
        <v>0</v>
      </c>
      <c r="E578" s="145">
        <f t="shared" si="534"/>
        <v>28571.1597</v>
      </c>
      <c r="F578" s="145">
        <f t="shared" si="534"/>
        <v>0</v>
      </c>
      <c r="G578" s="145">
        <f t="shared" si="534"/>
        <v>0.39999999999997726</v>
      </c>
      <c r="H578" s="145">
        <f t="shared" si="534"/>
        <v>46884</v>
      </c>
      <c r="I578" s="145">
        <f t="shared" si="534"/>
        <v>38749</v>
      </c>
      <c r="J578" s="145">
        <f t="shared" si="534"/>
        <v>0</v>
      </c>
      <c r="K578" s="145">
        <f t="shared" si="534"/>
        <v>38749</v>
      </c>
      <c r="L578" s="145">
        <f t="shared" si="534"/>
        <v>8135</v>
      </c>
      <c r="M578" s="145">
        <f t="shared" si="534"/>
        <v>0</v>
      </c>
      <c r="N578" s="145">
        <f t="shared" si="534"/>
        <v>8135</v>
      </c>
      <c r="O578" s="145">
        <f t="shared" si="534"/>
        <v>73604.000999999989</v>
      </c>
      <c r="P578" s="145">
        <f t="shared" si="534"/>
        <v>65912.212</v>
      </c>
      <c r="Q578" s="145">
        <f t="shared" si="534"/>
        <v>0</v>
      </c>
      <c r="R578" s="145">
        <f t="shared" si="534"/>
        <v>65912.212</v>
      </c>
      <c r="S578" s="145">
        <f t="shared" si="534"/>
        <v>7691.7889999999998</v>
      </c>
      <c r="T578" s="145">
        <f t="shared" si="534"/>
        <v>0</v>
      </c>
      <c r="U578" s="145">
        <f t="shared" si="534"/>
        <v>7691.7889999999998</v>
      </c>
      <c r="V578" s="145">
        <f t="shared" si="534"/>
        <v>71.15969999999993</v>
      </c>
      <c r="W578" s="145">
        <f t="shared" si="534"/>
        <v>71.15969999999993</v>
      </c>
      <c r="X578" s="145">
        <f t="shared" si="534"/>
        <v>0</v>
      </c>
      <c r="Y578" s="145">
        <f t="shared" si="534"/>
        <v>71.15969999999993</v>
      </c>
      <c r="Z578" s="145">
        <f t="shared" si="534"/>
        <v>0</v>
      </c>
      <c r="AA578" s="145">
        <f t="shared" si="534"/>
        <v>0</v>
      </c>
      <c r="AB578" s="145">
        <f t="shared" si="534"/>
        <v>0</v>
      </c>
      <c r="AC578" s="145">
        <f t="shared" si="534"/>
        <v>0</v>
      </c>
      <c r="AD578" s="145">
        <f t="shared" si="534"/>
        <v>0</v>
      </c>
      <c r="AE578" s="145">
        <f t="shared" si="534"/>
        <v>0</v>
      </c>
      <c r="AF578" s="145">
        <f t="shared" si="534"/>
        <v>0</v>
      </c>
      <c r="AG578" s="145">
        <f t="shared" si="534"/>
        <v>0</v>
      </c>
      <c r="AH578" s="145">
        <f t="shared" si="534"/>
        <v>0</v>
      </c>
      <c r="AI578" s="145">
        <f t="shared" si="534"/>
        <v>1780.3990000000003</v>
      </c>
      <c r="AJ578" s="145">
        <f t="shared" si="534"/>
        <v>0</v>
      </c>
      <c r="AK578" s="145">
        <f t="shared" si="534"/>
        <v>1336.7880000000005</v>
      </c>
      <c r="AL578" s="145">
        <f t="shared" si="534"/>
        <v>0</v>
      </c>
      <c r="AM578" s="145">
        <f t="shared" si="534"/>
        <v>443.61099999999999</v>
      </c>
      <c r="AN578" s="145"/>
      <c r="AO578" s="130">
        <f t="shared" si="484"/>
        <v>8.4128259913995862E-12</v>
      </c>
      <c r="AP578" s="131"/>
    </row>
    <row r="579" spans="1:42" s="117" customFormat="1" ht="28">
      <c r="A579" s="136">
        <v>1</v>
      </c>
      <c r="B579" s="137" t="s">
        <v>506</v>
      </c>
      <c r="C579" s="126">
        <f t="shared" ref="C579:AM579" si="535">SUM(C580:C590)</f>
        <v>0</v>
      </c>
      <c r="D579" s="126">
        <f t="shared" si="535"/>
        <v>0</v>
      </c>
      <c r="E579" s="126">
        <f t="shared" si="535"/>
        <v>0</v>
      </c>
      <c r="F579" s="126">
        <f t="shared" si="535"/>
        <v>0</v>
      </c>
      <c r="G579" s="126">
        <f t="shared" si="535"/>
        <v>0</v>
      </c>
      <c r="H579" s="126">
        <f t="shared" si="535"/>
        <v>9661</v>
      </c>
      <c r="I579" s="126">
        <f t="shared" si="535"/>
        <v>9226</v>
      </c>
      <c r="J579" s="126">
        <f t="shared" si="535"/>
        <v>0</v>
      </c>
      <c r="K579" s="126">
        <f t="shared" si="535"/>
        <v>9226</v>
      </c>
      <c r="L579" s="126">
        <f t="shared" si="535"/>
        <v>435</v>
      </c>
      <c r="M579" s="126">
        <f t="shared" si="535"/>
        <v>0</v>
      </c>
      <c r="N579" s="126">
        <f t="shared" si="535"/>
        <v>435</v>
      </c>
      <c r="O579" s="126">
        <f t="shared" si="535"/>
        <v>9427</v>
      </c>
      <c r="P579" s="126">
        <f t="shared" si="535"/>
        <v>9226</v>
      </c>
      <c r="Q579" s="126">
        <f t="shared" si="535"/>
        <v>0</v>
      </c>
      <c r="R579" s="126">
        <f t="shared" si="535"/>
        <v>9226</v>
      </c>
      <c r="S579" s="126">
        <f t="shared" si="535"/>
        <v>201</v>
      </c>
      <c r="T579" s="126">
        <f t="shared" si="535"/>
        <v>0</v>
      </c>
      <c r="U579" s="126">
        <f t="shared" si="535"/>
        <v>201</v>
      </c>
      <c r="V579" s="126">
        <f t="shared" si="535"/>
        <v>0</v>
      </c>
      <c r="W579" s="126">
        <f t="shared" si="535"/>
        <v>0</v>
      </c>
      <c r="X579" s="126">
        <f t="shared" si="535"/>
        <v>0</v>
      </c>
      <c r="Y579" s="126">
        <f t="shared" si="535"/>
        <v>0</v>
      </c>
      <c r="Z579" s="126">
        <f t="shared" si="535"/>
        <v>0</v>
      </c>
      <c r="AA579" s="126">
        <f t="shared" si="535"/>
        <v>0</v>
      </c>
      <c r="AB579" s="126">
        <f t="shared" si="535"/>
        <v>0</v>
      </c>
      <c r="AC579" s="126">
        <f t="shared" si="535"/>
        <v>0</v>
      </c>
      <c r="AD579" s="126">
        <f t="shared" si="535"/>
        <v>0</v>
      </c>
      <c r="AE579" s="126">
        <f t="shared" si="535"/>
        <v>0</v>
      </c>
      <c r="AF579" s="126">
        <f t="shared" si="535"/>
        <v>0</v>
      </c>
      <c r="AG579" s="126">
        <f t="shared" si="535"/>
        <v>0</v>
      </c>
      <c r="AH579" s="126">
        <f t="shared" si="535"/>
        <v>0</v>
      </c>
      <c r="AI579" s="126">
        <f t="shared" si="535"/>
        <v>234</v>
      </c>
      <c r="AJ579" s="126">
        <f t="shared" si="535"/>
        <v>0</v>
      </c>
      <c r="AK579" s="126">
        <f t="shared" si="535"/>
        <v>0</v>
      </c>
      <c r="AL579" s="126">
        <f t="shared" si="535"/>
        <v>0</v>
      </c>
      <c r="AM579" s="126">
        <f t="shared" si="535"/>
        <v>234</v>
      </c>
      <c r="AN579" s="126"/>
      <c r="AO579" s="130">
        <f t="shared" si="484"/>
        <v>0</v>
      </c>
      <c r="AP579" s="116"/>
    </row>
    <row r="580" spans="1:42" s="117" customFormat="1" ht="14" hidden="1" outlineLevel="1">
      <c r="A580" s="136"/>
      <c r="B580" s="137" t="s">
        <v>797</v>
      </c>
      <c r="C580" s="126">
        <f>SUM(D580:G580)</f>
        <v>0</v>
      </c>
      <c r="D580" s="126">
        <v>0</v>
      </c>
      <c r="E580" s="126"/>
      <c r="F580" s="126">
        <v>0</v>
      </c>
      <c r="G580" s="126">
        <v>0</v>
      </c>
      <c r="H580" s="126">
        <f>I580+L580</f>
        <v>2438</v>
      </c>
      <c r="I580" s="126">
        <f t="shared" ref="I580:I590" si="536">J580+K580</f>
        <v>2438</v>
      </c>
      <c r="J580" s="126"/>
      <c r="K580" s="126">
        <f>2438</f>
        <v>2438</v>
      </c>
      <c r="L580" s="126">
        <f t="shared" ref="L580:L590" si="537">M580+N580</f>
        <v>0</v>
      </c>
      <c r="M580" s="126"/>
      <c r="N580" s="126"/>
      <c r="O580" s="126">
        <f>P580+S580</f>
        <v>2438</v>
      </c>
      <c r="P580" s="126">
        <f>Q580+R580</f>
        <v>2438</v>
      </c>
      <c r="Q580" s="126"/>
      <c r="R580" s="126">
        <f>2438</f>
        <v>2438</v>
      </c>
      <c r="S580" s="126">
        <f>T580+U580</f>
        <v>0</v>
      </c>
      <c r="T580" s="126"/>
      <c r="U580" s="126"/>
      <c r="V580" s="126"/>
      <c r="W580" s="126"/>
      <c r="X580" s="126"/>
      <c r="Y580" s="126"/>
      <c r="Z580" s="126"/>
      <c r="AA580" s="126"/>
      <c r="AB580" s="126"/>
      <c r="AC580" s="126"/>
      <c r="AD580" s="126"/>
      <c r="AE580" s="126"/>
      <c r="AF580" s="126"/>
      <c r="AG580" s="126"/>
      <c r="AH580" s="126"/>
      <c r="AI580" s="126">
        <f>SUM(AJ580:AM580)</f>
        <v>0</v>
      </c>
      <c r="AJ580" s="126">
        <f>D580+J580-Q580-X580-AD580</f>
        <v>0</v>
      </c>
      <c r="AK580" s="126">
        <f>E580+K580-R580-Y580-AE580</f>
        <v>0</v>
      </c>
      <c r="AL580" s="126">
        <f>F580+M580-T580-AA580-AG580</f>
        <v>0</v>
      </c>
      <c r="AM580" s="126">
        <f>G580+N580-U580-AB580-AH580</f>
        <v>0</v>
      </c>
      <c r="AN580" s="126"/>
      <c r="AO580" s="130">
        <f t="shared" si="484"/>
        <v>0</v>
      </c>
      <c r="AP580" s="116"/>
    </row>
    <row r="581" spans="1:42" s="117" customFormat="1" ht="14" hidden="1" outlineLevel="1">
      <c r="A581" s="136"/>
      <c r="B581" s="137" t="s">
        <v>561</v>
      </c>
      <c r="C581" s="126">
        <f t="shared" ref="C581:C589" si="538">SUM(D581:G581)</f>
        <v>0</v>
      </c>
      <c r="D581" s="126">
        <v>0</v>
      </c>
      <c r="E581" s="126"/>
      <c r="F581" s="126">
        <v>0</v>
      </c>
      <c r="G581" s="126">
        <v>0</v>
      </c>
      <c r="H581" s="126">
        <f t="shared" ref="H581:H589" si="539">I581+L581</f>
        <v>30</v>
      </c>
      <c r="I581" s="126">
        <f t="shared" si="536"/>
        <v>0</v>
      </c>
      <c r="J581" s="126"/>
      <c r="K581" s="126"/>
      <c r="L581" s="126">
        <f t="shared" si="537"/>
        <v>30</v>
      </c>
      <c r="M581" s="126"/>
      <c r="N581" s="126">
        <v>30</v>
      </c>
      <c r="O581" s="126">
        <f t="shared" ref="O581:O589" si="540">P581+S581</f>
        <v>30</v>
      </c>
      <c r="P581" s="126">
        <f t="shared" ref="P581:P589" si="541">Q581+R581</f>
        <v>0</v>
      </c>
      <c r="Q581" s="126"/>
      <c r="R581" s="126"/>
      <c r="S581" s="126">
        <f t="shared" ref="S581:S589" si="542">T581+U581</f>
        <v>30</v>
      </c>
      <c r="T581" s="126"/>
      <c r="U581" s="126">
        <f>N581</f>
        <v>30</v>
      </c>
      <c r="V581" s="126"/>
      <c r="W581" s="126"/>
      <c r="X581" s="126"/>
      <c r="Y581" s="126"/>
      <c r="Z581" s="126"/>
      <c r="AA581" s="126"/>
      <c r="AB581" s="126"/>
      <c r="AC581" s="126"/>
      <c r="AD581" s="126"/>
      <c r="AE581" s="126"/>
      <c r="AF581" s="126"/>
      <c r="AG581" s="126"/>
      <c r="AH581" s="126"/>
      <c r="AI581" s="126">
        <f t="shared" ref="AI581:AI589" si="543">SUM(AJ581:AM581)</f>
        <v>0</v>
      </c>
      <c r="AJ581" s="126">
        <f t="shared" ref="AJ581:AK589" si="544">D581+J581-Q581-X581-AD581</f>
        <v>0</v>
      </c>
      <c r="AK581" s="126">
        <f t="shared" si="544"/>
        <v>0</v>
      </c>
      <c r="AL581" s="126">
        <f t="shared" ref="AL581:AM589" si="545">F581+M581-T581-AA581-AG581</f>
        <v>0</v>
      </c>
      <c r="AM581" s="126">
        <f t="shared" si="545"/>
        <v>0</v>
      </c>
      <c r="AN581" s="126"/>
      <c r="AO581" s="130">
        <f t="shared" si="484"/>
        <v>0</v>
      </c>
      <c r="AP581" s="116"/>
    </row>
    <row r="582" spans="1:42" s="117" customFormat="1" ht="14" hidden="1" outlineLevel="1">
      <c r="A582" s="136"/>
      <c r="B582" s="137" t="s">
        <v>702</v>
      </c>
      <c r="C582" s="126">
        <f t="shared" si="538"/>
        <v>0</v>
      </c>
      <c r="D582" s="126">
        <v>0</v>
      </c>
      <c r="E582" s="126"/>
      <c r="F582" s="126">
        <v>0</v>
      </c>
      <c r="G582" s="126">
        <v>0</v>
      </c>
      <c r="H582" s="126">
        <f t="shared" si="539"/>
        <v>34</v>
      </c>
      <c r="I582" s="126">
        <f t="shared" si="536"/>
        <v>0</v>
      </c>
      <c r="J582" s="126"/>
      <c r="K582" s="126"/>
      <c r="L582" s="126">
        <f t="shared" si="537"/>
        <v>34</v>
      </c>
      <c r="M582" s="126"/>
      <c r="N582" s="126">
        <v>34</v>
      </c>
      <c r="O582" s="126">
        <f t="shared" si="540"/>
        <v>0</v>
      </c>
      <c r="P582" s="126">
        <f t="shared" si="541"/>
        <v>0</v>
      </c>
      <c r="Q582" s="126"/>
      <c r="R582" s="126"/>
      <c r="S582" s="126">
        <f t="shared" si="542"/>
        <v>0</v>
      </c>
      <c r="T582" s="126"/>
      <c r="U582" s="126"/>
      <c r="V582" s="126"/>
      <c r="W582" s="126"/>
      <c r="X582" s="126"/>
      <c r="Y582" s="126"/>
      <c r="Z582" s="126"/>
      <c r="AA582" s="126"/>
      <c r="AB582" s="126"/>
      <c r="AC582" s="126"/>
      <c r="AD582" s="126"/>
      <c r="AE582" s="126"/>
      <c r="AF582" s="126"/>
      <c r="AG582" s="126"/>
      <c r="AH582" s="126"/>
      <c r="AI582" s="126">
        <f t="shared" si="543"/>
        <v>34</v>
      </c>
      <c r="AJ582" s="126">
        <f t="shared" si="544"/>
        <v>0</v>
      </c>
      <c r="AK582" s="126">
        <f t="shared" si="544"/>
        <v>0</v>
      </c>
      <c r="AL582" s="126">
        <f t="shared" si="545"/>
        <v>0</v>
      </c>
      <c r="AM582" s="126">
        <f t="shared" si="545"/>
        <v>34</v>
      </c>
      <c r="AN582" s="126"/>
      <c r="AO582" s="130">
        <f t="shared" si="484"/>
        <v>0</v>
      </c>
      <c r="AP582" s="116"/>
    </row>
    <row r="583" spans="1:42" s="117" customFormat="1" ht="14" hidden="1" outlineLevel="1">
      <c r="A583" s="136"/>
      <c r="B583" s="137" t="s">
        <v>566</v>
      </c>
      <c r="C583" s="126">
        <f t="shared" si="538"/>
        <v>0</v>
      </c>
      <c r="D583" s="126">
        <v>0</v>
      </c>
      <c r="E583" s="126"/>
      <c r="F583" s="126">
        <v>0</v>
      </c>
      <c r="G583" s="126">
        <v>0</v>
      </c>
      <c r="H583" s="126">
        <f t="shared" si="539"/>
        <v>98</v>
      </c>
      <c r="I583" s="126">
        <f t="shared" si="536"/>
        <v>0</v>
      </c>
      <c r="J583" s="126"/>
      <c r="K583" s="126"/>
      <c r="L583" s="126">
        <f t="shared" si="537"/>
        <v>98</v>
      </c>
      <c r="M583" s="126"/>
      <c r="N583" s="126">
        <v>98</v>
      </c>
      <c r="O583" s="126">
        <f t="shared" si="540"/>
        <v>0</v>
      </c>
      <c r="P583" s="126">
        <f t="shared" si="541"/>
        <v>0</v>
      </c>
      <c r="Q583" s="126"/>
      <c r="R583" s="126"/>
      <c r="S583" s="126">
        <f t="shared" si="542"/>
        <v>0</v>
      </c>
      <c r="T583" s="126"/>
      <c r="U583" s="126">
        <v>0</v>
      </c>
      <c r="V583" s="126"/>
      <c r="W583" s="126"/>
      <c r="X583" s="126"/>
      <c r="Y583" s="126"/>
      <c r="Z583" s="126"/>
      <c r="AA583" s="126"/>
      <c r="AB583" s="126"/>
      <c r="AC583" s="126"/>
      <c r="AD583" s="126"/>
      <c r="AE583" s="126"/>
      <c r="AF583" s="126"/>
      <c r="AG583" s="126"/>
      <c r="AH583" s="126"/>
      <c r="AI583" s="126">
        <f t="shared" si="543"/>
        <v>98</v>
      </c>
      <c r="AJ583" s="126">
        <f t="shared" si="544"/>
        <v>0</v>
      </c>
      <c r="AK583" s="126">
        <f t="shared" si="544"/>
        <v>0</v>
      </c>
      <c r="AL583" s="126">
        <f t="shared" si="545"/>
        <v>0</v>
      </c>
      <c r="AM583" s="126">
        <f t="shared" si="545"/>
        <v>98</v>
      </c>
      <c r="AN583" s="126"/>
      <c r="AO583" s="130">
        <f t="shared" si="484"/>
        <v>0</v>
      </c>
      <c r="AP583" s="116"/>
    </row>
    <row r="584" spans="1:42" s="117" customFormat="1" ht="14" hidden="1" outlineLevel="1">
      <c r="A584" s="136"/>
      <c r="B584" s="137" t="s">
        <v>567</v>
      </c>
      <c r="C584" s="126">
        <f t="shared" si="538"/>
        <v>0</v>
      </c>
      <c r="D584" s="126">
        <v>0</v>
      </c>
      <c r="E584" s="126"/>
      <c r="F584" s="126">
        <v>0</v>
      </c>
      <c r="G584" s="126">
        <v>0</v>
      </c>
      <c r="H584" s="126">
        <f t="shared" si="539"/>
        <v>177</v>
      </c>
      <c r="I584" s="126">
        <f t="shared" si="536"/>
        <v>0</v>
      </c>
      <c r="J584" s="126"/>
      <c r="K584" s="126"/>
      <c r="L584" s="126">
        <f t="shared" si="537"/>
        <v>177</v>
      </c>
      <c r="M584" s="126"/>
      <c r="N584" s="126">
        <v>177</v>
      </c>
      <c r="O584" s="126">
        <f t="shared" si="540"/>
        <v>171</v>
      </c>
      <c r="P584" s="126">
        <f t="shared" si="541"/>
        <v>0</v>
      </c>
      <c r="Q584" s="126"/>
      <c r="R584" s="126"/>
      <c r="S584" s="126">
        <f t="shared" si="542"/>
        <v>171</v>
      </c>
      <c r="T584" s="126"/>
      <c r="U584" s="126">
        <f>171</f>
        <v>171</v>
      </c>
      <c r="V584" s="126"/>
      <c r="W584" s="126"/>
      <c r="X584" s="126"/>
      <c r="Y584" s="126"/>
      <c r="Z584" s="126"/>
      <c r="AA584" s="126"/>
      <c r="AB584" s="126"/>
      <c r="AC584" s="126"/>
      <c r="AD584" s="126"/>
      <c r="AE584" s="126"/>
      <c r="AF584" s="126"/>
      <c r="AG584" s="126"/>
      <c r="AH584" s="126"/>
      <c r="AI584" s="126">
        <f t="shared" si="543"/>
        <v>6</v>
      </c>
      <c r="AJ584" s="126">
        <f t="shared" si="544"/>
        <v>0</v>
      </c>
      <c r="AK584" s="126">
        <f t="shared" si="544"/>
        <v>0</v>
      </c>
      <c r="AL584" s="126">
        <f t="shared" si="545"/>
        <v>0</v>
      </c>
      <c r="AM584" s="126">
        <f t="shared" si="545"/>
        <v>6</v>
      </c>
      <c r="AN584" s="126"/>
      <c r="AO584" s="130">
        <f t="shared" si="484"/>
        <v>0</v>
      </c>
      <c r="AP584" s="116"/>
    </row>
    <row r="585" spans="1:42" s="117" customFormat="1" ht="14" hidden="1" outlineLevel="1">
      <c r="A585" s="136"/>
      <c r="B585" s="137" t="s">
        <v>798</v>
      </c>
      <c r="C585" s="126">
        <f>SUM(D585:G585)</f>
        <v>0</v>
      </c>
      <c r="D585" s="126">
        <v>0</v>
      </c>
      <c r="E585" s="126"/>
      <c r="F585" s="126">
        <v>0</v>
      </c>
      <c r="G585" s="126">
        <v>0</v>
      </c>
      <c r="H585" s="126">
        <f>I585+L585</f>
        <v>0</v>
      </c>
      <c r="I585" s="126">
        <f t="shared" si="536"/>
        <v>0</v>
      </c>
      <c r="J585" s="126"/>
      <c r="K585" s="126"/>
      <c r="L585" s="126">
        <f t="shared" si="537"/>
        <v>0</v>
      </c>
      <c r="M585" s="126"/>
      <c r="N585" s="126"/>
      <c r="O585" s="126">
        <f>P585+S585</f>
        <v>0</v>
      </c>
      <c r="P585" s="126">
        <f>Q585+R585</f>
        <v>0</v>
      </c>
      <c r="Q585" s="126"/>
      <c r="R585" s="126"/>
      <c r="S585" s="126">
        <f>T585+U585</f>
        <v>0</v>
      </c>
      <c r="T585" s="126"/>
      <c r="U585" s="126"/>
      <c r="V585" s="126"/>
      <c r="W585" s="126"/>
      <c r="X585" s="126"/>
      <c r="Y585" s="126"/>
      <c r="Z585" s="126"/>
      <c r="AA585" s="126"/>
      <c r="AB585" s="126"/>
      <c r="AC585" s="126"/>
      <c r="AD585" s="126"/>
      <c r="AE585" s="126"/>
      <c r="AF585" s="126"/>
      <c r="AG585" s="126"/>
      <c r="AH585" s="126"/>
      <c r="AI585" s="126">
        <f>SUM(AJ585:AM585)</f>
        <v>0</v>
      </c>
      <c r="AJ585" s="126">
        <f t="shared" si="544"/>
        <v>0</v>
      </c>
      <c r="AK585" s="126">
        <f t="shared" si="544"/>
        <v>0</v>
      </c>
      <c r="AL585" s="126">
        <f t="shared" si="545"/>
        <v>0</v>
      </c>
      <c r="AM585" s="126">
        <f t="shared" si="545"/>
        <v>0</v>
      </c>
      <c r="AN585" s="126"/>
      <c r="AO585" s="130">
        <f t="shared" si="484"/>
        <v>0</v>
      </c>
      <c r="AP585" s="116"/>
    </row>
    <row r="586" spans="1:42" s="117" customFormat="1" ht="14" hidden="1" outlineLevel="1">
      <c r="A586" s="136"/>
      <c r="B586" s="137" t="s">
        <v>709</v>
      </c>
      <c r="C586" s="126">
        <f>SUM(D586:G586)</f>
        <v>0</v>
      </c>
      <c r="D586" s="126">
        <v>0</v>
      </c>
      <c r="E586" s="126"/>
      <c r="F586" s="126">
        <v>0</v>
      </c>
      <c r="G586" s="126">
        <v>0</v>
      </c>
      <c r="H586" s="126">
        <f>I586+L586</f>
        <v>0</v>
      </c>
      <c r="I586" s="126">
        <f t="shared" si="536"/>
        <v>0</v>
      </c>
      <c r="J586" s="126"/>
      <c r="K586" s="126"/>
      <c r="L586" s="126">
        <f t="shared" si="537"/>
        <v>0</v>
      </c>
      <c r="M586" s="126"/>
      <c r="N586" s="126"/>
      <c r="O586" s="126">
        <f>P586+S586</f>
        <v>0</v>
      </c>
      <c r="P586" s="126">
        <f>Q586+R586</f>
        <v>0</v>
      </c>
      <c r="Q586" s="126"/>
      <c r="R586" s="126"/>
      <c r="S586" s="126">
        <f>T586+U586</f>
        <v>0</v>
      </c>
      <c r="T586" s="126"/>
      <c r="U586" s="126"/>
      <c r="V586" s="126"/>
      <c r="W586" s="126"/>
      <c r="X586" s="126"/>
      <c r="Y586" s="126"/>
      <c r="Z586" s="126"/>
      <c r="AA586" s="126"/>
      <c r="AB586" s="126"/>
      <c r="AC586" s="126"/>
      <c r="AD586" s="126"/>
      <c r="AE586" s="126"/>
      <c r="AF586" s="126"/>
      <c r="AG586" s="126"/>
      <c r="AH586" s="126"/>
      <c r="AI586" s="126">
        <f>SUM(AJ586:AM586)</f>
        <v>0</v>
      </c>
      <c r="AJ586" s="126">
        <f t="shared" si="544"/>
        <v>0</v>
      </c>
      <c r="AK586" s="126">
        <f t="shared" si="544"/>
        <v>0</v>
      </c>
      <c r="AL586" s="126">
        <f t="shared" si="545"/>
        <v>0</v>
      </c>
      <c r="AM586" s="126">
        <f t="shared" si="545"/>
        <v>0</v>
      </c>
      <c r="AN586" s="126"/>
      <c r="AO586" s="130">
        <f t="shared" si="484"/>
        <v>0</v>
      </c>
      <c r="AP586" s="116"/>
    </row>
    <row r="587" spans="1:42" s="117" customFormat="1" ht="14" hidden="1" outlineLevel="1">
      <c r="A587" s="136"/>
      <c r="B587" s="137" t="s">
        <v>602</v>
      </c>
      <c r="C587" s="126">
        <f>SUM(D587:G587)</f>
        <v>0</v>
      </c>
      <c r="D587" s="126">
        <v>0</v>
      </c>
      <c r="E587" s="126"/>
      <c r="F587" s="126">
        <v>0</v>
      </c>
      <c r="G587" s="126">
        <v>0</v>
      </c>
      <c r="H587" s="126">
        <f>I587+L587</f>
        <v>0</v>
      </c>
      <c r="I587" s="126">
        <f t="shared" si="536"/>
        <v>0</v>
      </c>
      <c r="J587" s="126"/>
      <c r="K587" s="126"/>
      <c r="L587" s="126">
        <f t="shared" si="537"/>
        <v>0</v>
      </c>
      <c r="M587" s="126"/>
      <c r="N587" s="126"/>
      <c r="O587" s="126">
        <f>P587+S587</f>
        <v>0</v>
      </c>
      <c r="P587" s="126">
        <f>Q587+R587</f>
        <v>0</v>
      </c>
      <c r="Q587" s="126"/>
      <c r="R587" s="126"/>
      <c r="S587" s="126">
        <f>T587+U587</f>
        <v>0</v>
      </c>
      <c r="T587" s="126"/>
      <c r="U587" s="126"/>
      <c r="V587" s="126"/>
      <c r="W587" s="126"/>
      <c r="X587" s="126"/>
      <c r="Y587" s="126"/>
      <c r="Z587" s="126"/>
      <c r="AA587" s="126"/>
      <c r="AB587" s="126"/>
      <c r="AC587" s="126"/>
      <c r="AD587" s="126"/>
      <c r="AE587" s="126"/>
      <c r="AF587" s="126"/>
      <c r="AG587" s="126"/>
      <c r="AH587" s="126"/>
      <c r="AI587" s="126">
        <f>SUM(AJ587:AM587)</f>
        <v>0</v>
      </c>
      <c r="AJ587" s="126">
        <f t="shared" si="544"/>
        <v>0</v>
      </c>
      <c r="AK587" s="126">
        <f t="shared" si="544"/>
        <v>0</v>
      </c>
      <c r="AL587" s="126">
        <f t="shared" si="545"/>
        <v>0</v>
      </c>
      <c r="AM587" s="126">
        <f t="shared" si="545"/>
        <v>0</v>
      </c>
      <c r="AN587" s="126"/>
      <c r="AO587" s="130">
        <f t="shared" si="484"/>
        <v>0</v>
      </c>
      <c r="AP587" s="116"/>
    </row>
    <row r="588" spans="1:42" s="117" customFormat="1" ht="14" hidden="1" outlineLevel="1">
      <c r="A588" s="136"/>
      <c r="B588" s="137" t="s">
        <v>560</v>
      </c>
      <c r="C588" s="126">
        <f>SUM(D588:G588)</f>
        <v>0</v>
      </c>
      <c r="D588" s="126">
        <v>0</v>
      </c>
      <c r="E588" s="126"/>
      <c r="F588" s="126">
        <v>0</v>
      </c>
      <c r="G588" s="126">
        <v>0</v>
      </c>
      <c r="H588" s="126">
        <f>I588+L588</f>
        <v>0</v>
      </c>
      <c r="I588" s="126">
        <f t="shared" si="536"/>
        <v>0</v>
      </c>
      <c r="J588" s="126"/>
      <c r="K588" s="126"/>
      <c r="L588" s="126">
        <f t="shared" si="537"/>
        <v>0</v>
      </c>
      <c r="M588" s="126"/>
      <c r="N588" s="126"/>
      <c r="O588" s="126">
        <f>P588+S588</f>
        <v>0</v>
      </c>
      <c r="P588" s="126">
        <f>Q588+R588</f>
        <v>0</v>
      </c>
      <c r="Q588" s="126"/>
      <c r="R588" s="126"/>
      <c r="S588" s="126">
        <f>T588+U588</f>
        <v>0</v>
      </c>
      <c r="T588" s="126"/>
      <c r="U588" s="126"/>
      <c r="V588" s="126"/>
      <c r="W588" s="126"/>
      <c r="X588" s="126"/>
      <c r="Y588" s="126"/>
      <c r="Z588" s="126"/>
      <c r="AA588" s="126"/>
      <c r="AB588" s="126"/>
      <c r="AC588" s="126"/>
      <c r="AD588" s="126"/>
      <c r="AE588" s="126"/>
      <c r="AF588" s="126"/>
      <c r="AG588" s="126"/>
      <c r="AH588" s="126"/>
      <c r="AI588" s="126">
        <f>SUM(AJ588:AM588)</f>
        <v>0</v>
      </c>
      <c r="AJ588" s="126">
        <f t="shared" si="544"/>
        <v>0</v>
      </c>
      <c r="AK588" s="126">
        <f t="shared" si="544"/>
        <v>0</v>
      </c>
      <c r="AL588" s="126">
        <f t="shared" si="545"/>
        <v>0</v>
      </c>
      <c r="AM588" s="126">
        <f t="shared" si="545"/>
        <v>0</v>
      </c>
      <c r="AN588" s="126"/>
      <c r="AO588" s="130">
        <f t="shared" si="484"/>
        <v>0</v>
      </c>
      <c r="AP588" s="116"/>
    </row>
    <row r="589" spans="1:42" s="117" customFormat="1" ht="14" hidden="1" outlineLevel="1">
      <c r="A589" s="136"/>
      <c r="B589" s="137" t="s">
        <v>337</v>
      </c>
      <c r="C589" s="126">
        <f t="shared" si="538"/>
        <v>0</v>
      </c>
      <c r="D589" s="126">
        <v>0</v>
      </c>
      <c r="E589" s="126"/>
      <c r="F589" s="126">
        <v>0</v>
      </c>
      <c r="G589" s="126">
        <v>0</v>
      </c>
      <c r="H589" s="126">
        <f t="shared" si="539"/>
        <v>96</v>
      </c>
      <c r="I589" s="126">
        <f t="shared" si="536"/>
        <v>0</v>
      </c>
      <c r="J589" s="126"/>
      <c r="K589" s="126"/>
      <c r="L589" s="126">
        <f t="shared" si="537"/>
        <v>96</v>
      </c>
      <c r="M589" s="126"/>
      <c r="N589" s="126">
        <v>96</v>
      </c>
      <c r="O589" s="126">
        <f t="shared" si="540"/>
        <v>0</v>
      </c>
      <c r="P589" s="126">
        <f t="shared" si="541"/>
        <v>0</v>
      </c>
      <c r="Q589" s="126"/>
      <c r="R589" s="126"/>
      <c r="S589" s="126">
        <f t="shared" si="542"/>
        <v>0</v>
      </c>
      <c r="T589" s="126"/>
      <c r="U589" s="126"/>
      <c r="V589" s="126"/>
      <c r="W589" s="126"/>
      <c r="X589" s="126"/>
      <c r="Y589" s="126"/>
      <c r="Z589" s="126"/>
      <c r="AA589" s="126"/>
      <c r="AB589" s="126"/>
      <c r="AC589" s="126"/>
      <c r="AD589" s="126"/>
      <c r="AE589" s="126"/>
      <c r="AF589" s="126"/>
      <c r="AG589" s="126"/>
      <c r="AH589" s="126"/>
      <c r="AI589" s="126">
        <f t="shared" si="543"/>
        <v>96</v>
      </c>
      <c r="AJ589" s="126">
        <f t="shared" si="544"/>
        <v>0</v>
      </c>
      <c r="AK589" s="126">
        <f t="shared" si="544"/>
        <v>0</v>
      </c>
      <c r="AL589" s="126">
        <f t="shared" si="545"/>
        <v>0</v>
      </c>
      <c r="AM589" s="126">
        <f t="shared" si="545"/>
        <v>96</v>
      </c>
      <c r="AN589" s="126"/>
      <c r="AO589" s="130">
        <f t="shared" si="484"/>
        <v>0</v>
      </c>
      <c r="AP589" s="116"/>
    </row>
    <row r="590" spans="1:42" s="117" customFormat="1" ht="14" hidden="1" outlineLevel="1">
      <c r="A590" s="136"/>
      <c r="B590" s="137" t="s">
        <v>799</v>
      </c>
      <c r="C590" s="126">
        <f>SUM(D590:G590)</f>
        <v>0</v>
      </c>
      <c r="D590" s="126">
        <v>0</v>
      </c>
      <c r="E590" s="126"/>
      <c r="F590" s="126">
        <v>0</v>
      </c>
      <c r="G590" s="126">
        <v>0</v>
      </c>
      <c r="H590" s="126">
        <f>I590+L590</f>
        <v>6788</v>
      </c>
      <c r="I590" s="126">
        <f t="shared" si="536"/>
        <v>6788</v>
      </c>
      <c r="J590" s="126"/>
      <c r="K590" s="126">
        <f>7663-875</f>
        <v>6788</v>
      </c>
      <c r="L590" s="126">
        <f t="shared" si="537"/>
        <v>0</v>
      </c>
      <c r="M590" s="126"/>
      <c r="N590" s="126"/>
      <c r="O590" s="126">
        <f>P590+S590</f>
        <v>6788</v>
      </c>
      <c r="P590" s="126">
        <f>Q590+R590</f>
        <v>6788</v>
      </c>
      <c r="Q590" s="126"/>
      <c r="R590" s="126">
        <f>7663-875</f>
        <v>6788</v>
      </c>
      <c r="S590" s="126">
        <f>T590+U590</f>
        <v>0</v>
      </c>
      <c r="T590" s="126"/>
      <c r="U590" s="126"/>
      <c r="V590" s="126"/>
      <c r="W590" s="126"/>
      <c r="X590" s="126"/>
      <c r="Y590" s="126"/>
      <c r="Z590" s="126"/>
      <c r="AA590" s="126"/>
      <c r="AB590" s="126"/>
      <c r="AC590" s="126"/>
      <c r="AD590" s="126"/>
      <c r="AE590" s="126"/>
      <c r="AF590" s="126"/>
      <c r="AG590" s="126"/>
      <c r="AH590" s="126"/>
      <c r="AI590" s="126">
        <f>SUM(AJ590:AM590)</f>
        <v>0</v>
      </c>
      <c r="AJ590" s="126">
        <f>D590+J590-Q590-X590-AD590</f>
        <v>0</v>
      </c>
      <c r="AK590" s="126">
        <f>E590+K590-R590-Y590-AE590</f>
        <v>0</v>
      </c>
      <c r="AL590" s="126">
        <f>F590+M590-T590-AA590-AG590</f>
        <v>0</v>
      </c>
      <c r="AM590" s="126">
        <f>G590+N590-U590-AB590-AH590</f>
        <v>0</v>
      </c>
      <c r="AN590" s="126"/>
      <c r="AO590" s="130">
        <f t="shared" si="484"/>
        <v>0</v>
      </c>
      <c r="AP590" s="116"/>
    </row>
    <row r="591" spans="1:42" s="117" customFormat="1" ht="42" collapsed="1">
      <c r="A591" s="136">
        <v>2</v>
      </c>
      <c r="B591" s="137" t="s">
        <v>507</v>
      </c>
      <c r="C591" s="126">
        <f t="shared" ref="C591:G593" si="546">C592</f>
        <v>0</v>
      </c>
      <c r="D591" s="126">
        <f t="shared" si="546"/>
        <v>0</v>
      </c>
      <c r="E591" s="126">
        <f t="shared" si="546"/>
        <v>0</v>
      </c>
      <c r="F591" s="126">
        <f t="shared" si="546"/>
        <v>0</v>
      </c>
      <c r="G591" s="126">
        <f t="shared" si="546"/>
        <v>0</v>
      </c>
      <c r="H591" s="126">
        <f>H592</f>
        <v>9500</v>
      </c>
      <c r="I591" s="126">
        <f t="shared" ref="I591:AM593" si="547">I592</f>
        <v>9500</v>
      </c>
      <c r="J591" s="126">
        <f t="shared" si="547"/>
        <v>0</v>
      </c>
      <c r="K591" s="126">
        <f t="shared" si="547"/>
        <v>9500</v>
      </c>
      <c r="L591" s="126">
        <f t="shared" si="547"/>
        <v>0</v>
      </c>
      <c r="M591" s="126">
        <f t="shared" si="547"/>
        <v>0</v>
      </c>
      <c r="N591" s="126">
        <f t="shared" si="547"/>
        <v>0</v>
      </c>
      <c r="O591" s="126">
        <f t="shared" si="547"/>
        <v>9500</v>
      </c>
      <c r="P591" s="126">
        <f t="shared" si="547"/>
        <v>9500</v>
      </c>
      <c r="Q591" s="126">
        <f t="shared" si="547"/>
        <v>0</v>
      </c>
      <c r="R591" s="126">
        <f t="shared" si="547"/>
        <v>9500</v>
      </c>
      <c r="S591" s="126">
        <f t="shared" si="547"/>
        <v>0</v>
      </c>
      <c r="T591" s="126">
        <f t="shared" si="547"/>
        <v>0</v>
      </c>
      <c r="U591" s="126">
        <f t="shared" si="547"/>
        <v>0</v>
      </c>
      <c r="V591" s="126">
        <f t="shared" si="547"/>
        <v>0</v>
      </c>
      <c r="W591" s="126">
        <f t="shared" si="547"/>
        <v>0</v>
      </c>
      <c r="X591" s="126">
        <f t="shared" si="547"/>
        <v>0</v>
      </c>
      <c r="Y591" s="126">
        <f t="shared" si="547"/>
        <v>0</v>
      </c>
      <c r="Z591" s="126">
        <f t="shared" si="547"/>
        <v>0</v>
      </c>
      <c r="AA591" s="126">
        <f t="shared" si="547"/>
        <v>0</v>
      </c>
      <c r="AB591" s="126">
        <f t="shared" si="547"/>
        <v>0</v>
      </c>
      <c r="AC591" s="126">
        <f t="shared" si="547"/>
        <v>0</v>
      </c>
      <c r="AD591" s="126">
        <f t="shared" si="547"/>
        <v>0</v>
      </c>
      <c r="AE591" s="126">
        <f t="shared" si="547"/>
        <v>0</v>
      </c>
      <c r="AF591" s="126">
        <f t="shared" si="547"/>
        <v>0</v>
      </c>
      <c r="AG591" s="126">
        <f t="shared" si="547"/>
        <v>0</v>
      </c>
      <c r="AH591" s="126">
        <f t="shared" si="547"/>
        <v>0</v>
      </c>
      <c r="AI591" s="126">
        <f>SUM(AJ591:AM591)</f>
        <v>0</v>
      </c>
      <c r="AJ591" s="126">
        <f t="shared" si="547"/>
        <v>0</v>
      </c>
      <c r="AK591" s="126">
        <f t="shared" si="547"/>
        <v>0</v>
      </c>
      <c r="AL591" s="126">
        <f t="shared" si="547"/>
        <v>0</v>
      </c>
      <c r="AM591" s="126">
        <f t="shared" si="547"/>
        <v>0</v>
      </c>
      <c r="AN591" s="126"/>
      <c r="AO591" s="130">
        <f t="shared" ref="AO591:AO654" si="548">C591+H591-O591-V591-AI591</f>
        <v>0</v>
      </c>
      <c r="AP591" s="116"/>
    </row>
    <row r="592" spans="1:42" s="117" customFormat="1" ht="14" hidden="1" outlineLevel="1">
      <c r="A592" s="136"/>
      <c r="B592" s="137" t="s">
        <v>795</v>
      </c>
      <c r="C592" s="126">
        <f>SUM(D592:G592)</f>
        <v>0</v>
      </c>
      <c r="D592" s="126">
        <v>0</v>
      </c>
      <c r="E592" s="126">
        <v>0</v>
      </c>
      <c r="F592" s="126">
        <v>0</v>
      </c>
      <c r="G592" s="126">
        <v>0</v>
      </c>
      <c r="H592" s="126">
        <f>I592+L592</f>
        <v>9500</v>
      </c>
      <c r="I592" s="126">
        <f>J592+K592</f>
        <v>9500</v>
      </c>
      <c r="J592" s="126"/>
      <c r="K592" s="126">
        <v>9500</v>
      </c>
      <c r="L592" s="126"/>
      <c r="M592" s="126"/>
      <c r="N592" s="126"/>
      <c r="O592" s="126">
        <f>P592+S592</f>
        <v>9500</v>
      </c>
      <c r="P592" s="126">
        <f>Q592+R592</f>
        <v>9500</v>
      </c>
      <c r="Q592" s="126"/>
      <c r="R592" s="126">
        <f>K592</f>
        <v>9500</v>
      </c>
      <c r="S592" s="126">
        <f>T592+U592</f>
        <v>0</v>
      </c>
      <c r="T592" s="126"/>
      <c r="U592" s="126"/>
      <c r="V592" s="126"/>
      <c r="W592" s="126"/>
      <c r="X592" s="126"/>
      <c r="Y592" s="126"/>
      <c r="Z592" s="126"/>
      <c r="AA592" s="126"/>
      <c r="AB592" s="126"/>
      <c r="AC592" s="126"/>
      <c r="AD592" s="126"/>
      <c r="AE592" s="126"/>
      <c r="AF592" s="126"/>
      <c r="AG592" s="126"/>
      <c r="AH592" s="126"/>
      <c r="AI592" s="126">
        <f>SUM(AJ592:AM592)</f>
        <v>0</v>
      </c>
      <c r="AJ592" s="126">
        <f>D592+J592-Q592-X592-AD592</f>
        <v>0</v>
      </c>
      <c r="AK592" s="126">
        <f>E592+K592-R592-Y592-AE592</f>
        <v>0</v>
      </c>
      <c r="AL592" s="126">
        <f>F592+M592-T592-AA592-AG592</f>
        <v>0</v>
      </c>
      <c r="AM592" s="126">
        <f>G592+N592-U592-AB592-AH592</f>
        <v>0</v>
      </c>
      <c r="AN592" s="126"/>
      <c r="AO592" s="130">
        <f t="shared" si="548"/>
        <v>0</v>
      </c>
      <c r="AP592" s="116"/>
    </row>
    <row r="593" spans="1:42" s="117" customFormat="1" ht="42" collapsed="1">
      <c r="A593" s="136">
        <v>3</v>
      </c>
      <c r="B593" s="137" t="s">
        <v>508</v>
      </c>
      <c r="C593" s="126">
        <f t="shared" si="546"/>
        <v>0</v>
      </c>
      <c r="D593" s="126">
        <f t="shared" si="546"/>
        <v>0</v>
      </c>
      <c r="E593" s="126">
        <f t="shared" si="546"/>
        <v>0</v>
      </c>
      <c r="F593" s="126">
        <f t="shared" si="546"/>
        <v>0</v>
      </c>
      <c r="G593" s="126">
        <f t="shared" si="546"/>
        <v>0</v>
      </c>
      <c r="H593" s="126">
        <f>H594</f>
        <v>11246</v>
      </c>
      <c r="I593" s="126">
        <f t="shared" si="547"/>
        <v>11246</v>
      </c>
      <c r="J593" s="126">
        <f t="shared" si="547"/>
        <v>0</v>
      </c>
      <c r="K593" s="126">
        <f t="shared" si="547"/>
        <v>11246</v>
      </c>
      <c r="L593" s="126">
        <f t="shared" si="547"/>
        <v>0</v>
      </c>
      <c r="M593" s="126">
        <f t="shared" si="547"/>
        <v>0</v>
      </c>
      <c r="N593" s="126">
        <f t="shared" si="547"/>
        <v>0</v>
      </c>
      <c r="O593" s="126">
        <f t="shared" si="547"/>
        <v>11078.71</v>
      </c>
      <c r="P593" s="126">
        <f t="shared" si="547"/>
        <v>11078.71</v>
      </c>
      <c r="Q593" s="126">
        <f t="shared" si="547"/>
        <v>0</v>
      </c>
      <c r="R593" s="126">
        <f t="shared" si="547"/>
        <v>11078.71</v>
      </c>
      <c r="S593" s="126">
        <f t="shared" si="547"/>
        <v>0</v>
      </c>
      <c r="T593" s="126">
        <f t="shared" si="547"/>
        <v>0</v>
      </c>
      <c r="U593" s="126">
        <f t="shared" si="547"/>
        <v>0</v>
      </c>
      <c r="V593" s="126">
        <f t="shared" si="547"/>
        <v>0</v>
      </c>
      <c r="W593" s="126">
        <f t="shared" si="547"/>
        <v>0</v>
      </c>
      <c r="X593" s="126">
        <f t="shared" si="547"/>
        <v>0</v>
      </c>
      <c r="Y593" s="126">
        <f t="shared" si="547"/>
        <v>0</v>
      </c>
      <c r="Z593" s="126">
        <f t="shared" si="547"/>
        <v>0</v>
      </c>
      <c r="AA593" s="126">
        <f t="shared" si="547"/>
        <v>0</v>
      </c>
      <c r="AB593" s="126">
        <f t="shared" si="547"/>
        <v>0</v>
      </c>
      <c r="AC593" s="126">
        <f t="shared" si="547"/>
        <v>0</v>
      </c>
      <c r="AD593" s="126">
        <f t="shared" si="547"/>
        <v>0</v>
      </c>
      <c r="AE593" s="126">
        <f t="shared" si="547"/>
        <v>0</v>
      </c>
      <c r="AF593" s="126">
        <f t="shared" si="547"/>
        <v>0</v>
      </c>
      <c r="AG593" s="126">
        <f t="shared" si="547"/>
        <v>0</v>
      </c>
      <c r="AH593" s="126">
        <f t="shared" si="547"/>
        <v>0</v>
      </c>
      <c r="AI593" s="126">
        <f>SUM(AJ593:AM593)</f>
        <v>167.29000000000087</v>
      </c>
      <c r="AJ593" s="126">
        <f t="shared" si="547"/>
        <v>0</v>
      </c>
      <c r="AK593" s="126">
        <f t="shared" si="547"/>
        <v>167.29000000000087</v>
      </c>
      <c r="AL593" s="126">
        <f t="shared" si="547"/>
        <v>0</v>
      </c>
      <c r="AM593" s="126">
        <f t="shared" si="547"/>
        <v>0</v>
      </c>
      <c r="AN593" s="126"/>
      <c r="AO593" s="130">
        <f t="shared" si="548"/>
        <v>0</v>
      </c>
      <c r="AP593" s="116"/>
    </row>
    <row r="594" spans="1:42" s="117" customFormat="1" ht="14" hidden="1" outlineLevel="1">
      <c r="A594" s="136"/>
      <c r="B594" s="137" t="s">
        <v>795</v>
      </c>
      <c r="C594" s="126">
        <f>SUM(D594:G594)</f>
        <v>0</v>
      </c>
      <c r="D594" s="126">
        <v>0</v>
      </c>
      <c r="E594" s="126">
        <v>0</v>
      </c>
      <c r="F594" s="126">
        <v>0</v>
      </c>
      <c r="G594" s="126">
        <v>0</v>
      </c>
      <c r="H594" s="126">
        <f>I594+L594</f>
        <v>11246</v>
      </c>
      <c r="I594" s="126">
        <f>J594+K594</f>
        <v>11246</v>
      </c>
      <c r="J594" s="126"/>
      <c r="K594" s="126">
        <v>11246</v>
      </c>
      <c r="L594" s="126"/>
      <c r="M594" s="126"/>
      <c r="N594" s="126"/>
      <c r="O594" s="126">
        <f>P594+S594</f>
        <v>11078.71</v>
      </c>
      <c r="P594" s="126">
        <f>Q594+R594</f>
        <v>11078.71</v>
      </c>
      <c r="Q594" s="126"/>
      <c r="R594" s="126">
        <f>11078.71</f>
        <v>11078.71</v>
      </c>
      <c r="S594" s="126">
        <f>T594+U594</f>
        <v>0</v>
      </c>
      <c r="T594" s="126"/>
      <c r="U594" s="126"/>
      <c r="V594" s="126"/>
      <c r="W594" s="126"/>
      <c r="X594" s="126"/>
      <c r="Y594" s="126"/>
      <c r="Z594" s="126"/>
      <c r="AA594" s="126"/>
      <c r="AB594" s="126"/>
      <c r="AC594" s="126"/>
      <c r="AD594" s="126"/>
      <c r="AE594" s="126"/>
      <c r="AF594" s="126"/>
      <c r="AG594" s="126"/>
      <c r="AH594" s="126"/>
      <c r="AI594" s="126">
        <f>SUM(AJ594:AM594)</f>
        <v>167.29000000000087</v>
      </c>
      <c r="AJ594" s="126">
        <f>D594+J594-Q594-X594-AD594</f>
        <v>0</v>
      </c>
      <c r="AK594" s="126">
        <f>E594+K594-R594-Y594-AE594</f>
        <v>167.29000000000087</v>
      </c>
      <c r="AL594" s="126">
        <f>F594+M594-T594-AA594-AG594</f>
        <v>0</v>
      </c>
      <c r="AM594" s="126">
        <f>G594+N594-U594-AB594-AH594</f>
        <v>0</v>
      </c>
      <c r="AN594" s="126"/>
      <c r="AO594" s="130">
        <f t="shared" si="548"/>
        <v>0</v>
      </c>
      <c r="AP594" s="116"/>
    </row>
    <row r="595" spans="1:42" s="117" customFormat="1" ht="28" collapsed="1">
      <c r="A595" s="136">
        <v>4</v>
      </c>
      <c r="B595" s="137" t="s">
        <v>509</v>
      </c>
      <c r="C595" s="126">
        <f t="shared" ref="C595:AM595" si="549">SUM(C596:C604)</f>
        <v>0</v>
      </c>
      <c r="D595" s="126">
        <f t="shared" si="549"/>
        <v>0</v>
      </c>
      <c r="E595" s="126">
        <f t="shared" si="549"/>
        <v>0</v>
      </c>
      <c r="F595" s="126">
        <f t="shared" si="549"/>
        <v>0</v>
      </c>
      <c r="G595" s="126">
        <f t="shared" si="549"/>
        <v>0</v>
      </c>
      <c r="H595" s="126">
        <f t="shared" si="549"/>
        <v>3692</v>
      </c>
      <c r="I595" s="126">
        <f t="shared" si="549"/>
        <v>3030</v>
      </c>
      <c r="J595" s="126">
        <f t="shared" si="549"/>
        <v>0</v>
      </c>
      <c r="K595" s="126">
        <f t="shared" si="549"/>
        <v>3030</v>
      </c>
      <c r="L595" s="126">
        <f t="shared" si="549"/>
        <v>662</v>
      </c>
      <c r="M595" s="126">
        <f t="shared" si="549"/>
        <v>0</v>
      </c>
      <c r="N595" s="126">
        <f t="shared" si="549"/>
        <v>662</v>
      </c>
      <c r="O595" s="126">
        <f t="shared" si="549"/>
        <v>3437.7889999999998</v>
      </c>
      <c r="P595" s="126">
        <f t="shared" si="549"/>
        <v>2848</v>
      </c>
      <c r="Q595" s="126">
        <f t="shared" si="549"/>
        <v>0</v>
      </c>
      <c r="R595" s="126">
        <f t="shared" si="549"/>
        <v>2848</v>
      </c>
      <c r="S595" s="126">
        <f t="shared" si="549"/>
        <v>589.78899999999999</v>
      </c>
      <c r="T595" s="126">
        <f t="shared" si="549"/>
        <v>0</v>
      </c>
      <c r="U595" s="126">
        <f t="shared" si="549"/>
        <v>589.78899999999999</v>
      </c>
      <c r="V595" s="126">
        <f t="shared" si="549"/>
        <v>0</v>
      </c>
      <c r="W595" s="126">
        <f t="shared" si="549"/>
        <v>0</v>
      </c>
      <c r="X595" s="126">
        <f t="shared" si="549"/>
        <v>0</v>
      </c>
      <c r="Y595" s="126">
        <f t="shared" si="549"/>
        <v>0</v>
      </c>
      <c r="Z595" s="126">
        <f t="shared" si="549"/>
        <v>0</v>
      </c>
      <c r="AA595" s="126">
        <f t="shared" si="549"/>
        <v>0</v>
      </c>
      <c r="AB595" s="126">
        <f t="shared" si="549"/>
        <v>0</v>
      </c>
      <c r="AC595" s="126">
        <f t="shared" si="549"/>
        <v>0</v>
      </c>
      <c r="AD595" s="126">
        <f t="shared" si="549"/>
        <v>0</v>
      </c>
      <c r="AE595" s="126">
        <f t="shared" si="549"/>
        <v>0</v>
      </c>
      <c r="AF595" s="126">
        <f t="shared" si="549"/>
        <v>0</v>
      </c>
      <c r="AG595" s="126">
        <f t="shared" si="549"/>
        <v>0</v>
      </c>
      <c r="AH595" s="126">
        <f t="shared" si="549"/>
        <v>0</v>
      </c>
      <c r="AI595" s="126">
        <f>SUM(AI596:AI604)</f>
        <v>254.21100000000001</v>
      </c>
      <c r="AJ595" s="126">
        <f t="shared" si="549"/>
        <v>0</v>
      </c>
      <c r="AK595" s="126">
        <f t="shared" si="549"/>
        <v>182</v>
      </c>
      <c r="AL595" s="126">
        <f t="shared" si="549"/>
        <v>0</v>
      </c>
      <c r="AM595" s="126">
        <f t="shared" si="549"/>
        <v>72.210999999999999</v>
      </c>
      <c r="AN595" s="126"/>
      <c r="AO595" s="130">
        <f t="shared" si="548"/>
        <v>2.2737367544323206E-13</v>
      </c>
      <c r="AP595" s="116"/>
    </row>
    <row r="596" spans="1:42" s="117" customFormat="1" ht="14" hidden="1" outlineLevel="1">
      <c r="A596" s="136"/>
      <c r="B596" s="137" t="s">
        <v>337</v>
      </c>
      <c r="C596" s="126">
        <f t="shared" ref="C596:C604" si="550">SUM(D596:G596)</f>
        <v>0</v>
      </c>
      <c r="D596" s="126">
        <v>0</v>
      </c>
      <c r="E596" s="126">
        <v>0</v>
      </c>
      <c r="F596" s="126">
        <v>0</v>
      </c>
      <c r="G596" s="126"/>
      <c r="H596" s="126">
        <f t="shared" ref="H596:H604" si="551">I596+L596</f>
        <v>0</v>
      </c>
      <c r="I596" s="126">
        <f t="shared" ref="I596:I604" si="552">J596+K596</f>
        <v>0</v>
      </c>
      <c r="J596" s="126"/>
      <c r="K596" s="126"/>
      <c r="L596" s="126">
        <f>M596+N596</f>
        <v>0</v>
      </c>
      <c r="M596" s="126"/>
      <c r="N596" s="126">
        <f>-50+50</f>
        <v>0</v>
      </c>
      <c r="O596" s="126">
        <f t="shared" ref="O596:O604" si="553">P596+S596</f>
        <v>0</v>
      </c>
      <c r="P596" s="126">
        <f t="shared" ref="P596:P604" si="554">Q596+R596</f>
        <v>0</v>
      </c>
      <c r="Q596" s="126"/>
      <c r="R596" s="126"/>
      <c r="S596" s="126">
        <f t="shared" ref="S596:S604" si="555">T596+U596</f>
        <v>0</v>
      </c>
      <c r="T596" s="126"/>
      <c r="U596" s="126"/>
      <c r="V596" s="126"/>
      <c r="W596" s="126"/>
      <c r="X596" s="126"/>
      <c r="Y596" s="126"/>
      <c r="Z596" s="126"/>
      <c r="AA596" s="126"/>
      <c r="AB596" s="126"/>
      <c r="AC596" s="126"/>
      <c r="AD596" s="126"/>
      <c r="AE596" s="126"/>
      <c r="AF596" s="126"/>
      <c r="AG596" s="126"/>
      <c r="AH596" s="126"/>
      <c r="AI596" s="126">
        <f t="shared" ref="AI596:AI604" si="556">SUM(AJ596:AM596)</f>
        <v>0</v>
      </c>
      <c r="AJ596" s="126">
        <f t="shared" ref="AJ596:AK604" si="557">D596+J596-Q596-X596-AD596</f>
        <v>0</v>
      </c>
      <c r="AK596" s="126">
        <f t="shared" si="557"/>
        <v>0</v>
      </c>
      <c r="AL596" s="126">
        <f t="shared" ref="AL596:AM604" si="558">F596+M596-T596-AA596-AG596</f>
        <v>0</v>
      </c>
      <c r="AM596" s="126">
        <f t="shared" si="558"/>
        <v>0</v>
      </c>
      <c r="AN596" s="126"/>
      <c r="AO596" s="130">
        <f t="shared" si="548"/>
        <v>0</v>
      </c>
      <c r="AP596" s="116"/>
    </row>
    <row r="597" spans="1:42" s="117" customFormat="1" ht="14" hidden="1" outlineLevel="1">
      <c r="A597" s="136"/>
      <c r="B597" s="137" t="s">
        <v>561</v>
      </c>
      <c r="C597" s="126">
        <f t="shared" si="550"/>
        <v>0</v>
      </c>
      <c r="D597" s="126">
        <v>0</v>
      </c>
      <c r="E597" s="126">
        <v>0</v>
      </c>
      <c r="F597" s="126">
        <v>0</v>
      </c>
      <c r="G597" s="126"/>
      <c r="H597" s="126">
        <f t="shared" si="551"/>
        <v>56</v>
      </c>
      <c r="I597" s="126">
        <f t="shared" si="552"/>
        <v>0</v>
      </c>
      <c r="J597" s="126"/>
      <c r="K597" s="126"/>
      <c r="L597" s="126">
        <f t="shared" ref="L597:L604" si="559">M597+N597</f>
        <v>56</v>
      </c>
      <c r="M597" s="126"/>
      <c r="N597" s="126">
        <v>56</v>
      </c>
      <c r="O597" s="126">
        <f t="shared" si="553"/>
        <v>55</v>
      </c>
      <c r="P597" s="126">
        <f t="shared" si="554"/>
        <v>0</v>
      </c>
      <c r="Q597" s="126"/>
      <c r="R597" s="126"/>
      <c r="S597" s="126">
        <f t="shared" si="555"/>
        <v>55</v>
      </c>
      <c r="T597" s="126"/>
      <c r="U597" s="126">
        <f>55</f>
        <v>55</v>
      </c>
      <c r="V597" s="126"/>
      <c r="W597" s="126"/>
      <c r="X597" s="126"/>
      <c r="Y597" s="126"/>
      <c r="Z597" s="126"/>
      <c r="AA597" s="126"/>
      <c r="AB597" s="126"/>
      <c r="AC597" s="126"/>
      <c r="AD597" s="126"/>
      <c r="AE597" s="126"/>
      <c r="AF597" s="126"/>
      <c r="AG597" s="126"/>
      <c r="AH597" s="126"/>
      <c r="AI597" s="126">
        <f t="shared" si="556"/>
        <v>1</v>
      </c>
      <c r="AJ597" s="126">
        <f t="shared" si="557"/>
        <v>0</v>
      </c>
      <c r="AK597" s="126">
        <f t="shared" si="557"/>
        <v>0</v>
      </c>
      <c r="AL597" s="126">
        <f t="shared" si="558"/>
        <v>0</v>
      </c>
      <c r="AM597" s="126">
        <f t="shared" si="558"/>
        <v>1</v>
      </c>
      <c r="AN597" s="126"/>
      <c r="AO597" s="130">
        <f t="shared" si="548"/>
        <v>0</v>
      </c>
      <c r="AP597" s="116"/>
    </row>
    <row r="598" spans="1:42" s="117" customFormat="1" ht="14" hidden="1" outlineLevel="1">
      <c r="A598" s="136"/>
      <c r="B598" s="137" t="s">
        <v>709</v>
      </c>
      <c r="C598" s="126">
        <f t="shared" si="550"/>
        <v>0</v>
      </c>
      <c r="D598" s="126">
        <v>0</v>
      </c>
      <c r="E598" s="126">
        <v>0</v>
      </c>
      <c r="F598" s="126">
        <v>0</v>
      </c>
      <c r="G598" s="126"/>
      <c r="H598" s="126">
        <f t="shared" si="551"/>
        <v>107</v>
      </c>
      <c r="I598" s="126">
        <f t="shared" si="552"/>
        <v>0</v>
      </c>
      <c r="J598" s="126"/>
      <c r="K598" s="126"/>
      <c r="L598" s="126">
        <f t="shared" si="559"/>
        <v>107</v>
      </c>
      <c r="M598" s="126"/>
      <c r="N598" s="126">
        <v>107</v>
      </c>
      <c r="O598" s="126">
        <f t="shared" si="553"/>
        <v>106.789</v>
      </c>
      <c r="P598" s="126">
        <f t="shared" si="554"/>
        <v>0</v>
      </c>
      <c r="Q598" s="126"/>
      <c r="R598" s="126"/>
      <c r="S598" s="126">
        <f t="shared" si="555"/>
        <v>106.789</v>
      </c>
      <c r="T598" s="126"/>
      <c r="U598" s="126">
        <f>106.789</f>
        <v>106.789</v>
      </c>
      <c r="V598" s="126"/>
      <c r="W598" s="126"/>
      <c r="X598" s="126"/>
      <c r="Y598" s="126"/>
      <c r="Z598" s="126"/>
      <c r="AA598" s="126"/>
      <c r="AB598" s="126"/>
      <c r="AC598" s="126"/>
      <c r="AD598" s="126"/>
      <c r="AE598" s="126"/>
      <c r="AF598" s="126"/>
      <c r="AG598" s="126"/>
      <c r="AH598" s="126"/>
      <c r="AI598" s="126">
        <f t="shared" si="556"/>
        <v>0.21099999999999852</v>
      </c>
      <c r="AJ598" s="126">
        <f t="shared" si="557"/>
        <v>0</v>
      </c>
      <c r="AK598" s="126">
        <f t="shared" si="557"/>
        <v>0</v>
      </c>
      <c r="AL598" s="126">
        <f t="shared" si="558"/>
        <v>0</v>
      </c>
      <c r="AM598" s="126">
        <f t="shared" si="558"/>
        <v>0.21099999999999852</v>
      </c>
      <c r="AN598" s="126"/>
      <c r="AO598" s="130">
        <f t="shared" si="548"/>
        <v>0</v>
      </c>
      <c r="AP598" s="116"/>
    </row>
    <row r="599" spans="1:42" s="117" customFormat="1" ht="14" hidden="1" outlineLevel="1">
      <c r="A599" s="136"/>
      <c r="B599" s="137" t="s">
        <v>563</v>
      </c>
      <c r="C599" s="126">
        <f t="shared" si="550"/>
        <v>0</v>
      </c>
      <c r="D599" s="126">
        <v>0</v>
      </c>
      <c r="E599" s="126">
        <v>0</v>
      </c>
      <c r="F599" s="126">
        <v>0</v>
      </c>
      <c r="G599" s="126"/>
      <c r="H599" s="126">
        <f t="shared" si="551"/>
        <v>28</v>
      </c>
      <c r="I599" s="126">
        <f t="shared" si="552"/>
        <v>0</v>
      </c>
      <c r="J599" s="126"/>
      <c r="K599" s="126"/>
      <c r="L599" s="126">
        <f t="shared" si="559"/>
        <v>28</v>
      </c>
      <c r="M599" s="126"/>
      <c r="N599" s="126">
        <v>28</v>
      </c>
      <c r="O599" s="126">
        <f t="shared" si="553"/>
        <v>0</v>
      </c>
      <c r="P599" s="126">
        <f t="shared" si="554"/>
        <v>0</v>
      </c>
      <c r="Q599" s="126"/>
      <c r="R599" s="126"/>
      <c r="S599" s="126">
        <f t="shared" si="555"/>
        <v>0</v>
      </c>
      <c r="T599" s="126"/>
      <c r="U599" s="126">
        <f>0</f>
        <v>0</v>
      </c>
      <c r="V599" s="126"/>
      <c r="W599" s="126"/>
      <c r="X599" s="126"/>
      <c r="Y599" s="126"/>
      <c r="Z599" s="126"/>
      <c r="AA599" s="126"/>
      <c r="AB599" s="126"/>
      <c r="AC599" s="126"/>
      <c r="AD599" s="126"/>
      <c r="AE599" s="126"/>
      <c r="AF599" s="126"/>
      <c r="AG599" s="126"/>
      <c r="AH599" s="126"/>
      <c r="AI599" s="126">
        <f t="shared" si="556"/>
        <v>28</v>
      </c>
      <c r="AJ599" s="126">
        <f t="shared" si="557"/>
        <v>0</v>
      </c>
      <c r="AK599" s="126">
        <f t="shared" si="557"/>
        <v>0</v>
      </c>
      <c r="AL599" s="126">
        <f t="shared" si="558"/>
        <v>0</v>
      </c>
      <c r="AM599" s="126">
        <f t="shared" si="558"/>
        <v>28</v>
      </c>
      <c r="AN599" s="126"/>
      <c r="AO599" s="130">
        <f t="shared" si="548"/>
        <v>0</v>
      </c>
      <c r="AP599" s="116"/>
    </row>
    <row r="600" spans="1:42" s="117" customFormat="1" ht="14" hidden="1" outlineLevel="1">
      <c r="A600" s="136"/>
      <c r="B600" s="137" t="s">
        <v>680</v>
      </c>
      <c r="C600" s="126">
        <f t="shared" si="550"/>
        <v>0</v>
      </c>
      <c r="D600" s="126">
        <v>0</v>
      </c>
      <c r="E600" s="126">
        <v>0</v>
      </c>
      <c r="F600" s="126">
        <v>0</v>
      </c>
      <c r="G600" s="126"/>
      <c r="H600" s="126">
        <f t="shared" si="551"/>
        <v>0</v>
      </c>
      <c r="I600" s="126">
        <f t="shared" si="552"/>
        <v>0</v>
      </c>
      <c r="J600" s="126"/>
      <c r="K600" s="126"/>
      <c r="L600" s="126">
        <f t="shared" si="559"/>
        <v>0</v>
      </c>
      <c r="M600" s="126"/>
      <c r="N600" s="126">
        <f>182-182</f>
        <v>0</v>
      </c>
      <c r="O600" s="126">
        <f t="shared" si="553"/>
        <v>0</v>
      </c>
      <c r="P600" s="126">
        <f t="shared" si="554"/>
        <v>0</v>
      </c>
      <c r="Q600" s="126"/>
      <c r="R600" s="126"/>
      <c r="S600" s="126">
        <f t="shared" si="555"/>
        <v>0</v>
      </c>
      <c r="T600" s="126"/>
      <c r="U600" s="126"/>
      <c r="V600" s="126"/>
      <c r="W600" s="126"/>
      <c r="X600" s="126"/>
      <c r="Y600" s="126"/>
      <c r="Z600" s="126"/>
      <c r="AA600" s="126"/>
      <c r="AB600" s="126"/>
      <c r="AC600" s="126"/>
      <c r="AD600" s="126"/>
      <c r="AE600" s="126"/>
      <c r="AF600" s="126"/>
      <c r="AG600" s="126"/>
      <c r="AH600" s="126"/>
      <c r="AI600" s="126">
        <f t="shared" si="556"/>
        <v>0</v>
      </c>
      <c r="AJ600" s="126">
        <f t="shared" si="557"/>
        <v>0</v>
      </c>
      <c r="AK600" s="126">
        <f t="shared" si="557"/>
        <v>0</v>
      </c>
      <c r="AL600" s="126">
        <f t="shared" si="558"/>
        <v>0</v>
      </c>
      <c r="AM600" s="126">
        <f t="shared" si="558"/>
        <v>0</v>
      </c>
      <c r="AN600" s="126"/>
      <c r="AO600" s="130">
        <f t="shared" si="548"/>
        <v>0</v>
      </c>
      <c r="AP600" s="116"/>
    </row>
    <row r="601" spans="1:42" s="117" customFormat="1" ht="14" hidden="1" outlineLevel="1">
      <c r="A601" s="136"/>
      <c r="B601" s="137" t="s">
        <v>565</v>
      </c>
      <c r="C601" s="126">
        <f t="shared" si="550"/>
        <v>0</v>
      </c>
      <c r="D601" s="126">
        <v>0</v>
      </c>
      <c r="E601" s="126">
        <v>0</v>
      </c>
      <c r="F601" s="126">
        <v>0</v>
      </c>
      <c r="G601" s="126"/>
      <c r="H601" s="126">
        <f t="shared" si="551"/>
        <v>101</v>
      </c>
      <c r="I601" s="126">
        <f t="shared" si="552"/>
        <v>0</v>
      </c>
      <c r="J601" s="126"/>
      <c r="K601" s="126"/>
      <c r="L601" s="126">
        <f t="shared" si="559"/>
        <v>101</v>
      </c>
      <c r="M601" s="126"/>
      <c r="N601" s="126">
        <v>101</v>
      </c>
      <c r="O601" s="126">
        <f t="shared" si="553"/>
        <v>58</v>
      </c>
      <c r="P601" s="126">
        <f t="shared" si="554"/>
        <v>0</v>
      </c>
      <c r="Q601" s="126"/>
      <c r="R601" s="126"/>
      <c r="S601" s="126">
        <f t="shared" si="555"/>
        <v>58</v>
      </c>
      <c r="T601" s="126"/>
      <c r="U601" s="126">
        <f>58</f>
        <v>58</v>
      </c>
      <c r="V601" s="126"/>
      <c r="W601" s="126"/>
      <c r="X601" s="126"/>
      <c r="Y601" s="126"/>
      <c r="Z601" s="126"/>
      <c r="AA601" s="126"/>
      <c r="AB601" s="126"/>
      <c r="AC601" s="126"/>
      <c r="AD601" s="126"/>
      <c r="AE601" s="126"/>
      <c r="AF601" s="126"/>
      <c r="AG601" s="126"/>
      <c r="AH601" s="126"/>
      <c r="AI601" s="126">
        <f t="shared" si="556"/>
        <v>43</v>
      </c>
      <c r="AJ601" s="126">
        <f t="shared" si="557"/>
        <v>0</v>
      </c>
      <c r="AK601" s="126">
        <f t="shared" si="557"/>
        <v>0</v>
      </c>
      <c r="AL601" s="126">
        <f t="shared" si="558"/>
        <v>0</v>
      </c>
      <c r="AM601" s="126">
        <f t="shared" si="558"/>
        <v>43</v>
      </c>
      <c r="AN601" s="126"/>
      <c r="AO601" s="130">
        <f t="shared" si="548"/>
        <v>0</v>
      </c>
      <c r="AP601" s="116"/>
    </row>
    <row r="602" spans="1:42" s="117" customFormat="1" ht="14" hidden="1" outlineLevel="1">
      <c r="A602" s="136"/>
      <c r="B602" s="137" t="s">
        <v>568</v>
      </c>
      <c r="C602" s="126">
        <f t="shared" si="550"/>
        <v>0</v>
      </c>
      <c r="D602" s="126">
        <v>0</v>
      </c>
      <c r="E602" s="126">
        <v>0</v>
      </c>
      <c r="F602" s="126">
        <v>0</v>
      </c>
      <c r="G602" s="126"/>
      <c r="H602" s="126">
        <f t="shared" si="551"/>
        <v>370</v>
      </c>
      <c r="I602" s="126">
        <f t="shared" si="552"/>
        <v>0</v>
      </c>
      <c r="J602" s="126"/>
      <c r="K602" s="126"/>
      <c r="L602" s="126">
        <f t="shared" si="559"/>
        <v>370</v>
      </c>
      <c r="M602" s="126"/>
      <c r="N602" s="126">
        <f>420-50</f>
        <v>370</v>
      </c>
      <c r="O602" s="126">
        <f t="shared" si="553"/>
        <v>370</v>
      </c>
      <c r="P602" s="126">
        <f t="shared" si="554"/>
        <v>0</v>
      </c>
      <c r="Q602" s="126"/>
      <c r="R602" s="126"/>
      <c r="S602" s="126">
        <f t="shared" si="555"/>
        <v>370</v>
      </c>
      <c r="T602" s="126"/>
      <c r="U602" s="126">
        <f>N602</f>
        <v>370</v>
      </c>
      <c r="V602" s="126"/>
      <c r="W602" s="126"/>
      <c r="X602" s="126"/>
      <c r="Y602" s="126"/>
      <c r="Z602" s="126"/>
      <c r="AA602" s="126"/>
      <c r="AB602" s="126"/>
      <c r="AC602" s="126"/>
      <c r="AD602" s="126"/>
      <c r="AE602" s="126"/>
      <c r="AF602" s="126"/>
      <c r="AG602" s="126"/>
      <c r="AH602" s="126"/>
      <c r="AI602" s="126">
        <f t="shared" si="556"/>
        <v>0</v>
      </c>
      <c r="AJ602" s="126">
        <f t="shared" si="557"/>
        <v>0</v>
      </c>
      <c r="AK602" s="126">
        <f t="shared" si="557"/>
        <v>0</v>
      </c>
      <c r="AL602" s="126">
        <f t="shared" si="558"/>
        <v>0</v>
      </c>
      <c r="AM602" s="126">
        <f t="shared" si="558"/>
        <v>0</v>
      </c>
      <c r="AN602" s="126"/>
      <c r="AO602" s="130">
        <f t="shared" si="548"/>
        <v>0</v>
      </c>
      <c r="AP602" s="116"/>
    </row>
    <row r="603" spans="1:42" s="117" customFormat="1" ht="14" hidden="1" outlineLevel="1">
      <c r="A603" s="136"/>
      <c r="B603" s="137" t="s">
        <v>800</v>
      </c>
      <c r="C603" s="126">
        <f t="shared" ref="C603" si="560">SUM(D603:G603)</f>
        <v>0</v>
      </c>
      <c r="D603" s="126">
        <v>0</v>
      </c>
      <c r="E603" s="126">
        <v>0</v>
      </c>
      <c r="F603" s="126">
        <v>0</v>
      </c>
      <c r="G603" s="126"/>
      <c r="H603" s="126">
        <f t="shared" si="551"/>
        <v>2848</v>
      </c>
      <c r="I603" s="126">
        <f t="shared" si="552"/>
        <v>2848</v>
      </c>
      <c r="J603" s="126"/>
      <c r="K603" s="126">
        <v>2848</v>
      </c>
      <c r="L603" s="126">
        <f t="shared" si="559"/>
        <v>0</v>
      </c>
      <c r="M603" s="126"/>
      <c r="N603" s="126">
        <v>0</v>
      </c>
      <c r="O603" s="126">
        <f t="shared" si="553"/>
        <v>2848</v>
      </c>
      <c r="P603" s="126">
        <f t="shared" si="554"/>
        <v>2848</v>
      </c>
      <c r="Q603" s="126"/>
      <c r="R603" s="126">
        <v>2848</v>
      </c>
      <c r="S603" s="126">
        <f t="shared" si="555"/>
        <v>0</v>
      </c>
      <c r="T603" s="126"/>
      <c r="U603" s="126"/>
      <c r="V603" s="126"/>
      <c r="W603" s="126"/>
      <c r="X603" s="126"/>
      <c r="Y603" s="126"/>
      <c r="Z603" s="126"/>
      <c r="AA603" s="126"/>
      <c r="AB603" s="126"/>
      <c r="AC603" s="126"/>
      <c r="AD603" s="126"/>
      <c r="AE603" s="126"/>
      <c r="AF603" s="126"/>
      <c r="AG603" s="126"/>
      <c r="AH603" s="126"/>
      <c r="AI603" s="126">
        <f t="shared" ref="AI603" si="561">SUM(AJ603:AM603)</f>
        <v>0</v>
      </c>
      <c r="AJ603" s="126">
        <f t="shared" si="557"/>
        <v>0</v>
      </c>
      <c r="AK603" s="126">
        <f t="shared" si="557"/>
        <v>0</v>
      </c>
      <c r="AL603" s="126">
        <f t="shared" si="558"/>
        <v>0</v>
      </c>
      <c r="AM603" s="126">
        <f t="shared" si="558"/>
        <v>0</v>
      </c>
      <c r="AN603" s="126"/>
      <c r="AO603" s="130">
        <f t="shared" si="548"/>
        <v>0</v>
      </c>
      <c r="AP603" s="116"/>
    </row>
    <row r="604" spans="1:42" s="117" customFormat="1" ht="14" hidden="1" outlineLevel="1">
      <c r="A604" s="136"/>
      <c r="B604" s="137" t="s">
        <v>604</v>
      </c>
      <c r="C604" s="126">
        <f t="shared" si="550"/>
        <v>0</v>
      </c>
      <c r="D604" s="126">
        <v>0</v>
      </c>
      <c r="E604" s="126">
        <v>0</v>
      </c>
      <c r="F604" s="126">
        <v>0</v>
      </c>
      <c r="G604" s="126"/>
      <c r="H604" s="126">
        <f t="shared" si="551"/>
        <v>182</v>
      </c>
      <c r="I604" s="126">
        <f t="shared" si="552"/>
        <v>182</v>
      </c>
      <c r="J604" s="126"/>
      <c r="K604" s="126">
        <f>182</f>
        <v>182</v>
      </c>
      <c r="L604" s="126">
        <f t="shared" si="559"/>
        <v>0</v>
      </c>
      <c r="M604" s="126"/>
      <c r="N604" s="126">
        <f>182-182</f>
        <v>0</v>
      </c>
      <c r="O604" s="126">
        <f t="shared" si="553"/>
        <v>0</v>
      </c>
      <c r="P604" s="126">
        <f t="shared" si="554"/>
        <v>0</v>
      </c>
      <c r="Q604" s="126"/>
      <c r="R604" s="126"/>
      <c r="S604" s="126">
        <f t="shared" si="555"/>
        <v>0</v>
      </c>
      <c r="T604" s="126"/>
      <c r="U604" s="126"/>
      <c r="V604" s="126"/>
      <c r="W604" s="126"/>
      <c r="X604" s="126"/>
      <c r="Y604" s="126"/>
      <c r="Z604" s="126"/>
      <c r="AA604" s="126"/>
      <c r="AB604" s="126"/>
      <c r="AC604" s="126"/>
      <c r="AD604" s="126"/>
      <c r="AE604" s="126"/>
      <c r="AF604" s="126"/>
      <c r="AG604" s="126"/>
      <c r="AH604" s="126"/>
      <c r="AI604" s="126">
        <f t="shared" si="556"/>
        <v>182</v>
      </c>
      <c r="AJ604" s="126">
        <f t="shared" si="557"/>
        <v>0</v>
      </c>
      <c r="AK604" s="126">
        <f t="shared" si="557"/>
        <v>182</v>
      </c>
      <c r="AL604" s="126">
        <f t="shared" si="558"/>
        <v>0</v>
      </c>
      <c r="AM604" s="126">
        <f t="shared" si="558"/>
        <v>0</v>
      </c>
      <c r="AN604" s="126"/>
      <c r="AO604" s="130">
        <f t="shared" si="548"/>
        <v>0</v>
      </c>
      <c r="AP604" s="116"/>
    </row>
    <row r="605" spans="1:42" s="117" customFormat="1" ht="28" collapsed="1">
      <c r="A605" s="136">
        <v>5</v>
      </c>
      <c r="B605" s="137" t="s">
        <v>801</v>
      </c>
      <c r="C605" s="126">
        <f t="shared" ref="C605:AM605" si="562">C606</f>
        <v>71.15969999999993</v>
      </c>
      <c r="D605" s="126">
        <f t="shared" si="562"/>
        <v>0</v>
      </c>
      <c r="E605" s="126">
        <f t="shared" si="562"/>
        <v>71.15969999999993</v>
      </c>
      <c r="F605" s="126">
        <f t="shared" si="562"/>
        <v>0</v>
      </c>
      <c r="G605" s="126">
        <f t="shared" si="562"/>
        <v>0</v>
      </c>
      <c r="H605" s="126">
        <f t="shared" si="562"/>
        <v>0</v>
      </c>
      <c r="I605" s="126">
        <f t="shared" si="562"/>
        <v>0</v>
      </c>
      <c r="J605" s="126">
        <f t="shared" si="562"/>
        <v>0</v>
      </c>
      <c r="K605" s="126">
        <f t="shared" si="562"/>
        <v>0</v>
      </c>
      <c r="L605" s="126">
        <f t="shared" si="562"/>
        <v>0</v>
      </c>
      <c r="M605" s="126">
        <f t="shared" si="562"/>
        <v>0</v>
      </c>
      <c r="N605" s="126">
        <f t="shared" si="562"/>
        <v>0</v>
      </c>
      <c r="O605" s="126">
        <f t="shared" si="562"/>
        <v>0</v>
      </c>
      <c r="P605" s="126">
        <f t="shared" si="562"/>
        <v>0</v>
      </c>
      <c r="Q605" s="126">
        <f t="shared" si="562"/>
        <v>0</v>
      </c>
      <c r="R605" s="126">
        <f t="shared" si="562"/>
        <v>0</v>
      </c>
      <c r="S605" s="126">
        <f t="shared" si="562"/>
        <v>0</v>
      </c>
      <c r="T605" s="126">
        <f t="shared" si="562"/>
        <v>0</v>
      </c>
      <c r="U605" s="126">
        <f t="shared" si="562"/>
        <v>0</v>
      </c>
      <c r="V605" s="126">
        <f t="shared" si="562"/>
        <v>71.15969999999993</v>
      </c>
      <c r="W605" s="126">
        <f t="shared" si="562"/>
        <v>71.15969999999993</v>
      </c>
      <c r="X605" s="126">
        <f t="shared" si="562"/>
        <v>0</v>
      </c>
      <c r="Y605" s="126">
        <f t="shared" si="562"/>
        <v>71.15969999999993</v>
      </c>
      <c r="Z605" s="126">
        <f t="shared" si="562"/>
        <v>0</v>
      </c>
      <c r="AA605" s="126">
        <f t="shared" si="562"/>
        <v>0</v>
      </c>
      <c r="AB605" s="126">
        <f t="shared" si="562"/>
        <v>0</v>
      </c>
      <c r="AC605" s="126">
        <f t="shared" si="562"/>
        <v>0</v>
      </c>
      <c r="AD605" s="126">
        <f t="shared" si="562"/>
        <v>0</v>
      </c>
      <c r="AE605" s="126">
        <f t="shared" si="562"/>
        <v>0</v>
      </c>
      <c r="AF605" s="126">
        <f t="shared" si="562"/>
        <v>0</v>
      </c>
      <c r="AG605" s="126">
        <f t="shared" si="562"/>
        <v>0</v>
      </c>
      <c r="AH605" s="126">
        <f t="shared" si="562"/>
        <v>0</v>
      </c>
      <c r="AI605" s="126">
        <f>SUM(AJ605:AM605)</f>
        <v>0</v>
      </c>
      <c r="AJ605" s="126">
        <f t="shared" si="562"/>
        <v>0</v>
      </c>
      <c r="AK605" s="126">
        <f t="shared" si="562"/>
        <v>0</v>
      </c>
      <c r="AL605" s="126">
        <f t="shared" si="562"/>
        <v>0</v>
      </c>
      <c r="AM605" s="126">
        <f t="shared" si="562"/>
        <v>0</v>
      </c>
      <c r="AN605" s="126"/>
      <c r="AO605" s="130">
        <f t="shared" si="548"/>
        <v>0</v>
      </c>
      <c r="AP605" s="116"/>
    </row>
    <row r="606" spans="1:42" s="117" customFormat="1" ht="14" hidden="1" outlineLevel="1">
      <c r="A606" s="136"/>
      <c r="B606" s="137" t="s">
        <v>802</v>
      </c>
      <c r="C606" s="126">
        <f>SUM(D606:G606)</f>
        <v>71.15969999999993</v>
      </c>
      <c r="D606" s="126">
        <v>0</v>
      </c>
      <c r="E606" s="126">
        <v>71.15969999999993</v>
      </c>
      <c r="F606" s="126">
        <v>0</v>
      </c>
      <c r="G606" s="126">
        <v>0</v>
      </c>
      <c r="H606" s="126">
        <f>I606+L606</f>
        <v>0</v>
      </c>
      <c r="I606" s="126">
        <f>J606+K606</f>
        <v>0</v>
      </c>
      <c r="J606" s="126"/>
      <c r="K606" s="126"/>
      <c r="L606" s="126"/>
      <c r="M606" s="126"/>
      <c r="N606" s="126"/>
      <c r="O606" s="126">
        <f>P606+S606</f>
        <v>0</v>
      </c>
      <c r="P606" s="126">
        <f>Q606+R606</f>
        <v>0</v>
      </c>
      <c r="Q606" s="126"/>
      <c r="R606" s="126"/>
      <c r="S606" s="126">
        <f>T606+U606</f>
        <v>0</v>
      </c>
      <c r="T606" s="126"/>
      <c r="U606" s="126"/>
      <c r="V606" s="126">
        <f>W606+Z606</f>
        <v>71.15969999999993</v>
      </c>
      <c r="W606" s="126">
        <f>X606+Y606</f>
        <v>71.15969999999993</v>
      </c>
      <c r="X606" s="126"/>
      <c r="Y606" s="126">
        <v>71.15969999999993</v>
      </c>
      <c r="Z606" s="126"/>
      <c r="AA606" s="126"/>
      <c r="AB606" s="126"/>
      <c r="AC606" s="126"/>
      <c r="AD606" s="126"/>
      <c r="AE606" s="126"/>
      <c r="AF606" s="126"/>
      <c r="AG606" s="126"/>
      <c r="AH606" s="126"/>
      <c r="AI606" s="126">
        <f t="shared" ref="AI606:AI644" si="563">SUM(AJ606:AM606)</f>
        <v>0</v>
      </c>
      <c r="AJ606" s="126">
        <f>D606+J606-Q606-X606-AD606</f>
        <v>0</v>
      </c>
      <c r="AK606" s="126">
        <f>E606+K606-R606-Y606-AE606</f>
        <v>0</v>
      </c>
      <c r="AL606" s="126">
        <f>F606+M606-T606-AA606-AG606</f>
        <v>0</v>
      </c>
      <c r="AM606" s="126">
        <f>G606+N606-U606-AB606-AH606</f>
        <v>0</v>
      </c>
      <c r="AN606" s="126"/>
      <c r="AO606" s="130">
        <f t="shared" si="548"/>
        <v>0</v>
      </c>
      <c r="AP606" s="116"/>
    </row>
    <row r="607" spans="1:42" s="117" customFormat="1" ht="42" collapsed="1">
      <c r="A607" s="136">
        <v>6</v>
      </c>
      <c r="B607" s="137" t="s">
        <v>510</v>
      </c>
      <c r="C607" s="126">
        <f>SUM(C608:C611)</f>
        <v>0</v>
      </c>
      <c r="D607" s="126">
        <f t="shared" ref="D607:AH607" si="564">SUM(D608:D611)</f>
        <v>0</v>
      </c>
      <c r="E607" s="126">
        <f t="shared" si="564"/>
        <v>0</v>
      </c>
      <c r="F607" s="126">
        <f t="shared" si="564"/>
        <v>0</v>
      </c>
      <c r="G607" s="126">
        <f t="shared" si="564"/>
        <v>0</v>
      </c>
      <c r="H607" s="126">
        <f t="shared" si="564"/>
        <v>2876</v>
      </c>
      <c r="I607" s="126">
        <f t="shared" si="564"/>
        <v>2876</v>
      </c>
      <c r="J607" s="126">
        <f t="shared" si="564"/>
        <v>0</v>
      </c>
      <c r="K607" s="126">
        <f t="shared" si="564"/>
        <v>2876</v>
      </c>
      <c r="L607" s="126">
        <f t="shared" si="564"/>
        <v>0</v>
      </c>
      <c r="M607" s="126">
        <f t="shared" si="564"/>
        <v>0</v>
      </c>
      <c r="N607" s="126">
        <f t="shared" si="564"/>
        <v>0</v>
      </c>
      <c r="O607" s="126">
        <f t="shared" si="564"/>
        <v>2876</v>
      </c>
      <c r="P607" s="126">
        <f t="shared" si="564"/>
        <v>2876</v>
      </c>
      <c r="Q607" s="126">
        <f t="shared" si="564"/>
        <v>0</v>
      </c>
      <c r="R607" s="126">
        <f t="shared" si="564"/>
        <v>2876</v>
      </c>
      <c r="S607" s="126">
        <f t="shared" si="564"/>
        <v>0</v>
      </c>
      <c r="T607" s="126">
        <f t="shared" si="564"/>
        <v>0</v>
      </c>
      <c r="U607" s="126">
        <f t="shared" si="564"/>
        <v>0</v>
      </c>
      <c r="V607" s="126">
        <f t="shared" si="564"/>
        <v>0</v>
      </c>
      <c r="W607" s="126">
        <f t="shared" si="564"/>
        <v>0</v>
      </c>
      <c r="X607" s="126">
        <f t="shared" si="564"/>
        <v>0</v>
      </c>
      <c r="Y607" s="126">
        <f t="shared" si="564"/>
        <v>0</v>
      </c>
      <c r="Z607" s="126">
        <f t="shared" si="564"/>
        <v>0</v>
      </c>
      <c r="AA607" s="126">
        <f t="shared" si="564"/>
        <v>0</v>
      </c>
      <c r="AB607" s="126">
        <f t="shared" si="564"/>
        <v>0</v>
      </c>
      <c r="AC607" s="126">
        <f t="shared" si="564"/>
        <v>0</v>
      </c>
      <c r="AD607" s="126">
        <f t="shared" si="564"/>
        <v>0</v>
      </c>
      <c r="AE607" s="126">
        <f t="shared" si="564"/>
        <v>0</v>
      </c>
      <c r="AF607" s="126">
        <f t="shared" si="564"/>
        <v>0</v>
      </c>
      <c r="AG607" s="126">
        <f t="shared" si="564"/>
        <v>0</v>
      </c>
      <c r="AH607" s="126">
        <f t="shared" si="564"/>
        <v>0</v>
      </c>
      <c r="AI607" s="126">
        <f>SUM(AJ607:AM607)</f>
        <v>0</v>
      </c>
      <c r="AJ607" s="126">
        <f>SUM(AJ608:AJ611)</f>
        <v>0</v>
      </c>
      <c r="AK607" s="126">
        <f>SUM(AK608:AK611)</f>
        <v>0</v>
      </c>
      <c r="AL607" s="126">
        <f>SUM(AL608:AL611)</f>
        <v>0</v>
      </c>
      <c r="AM607" s="126">
        <f>SUM(AM608:AM611)</f>
        <v>0</v>
      </c>
      <c r="AN607" s="126"/>
      <c r="AO607" s="130">
        <f t="shared" si="548"/>
        <v>0</v>
      </c>
      <c r="AP607" s="116"/>
    </row>
    <row r="608" spans="1:42" s="117" customFormat="1" ht="14" hidden="1" outlineLevel="1">
      <c r="A608" s="136"/>
      <c r="B608" s="137" t="s">
        <v>803</v>
      </c>
      <c r="C608" s="126">
        <f>SUM(D608:G608)</f>
        <v>0</v>
      </c>
      <c r="D608" s="126">
        <v>0</v>
      </c>
      <c r="E608" s="126">
        <v>0</v>
      </c>
      <c r="F608" s="126">
        <v>0</v>
      </c>
      <c r="G608" s="126">
        <v>0</v>
      </c>
      <c r="H608" s="126">
        <f>I608+L608</f>
        <v>374</v>
      </c>
      <c r="I608" s="126">
        <f>J608+K608</f>
        <v>374</v>
      </c>
      <c r="J608" s="126"/>
      <c r="K608" s="126">
        <v>374</v>
      </c>
      <c r="L608" s="126"/>
      <c r="M608" s="126"/>
      <c r="N608" s="126"/>
      <c r="O608" s="126">
        <f>P608+S608</f>
        <v>374</v>
      </c>
      <c r="P608" s="126">
        <f>Q608+R608</f>
        <v>374</v>
      </c>
      <c r="Q608" s="126"/>
      <c r="R608" s="126">
        <f>K608</f>
        <v>374</v>
      </c>
      <c r="S608" s="126">
        <f>T608+U608</f>
        <v>0</v>
      </c>
      <c r="T608" s="126"/>
      <c r="U608" s="126"/>
      <c r="V608" s="126"/>
      <c r="W608" s="126"/>
      <c r="X608" s="126"/>
      <c r="Y608" s="126"/>
      <c r="Z608" s="126"/>
      <c r="AA608" s="126"/>
      <c r="AB608" s="126"/>
      <c r="AC608" s="126"/>
      <c r="AD608" s="126"/>
      <c r="AE608" s="126"/>
      <c r="AF608" s="126"/>
      <c r="AG608" s="126"/>
      <c r="AH608" s="126"/>
      <c r="AI608" s="126">
        <f>SUM(AJ608:AM608)</f>
        <v>0</v>
      </c>
      <c r="AJ608" s="126">
        <f t="shared" ref="AJ608:AK611" si="565">D608+J608-Q608-X608-AD608</f>
        <v>0</v>
      </c>
      <c r="AK608" s="126">
        <f t="shared" si="565"/>
        <v>0</v>
      </c>
      <c r="AL608" s="126">
        <f t="shared" ref="AL608:AM611" si="566">F608+M608-T608-AA608-AG608</f>
        <v>0</v>
      </c>
      <c r="AM608" s="126">
        <f t="shared" si="566"/>
        <v>0</v>
      </c>
      <c r="AN608" s="126"/>
      <c r="AO608" s="130">
        <f t="shared" si="548"/>
        <v>0</v>
      </c>
      <c r="AP608" s="116"/>
    </row>
    <row r="609" spans="1:42" s="117" customFormat="1" ht="14" hidden="1" outlineLevel="1">
      <c r="A609" s="136"/>
      <c r="B609" s="137" t="s">
        <v>804</v>
      </c>
      <c r="C609" s="126">
        <f>SUM(D609:G609)</f>
        <v>0</v>
      </c>
      <c r="D609" s="126">
        <v>0</v>
      </c>
      <c r="E609" s="126">
        <v>0</v>
      </c>
      <c r="F609" s="126">
        <v>0</v>
      </c>
      <c r="G609" s="126">
        <v>0</v>
      </c>
      <c r="H609" s="126">
        <f>I609+L609</f>
        <v>807.3</v>
      </c>
      <c r="I609" s="126">
        <f>J609+K609</f>
        <v>807.3</v>
      </c>
      <c r="J609" s="126"/>
      <c r="K609" s="126">
        <v>807.3</v>
      </c>
      <c r="L609" s="126"/>
      <c r="M609" s="126"/>
      <c r="N609" s="126"/>
      <c r="O609" s="126">
        <f>P609+S609</f>
        <v>807.3</v>
      </c>
      <c r="P609" s="126">
        <f>Q609+R609</f>
        <v>807.3</v>
      </c>
      <c r="Q609" s="126"/>
      <c r="R609" s="126">
        <f>K609</f>
        <v>807.3</v>
      </c>
      <c r="S609" s="126">
        <f>T609+U609</f>
        <v>0</v>
      </c>
      <c r="T609" s="126"/>
      <c r="U609" s="126"/>
      <c r="V609" s="126"/>
      <c r="W609" s="126"/>
      <c r="X609" s="126"/>
      <c r="Y609" s="126"/>
      <c r="Z609" s="126"/>
      <c r="AA609" s="126"/>
      <c r="AB609" s="126"/>
      <c r="AC609" s="126"/>
      <c r="AD609" s="126"/>
      <c r="AE609" s="126"/>
      <c r="AF609" s="126"/>
      <c r="AG609" s="126"/>
      <c r="AH609" s="126"/>
      <c r="AI609" s="126">
        <f>SUM(AJ609:AM609)</f>
        <v>0</v>
      </c>
      <c r="AJ609" s="126">
        <f t="shared" si="565"/>
        <v>0</v>
      </c>
      <c r="AK609" s="126">
        <f t="shared" si="565"/>
        <v>0</v>
      </c>
      <c r="AL609" s="126">
        <f t="shared" si="566"/>
        <v>0</v>
      </c>
      <c r="AM609" s="126">
        <f t="shared" si="566"/>
        <v>0</v>
      </c>
      <c r="AN609" s="126"/>
      <c r="AO609" s="130">
        <f t="shared" si="548"/>
        <v>0</v>
      </c>
      <c r="AP609" s="116"/>
    </row>
    <row r="610" spans="1:42" s="117" customFormat="1" ht="14" hidden="1" outlineLevel="1">
      <c r="A610" s="136"/>
      <c r="B610" s="137" t="s">
        <v>805</v>
      </c>
      <c r="C610" s="126">
        <f>SUM(D610:G610)</f>
        <v>0</v>
      </c>
      <c r="D610" s="126">
        <v>0</v>
      </c>
      <c r="E610" s="126">
        <v>0</v>
      </c>
      <c r="F610" s="126">
        <v>0</v>
      </c>
      <c r="G610" s="126">
        <v>0</v>
      </c>
      <c r="H610" s="126">
        <f>I610+L610</f>
        <v>707.4</v>
      </c>
      <c r="I610" s="126">
        <f>J610+K610</f>
        <v>707.4</v>
      </c>
      <c r="J610" s="126"/>
      <c r="K610" s="126">
        <v>707.4</v>
      </c>
      <c r="L610" s="126"/>
      <c r="M610" s="126"/>
      <c r="N610" s="126"/>
      <c r="O610" s="126">
        <f>P610+S610</f>
        <v>707.4</v>
      </c>
      <c r="P610" s="126">
        <f>Q610+R610</f>
        <v>707.4</v>
      </c>
      <c r="Q610" s="126"/>
      <c r="R610" s="126">
        <f>K610</f>
        <v>707.4</v>
      </c>
      <c r="S610" s="126">
        <f>T610+U610</f>
        <v>0</v>
      </c>
      <c r="T610" s="126"/>
      <c r="U610" s="126"/>
      <c r="V610" s="126"/>
      <c r="W610" s="126"/>
      <c r="X610" s="126"/>
      <c r="Y610" s="126"/>
      <c r="Z610" s="126"/>
      <c r="AA610" s="126"/>
      <c r="AB610" s="126"/>
      <c r="AC610" s="126"/>
      <c r="AD610" s="126"/>
      <c r="AE610" s="126"/>
      <c r="AF610" s="126"/>
      <c r="AG610" s="126"/>
      <c r="AH610" s="126"/>
      <c r="AI610" s="126">
        <f>SUM(AJ610:AM610)</f>
        <v>0</v>
      </c>
      <c r="AJ610" s="126">
        <f t="shared" si="565"/>
        <v>0</v>
      </c>
      <c r="AK610" s="126">
        <f t="shared" si="565"/>
        <v>0</v>
      </c>
      <c r="AL610" s="126">
        <f t="shared" si="566"/>
        <v>0</v>
      </c>
      <c r="AM610" s="126">
        <f t="shared" si="566"/>
        <v>0</v>
      </c>
      <c r="AN610" s="126"/>
      <c r="AO610" s="130">
        <f t="shared" si="548"/>
        <v>0</v>
      </c>
      <c r="AP610" s="116"/>
    </row>
    <row r="611" spans="1:42" s="117" customFormat="1" ht="14" hidden="1" outlineLevel="1">
      <c r="A611" s="136"/>
      <c r="B611" s="137" t="s">
        <v>806</v>
      </c>
      <c r="C611" s="126">
        <f>SUM(D611:G611)</f>
        <v>0</v>
      </c>
      <c r="D611" s="126">
        <v>0</v>
      </c>
      <c r="E611" s="126">
        <v>0</v>
      </c>
      <c r="F611" s="126">
        <v>0</v>
      </c>
      <c r="G611" s="126">
        <v>0</v>
      </c>
      <c r="H611" s="126">
        <f>I611+L611</f>
        <v>987.3</v>
      </c>
      <c r="I611" s="126">
        <f>J611+K611</f>
        <v>987.3</v>
      </c>
      <c r="J611" s="126"/>
      <c r="K611" s="126">
        <v>987.3</v>
      </c>
      <c r="L611" s="126"/>
      <c r="M611" s="126"/>
      <c r="N611" s="126"/>
      <c r="O611" s="126">
        <f>P611+S611</f>
        <v>987.3</v>
      </c>
      <c r="P611" s="126">
        <f>Q611+R611</f>
        <v>987.3</v>
      </c>
      <c r="Q611" s="126"/>
      <c r="R611" s="126">
        <f>K611</f>
        <v>987.3</v>
      </c>
      <c r="S611" s="126">
        <f>T611+U611</f>
        <v>0</v>
      </c>
      <c r="T611" s="126"/>
      <c r="U611" s="126"/>
      <c r="V611" s="126"/>
      <c r="W611" s="126"/>
      <c r="X611" s="126"/>
      <c r="Y611" s="126"/>
      <c r="Z611" s="126"/>
      <c r="AA611" s="126"/>
      <c r="AB611" s="126"/>
      <c r="AC611" s="126"/>
      <c r="AD611" s="126"/>
      <c r="AE611" s="126"/>
      <c r="AF611" s="126"/>
      <c r="AG611" s="126"/>
      <c r="AH611" s="126"/>
      <c r="AI611" s="126">
        <f t="shared" si="563"/>
        <v>0</v>
      </c>
      <c r="AJ611" s="126">
        <f t="shared" si="565"/>
        <v>0</v>
      </c>
      <c r="AK611" s="126">
        <f t="shared" si="565"/>
        <v>0</v>
      </c>
      <c r="AL611" s="126">
        <f t="shared" si="566"/>
        <v>0</v>
      </c>
      <c r="AM611" s="126">
        <f t="shared" si="566"/>
        <v>0</v>
      </c>
      <c r="AN611" s="126"/>
      <c r="AO611" s="130">
        <f t="shared" si="548"/>
        <v>0</v>
      </c>
      <c r="AP611" s="116"/>
    </row>
    <row r="612" spans="1:42" s="117" customFormat="1" ht="28" collapsed="1">
      <c r="A612" s="136">
        <v>7</v>
      </c>
      <c r="B612" s="137" t="s">
        <v>511</v>
      </c>
      <c r="C612" s="126">
        <f>SUM(C613:C617)</f>
        <v>0</v>
      </c>
      <c r="D612" s="126">
        <f t="shared" ref="D612:AB612" si="567">SUM(D613:D617)</f>
        <v>0</v>
      </c>
      <c r="E612" s="126">
        <f t="shared" si="567"/>
        <v>0</v>
      </c>
      <c r="F612" s="126">
        <f t="shared" si="567"/>
        <v>0</v>
      </c>
      <c r="G612" s="126">
        <f t="shared" si="567"/>
        <v>0</v>
      </c>
      <c r="H612" s="126">
        <f t="shared" si="567"/>
        <v>3209</v>
      </c>
      <c r="I612" s="126">
        <f t="shared" si="567"/>
        <v>2871</v>
      </c>
      <c r="J612" s="126">
        <f t="shared" si="567"/>
        <v>0</v>
      </c>
      <c r="K612" s="126">
        <f t="shared" si="567"/>
        <v>2871</v>
      </c>
      <c r="L612" s="126">
        <f t="shared" si="567"/>
        <v>338</v>
      </c>
      <c r="M612" s="126">
        <f t="shared" si="567"/>
        <v>0</v>
      </c>
      <c r="N612" s="126">
        <f t="shared" si="567"/>
        <v>338</v>
      </c>
      <c r="O612" s="126">
        <f t="shared" si="567"/>
        <v>3072</v>
      </c>
      <c r="P612" s="126">
        <f t="shared" si="567"/>
        <v>2871</v>
      </c>
      <c r="Q612" s="126">
        <f t="shared" si="567"/>
        <v>0</v>
      </c>
      <c r="R612" s="126">
        <f t="shared" si="567"/>
        <v>2871</v>
      </c>
      <c r="S612" s="126">
        <f t="shared" si="567"/>
        <v>201</v>
      </c>
      <c r="T612" s="126">
        <f t="shared" si="567"/>
        <v>0</v>
      </c>
      <c r="U612" s="126">
        <f t="shared" si="567"/>
        <v>201</v>
      </c>
      <c r="V612" s="126">
        <f t="shared" si="567"/>
        <v>0</v>
      </c>
      <c r="W612" s="126">
        <f t="shared" si="567"/>
        <v>0</v>
      </c>
      <c r="X612" s="126">
        <f t="shared" si="567"/>
        <v>0</v>
      </c>
      <c r="Y612" s="126">
        <f t="shared" si="567"/>
        <v>0</v>
      </c>
      <c r="Z612" s="126">
        <f t="shared" si="567"/>
        <v>0</v>
      </c>
      <c r="AA612" s="126">
        <f t="shared" si="567"/>
        <v>0</v>
      </c>
      <c r="AB612" s="126">
        <f t="shared" si="567"/>
        <v>0</v>
      </c>
      <c r="AC612" s="126">
        <f t="shared" ref="AC612:AH612" si="568">AC617</f>
        <v>0</v>
      </c>
      <c r="AD612" s="126">
        <f t="shared" si="568"/>
        <v>0</v>
      </c>
      <c r="AE612" s="126">
        <f t="shared" si="568"/>
        <v>0</v>
      </c>
      <c r="AF612" s="126">
        <f t="shared" si="568"/>
        <v>0</v>
      </c>
      <c r="AG612" s="126">
        <f t="shared" si="568"/>
        <v>0</v>
      </c>
      <c r="AH612" s="126">
        <f t="shared" si="568"/>
        <v>0</v>
      </c>
      <c r="AI612" s="126">
        <f>SUM(AJ612:AM612)</f>
        <v>137</v>
      </c>
      <c r="AJ612" s="126">
        <f>SUM(AJ613:AJ617)</f>
        <v>0</v>
      </c>
      <c r="AK612" s="126">
        <f>SUM(AK613:AK617)</f>
        <v>0</v>
      </c>
      <c r="AL612" s="126">
        <f>SUM(AL613:AL617)</f>
        <v>0</v>
      </c>
      <c r="AM612" s="126">
        <f>SUM(AM613:AM617)</f>
        <v>137</v>
      </c>
      <c r="AN612" s="126"/>
      <c r="AO612" s="130">
        <f t="shared" si="548"/>
        <v>0</v>
      </c>
      <c r="AP612" s="116"/>
    </row>
    <row r="613" spans="1:42" s="117" customFormat="1" ht="14" hidden="1" outlineLevel="1">
      <c r="A613" s="136"/>
      <c r="B613" s="137" t="s">
        <v>787</v>
      </c>
      <c r="C613" s="126">
        <f>SUM(D613:G613)</f>
        <v>0</v>
      </c>
      <c r="D613" s="126">
        <v>0</v>
      </c>
      <c r="E613" s="126">
        <v>0</v>
      </c>
      <c r="F613" s="126">
        <v>0</v>
      </c>
      <c r="G613" s="126">
        <v>0</v>
      </c>
      <c r="H613" s="126">
        <f>I613+L613</f>
        <v>2871</v>
      </c>
      <c r="I613" s="126">
        <f>J613+K613</f>
        <v>2871</v>
      </c>
      <c r="J613" s="126"/>
      <c r="K613" s="126">
        <v>2871</v>
      </c>
      <c r="L613" s="126">
        <f>M613+N613</f>
        <v>0</v>
      </c>
      <c r="M613" s="126"/>
      <c r="N613" s="126"/>
      <c r="O613" s="126">
        <f>P613+S613</f>
        <v>2871</v>
      </c>
      <c r="P613" s="126">
        <f>Q613+R613</f>
        <v>2871</v>
      </c>
      <c r="Q613" s="126"/>
      <c r="R613" s="126">
        <v>2871</v>
      </c>
      <c r="S613" s="126">
        <f>T613+U613</f>
        <v>0</v>
      </c>
      <c r="T613" s="126"/>
      <c r="U613" s="126"/>
      <c r="V613" s="126"/>
      <c r="W613" s="126"/>
      <c r="X613" s="126"/>
      <c r="Y613" s="126"/>
      <c r="Z613" s="126"/>
      <c r="AA613" s="126"/>
      <c r="AB613" s="126"/>
      <c r="AC613" s="126"/>
      <c r="AD613" s="126"/>
      <c r="AE613" s="126"/>
      <c r="AF613" s="126"/>
      <c r="AG613" s="126"/>
      <c r="AH613" s="126"/>
      <c r="AI613" s="126">
        <f>SUM(AJ613:AM613)</f>
        <v>0</v>
      </c>
      <c r="AJ613" s="126">
        <f t="shared" ref="AJ613:AK617" si="569">D613+J613-Q613-X613-AD613</f>
        <v>0</v>
      </c>
      <c r="AK613" s="126">
        <f t="shared" si="569"/>
        <v>0</v>
      </c>
      <c r="AL613" s="126">
        <f t="shared" ref="AL613:AM617" si="570">F613+M613-T613-AA613-AG613</f>
        <v>0</v>
      </c>
      <c r="AM613" s="126">
        <f t="shared" si="570"/>
        <v>0</v>
      </c>
      <c r="AN613" s="126"/>
      <c r="AO613" s="130">
        <f t="shared" si="548"/>
        <v>0</v>
      </c>
      <c r="AP613" s="116"/>
    </row>
    <row r="614" spans="1:42" s="117" customFormat="1" ht="14" hidden="1" outlineLevel="1">
      <c r="A614" s="136"/>
      <c r="B614" s="137" t="s">
        <v>798</v>
      </c>
      <c r="C614" s="126">
        <f>SUM(D614:G614)</f>
        <v>0</v>
      </c>
      <c r="D614" s="126">
        <v>0</v>
      </c>
      <c r="E614" s="126">
        <v>0</v>
      </c>
      <c r="F614" s="126">
        <v>0</v>
      </c>
      <c r="G614" s="126">
        <v>0</v>
      </c>
      <c r="H614" s="126">
        <f>I614+L614</f>
        <v>91</v>
      </c>
      <c r="I614" s="126">
        <f>J614+K614</f>
        <v>0</v>
      </c>
      <c r="J614" s="126"/>
      <c r="K614" s="126"/>
      <c r="L614" s="126">
        <f>M614+N614</f>
        <v>91</v>
      </c>
      <c r="M614" s="126"/>
      <c r="N614" s="126">
        <v>91</v>
      </c>
      <c r="O614" s="126">
        <f>P614+S614</f>
        <v>0</v>
      </c>
      <c r="P614" s="126">
        <f>Q614+R614</f>
        <v>0</v>
      </c>
      <c r="Q614" s="126"/>
      <c r="R614" s="126"/>
      <c r="S614" s="126">
        <f>T614+U614</f>
        <v>0</v>
      </c>
      <c r="T614" s="126"/>
      <c r="U614" s="126"/>
      <c r="V614" s="126"/>
      <c r="W614" s="126"/>
      <c r="X614" s="126"/>
      <c r="Y614" s="126"/>
      <c r="Z614" s="126"/>
      <c r="AA614" s="126"/>
      <c r="AB614" s="126"/>
      <c r="AC614" s="126"/>
      <c r="AD614" s="126"/>
      <c r="AE614" s="126"/>
      <c r="AF614" s="126"/>
      <c r="AG614" s="126"/>
      <c r="AH614" s="126"/>
      <c r="AI614" s="126">
        <f>SUM(AJ614:AM614)</f>
        <v>91</v>
      </c>
      <c r="AJ614" s="126">
        <f t="shared" si="569"/>
        <v>0</v>
      </c>
      <c r="AK614" s="126">
        <f t="shared" si="569"/>
        <v>0</v>
      </c>
      <c r="AL614" s="126">
        <f t="shared" si="570"/>
        <v>0</v>
      </c>
      <c r="AM614" s="126">
        <f t="shared" si="570"/>
        <v>91</v>
      </c>
      <c r="AN614" s="126"/>
      <c r="AO614" s="130">
        <f t="shared" si="548"/>
        <v>0</v>
      </c>
      <c r="AP614" s="116"/>
    </row>
    <row r="615" spans="1:42" s="117" customFormat="1" ht="14" hidden="1" outlineLevel="1">
      <c r="A615" s="136"/>
      <c r="B615" s="137" t="s">
        <v>561</v>
      </c>
      <c r="C615" s="126">
        <f>SUM(D615:G615)</f>
        <v>0</v>
      </c>
      <c r="D615" s="126">
        <v>0</v>
      </c>
      <c r="E615" s="126">
        <v>0</v>
      </c>
      <c r="F615" s="126">
        <v>0</v>
      </c>
      <c r="G615" s="126">
        <v>0</v>
      </c>
      <c r="H615" s="126">
        <f>I615+L615</f>
        <v>46</v>
      </c>
      <c r="I615" s="126">
        <f>J615+K615</f>
        <v>0</v>
      </c>
      <c r="J615" s="126"/>
      <c r="K615" s="126"/>
      <c r="L615" s="126">
        <f>M615+N615</f>
        <v>46</v>
      </c>
      <c r="M615" s="126"/>
      <c r="N615" s="126">
        <v>46</v>
      </c>
      <c r="O615" s="126">
        <f>P615+S615</f>
        <v>0</v>
      </c>
      <c r="P615" s="126">
        <f>Q615+R615</f>
        <v>0</v>
      </c>
      <c r="Q615" s="126"/>
      <c r="R615" s="126"/>
      <c r="S615" s="126">
        <f>T615+U615</f>
        <v>0</v>
      </c>
      <c r="T615" s="126"/>
      <c r="U615" s="126"/>
      <c r="V615" s="126"/>
      <c r="W615" s="126"/>
      <c r="X615" s="126"/>
      <c r="Y615" s="126"/>
      <c r="Z615" s="126"/>
      <c r="AA615" s="126"/>
      <c r="AB615" s="126"/>
      <c r="AC615" s="126"/>
      <c r="AD615" s="126"/>
      <c r="AE615" s="126"/>
      <c r="AF615" s="126"/>
      <c r="AG615" s="126"/>
      <c r="AH615" s="126"/>
      <c r="AI615" s="126">
        <f>SUM(AJ615:AM615)</f>
        <v>46</v>
      </c>
      <c r="AJ615" s="126">
        <f t="shared" si="569"/>
        <v>0</v>
      </c>
      <c r="AK615" s="126">
        <f t="shared" si="569"/>
        <v>0</v>
      </c>
      <c r="AL615" s="126">
        <f t="shared" si="570"/>
        <v>0</v>
      </c>
      <c r="AM615" s="126">
        <f t="shared" si="570"/>
        <v>46</v>
      </c>
      <c r="AN615" s="126"/>
      <c r="AO615" s="130">
        <f t="shared" si="548"/>
        <v>0</v>
      </c>
      <c r="AP615" s="116"/>
    </row>
    <row r="616" spans="1:42" s="117" customFormat="1" ht="14" hidden="1" outlineLevel="1">
      <c r="A616" s="136"/>
      <c r="B616" s="137" t="s">
        <v>560</v>
      </c>
      <c r="C616" s="126">
        <f>SUM(D616:G616)</f>
        <v>0</v>
      </c>
      <c r="D616" s="126">
        <v>0</v>
      </c>
      <c r="E616" s="126">
        <v>0</v>
      </c>
      <c r="F616" s="126">
        <v>0</v>
      </c>
      <c r="G616" s="126">
        <v>0</v>
      </c>
      <c r="H616" s="126">
        <f>I616+L616</f>
        <v>174</v>
      </c>
      <c r="I616" s="126">
        <f>J616+K616</f>
        <v>0</v>
      </c>
      <c r="J616" s="126"/>
      <c r="K616" s="126"/>
      <c r="L616" s="126">
        <f>M616+N616</f>
        <v>174</v>
      </c>
      <c r="M616" s="126"/>
      <c r="N616" s="126">
        <v>174</v>
      </c>
      <c r="O616" s="126">
        <f>P616+S616</f>
        <v>174</v>
      </c>
      <c r="P616" s="126">
        <f>Q616+R616</f>
        <v>0</v>
      </c>
      <c r="Q616" s="126"/>
      <c r="R616" s="126"/>
      <c r="S616" s="126">
        <f>T616+U616</f>
        <v>174</v>
      </c>
      <c r="T616" s="126"/>
      <c r="U616" s="126">
        <f>N616</f>
        <v>174</v>
      </c>
      <c r="V616" s="126"/>
      <c r="W616" s="126"/>
      <c r="X616" s="126"/>
      <c r="Y616" s="126"/>
      <c r="Z616" s="126"/>
      <c r="AA616" s="126"/>
      <c r="AB616" s="126"/>
      <c r="AC616" s="126"/>
      <c r="AD616" s="126"/>
      <c r="AE616" s="126"/>
      <c r="AF616" s="126"/>
      <c r="AG616" s="126"/>
      <c r="AH616" s="126"/>
      <c r="AI616" s="126">
        <f>SUM(AJ616:AM616)</f>
        <v>0</v>
      </c>
      <c r="AJ616" s="126">
        <f t="shared" si="569"/>
        <v>0</v>
      </c>
      <c r="AK616" s="126">
        <f t="shared" si="569"/>
        <v>0</v>
      </c>
      <c r="AL616" s="126">
        <f t="shared" si="570"/>
        <v>0</v>
      </c>
      <c r="AM616" s="126">
        <f t="shared" si="570"/>
        <v>0</v>
      </c>
      <c r="AN616" s="126"/>
      <c r="AO616" s="130">
        <f t="shared" si="548"/>
        <v>0</v>
      </c>
      <c r="AP616" s="116"/>
    </row>
    <row r="617" spans="1:42" s="117" customFormat="1" ht="14" hidden="1" outlineLevel="1">
      <c r="A617" s="136"/>
      <c r="B617" s="137" t="s">
        <v>337</v>
      </c>
      <c r="C617" s="126">
        <f>SUM(D617:G617)</f>
        <v>0</v>
      </c>
      <c r="D617" s="126">
        <v>0</v>
      </c>
      <c r="E617" s="126">
        <v>0</v>
      </c>
      <c r="F617" s="126">
        <v>0</v>
      </c>
      <c r="G617" s="126">
        <v>0</v>
      </c>
      <c r="H617" s="126">
        <f>I617+L617</f>
        <v>27</v>
      </c>
      <c r="I617" s="126">
        <f>J617+K617</f>
        <v>0</v>
      </c>
      <c r="J617" s="126"/>
      <c r="K617" s="126"/>
      <c r="L617" s="126">
        <f>M617+N617</f>
        <v>27</v>
      </c>
      <c r="M617" s="126"/>
      <c r="N617" s="126">
        <v>27</v>
      </c>
      <c r="O617" s="126">
        <f>P617+S617</f>
        <v>27</v>
      </c>
      <c r="P617" s="126">
        <f>Q617+R617</f>
        <v>0</v>
      </c>
      <c r="Q617" s="126"/>
      <c r="R617" s="126"/>
      <c r="S617" s="126">
        <f>T617+U617</f>
        <v>27</v>
      </c>
      <c r="T617" s="126"/>
      <c r="U617" s="126">
        <f>N617</f>
        <v>27</v>
      </c>
      <c r="V617" s="126"/>
      <c r="W617" s="126"/>
      <c r="X617" s="126"/>
      <c r="Y617" s="126"/>
      <c r="Z617" s="126"/>
      <c r="AA617" s="126"/>
      <c r="AB617" s="126"/>
      <c r="AC617" s="126"/>
      <c r="AD617" s="126"/>
      <c r="AE617" s="126"/>
      <c r="AF617" s="126"/>
      <c r="AG617" s="126"/>
      <c r="AH617" s="126"/>
      <c r="AI617" s="126">
        <f t="shared" si="563"/>
        <v>0</v>
      </c>
      <c r="AJ617" s="126">
        <f t="shared" si="569"/>
        <v>0</v>
      </c>
      <c r="AK617" s="126">
        <f t="shared" si="569"/>
        <v>0</v>
      </c>
      <c r="AL617" s="126">
        <f t="shared" si="570"/>
        <v>0</v>
      </c>
      <c r="AM617" s="126">
        <f t="shared" si="570"/>
        <v>0</v>
      </c>
      <c r="AN617" s="126"/>
      <c r="AO617" s="130">
        <f t="shared" si="548"/>
        <v>0</v>
      </c>
      <c r="AP617" s="116"/>
    </row>
    <row r="618" spans="1:42" s="117" customFormat="1" ht="28" collapsed="1">
      <c r="A618" s="136">
        <v>8</v>
      </c>
      <c r="B618" s="137" t="s">
        <v>512</v>
      </c>
      <c r="C618" s="126">
        <f>SUM(C619:C626)</f>
        <v>0</v>
      </c>
      <c r="D618" s="126">
        <f t="shared" ref="D618:AH618" si="571">SUM(D619:D626)</f>
        <v>0</v>
      </c>
      <c r="E618" s="126">
        <f t="shared" si="571"/>
        <v>0</v>
      </c>
      <c r="F618" s="126">
        <f t="shared" si="571"/>
        <v>0</v>
      </c>
      <c r="G618" s="126">
        <f t="shared" si="571"/>
        <v>0</v>
      </c>
      <c r="H618" s="126">
        <f t="shared" si="571"/>
        <v>6700</v>
      </c>
      <c r="I618" s="126">
        <f t="shared" si="571"/>
        <v>0</v>
      </c>
      <c r="J618" s="126">
        <f t="shared" si="571"/>
        <v>0</v>
      </c>
      <c r="K618" s="126">
        <f t="shared" si="571"/>
        <v>0</v>
      </c>
      <c r="L618" s="126">
        <f t="shared" si="571"/>
        <v>6700</v>
      </c>
      <c r="M618" s="126">
        <f t="shared" si="571"/>
        <v>0</v>
      </c>
      <c r="N618" s="126">
        <f t="shared" si="571"/>
        <v>6700</v>
      </c>
      <c r="O618" s="126">
        <f t="shared" si="571"/>
        <v>6700</v>
      </c>
      <c r="P618" s="126">
        <f t="shared" si="571"/>
        <v>0</v>
      </c>
      <c r="Q618" s="126">
        <f t="shared" si="571"/>
        <v>0</v>
      </c>
      <c r="R618" s="126">
        <f t="shared" si="571"/>
        <v>0</v>
      </c>
      <c r="S618" s="126">
        <f t="shared" si="571"/>
        <v>6700</v>
      </c>
      <c r="T618" s="126">
        <f t="shared" si="571"/>
        <v>0</v>
      </c>
      <c r="U618" s="126">
        <f t="shared" si="571"/>
        <v>6700</v>
      </c>
      <c r="V618" s="126">
        <f t="shared" si="571"/>
        <v>0</v>
      </c>
      <c r="W618" s="126">
        <f t="shared" si="571"/>
        <v>0</v>
      </c>
      <c r="X618" s="126">
        <f t="shared" si="571"/>
        <v>0</v>
      </c>
      <c r="Y618" s="126">
        <f t="shared" si="571"/>
        <v>0</v>
      </c>
      <c r="Z618" s="126">
        <f t="shared" si="571"/>
        <v>0</v>
      </c>
      <c r="AA618" s="126">
        <f t="shared" si="571"/>
        <v>0</v>
      </c>
      <c r="AB618" s="126">
        <f t="shared" si="571"/>
        <v>0</v>
      </c>
      <c r="AC618" s="126">
        <f t="shared" si="571"/>
        <v>0</v>
      </c>
      <c r="AD618" s="126">
        <f t="shared" si="571"/>
        <v>0</v>
      </c>
      <c r="AE618" s="126">
        <f t="shared" si="571"/>
        <v>0</v>
      </c>
      <c r="AF618" s="126">
        <f t="shared" si="571"/>
        <v>0</v>
      </c>
      <c r="AG618" s="126">
        <f t="shared" si="571"/>
        <v>0</v>
      </c>
      <c r="AH618" s="126">
        <f t="shared" si="571"/>
        <v>0</v>
      </c>
      <c r="AI618" s="126">
        <f t="shared" si="563"/>
        <v>0</v>
      </c>
      <c r="AJ618" s="126">
        <f>SUM(AJ619:AJ626)</f>
        <v>0</v>
      </c>
      <c r="AK618" s="126">
        <f>SUM(AK619:AK626)</f>
        <v>0</v>
      </c>
      <c r="AL618" s="126">
        <f>SUM(AL619:AL626)</f>
        <v>0</v>
      </c>
      <c r="AM618" s="126">
        <f>SUM(AM619:AM626)</f>
        <v>0</v>
      </c>
      <c r="AN618" s="126"/>
      <c r="AO618" s="130">
        <f t="shared" si="548"/>
        <v>0</v>
      </c>
      <c r="AP618" s="116"/>
    </row>
    <row r="619" spans="1:42" s="117" customFormat="1" ht="14" hidden="1" outlineLevel="1">
      <c r="A619" s="136"/>
      <c r="B619" s="137" t="s">
        <v>337</v>
      </c>
      <c r="C619" s="126">
        <f t="shared" ref="C619:C625" si="572">SUM(D619:G619)</f>
        <v>0</v>
      </c>
      <c r="D619" s="126"/>
      <c r="E619" s="126"/>
      <c r="F619" s="126"/>
      <c r="G619" s="126"/>
      <c r="H619" s="126">
        <f t="shared" ref="H619:H626" si="573">I619+L619</f>
        <v>2063</v>
      </c>
      <c r="I619" s="126">
        <f t="shared" ref="I619:I626" si="574">J619+K619</f>
        <v>0</v>
      </c>
      <c r="J619" s="126"/>
      <c r="K619" s="126"/>
      <c r="L619" s="126">
        <f>M619+N619</f>
        <v>2063</v>
      </c>
      <c r="M619" s="126"/>
      <c r="N619" s="126">
        <f>2121-58</f>
        <v>2063</v>
      </c>
      <c r="O619" s="126">
        <f t="shared" ref="O619:O637" si="575">P619+S619</f>
        <v>2063</v>
      </c>
      <c r="P619" s="126">
        <f t="shared" ref="P619:P637" si="576">Q619+R619</f>
        <v>0</v>
      </c>
      <c r="Q619" s="126"/>
      <c r="R619" s="126"/>
      <c r="S619" s="126">
        <f t="shared" ref="S619:S637" si="577">T619+U619</f>
        <v>2063</v>
      </c>
      <c r="T619" s="126"/>
      <c r="U619" s="126">
        <f>N619</f>
        <v>2063</v>
      </c>
      <c r="V619" s="126">
        <f t="shared" ref="V619:V626" si="578">W619+Z619+AC619+AF619</f>
        <v>0</v>
      </c>
      <c r="W619" s="126">
        <f t="shared" ref="W619:W626" si="579">X619+Y619</f>
        <v>0</v>
      </c>
      <c r="X619" s="126"/>
      <c r="Y619" s="126"/>
      <c r="Z619" s="126">
        <f t="shared" ref="Z619:Z626" si="580">AA619+AB619</f>
        <v>0</v>
      </c>
      <c r="AA619" s="126"/>
      <c r="AB619" s="126"/>
      <c r="AC619" s="126"/>
      <c r="AD619" s="126"/>
      <c r="AE619" s="126"/>
      <c r="AF619" s="126"/>
      <c r="AG619" s="126"/>
      <c r="AH619" s="126"/>
      <c r="AI619" s="126">
        <f t="shared" si="563"/>
        <v>0</v>
      </c>
      <c r="AJ619" s="126">
        <f t="shared" ref="AJ619:AK626" si="581">D619+J619-Q619-X619-AD619</f>
        <v>0</v>
      </c>
      <c r="AK619" s="126">
        <f t="shared" si="581"/>
        <v>0</v>
      </c>
      <c r="AL619" s="126">
        <f t="shared" ref="AL619:AM626" si="582">F619+M619-T619-AA619-AG619</f>
        <v>0</v>
      </c>
      <c r="AM619" s="126">
        <f t="shared" si="582"/>
        <v>0</v>
      </c>
      <c r="AN619" s="126"/>
      <c r="AO619" s="130">
        <f t="shared" si="548"/>
        <v>0</v>
      </c>
      <c r="AP619" s="116"/>
    </row>
    <row r="620" spans="1:42" s="117" customFormat="1" ht="14" hidden="1" outlineLevel="1">
      <c r="A620" s="136"/>
      <c r="B620" s="137" t="s">
        <v>560</v>
      </c>
      <c r="C620" s="126">
        <f t="shared" si="572"/>
        <v>0</v>
      </c>
      <c r="D620" s="126"/>
      <c r="E620" s="126"/>
      <c r="F620" s="126"/>
      <c r="G620" s="126"/>
      <c r="H620" s="126">
        <f t="shared" si="573"/>
        <v>4637</v>
      </c>
      <c r="I620" s="126">
        <f t="shared" si="574"/>
        <v>0</v>
      </c>
      <c r="J620" s="126"/>
      <c r="K620" s="126"/>
      <c r="L620" s="126">
        <f t="shared" ref="L620:L626" si="583">M620+N620</f>
        <v>4637</v>
      </c>
      <c r="M620" s="126"/>
      <c r="N620" s="126">
        <f>4637</f>
        <v>4637</v>
      </c>
      <c r="O620" s="126">
        <f t="shared" si="575"/>
        <v>4637</v>
      </c>
      <c r="P620" s="126">
        <f t="shared" si="576"/>
        <v>0</v>
      </c>
      <c r="Q620" s="126"/>
      <c r="R620" s="126"/>
      <c r="S620" s="126">
        <f t="shared" si="577"/>
        <v>4637</v>
      </c>
      <c r="T620" s="126"/>
      <c r="U620" s="126">
        <f>N620</f>
        <v>4637</v>
      </c>
      <c r="V620" s="126">
        <f t="shared" si="578"/>
        <v>0</v>
      </c>
      <c r="W620" s="126">
        <f t="shared" si="579"/>
        <v>0</v>
      </c>
      <c r="X620" s="126"/>
      <c r="Y620" s="126"/>
      <c r="Z620" s="126">
        <f t="shared" si="580"/>
        <v>0</v>
      </c>
      <c r="AA620" s="126"/>
      <c r="AB620" s="126"/>
      <c r="AC620" s="126">
        <f t="shared" ref="AC620:AC626" si="584">AD620+AE620</f>
        <v>0</v>
      </c>
      <c r="AD620" s="126"/>
      <c r="AE620" s="126"/>
      <c r="AF620" s="126">
        <f t="shared" ref="AF620:AF626" si="585">AG620+AH620</f>
        <v>0</v>
      </c>
      <c r="AG620" s="126"/>
      <c r="AH620" s="126"/>
      <c r="AI620" s="126">
        <f t="shared" si="563"/>
        <v>0</v>
      </c>
      <c r="AJ620" s="126">
        <f t="shared" si="581"/>
        <v>0</v>
      </c>
      <c r="AK620" s="126">
        <f t="shared" si="581"/>
        <v>0</v>
      </c>
      <c r="AL620" s="126">
        <f t="shared" si="582"/>
        <v>0</v>
      </c>
      <c r="AM620" s="126">
        <f t="shared" si="582"/>
        <v>0</v>
      </c>
      <c r="AN620" s="126"/>
      <c r="AO620" s="130">
        <f t="shared" si="548"/>
        <v>0</v>
      </c>
      <c r="AP620" s="116"/>
    </row>
    <row r="621" spans="1:42" s="117" customFormat="1" ht="14" hidden="1" outlineLevel="1">
      <c r="A621" s="136"/>
      <c r="B621" s="137" t="s">
        <v>561</v>
      </c>
      <c r="C621" s="126">
        <f t="shared" si="572"/>
        <v>0</v>
      </c>
      <c r="D621" s="126"/>
      <c r="E621" s="126"/>
      <c r="F621" s="126"/>
      <c r="G621" s="126"/>
      <c r="H621" s="126">
        <f t="shared" si="573"/>
        <v>0</v>
      </c>
      <c r="I621" s="126">
        <f t="shared" si="574"/>
        <v>0</v>
      </c>
      <c r="J621" s="126"/>
      <c r="K621" s="126"/>
      <c r="L621" s="126">
        <f t="shared" si="583"/>
        <v>0</v>
      </c>
      <c r="M621" s="126"/>
      <c r="N621" s="126">
        <f>1046-1046</f>
        <v>0</v>
      </c>
      <c r="O621" s="126">
        <f t="shared" si="575"/>
        <v>0</v>
      </c>
      <c r="P621" s="126">
        <f t="shared" si="576"/>
        <v>0</v>
      </c>
      <c r="Q621" s="126"/>
      <c r="R621" s="126"/>
      <c r="S621" s="126">
        <f t="shared" si="577"/>
        <v>0</v>
      </c>
      <c r="T621" s="126"/>
      <c r="U621" s="126"/>
      <c r="V621" s="126">
        <f t="shared" si="578"/>
        <v>0</v>
      </c>
      <c r="W621" s="126">
        <f t="shared" si="579"/>
        <v>0</v>
      </c>
      <c r="X621" s="126"/>
      <c r="Y621" s="126"/>
      <c r="Z621" s="126">
        <f t="shared" si="580"/>
        <v>0</v>
      </c>
      <c r="AA621" s="126"/>
      <c r="AB621" s="126"/>
      <c r="AC621" s="126">
        <f t="shared" si="584"/>
        <v>0</v>
      </c>
      <c r="AD621" s="126"/>
      <c r="AE621" s="126"/>
      <c r="AF621" s="126">
        <f t="shared" si="585"/>
        <v>0</v>
      </c>
      <c r="AG621" s="126"/>
      <c r="AH621" s="126"/>
      <c r="AI621" s="126">
        <f t="shared" si="563"/>
        <v>0</v>
      </c>
      <c r="AJ621" s="126">
        <f t="shared" si="581"/>
        <v>0</v>
      </c>
      <c r="AK621" s="126">
        <f t="shared" si="581"/>
        <v>0</v>
      </c>
      <c r="AL621" s="126">
        <f t="shared" si="582"/>
        <v>0</v>
      </c>
      <c r="AM621" s="126">
        <f t="shared" si="582"/>
        <v>0</v>
      </c>
      <c r="AN621" s="126"/>
      <c r="AO621" s="130">
        <f t="shared" si="548"/>
        <v>0</v>
      </c>
      <c r="AP621" s="116"/>
    </row>
    <row r="622" spans="1:42" s="117" customFormat="1" ht="14" hidden="1" outlineLevel="1">
      <c r="A622" s="136"/>
      <c r="B622" s="137" t="s">
        <v>563</v>
      </c>
      <c r="C622" s="126">
        <f t="shared" si="572"/>
        <v>0</v>
      </c>
      <c r="D622" s="126"/>
      <c r="E622" s="126"/>
      <c r="F622" s="126"/>
      <c r="G622" s="156"/>
      <c r="H622" s="126">
        <f t="shared" si="573"/>
        <v>0</v>
      </c>
      <c r="I622" s="126">
        <f t="shared" si="574"/>
        <v>0</v>
      </c>
      <c r="J622" s="126"/>
      <c r="K622" s="126"/>
      <c r="L622" s="126">
        <f t="shared" si="583"/>
        <v>0</v>
      </c>
      <c r="M622" s="126"/>
      <c r="N622" s="126">
        <f>469-469</f>
        <v>0</v>
      </c>
      <c r="O622" s="126">
        <f t="shared" si="575"/>
        <v>0</v>
      </c>
      <c r="P622" s="126">
        <f t="shared" si="576"/>
        <v>0</v>
      </c>
      <c r="Q622" s="126"/>
      <c r="R622" s="126"/>
      <c r="S622" s="126">
        <f t="shared" si="577"/>
        <v>0</v>
      </c>
      <c r="T622" s="126"/>
      <c r="U622" s="126"/>
      <c r="V622" s="126">
        <f t="shared" si="578"/>
        <v>0</v>
      </c>
      <c r="W622" s="126">
        <f t="shared" si="579"/>
        <v>0</v>
      </c>
      <c r="X622" s="126"/>
      <c r="Y622" s="126"/>
      <c r="Z622" s="126">
        <f t="shared" si="580"/>
        <v>0</v>
      </c>
      <c r="AA622" s="126"/>
      <c r="AB622" s="126"/>
      <c r="AC622" s="126">
        <f t="shared" si="584"/>
        <v>0</v>
      </c>
      <c r="AD622" s="126"/>
      <c r="AE622" s="126"/>
      <c r="AF622" s="126">
        <f t="shared" si="585"/>
        <v>0</v>
      </c>
      <c r="AG622" s="126"/>
      <c r="AH622" s="126"/>
      <c r="AI622" s="126">
        <f t="shared" si="563"/>
        <v>0</v>
      </c>
      <c r="AJ622" s="126">
        <f t="shared" si="581"/>
        <v>0</v>
      </c>
      <c r="AK622" s="126">
        <f t="shared" si="581"/>
        <v>0</v>
      </c>
      <c r="AL622" s="126">
        <f t="shared" si="582"/>
        <v>0</v>
      </c>
      <c r="AM622" s="126">
        <f t="shared" si="582"/>
        <v>0</v>
      </c>
      <c r="AN622" s="126"/>
      <c r="AO622" s="130">
        <f t="shared" si="548"/>
        <v>0</v>
      </c>
      <c r="AP622" s="116"/>
    </row>
    <row r="623" spans="1:42" s="117" customFormat="1" ht="14" hidden="1" outlineLevel="1">
      <c r="A623" s="136"/>
      <c r="B623" s="137" t="s">
        <v>680</v>
      </c>
      <c r="C623" s="126">
        <f t="shared" si="572"/>
        <v>0</v>
      </c>
      <c r="D623" s="126"/>
      <c r="E623" s="126"/>
      <c r="F623" s="126"/>
      <c r="G623" s="126"/>
      <c r="H623" s="126">
        <f t="shared" si="573"/>
        <v>0</v>
      </c>
      <c r="I623" s="126">
        <f t="shared" si="574"/>
        <v>0</v>
      </c>
      <c r="J623" s="126"/>
      <c r="K623" s="126"/>
      <c r="L623" s="126">
        <f t="shared" si="583"/>
        <v>0</v>
      </c>
      <c r="M623" s="126"/>
      <c r="N623" s="126">
        <f>426-426</f>
        <v>0</v>
      </c>
      <c r="O623" s="126">
        <f t="shared" si="575"/>
        <v>0</v>
      </c>
      <c r="P623" s="126">
        <f t="shared" si="576"/>
        <v>0</v>
      </c>
      <c r="Q623" s="126"/>
      <c r="R623" s="126"/>
      <c r="S623" s="126">
        <f t="shared" si="577"/>
        <v>0</v>
      </c>
      <c r="T623" s="126"/>
      <c r="U623" s="126"/>
      <c r="V623" s="126">
        <f t="shared" si="578"/>
        <v>0</v>
      </c>
      <c r="W623" s="126">
        <f t="shared" si="579"/>
        <v>0</v>
      </c>
      <c r="X623" s="126"/>
      <c r="Y623" s="126"/>
      <c r="Z623" s="126">
        <f t="shared" si="580"/>
        <v>0</v>
      </c>
      <c r="AA623" s="126"/>
      <c r="AB623" s="126"/>
      <c r="AC623" s="126">
        <f t="shared" si="584"/>
        <v>0</v>
      </c>
      <c r="AD623" s="126"/>
      <c r="AE623" s="126"/>
      <c r="AF623" s="126">
        <f t="shared" si="585"/>
        <v>0</v>
      </c>
      <c r="AG623" s="126"/>
      <c r="AH623" s="126"/>
      <c r="AI623" s="126">
        <f t="shared" si="563"/>
        <v>0</v>
      </c>
      <c r="AJ623" s="126">
        <f t="shared" si="581"/>
        <v>0</v>
      </c>
      <c r="AK623" s="126">
        <f t="shared" si="581"/>
        <v>0</v>
      </c>
      <c r="AL623" s="126">
        <f t="shared" si="582"/>
        <v>0</v>
      </c>
      <c r="AM623" s="126">
        <f t="shared" si="582"/>
        <v>0</v>
      </c>
      <c r="AN623" s="126"/>
      <c r="AO623" s="130">
        <f t="shared" si="548"/>
        <v>0</v>
      </c>
      <c r="AP623" s="116"/>
    </row>
    <row r="624" spans="1:42" s="117" customFormat="1" ht="14" hidden="1" outlineLevel="1">
      <c r="A624" s="136"/>
      <c r="B624" s="137" t="s">
        <v>565</v>
      </c>
      <c r="C624" s="126">
        <f t="shared" si="572"/>
        <v>0</v>
      </c>
      <c r="D624" s="126"/>
      <c r="E624" s="126"/>
      <c r="F624" s="126"/>
      <c r="G624" s="126"/>
      <c r="H624" s="126">
        <f t="shared" si="573"/>
        <v>0</v>
      </c>
      <c r="I624" s="126">
        <f t="shared" si="574"/>
        <v>0</v>
      </c>
      <c r="J624" s="126"/>
      <c r="K624" s="126"/>
      <c r="L624" s="126">
        <f t="shared" si="583"/>
        <v>0</v>
      </c>
      <c r="M624" s="126"/>
      <c r="N624" s="126">
        <f>91-91</f>
        <v>0</v>
      </c>
      <c r="O624" s="126">
        <f t="shared" si="575"/>
        <v>0</v>
      </c>
      <c r="P624" s="126">
        <f t="shared" si="576"/>
        <v>0</v>
      </c>
      <c r="Q624" s="126"/>
      <c r="R624" s="126"/>
      <c r="S624" s="126">
        <f t="shared" si="577"/>
        <v>0</v>
      </c>
      <c r="T624" s="126"/>
      <c r="U624" s="126"/>
      <c r="V624" s="126">
        <f t="shared" si="578"/>
        <v>0</v>
      </c>
      <c r="W624" s="126">
        <f t="shared" si="579"/>
        <v>0</v>
      </c>
      <c r="X624" s="126"/>
      <c r="Y624" s="126"/>
      <c r="Z624" s="126">
        <f t="shared" si="580"/>
        <v>0</v>
      </c>
      <c r="AA624" s="126"/>
      <c r="AB624" s="126"/>
      <c r="AC624" s="126">
        <f t="shared" si="584"/>
        <v>0</v>
      </c>
      <c r="AD624" s="126"/>
      <c r="AE624" s="126"/>
      <c r="AF624" s="126">
        <f t="shared" si="585"/>
        <v>0</v>
      </c>
      <c r="AG624" s="126"/>
      <c r="AH624" s="126"/>
      <c r="AI624" s="126">
        <f t="shared" si="563"/>
        <v>0</v>
      </c>
      <c r="AJ624" s="126">
        <f t="shared" si="581"/>
        <v>0</v>
      </c>
      <c r="AK624" s="126">
        <f t="shared" si="581"/>
        <v>0</v>
      </c>
      <c r="AL624" s="126">
        <f t="shared" si="582"/>
        <v>0</v>
      </c>
      <c r="AM624" s="126">
        <f t="shared" si="582"/>
        <v>0</v>
      </c>
      <c r="AN624" s="126"/>
      <c r="AO624" s="130">
        <f t="shared" si="548"/>
        <v>0</v>
      </c>
      <c r="AP624" s="116"/>
    </row>
    <row r="625" spans="1:42" s="117" customFormat="1" ht="14" hidden="1" outlineLevel="1">
      <c r="A625" s="136"/>
      <c r="B625" s="137" t="s">
        <v>567</v>
      </c>
      <c r="C625" s="126">
        <f t="shared" si="572"/>
        <v>0</v>
      </c>
      <c r="D625" s="126"/>
      <c r="E625" s="126"/>
      <c r="F625" s="126"/>
      <c r="G625" s="126"/>
      <c r="H625" s="126">
        <f t="shared" si="573"/>
        <v>0</v>
      </c>
      <c r="I625" s="126">
        <f t="shared" si="574"/>
        <v>0</v>
      </c>
      <c r="J625" s="126"/>
      <c r="K625" s="126"/>
      <c r="L625" s="126">
        <f t="shared" si="583"/>
        <v>0</v>
      </c>
      <c r="M625" s="126"/>
      <c r="N625" s="126">
        <f>67-67</f>
        <v>0</v>
      </c>
      <c r="O625" s="126">
        <f t="shared" si="575"/>
        <v>0</v>
      </c>
      <c r="P625" s="126">
        <f t="shared" si="576"/>
        <v>0</v>
      </c>
      <c r="Q625" s="126"/>
      <c r="R625" s="126"/>
      <c r="S625" s="126">
        <f t="shared" si="577"/>
        <v>0</v>
      </c>
      <c r="T625" s="126"/>
      <c r="U625" s="126"/>
      <c r="V625" s="126">
        <f t="shared" si="578"/>
        <v>0</v>
      </c>
      <c r="W625" s="126">
        <f t="shared" si="579"/>
        <v>0</v>
      </c>
      <c r="X625" s="126"/>
      <c r="Y625" s="126"/>
      <c r="Z625" s="126">
        <f t="shared" si="580"/>
        <v>0</v>
      </c>
      <c r="AA625" s="126"/>
      <c r="AB625" s="126"/>
      <c r="AC625" s="126">
        <f t="shared" si="584"/>
        <v>0</v>
      </c>
      <c r="AD625" s="126"/>
      <c r="AE625" s="126"/>
      <c r="AF625" s="126">
        <f t="shared" si="585"/>
        <v>0</v>
      </c>
      <c r="AG625" s="126"/>
      <c r="AH625" s="126"/>
      <c r="AI625" s="126">
        <f t="shared" si="563"/>
        <v>0</v>
      </c>
      <c r="AJ625" s="126">
        <f t="shared" si="581"/>
        <v>0</v>
      </c>
      <c r="AK625" s="126">
        <f t="shared" si="581"/>
        <v>0</v>
      </c>
      <c r="AL625" s="126">
        <f t="shared" si="582"/>
        <v>0</v>
      </c>
      <c r="AM625" s="126">
        <f t="shared" si="582"/>
        <v>0</v>
      </c>
      <c r="AN625" s="126"/>
      <c r="AO625" s="130">
        <f t="shared" si="548"/>
        <v>0</v>
      </c>
      <c r="AP625" s="116"/>
    </row>
    <row r="626" spans="1:42" s="117" customFormat="1" ht="14" hidden="1" outlineLevel="1">
      <c r="A626" s="136"/>
      <c r="B626" s="137" t="s">
        <v>757</v>
      </c>
      <c r="C626" s="126">
        <f>SUM(D626:G626)</f>
        <v>0</v>
      </c>
      <c r="D626" s="126"/>
      <c r="E626" s="126"/>
      <c r="F626" s="126"/>
      <c r="G626" s="126"/>
      <c r="H626" s="126">
        <f t="shared" si="573"/>
        <v>0</v>
      </c>
      <c r="I626" s="126">
        <f t="shared" si="574"/>
        <v>0</v>
      </c>
      <c r="J626" s="126"/>
      <c r="K626" s="126"/>
      <c r="L626" s="126">
        <f t="shared" si="583"/>
        <v>0</v>
      </c>
      <c r="M626" s="126"/>
      <c r="N626" s="126">
        <f>797-797</f>
        <v>0</v>
      </c>
      <c r="O626" s="126">
        <f t="shared" si="575"/>
        <v>0</v>
      </c>
      <c r="P626" s="126">
        <f t="shared" si="576"/>
        <v>0</v>
      </c>
      <c r="Q626" s="126"/>
      <c r="R626" s="126"/>
      <c r="S626" s="126">
        <f t="shared" si="577"/>
        <v>0</v>
      </c>
      <c r="T626" s="126"/>
      <c r="U626" s="126"/>
      <c r="V626" s="126">
        <f t="shared" si="578"/>
        <v>0</v>
      </c>
      <c r="W626" s="126">
        <f t="shared" si="579"/>
        <v>0</v>
      </c>
      <c r="X626" s="126"/>
      <c r="Y626" s="126"/>
      <c r="Z626" s="126">
        <f t="shared" si="580"/>
        <v>0</v>
      </c>
      <c r="AA626" s="126"/>
      <c r="AB626" s="126"/>
      <c r="AC626" s="126">
        <f t="shared" si="584"/>
        <v>0</v>
      </c>
      <c r="AD626" s="126"/>
      <c r="AE626" s="126"/>
      <c r="AF626" s="126">
        <f t="shared" si="585"/>
        <v>0</v>
      </c>
      <c r="AG626" s="126"/>
      <c r="AH626" s="126"/>
      <c r="AI626" s="126">
        <f>SUM(AJ626:AM626)</f>
        <v>0</v>
      </c>
      <c r="AJ626" s="126">
        <f t="shared" si="581"/>
        <v>0</v>
      </c>
      <c r="AK626" s="126">
        <f t="shared" si="581"/>
        <v>0</v>
      </c>
      <c r="AL626" s="126">
        <f t="shared" si="582"/>
        <v>0</v>
      </c>
      <c r="AM626" s="126">
        <f t="shared" si="582"/>
        <v>0</v>
      </c>
      <c r="AN626" s="126"/>
      <c r="AO626" s="130">
        <f t="shared" si="548"/>
        <v>0</v>
      </c>
      <c r="AP626" s="116"/>
    </row>
    <row r="627" spans="1:42" s="117" customFormat="1" ht="28" collapsed="1">
      <c r="A627" s="166">
        <v>9</v>
      </c>
      <c r="B627" s="137" t="s">
        <v>807</v>
      </c>
      <c r="C627" s="126">
        <f t="shared" ref="C627:N627" si="586">SUM(C628:C636)</f>
        <v>0.39999999999997726</v>
      </c>
      <c r="D627" s="126">
        <f t="shared" si="586"/>
        <v>0</v>
      </c>
      <c r="E627" s="126">
        <f t="shared" si="586"/>
        <v>0</v>
      </c>
      <c r="F627" s="126">
        <f t="shared" si="586"/>
        <v>0</v>
      </c>
      <c r="G627" s="126">
        <f t="shared" si="586"/>
        <v>0.39999999999997726</v>
      </c>
      <c r="H627" s="126">
        <f t="shared" si="586"/>
        <v>0</v>
      </c>
      <c r="I627" s="126">
        <f t="shared" si="586"/>
        <v>0</v>
      </c>
      <c r="J627" s="126">
        <f t="shared" si="586"/>
        <v>0</v>
      </c>
      <c r="K627" s="126">
        <f t="shared" si="586"/>
        <v>0</v>
      </c>
      <c r="L627" s="126">
        <f t="shared" si="586"/>
        <v>0</v>
      </c>
      <c r="M627" s="126">
        <f t="shared" si="586"/>
        <v>0</v>
      </c>
      <c r="N627" s="126">
        <f t="shared" si="586"/>
        <v>0</v>
      </c>
      <c r="O627" s="126">
        <f t="shared" si="575"/>
        <v>0</v>
      </c>
      <c r="P627" s="126">
        <f t="shared" si="576"/>
        <v>0</v>
      </c>
      <c r="Q627" s="126"/>
      <c r="R627" s="126"/>
      <c r="S627" s="126">
        <f t="shared" si="577"/>
        <v>0</v>
      </c>
      <c r="T627" s="126">
        <f t="shared" ref="T627:AM627" si="587">SUM(T628:T636)</f>
        <v>0</v>
      </c>
      <c r="U627" s="126">
        <f t="shared" si="587"/>
        <v>0</v>
      </c>
      <c r="V627" s="126">
        <f t="shared" si="587"/>
        <v>0</v>
      </c>
      <c r="W627" s="126">
        <f t="shared" si="587"/>
        <v>0</v>
      </c>
      <c r="X627" s="126">
        <f t="shared" si="587"/>
        <v>0</v>
      </c>
      <c r="Y627" s="126">
        <f t="shared" si="587"/>
        <v>0</v>
      </c>
      <c r="Z627" s="126">
        <f t="shared" si="587"/>
        <v>0</v>
      </c>
      <c r="AA627" s="126">
        <f t="shared" si="587"/>
        <v>0</v>
      </c>
      <c r="AB627" s="126">
        <f t="shared" si="587"/>
        <v>0</v>
      </c>
      <c r="AC627" s="126">
        <f t="shared" si="587"/>
        <v>0</v>
      </c>
      <c r="AD627" s="126">
        <f t="shared" si="587"/>
        <v>0</v>
      </c>
      <c r="AE627" s="126">
        <f t="shared" si="587"/>
        <v>0</v>
      </c>
      <c r="AF627" s="126">
        <f t="shared" si="587"/>
        <v>0</v>
      </c>
      <c r="AG627" s="126">
        <f t="shared" si="587"/>
        <v>0</v>
      </c>
      <c r="AH627" s="126">
        <f t="shared" si="587"/>
        <v>0</v>
      </c>
      <c r="AI627" s="126">
        <f t="shared" si="563"/>
        <v>0.39999999999997726</v>
      </c>
      <c r="AJ627" s="126">
        <f t="shared" si="587"/>
        <v>0</v>
      </c>
      <c r="AK627" s="126">
        <f t="shared" si="587"/>
        <v>0</v>
      </c>
      <c r="AL627" s="126">
        <f t="shared" si="587"/>
        <v>0</v>
      </c>
      <c r="AM627" s="126">
        <f t="shared" si="587"/>
        <v>0.39999999999997726</v>
      </c>
      <c r="AN627" s="126"/>
      <c r="AO627" s="130">
        <f t="shared" si="548"/>
        <v>0</v>
      </c>
      <c r="AP627" s="116"/>
    </row>
    <row r="628" spans="1:42" s="117" customFormat="1" ht="14" hidden="1" outlineLevel="1">
      <c r="A628" s="166"/>
      <c r="B628" s="137" t="s">
        <v>337</v>
      </c>
      <c r="C628" s="126">
        <f t="shared" ref="C628:C637" si="588">SUM(D628:G628)</f>
        <v>0</v>
      </c>
      <c r="D628" s="126">
        <v>0</v>
      </c>
      <c r="E628" s="126">
        <v>0</v>
      </c>
      <c r="F628" s="126">
        <v>0</v>
      </c>
      <c r="G628" s="126"/>
      <c r="H628" s="126">
        <f>I628+L628</f>
        <v>0</v>
      </c>
      <c r="I628" s="126">
        <f>J628+K628</f>
        <v>0</v>
      </c>
      <c r="J628" s="126"/>
      <c r="K628" s="126"/>
      <c r="L628" s="126">
        <f>M628+N628</f>
        <v>0</v>
      </c>
      <c r="M628" s="126"/>
      <c r="N628" s="126"/>
      <c r="O628" s="126">
        <f t="shared" si="575"/>
        <v>0</v>
      </c>
      <c r="P628" s="126">
        <f t="shared" si="576"/>
        <v>0</v>
      </c>
      <c r="Q628" s="126"/>
      <c r="R628" s="126"/>
      <c r="S628" s="126">
        <f t="shared" si="577"/>
        <v>0</v>
      </c>
      <c r="T628" s="126"/>
      <c r="U628" s="126"/>
      <c r="V628" s="126">
        <f t="shared" ref="V628:V636" si="589">W628+Z628+AC628+AF628</f>
        <v>0</v>
      </c>
      <c r="W628" s="126">
        <f t="shared" ref="W628:W636" si="590">X628+Y628</f>
        <v>0</v>
      </c>
      <c r="X628" s="126"/>
      <c r="Y628" s="126"/>
      <c r="Z628" s="126">
        <f t="shared" ref="Z628:Z636" si="591">AA628+AB628</f>
        <v>0</v>
      </c>
      <c r="AA628" s="126"/>
      <c r="AB628" s="126"/>
      <c r="AC628" s="126">
        <f t="shared" ref="AC628:AC636" si="592">AD628+AE628</f>
        <v>0</v>
      </c>
      <c r="AD628" s="126"/>
      <c r="AE628" s="126"/>
      <c r="AF628" s="126">
        <f t="shared" ref="AF628:AF636" si="593">AG628+AH628</f>
        <v>0</v>
      </c>
      <c r="AG628" s="126"/>
      <c r="AH628" s="126"/>
      <c r="AI628" s="126">
        <f t="shared" si="563"/>
        <v>0</v>
      </c>
      <c r="AJ628" s="126">
        <f t="shared" ref="AJ628:AK637" si="594">D628+J628-Q628-X628-AD628</f>
        <v>0</v>
      </c>
      <c r="AK628" s="126">
        <f t="shared" si="594"/>
        <v>0</v>
      </c>
      <c r="AL628" s="126">
        <f t="shared" ref="AL628:AM637" si="595">F628+M628-T628-AA628-AG628</f>
        <v>0</v>
      </c>
      <c r="AM628" s="126">
        <f t="shared" si="595"/>
        <v>0</v>
      </c>
      <c r="AN628" s="126"/>
      <c r="AO628" s="130">
        <f t="shared" si="548"/>
        <v>0</v>
      </c>
      <c r="AP628" s="116"/>
    </row>
    <row r="629" spans="1:42" s="117" customFormat="1" ht="14" hidden="1" outlineLevel="1">
      <c r="A629" s="166"/>
      <c r="B629" s="137" t="s">
        <v>560</v>
      </c>
      <c r="C629" s="126">
        <f t="shared" si="588"/>
        <v>0</v>
      </c>
      <c r="D629" s="126">
        <v>0</v>
      </c>
      <c r="E629" s="126">
        <v>0</v>
      </c>
      <c r="F629" s="126">
        <v>0</v>
      </c>
      <c r="G629" s="126">
        <v>0</v>
      </c>
      <c r="H629" s="126">
        <f t="shared" ref="H629:H636" si="596">I629+L629</f>
        <v>0</v>
      </c>
      <c r="I629" s="126">
        <f t="shared" ref="I629:I636" si="597">J629+K629</f>
        <v>0</v>
      </c>
      <c r="J629" s="126"/>
      <c r="K629" s="126"/>
      <c r="L629" s="126">
        <f t="shared" ref="L629:L636" si="598">M629+N629</f>
        <v>0</v>
      </c>
      <c r="M629" s="126"/>
      <c r="N629" s="126"/>
      <c r="O629" s="126">
        <f t="shared" si="575"/>
        <v>0</v>
      </c>
      <c r="P629" s="126">
        <f t="shared" si="576"/>
        <v>0</v>
      </c>
      <c r="Q629" s="126"/>
      <c r="R629" s="126"/>
      <c r="S629" s="126">
        <f t="shared" si="577"/>
        <v>0</v>
      </c>
      <c r="T629" s="126"/>
      <c r="U629" s="126"/>
      <c r="V629" s="126">
        <f t="shared" si="589"/>
        <v>0</v>
      </c>
      <c r="W629" s="126">
        <f t="shared" si="590"/>
        <v>0</v>
      </c>
      <c r="X629" s="126"/>
      <c r="Y629" s="126"/>
      <c r="Z629" s="126">
        <f t="shared" si="591"/>
        <v>0</v>
      </c>
      <c r="AA629" s="126"/>
      <c r="AB629" s="126"/>
      <c r="AC629" s="126">
        <f t="shared" si="592"/>
        <v>0</v>
      </c>
      <c r="AD629" s="126"/>
      <c r="AE629" s="126"/>
      <c r="AF629" s="126">
        <f t="shared" si="593"/>
        <v>0</v>
      </c>
      <c r="AG629" s="126"/>
      <c r="AH629" s="126"/>
      <c r="AI629" s="126">
        <f t="shared" si="563"/>
        <v>0</v>
      </c>
      <c r="AJ629" s="126">
        <f t="shared" si="594"/>
        <v>0</v>
      </c>
      <c r="AK629" s="126">
        <f t="shared" si="594"/>
        <v>0</v>
      </c>
      <c r="AL629" s="126">
        <f t="shared" si="595"/>
        <v>0</v>
      </c>
      <c r="AM629" s="126">
        <f t="shared" si="595"/>
        <v>0</v>
      </c>
      <c r="AN629" s="126"/>
      <c r="AO629" s="130">
        <f t="shared" si="548"/>
        <v>0</v>
      </c>
      <c r="AP629" s="116"/>
    </row>
    <row r="630" spans="1:42" s="117" customFormat="1" ht="14" hidden="1" outlineLevel="1">
      <c r="A630" s="166"/>
      <c r="B630" s="137" t="s">
        <v>561</v>
      </c>
      <c r="C630" s="126">
        <f t="shared" si="588"/>
        <v>0</v>
      </c>
      <c r="D630" s="126">
        <v>0</v>
      </c>
      <c r="E630" s="126">
        <v>0</v>
      </c>
      <c r="F630" s="126">
        <v>0</v>
      </c>
      <c r="G630" s="126">
        <v>0</v>
      </c>
      <c r="H630" s="126">
        <f t="shared" si="596"/>
        <v>0</v>
      </c>
      <c r="I630" s="126">
        <f t="shared" si="597"/>
        <v>0</v>
      </c>
      <c r="J630" s="126"/>
      <c r="K630" s="126"/>
      <c r="L630" s="126">
        <f t="shared" si="598"/>
        <v>0</v>
      </c>
      <c r="M630" s="126"/>
      <c r="N630" s="126"/>
      <c r="O630" s="126">
        <f t="shared" si="575"/>
        <v>0</v>
      </c>
      <c r="P630" s="126">
        <f t="shared" si="576"/>
        <v>0</v>
      </c>
      <c r="Q630" s="126"/>
      <c r="R630" s="126"/>
      <c r="S630" s="126">
        <f t="shared" si="577"/>
        <v>0</v>
      </c>
      <c r="T630" s="126"/>
      <c r="U630" s="126"/>
      <c r="V630" s="126">
        <f t="shared" si="589"/>
        <v>0</v>
      </c>
      <c r="W630" s="126">
        <f t="shared" si="590"/>
        <v>0</v>
      </c>
      <c r="X630" s="126"/>
      <c r="Y630" s="126"/>
      <c r="Z630" s="126">
        <f t="shared" si="591"/>
        <v>0</v>
      </c>
      <c r="AA630" s="126"/>
      <c r="AB630" s="126"/>
      <c r="AC630" s="126">
        <f t="shared" si="592"/>
        <v>0</v>
      </c>
      <c r="AD630" s="126"/>
      <c r="AE630" s="126"/>
      <c r="AF630" s="126">
        <f t="shared" si="593"/>
        <v>0</v>
      </c>
      <c r="AG630" s="126"/>
      <c r="AH630" s="126"/>
      <c r="AI630" s="126">
        <f t="shared" si="563"/>
        <v>0</v>
      </c>
      <c r="AJ630" s="126">
        <f t="shared" si="594"/>
        <v>0</v>
      </c>
      <c r="AK630" s="126">
        <f t="shared" si="594"/>
        <v>0</v>
      </c>
      <c r="AL630" s="126">
        <f t="shared" si="595"/>
        <v>0</v>
      </c>
      <c r="AM630" s="126">
        <f t="shared" si="595"/>
        <v>0</v>
      </c>
      <c r="AN630" s="126"/>
      <c r="AO630" s="130">
        <f t="shared" si="548"/>
        <v>0</v>
      </c>
      <c r="AP630" s="116"/>
    </row>
    <row r="631" spans="1:42" s="117" customFormat="1" ht="14" hidden="1" outlineLevel="1">
      <c r="A631" s="166"/>
      <c r="B631" s="137" t="s">
        <v>709</v>
      </c>
      <c r="C631" s="126">
        <f t="shared" si="588"/>
        <v>0</v>
      </c>
      <c r="D631" s="126">
        <v>0</v>
      </c>
      <c r="E631" s="126">
        <v>0</v>
      </c>
      <c r="F631" s="126">
        <v>0</v>
      </c>
      <c r="G631" s="126">
        <v>0</v>
      </c>
      <c r="H631" s="126">
        <f t="shared" si="596"/>
        <v>0</v>
      </c>
      <c r="I631" s="126">
        <f t="shared" si="597"/>
        <v>0</v>
      </c>
      <c r="J631" s="126"/>
      <c r="K631" s="126"/>
      <c r="L631" s="126">
        <f t="shared" si="598"/>
        <v>0</v>
      </c>
      <c r="M631" s="126"/>
      <c r="N631" s="126"/>
      <c r="O631" s="126">
        <f t="shared" si="575"/>
        <v>0</v>
      </c>
      <c r="P631" s="126">
        <f t="shared" si="576"/>
        <v>0</v>
      </c>
      <c r="Q631" s="126"/>
      <c r="R631" s="126"/>
      <c r="S631" s="126">
        <f t="shared" si="577"/>
        <v>0</v>
      </c>
      <c r="T631" s="126"/>
      <c r="U631" s="126"/>
      <c r="V631" s="126"/>
      <c r="W631" s="126"/>
      <c r="X631" s="126"/>
      <c r="Y631" s="126"/>
      <c r="Z631" s="126"/>
      <c r="AA631" s="126"/>
      <c r="AB631" s="126"/>
      <c r="AC631" s="126"/>
      <c r="AD631" s="126"/>
      <c r="AE631" s="126"/>
      <c r="AF631" s="126"/>
      <c r="AG631" s="126"/>
      <c r="AH631" s="126"/>
      <c r="AI631" s="126">
        <f t="shared" si="563"/>
        <v>0</v>
      </c>
      <c r="AJ631" s="126">
        <f t="shared" si="594"/>
        <v>0</v>
      </c>
      <c r="AK631" s="126">
        <f t="shared" si="594"/>
        <v>0</v>
      </c>
      <c r="AL631" s="126">
        <f t="shared" si="595"/>
        <v>0</v>
      </c>
      <c r="AM631" s="126">
        <f t="shared" si="595"/>
        <v>0</v>
      </c>
      <c r="AN631" s="126"/>
      <c r="AO631" s="130">
        <f t="shared" si="548"/>
        <v>0</v>
      </c>
      <c r="AP631" s="116"/>
    </row>
    <row r="632" spans="1:42" s="117" customFormat="1" ht="14" hidden="1" outlineLevel="1">
      <c r="A632" s="166"/>
      <c r="B632" s="137" t="s">
        <v>563</v>
      </c>
      <c r="C632" s="126">
        <f t="shared" si="588"/>
        <v>0.39999999999997726</v>
      </c>
      <c r="D632" s="126">
        <v>0</v>
      </c>
      <c r="E632" s="126">
        <v>0</v>
      </c>
      <c r="F632" s="126">
        <v>0</v>
      </c>
      <c r="G632" s="126">
        <v>0.39999999999997726</v>
      </c>
      <c r="H632" s="126">
        <f t="shared" si="596"/>
        <v>0</v>
      </c>
      <c r="I632" s="126">
        <f t="shared" si="597"/>
        <v>0</v>
      </c>
      <c r="J632" s="126"/>
      <c r="K632" s="126"/>
      <c r="L632" s="126">
        <f t="shared" si="598"/>
        <v>0</v>
      </c>
      <c r="M632" s="126"/>
      <c r="N632" s="126"/>
      <c r="O632" s="126">
        <f t="shared" si="575"/>
        <v>0</v>
      </c>
      <c r="P632" s="126">
        <f t="shared" si="576"/>
        <v>0</v>
      </c>
      <c r="Q632" s="126"/>
      <c r="R632" s="126"/>
      <c r="S632" s="126">
        <f t="shared" si="577"/>
        <v>0</v>
      </c>
      <c r="T632" s="126"/>
      <c r="U632" s="126"/>
      <c r="V632" s="126">
        <f t="shared" si="589"/>
        <v>0</v>
      </c>
      <c r="W632" s="126">
        <f t="shared" si="590"/>
        <v>0</v>
      </c>
      <c r="X632" s="126"/>
      <c r="Y632" s="126"/>
      <c r="Z632" s="126">
        <f t="shared" si="591"/>
        <v>0</v>
      </c>
      <c r="AA632" s="126"/>
      <c r="AB632" s="126"/>
      <c r="AC632" s="126">
        <f t="shared" si="592"/>
        <v>0</v>
      </c>
      <c r="AD632" s="126"/>
      <c r="AE632" s="126"/>
      <c r="AF632" s="126">
        <f t="shared" si="593"/>
        <v>0</v>
      </c>
      <c r="AG632" s="126"/>
      <c r="AH632" s="126"/>
      <c r="AI632" s="126">
        <f t="shared" si="563"/>
        <v>0.39999999999997726</v>
      </c>
      <c r="AJ632" s="126">
        <f t="shared" si="594"/>
        <v>0</v>
      </c>
      <c r="AK632" s="126">
        <f t="shared" si="594"/>
        <v>0</v>
      </c>
      <c r="AL632" s="126">
        <f t="shared" si="595"/>
        <v>0</v>
      </c>
      <c r="AM632" s="126">
        <f t="shared" si="595"/>
        <v>0.39999999999997726</v>
      </c>
      <c r="AN632" s="126"/>
      <c r="AO632" s="130">
        <f t="shared" si="548"/>
        <v>0</v>
      </c>
      <c r="AP632" s="116"/>
    </row>
    <row r="633" spans="1:42" s="117" customFormat="1" ht="14" hidden="1" outlineLevel="1">
      <c r="A633" s="166"/>
      <c r="B633" s="137" t="s">
        <v>680</v>
      </c>
      <c r="C633" s="126">
        <f t="shared" si="588"/>
        <v>0</v>
      </c>
      <c r="D633" s="126">
        <v>0</v>
      </c>
      <c r="E633" s="126">
        <v>0</v>
      </c>
      <c r="F633" s="126">
        <v>0</v>
      </c>
      <c r="G633" s="126">
        <v>0</v>
      </c>
      <c r="H633" s="126">
        <f t="shared" si="596"/>
        <v>0</v>
      </c>
      <c r="I633" s="126">
        <f t="shared" si="597"/>
        <v>0</v>
      </c>
      <c r="J633" s="126"/>
      <c r="K633" s="126"/>
      <c r="L633" s="126">
        <f t="shared" si="598"/>
        <v>0</v>
      </c>
      <c r="M633" s="126"/>
      <c r="N633" s="126"/>
      <c r="O633" s="126">
        <f t="shared" si="575"/>
        <v>0</v>
      </c>
      <c r="P633" s="126">
        <f t="shared" si="576"/>
        <v>0</v>
      </c>
      <c r="Q633" s="126"/>
      <c r="R633" s="126"/>
      <c r="S633" s="126">
        <f t="shared" si="577"/>
        <v>0</v>
      </c>
      <c r="T633" s="126"/>
      <c r="U633" s="126"/>
      <c r="V633" s="126">
        <f t="shared" si="589"/>
        <v>0</v>
      </c>
      <c r="W633" s="126">
        <f t="shared" si="590"/>
        <v>0</v>
      </c>
      <c r="X633" s="126"/>
      <c r="Y633" s="126"/>
      <c r="Z633" s="126">
        <f t="shared" si="591"/>
        <v>0</v>
      </c>
      <c r="AA633" s="126"/>
      <c r="AB633" s="126"/>
      <c r="AC633" s="126">
        <f t="shared" si="592"/>
        <v>0</v>
      </c>
      <c r="AD633" s="126"/>
      <c r="AE633" s="126"/>
      <c r="AF633" s="126">
        <f t="shared" si="593"/>
        <v>0</v>
      </c>
      <c r="AG633" s="126"/>
      <c r="AH633" s="126"/>
      <c r="AI633" s="126">
        <f t="shared" si="563"/>
        <v>0</v>
      </c>
      <c r="AJ633" s="126">
        <f t="shared" si="594"/>
        <v>0</v>
      </c>
      <c r="AK633" s="126">
        <f t="shared" si="594"/>
        <v>0</v>
      </c>
      <c r="AL633" s="126">
        <f t="shared" si="595"/>
        <v>0</v>
      </c>
      <c r="AM633" s="126">
        <f t="shared" si="595"/>
        <v>0</v>
      </c>
      <c r="AN633" s="126"/>
      <c r="AO633" s="130">
        <f t="shared" si="548"/>
        <v>0</v>
      </c>
      <c r="AP633" s="116"/>
    </row>
    <row r="634" spans="1:42" s="117" customFormat="1" ht="14" hidden="1" outlineLevel="1">
      <c r="A634" s="166"/>
      <c r="B634" s="137" t="s">
        <v>565</v>
      </c>
      <c r="C634" s="126">
        <f t="shared" si="588"/>
        <v>0</v>
      </c>
      <c r="D634" s="126">
        <v>0</v>
      </c>
      <c r="E634" s="126">
        <v>0</v>
      </c>
      <c r="F634" s="126">
        <v>0</v>
      </c>
      <c r="G634" s="126">
        <v>0</v>
      </c>
      <c r="H634" s="126">
        <f t="shared" si="596"/>
        <v>0</v>
      </c>
      <c r="I634" s="126">
        <f t="shared" si="597"/>
        <v>0</v>
      </c>
      <c r="J634" s="126"/>
      <c r="K634" s="126"/>
      <c r="L634" s="126">
        <f t="shared" si="598"/>
        <v>0</v>
      </c>
      <c r="M634" s="126"/>
      <c r="N634" s="126"/>
      <c r="O634" s="126">
        <f t="shared" si="575"/>
        <v>0</v>
      </c>
      <c r="P634" s="126">
        <f t="shared" si="576"/>
        <v>0</v>
      </c>
      <c r="Q634" s="126"/>
      <c r="R634" s="126"/>
      <c r="S634" s="126">
        <f t="shared" si="577"/>
        <v>0</v>
      </c>
      <c r="T634" s="126"/>
      <c r="U634" s="126"/>
      <c r="V634" s="126">
        <f t="shared" si="589"/>
        <v>0</v>
      </c>
      <c r="W634" s="126">
        <f t="shared" si="590"/>
        <v>0</v>
      </c>
      <c r="X634" s="126"/>
      <c r="Y634" s="126"/>
      <c r="Z634" s="126">
        <f t="shared" si="591"/>
        <v>0</v>
      </c>
      <c r="AA634" s="126"/>
      <c r="AB634" s="126"/>
      <c r="AC634" s="126">
        <f t="shared" si="592"/>
        <v>0</v>
      </c>
      <c r="AD634" s="126"/>
      <c r="AE634" s="126"/>
      <c r="AF634" s="126">
        <f t="shared" si="593"/>
        <v>0</v>
      </c>
      <c r="AG634" s="126"/>
      <c r="AH634" s="126"/>
      <c r="AI634" s="126">
        <f t="shared" si="563"/>
        <v>0</v>
      </c>
      <c r="AJ634" s="126">
        <f t="shared" si="594"/>
        <v>0</v>
      </c>
      <c r="AK634" s="126">
        <f t="shared" si="594"/>
        <v>0</v>
      </c>
      <c r="AL634" s="126">
        <f t="shared" si="595"/>
        <v>0</v>
      </c>
      <c r="AM634" s="126">
        <f t="shared" si="595"/>
        <v>0</v>
      </c>
      <c r="AN634" s="126"/>
      <c r="AO634" s="130">
        <f t="shared" si="548"/>
        <v>0</v>
      </c>
      <c r="AP634" s="116"/>
    </row>
    <row r="635" spans="1:42" s="117" customFormat="1" ht="14" hidden="1" outlineLevel="1">
      <c r="A635" s="166"/>
      <c r="B635" s="137" t="s">
        <v>566</v>
      </c>
      <c r="C635" s="126">
        <f t="shared" si="588"/>
        <v>0</v>
      </c>
      <c r="D635" s="126">
        <v>0</v>
      </c>
      <c r="E635" s="126">
        <v>0</v>
      </c>
      <c r="F635" s="126">
        <v>0</v>
      </c>
      <c r="G635" s="126">
        <v>0</v>
      </c>
      <c r="H635" s="126">
        <f t="shared" si="596"/>
        <v>0</v>
      </c>
      <c r="I635" s="126"/>
      <c r="J635" s="126"/>
      <c r="K635" s="126"/>
      <c r="L635" s="126">
        <f t="shared" si="598"/>
        <v>0</v>
      </c>
      <c r="M635" s="126"/>
      <c r="N635" s="126"/>
      <c r="O635" s="126">
        <f t="shared" si="575"/>
        <v>0</v>
      </c>
      <c r="P635" s="126">
        <f t="shared" si="576"/>
        <v>0</v>
      </c>
      <c r="Q635" s="126"/>
      <c r="R635" s="126"/>
      <c r="S635" s="126">
        <f t="shared" si="577"/>
        <v>0</v>
      </c>
      <c r="T635" s="126"/>
      <c r="U635" s="126"/>
      <c r="V635" s="126"/>
      <c r="W635" s="126"/>
      <c r="X635" s="126"/>
      <c r="Y635" s="126"/>
      <c r="Z635" s="126"/>
      <c r="AA635" s="126"/>
      <c r="AB635" s="126"/>
      <c r="AC635" s="126"/>
      <c r="AD635" s="126"/>
      <c r="AE635" s="126"/>
      <c r="AF635" s="126"/>
      <c r="AG635" s="126"/>
      <c r="AH635" s="126"/>
      <c r="AI635" s="126">
        <f t="shared" si="563"/>
        <v>0</v>
      </c>
      <c r="AJ635" s="126">
        <f t="shared" si="594"/>
        <v>0</v>
      </c>
      <c r="AK635" s="126">
        <f t="shared" si="594"/>
        <v>0</v>
      </c>
      <c r="AL635" s="126">
        <f t="shared" si="595"/>
        <v>0</v>
      </c>
      <c r="AM635" s="126">
        <f t="shared" si="595"/>
        <v>0</v>
      </c>
      <c r="AN635" s="126"/>
      <c r="AO635" s="130">
        <f t="shared" si="548"/>
        <v>0</v>
      </c>
      <c r="AP635" s="116"/>
    </row>
    <row r="636" spans="1:42" s="117" customFormat="1" ht="14" hidden="1" outlineLevel="1">
      <c r="A636" s="166"/>
      <c r="B636" s="137" t="s">
        <v>568</v>
      </c>
      <c r="C636" s="126">
        <f t="shared" si="588"/>
        <v>0</v>
      </c>
      <c r="D636" s="126">
        <v>0</v>
      </c>
      <c r="E636" s="126">
        <v>0</v>
      </c>
      <c r="F636" s="126">
        <v>0</v>
      </c>
      <c r="G636" s="126">
        <v>0</v>
      </c>
      <c r="H636" s="126">
        <f t="shared" si="596"/>
        <v>0</v>
      </c>
      <c r="I636" s="126">
        <f t="shared" si="597"/>
        <v>0</v>
      </c>
      <c r="J636" s="126"/>
      <c r="K636" s="126"/>
      <c r="L636" s="126">
        <f t="shared" si="598"/>
        <v>0</v>
      </c>
      <c r="M636" s="126"/>
      <c r="N636" s="126"/>
      <c r="O636" s="126">
        <f t="shared" si="575"/>
        <v>0</v>
      </c>
      <c r="P636" s="126">
        <f t="shared" si="576"/>
        <v>0</v>
      </c>
      <c r="Q636" s="126"/>
      <c r="R636" s="126"/>
      <c r="S636" s="126">
        <f t="shared" si="577"/>
        <v>0</v>
      </c>
      <c r="T636" s="126"/>
      <c r="U636" s="126"/>
      <c r="V636" s="126">
        <f t="shared" si="589"/>
        <v>0</v>
      </c>
      <c r="W636" s="126">
        <f t="shared" si="590"/>
        <v>0</v>
      </c>
      <c r="X636" s="126"/>
      <c r="Y636" s="126"/>
      <c r="Z636" s="126">
        <f t="shared" si="591"/>
        <v>0</v>
      </c>
      <c r="AA636" s="126"/>
      <c r="AB636" s="126"/>
      <c r="AC636" s="126">
        <f t="shared" si="592"/>
        <v>0</v>
      </c>
      <c r="AD636" s="126"/>
      <c r="AE636" s="126"/>
      <c r="AF636" s="126">
        <f t="shared" si="593"/>
        <v>0</v>
      </c>
      <c r="AG636" s="126"/>
      <c r="AH636" s="126"/>
      <c r="AI636" s="126">
        <f t="shared" si="563"/>
        <v>0</v>
      </c>
      <c r="AJ636" s="126">
        <f t="shared" si="594"/>
        <v>0</v>
      </c>
      <c r="AK636" s="126">
        <f t="shared" si="594"/>
        <v>0</v>
      </c>
      <c r="AL636" s="126">
        <f t="shared" si="595"/>
        <v>0</v>
      </c>
      <c r="AM636" s="126">
        <f t="shared" si="595"/>
        <v>0</v>
      </c>
      <c r="AN636" s="126"/>
      <c r="AO636" s="130">
        <f t="shared" si="548"/>
        <v>0</v>
      </c>
      <c r="AP636" s="116"/>
    </row>
    <row r="637" spans="1:42" s="117" customFormat="1" ht="14" hidden="1" outlineLevel="1">
      <c r="A637" s="139"/>
      <c r="B637" s="137" t="s">
        <v>699</v>
      </c>
      <c r="C637" s="126">
        <f t="shared" si="588"/>
        <v>0</v>
      </c>
      <c r="D637" s="180">
        <v>0</v>
      </c>
      <c r="E637" s="180">
        <v>0</v>
      </c>
      <c r="F637" s="180">
        <v>0</v>
      </c>
      <c r="G637" s="180">
        <v>0</v>
      </c>
      <c r="H637" s="126"/>
      <c r="I637" s="126"/>
      <c r="J637" s="126"/>
      <c r="K637" s="126"/>
      <c r="L637" s="126"/>
      <c r="M637" s="126"/>
      <c r="N637" s="126"/>
      <c r="O637" s="126">
        <f t="shared" si="575"/>
        <v>0</v>
      </c>
      <c r="P637" s="126">
        <f t="shared" si="576"/>
        <v>0</v>
      </c>
      <c r="Q637" s="126"/>
      <c r="R637" s="126"/>
      <c r="S637" s="126">
        <f t="shared" si="577"/>
        <v>0</v>
      </c>
      <c r="T637" s="126"/>
      <c r="U637" s="126"/>
      <c r="V637" s="126"/>
      <c r="W637" s="126"/>
      <c r="X637" s="126"/>
      <c r="Y637" s="126"/>
      <c r="Z637" s="126"/>
      <c r="AA637" s="126"/>
      <c r="AB637" s="126"/>
      <c r="AC637" s="126"/>
      <c r="AD637" s="126"/>
      <c r="AE637" s="126"/>
      <c r="AF637" s="126"/>
      <c r="AG637" s="126"/>
      <c r="AH637" s="126"/>
      <c r="AI637" s="126">
        <f t="shared" si="563"/>
        <v>0</v>
      </c>
      <c r="AJ637" s="126">
        <f t="shared" si="594"/>
        <v>0</v>
      </c>
      <c r="AK637" s="126">
        <f t="shared" si="594"/>
        <v>0</v>
      </c>
      <c r="AL637" s="126">
        <f t="shared" si="595"/>
        <v>0</v>
      </c>
      <c r="AM637" s="126">
        <f t="shared" si="595"/>
        <v>0</v>
      </c>
      <c r="AN637" s="126"/>
      <c r="AO637" s="130">
        <f t="shared" si="548"/>
        <v>0</v>
      </c>
      <c r="AP637" s="116"/>
    </row>
    <row r="638" spans="1:42" s="117" customFormat="1" ht="28" collapsed="1">
      <c r="A638" s="136">
        <v>10</v>
      </c>
      <c r="B638" s="137" t="s">
        <v>513</v>
      </c>
      <c r="C638" s="126">
        <f>SUM(C639:C640)</f>
        <v>28500</v>
      </c>
      <c r="D638" s="126">
        <f>SUM(D639:D640)</f>
        <v>0</v>
      </c>
      <c r="E638" s="126">
        <f>SUM(E639:E640)</f>
        <v>28500</v>
      </c>
      <c r="F638" s="126">
        <f t="shared" ref="F638:AB638" si="599">SUM(F639:F640)</f>
        <v>0</v>
      </c>
      <c r="G638" s="126">
        <f t="shared" si="599"/>
        <v>0</v>
      </c>
      <c r="H638" s="126">
        <f t="shared" si="599"/>
        <v>0</v>
      </c>
      <c r="I638" s="126">
        <f t="shared" si="599"/>
        <v>0</v>
      </c>
      <c r="J638" s="126">
        <f t="shared" si="599"/>
        <v>0</v>
      </c>
      <c r="K638" s="126">
        <f t="shared" si="599"/>
        <v>0</v>
      </c>
      <c r="L638" s="126">
        <f t="shared" si="599"/>
        <v>0</v>
      </c>
      <c r="M638" s="126">
        <f t="shared" si="599"/>
        <v>0</v>
      </c>
      <c r="N638" s="126">
        <f t="shared" si="599"/>
        <v>0</v>
      </c>
      <c r="O638" s="126">
        <f t="shared" si="599"/>
        <v>27512.502</v>
      </c>
      <c r="P638" s="126">
        <f t="shared" si="599"/>
        <v>27512.502</v>
      </c>
      <c r="Q638" s="126">
        <f t="shared" si="599"/>
        <v>0</v>
      </c>
      <c r="R638" s="126">
        <f t="shared" si="599"/>
        <v>27512.502</v>
      </c>
      <c r="S638" s="126">
        <f t="shared" si="599"/>
        <v>0</v>
      </c>
      <c r="T638" s="126">
        <f t="shared" si="599"/>
        <v>0</v>
      </c>
      <c r="U638" s="126">
        <f t="shared" si="599"/>
        <v>0</v>
      </c>
      <c r="V638" s="126">
        <f t="shared" si="599"/>
        <v>0</v>
      </c>
      <c r="W638" s="126">
        <f t="shared" si="599"/>
        <v>0</v>
      </c>
      <c r="X638" s="126">
        <f t="shared" si="599"/>
        <v>0</v>
      </c>
      <c r="Y638" s="126">
        <f t="shared" si="599"/>
        <v>0</v>
      </c>
      <c r="Z638" s="126">
        <f t="shared" si="599"/>
        <v>0</v>
      </c>
      <c r="AA638" s="126">
        <f t="shared" si="599"/>
        <v>0</v>
      </c>
      <c r="AB638" s="126">
        <f t="shared" si="599"/>
        <v>0</v>
      </c>
      <c r="AC638" s="126">
        <f t="shared" ref="AC638:AH638" si="600">AC639</f>
        <v>0</v>
      </c>
      <c r="AD638" s="126">
        <f t="shared" si="600"/>
        <v>0</v>
      </c>
      <c r="AE638" s="126">
        <f t="shared" si="600"/>
        <v>0</v>
      </c>
      <c r="AF638" s="126">
        <f t="shared" si="600"/>
        <v>0</v>
      </c>
      <c r="AG638" s="126">
        <f t="shared" si="600"/>
        <v>0</v>
      </c>
      <c r="AH638" s="126">
        <f t="shared" si="600"/>
        <v>0</v>
      </c>
      <c r="AI638" s="126">
        <f t="shared" si="563"/>
        <v>987.49799999999959</v>
      </c>
      <c r="AJ638" s="126">
        <f>SUM(AJ639:AJ640)</f>
        <v>0</v>
      </c>
      <c r="AK638" s="126">
        <f>SUM(AK639:AK640)</f>
        <v>987.49799999999959</v>
      </c>
      <c r="AL638" s="126">
        <f>SUM(AL639:AL640)</f>
        <v>0</v>
      </c>
      <c r="AM638" s="126">
        <f>SUM(AM639:AM640)</f>
        <v>0</v>
      </c>
      <c r="AN638" s="126"/>
      <c r="AO638" s="130">
        <f t="shared" si="548"/>
        <v>0</v>
      </c>
      <c r="AP638" s="116"/>
    </row>
    <row r="639" spans="1:42" s="117" customFormat="1" ht="14" hidden="1" outlineLevel="1">
      <c r="A639" s="136"/>
      <c r="B639" s="137" t="s">
        <v>313</v>
      </c>
      <c r="C639" s="126">
        <f>SUM(D639:G639)</f>
        <v>28487.5</v>
      </c>
      <c r="D639" s="126">
        <v>0</v>
      </c>
      <c r="E639" s="126">
        <f>28500-12.5</f>
        <v>28487.5</v>
      </c>
      <c r="F639" s="126">
        <v>0</v>
      </c>
      <c r="G639" s="126">
        <v>0</v>
      </c>
      <c r="H639" s="126">
        <f>I639+L639</f>
        <v>0</v>
      </c>
      <c r="I639" s="126">
        <f>J639+K639</f>
        <v>0</v>
      </c>
      <c r="J639" s="126"/>
      <c r="K639" s="126"/>
      <c r="L639" s="126"/>
      <c r="M639" s="126"/>
      <c r="N639" s="126"/>
      <c r="O639" s="126">
        <f t="shared" ref="O639:O640" si="601">P639+S639</f>
        <v>27512.502</v>
      </c>
      <c r="P639" s="126">
        <f t="shared" ref="P639:P640" si="602">Q639+R639</f>
        <v>27512.502</v>
      </c>
      <c r="Q639" s="126"/>
      <c r="R639" s="126">
        <f>28977.215+487.5-1987.713+35.5</f>
        <v>27512.502</v>
      </c>
      <c r="S639" s="126">
        <f t="shared" ref="S639:S640" si="603">T639+U639</f>
        <v>0</v>
      </c>
      <c r="T639" s="126"/>
      <c r="U639" s="126"/>
      <c r="V639" s="126"/>
      <c r="W639" s="126"/>
      <c r="X639" s="126"/>
      <c r="Y639" s="126"/>
      <c r="Z639" s="126"/>
      <c r="AA639" s="126"/>
      <c r="AB639" s="126"/>
      <c r="AC639" s="126"/>
      <c r="AD639" s="126"/>
      <c r="AE639" s="126"/>
      <c r="AF639" s="126"/>
      <c r="AG639" s="126"/>
      <c r="AH639" s="126"/>
      <c r="AI639" s="126">
        <f t="shared" si="563"/>
        <v>974.99799999999959</v>
      </c>
      <c r="AJ639" s="126">
        <f>D639+J639-Q639-X639-AD639</f>
        <v>0</v>
      </c>
      <c r="AK639" s="126">
        <f>E639+K639-R639-Y639-AE639</f>
        <v>974.99799999999959</v>
      </c>
      <c r="AL639" s="126">
        <f>F639+M639-T639-AA639-AG639</f>
        <v>0</v>
      </c>
      <c r="AM639" s="126">
        <f>G639+N639-U639-AB639-AH639</f>
        <v>0</v>
      </c>
      <c r="AN639" s="126"/>
      <c r="AO639" s="130">
        <f t="shared" si="548"/>
        <v>0</v>
      </c>
      <c r="AP639" s="116"/>
    </row>
    <row r="640" spans="1:42" s="117" customFormat="1" ht="14" hidden="1" outlineLevel="1">
      <c r="A640" s="136"/>
      <c r="B640" s="137" t="s">
        <v>604</v>
      </c>
      <c r="C640" s="126">
        <f>SUM(D640:G640)</f>
        <v>12.5</v>
      </c>
      <c r="D640" s="126">
        <v>0</v>
      </c>
      <c r="E640" s="126">
        <f>12.5</f>
        <v>12.5</v>
      </c>
      <c r="F640" s="126">
        <v>0</v>
      </c>
      <c r="G640" s="126">
        <v>0</v>
      </c>
      <c r="H640" s="126">
        <f>I640+L640</f>
        <v>0</v>
      </c>
      <c r="I640" s="126">
        <f>J640+K640</f>
        <v>0</v>
      </c>
      <c r="J640" s="126"/>
      <c r="K640" s="126"/>
      <c r="L640" s="126"/>
      <c r="M640" s="126"/>
      <c r="N640" s="126"/>
      <c r="O640" s="126">
        <f t="shared" si="601"/>
        <v>0</v>
      </c>
      <c r="P640" s="126">
        <f t="shared" si="602"/>
        <v>0</v>
      </c>
      <c r="Q640" s="126"/>
      <c r="R640" s="126"/>
      <c r="S640" s="126">
        <f t="shared" si="603"/>
        <v>0</v>
      </c>
      <c r="T640" s="126"/>
      <c r="U640" s="126"/>
      <c r="V640" s="126">
        <f>W640+Z640+AC640+AF640</f>
        <v>0</v>
      </c>
      <c r="W640" s="126">
        <f>X640+Y640</f>
        <v>0</v>
      </c>
      <c r="X640" s="126"/>
      <c r="Y640" s="126"/>
      <c r="Z640" s="126">
        <f>AA640+AB640</f>
        <v>0</v>
      </c>
      <c r="AA640" s="126"/>
      <c r="AB640" s="126"/>
      <c r="AC640" s="126">
        <f>AD640+AE640</f>
        <v>0</v>
      </c>
      <c r="AD640" s="126"/>
      <c r="AE640" s="126"/>
      <c r="AF640" s="126">
        <f>AG640+AH640</f>
        <v>0</v>
      </c>
      <c r="AG640" s="126"/>
      <c r="AH640" s="126"/>
      <c r="AI640" s="126">
        <f>SUM(AJ640:AM640)</f>
        <v>12.5</v>
      </c>
      <c r="AJ640" s="126">
        <f>D640+J640-Q640-X640-AD640</f>
        <v>0</v>
      </c>
      <c r="AK640" s="126">
        <f>E640+K640-R640-Y640-AE640</f>
        <v>12.5</v>
      </c>
      <c r="AL640" s="126">
        <f>F640+M640-T640-AA640-AG640</f>
        <v>0</v>
      </c>
      <c r="AM640" s="126">
        <f>G640+N640-U640-AB640-AH640</f>
        <v>0</v>
      </c>
      <c r="AN640" s="126"/>
      <c r="AO640" s="130">
        <f t="shared" si="548"/>
        <v>0</v>
      </c>
      <c r="AP640" s="116"/>
    </row>
    <row r="641" spans="1:42" s="132" customFormat="1" ht="14" collapsed="1">
      <c r="A641" s="192" t="s">
        <v>42</v>
      </c>
      <c r="B641" s="193" t="s">
        <v>808</v>
      </c>
      <c r="C641" s="143">
        <f>C642+C645+C647+C650+C653+C659+C661+C663+C665+C669+C671+C673+C675+C677+C679</f>
        <v>6508.0745999999999</v>
      </c>
      <c r="D641" s="143">
        <f t="shared" ref="D641:AM641" si="604">D642+D645+D647+D650+D653+D659+D661+D663+D665+D669+D671+D673+D675+D677+D679</f>
        <v>0</v>
      </c>
      <c r="E641" s="143">
        <f t="shared" si="604"/>
        <v>1254.1145999999999</v>
      </c>
      <c r="F641" s="143">
        <f t="shared" si="604"/>
        <v>0</v>
      </c>
      <c r="G641" s="143">
        <f t="shared" si="604"/>
        <v>5253.96</v>
      </c>
      <c r="H641" s="143">
        <f t="shared" si="604"/>
        <v>8388.5076000000008</v>
      </c>
      <c r="I641" s="143">
        <f t="shared" si="604"/>
        <v>8388.5076000000008</v>
      </c>
      <c r="J641" s="143">
        <f t="shared" si="604"/>
        <v>0</v>
      </c>
      <c r="K641" s="143">
        <f t="shared" si="604"/>
        <v>8388.5076000000008</v>
      </c>
      <c r="L641" s="143">
        <f t="shared" si="604"/>
        <v>0</v>
      </c>
      <c r="M641" s="143">
        <f t="shared" si="604"/>
        <v>0</v>
      </c>
      <c r="N641" s="143">
        <f t="shared" si="604"/>
        <v>0</v>
      </c>
      <c r="O641" s="143">
        <f t="shared" si="604"/>
        <v>5482.9150000000009</v>
      </c>
      <c r="P641" s="143">
        <f t="shared" si="604"/>
        <v>1458.145</v>
      </c>
      <c r="Q641" s="143">
        <f t="shared" si="604"/>
        <v>0</v>
      </c>
      <c r="R641" s="143">
        <f t="shared" si="604"/>
        <v>1458.145</v>
      </c>
      <c r="S641" s="143">
        <f t="shared" si="604"/>
        <v>4024.7700000000004</v>
      </c>
      <c r="T641" s="143">
        <f t="shared" si="604"/>
        <v>0</v>
      </c>
      <c r="U641" s="143">
        <f t="shared" si="604"/>
        <v>4024.7700000000004</v>
      </c>
      <c r="V641" s="143">
        <f t="shared" si="604"/>
        <v>397.79459999999995</v>
      </c>
      <c r="W641" s="143">
        <f t="shared" si="604"/>
        <v>397.79459999999995</v>
      </c>
      <c r="X641" s="143">
        <f t="shared" si="604"/>
        <v>0</v>
      </c>
      <c r="Y641" s="143">
        <f t="shared" si="604"/>
        <v>397.79459999999995</v>
      </c>
      <c r="Z641" s="143">
        <f t="shared" si="604"/>
        <v>0</v>
      </c>
      <c r="AA641" s="143">
        <f t="shared" si="604"/>
        <v>0</v>
      </c>
      <c r="AB641" s="143">
        <f t="shared" si="604"/>
        <v>0</v>
      </c>
      <c r="AC641" s="143">
        <f t="shared" si="604"/>
        <v>0</v>
      </c>
      <c r="AD641" s="143">
        <f t="shared" si="604"/>
        <v>0</v>
      </c>
      <c r="AE641" s="143">
        <f t="shared" si="604"/>
        <v>0</v>
      </c>
      <c r="AF641" s="143">
        <f t="shared" si="604"/>
        <v>0</v>
      </c>
      <c r="AG641" s="143">
        <f t="shared" si="604"/>
        <v>0</v>
      </c>
      <c r="AH641" s="143">
        <f t="shared" si="604"/>
        <v>0</v>
      </c>
      <c r="AI641" s="143">
        <f t="shared" si="604"/>
        <v>9015.8725999999988</v>
      </c>
      <c r="AJ641" s="143">
        <f t="shared" si="604"/>
        <v>0</v>
      </c>
      <c r="AK641" s="143">
        <f t="shared" si="604"/>
        <v>7786.6826000000001</v>
      </c>
      <c r="AL641" s="143">
        <f t="shared" si="604"/>
        <v>0</v>
      </c>
      <c r="AM641" s="143">
        <f t="shared" si="604"/>
        <v>1229.1899999999996</v>
      </c>
      <c r="AN641" s="143"/>
      <c r="AO641" s="130">
        <f t="shared" si="548"/>
        <v>0</v>
      </c>
      <c r="AP641" s="131"/>
    </row>
    <row r="642" spans="1:42" s="117" customFormat="1" ht="14">
      <c r="A642" s="136">
        <v>1</v>
      </c>
      <c r="B642" s="137" t="s">
        <v>809</v>
      </c>
      <c r="C642" s="126">
        <f>SUM(C643:C644)</f>
        <v>63.971999999999994</v>
      </c>
      <c r="D642" s="126">
        <f>SUM(D643:D644)</f>
        <v>0</v>
      </c>
      <c r="E642" s="126">
        <f>SUM(E643:E644)</f>
        <v>63.971999999999994</v>
      </c>
      <c r="F642" s="126">
        <f>SUM(F643:F644)</f>
        <v>0</v>
      </c>
      <c r="G642" s="126">
        <f>SUM(G643:G644)</f>
        <v>0</v>
      </c>
      <c r="H642" s="126">
        <f t="shared" ref="H642:AM642" si="605">SUM(H643:H644)</f>
        <v>0</v>
      </c>
      <c r="I642" s="126">
        <f t="shared" si="605"/>
        <v>0</v>
      </c>
      <c r="J642" s="126">
        <f t="shared" si="605"/>
        <v>0</v>
      </c>
      <c r="K642" s="126">
        <f t="shared" si="605"/>
        <v>0</v>
      </c>
      <c r="L642" s="126">
        <f t="shared" si="605"/>
        <v>0</v>
      </c>
      <c r="M642" s="126">
        <f t="shared" si="605"/>
        <v>0</v>
      </c>
      <c r="N642" s="126">
        <f t="shared" si="605"/>
        <v>0</v>
      </c>
      <c r="O642" s="126">
        <f t="shared" si="605"/>
        <v>0</v>
      </c>
      <c r="P642" s="126">
        <f t="shared" si="605"/>
        <v>0</v>
      </c>
      <c r="Q642" s="126">
        <f t="shared" si="605"/>
        <v>0</v>
      </c>
      <c r="R642" s="126">
        <f t="shared" si="605"/>
        <v>0</v>
      </c>
      <c r="S642" s="126">
        <f t="shared" si="605"/>
        <v>0</v>
      </c>
      <c r="T642" s="126">
        <f t="shared" si="605"/>
        <v>0</v>
      </c>
      <c r="U642" s="126">
        <f t="shared" si="605"/>
        <v>0</v>
      </c>
      <c r="V642" s="126">
        <f t="shared" si="605"/>
        <v>63.971999999999994</v>
      </c>
      <c r="W642" s="126">
        <f t="shared" si="605"/>
        <v>63.971999999999994</v>
      </c>
      <c r="X642" s="126">
        <f t="shared" si="605"/>
        <v>0</v>
      </c>
      <c r="Y642" s="126">
        <f t="shared" si="605"/>
        <v>63.971999999999994</v>
      </c>
      <c r="Z642" s="126">
        <f t="shared" si="605"/>
        <v>0</v>
      </c>
      <c r="AA642" s="126">
        <f t="shared" si="605"/>
        <v>0</v>
      </c>
      <c r="AB642" s="126">
        <f t="shared" si="605"/>
        <v>0</v>
      </c>
      <c r="AC642" s="126">
        <f t="shared" si="605"/>
        <v>0</v>
      </c>
      <c r="AD642" s="126">
        <f t="shared" si="605"/>
        <v>0</v>
      </c>
      <c r="AE642" s="126">
        <f t="shared" si="605"/>
        <v>0</v>
      </c>
      <c r="AF642" s="126">
        <f t="shared" si="605"/>
        <v>0</v>
      </c>
      <c r="AG642" s="126">
        <f t="shared" si="605"/>
        <v>0</v>
      </c>
      <c r="AH642" s="126">
        <f t="shared" si="605"/>
        <v>0</v>
      </c>
      <c r="AI642" s="126">
        <f t="shared" si="563"/>
        <v>0</v>
      </c>
      <c r="AJ642" s="126">
        <f t="shared" si="605"/>
        <v>0</v>
      </c>
      <c r="AK642" s="126">
        <f t="shared" si="605"/>
        <v>0</v>
      </c>
      <c r="AL642" s="126">
        <f t="shared" si="605"/>
        <v>0</v>
      </c>
      <c r="AM642" s="126">
        <f t="shared" si="605"/>
        <v>0</v>
      </c>
      <c r="AN642" s="126"/>
      <c r="AO642" s="130">
        <f t="shared" si="548"/>
        <v>0</v>
      </c>
      <c r="AP642" s="116"/>
    </row>
    <row r="643" spans="1:42" s="117" customFormat="1" ht="14" hidden="1" outlineLevel="1">
      <c r="A643" s="136"/>
      <c r="B643" s="137" t="s">
        <v>568</v>
      </c>
      <c r="C643" s="126">
        <f>SUM(D643:G643)</f>
        <v>0</v>
      </c>
      <c r="D643" s="126">
        <v>0</v>
      </c>
      <c r="E643" s="126">
        <v>0</v>
      </c>
      <c r="F643" s="126">
        <v>0</v>
      </c>
      <c r="G643" s="126">
        <v>0</v>
      </c>
      <c r="H643" s="126">
        <f>I643+L643</f>
        <v>0</v>
      </c>
      <c r="I643" s="126">
        <f>J643+K643</f>
        <v>0</v>
      </c>
      <c r="J643" s="126"/>
      <c r="K643" s="126"/>
      <c r="L643" s="126">
        <f>M643+N643</f>
        <v>0</v>
      </c>
      <c r="M643" s="126"/>
      <c r="N643" s="126"/>
      <c r="O643" s="126">
        <f>P643+S643</f>
        <v>0</v>
      </c>
      <c r="P643" s="126"/>
      <c r="Q643" s="126"/>
      <c r="R643" s="126"/>
      <c r="S643" s="126">
        <f>T643+U643</f>
        <v>0</v>
      </c>
      <c r="T643" s="126"/>
      <c r="U643" s="126"/>
      <c r="V643" s="126"/>
      <c r="W643" s="126"/>
      <c r="X643" s="126"/>
      <c r="Y643" s="126"/>
      <c r="Z643" s="126"/>
      <c r="AA643" s="126"/>
      <c r="AB643" s="126"/>
      <c r="AC643" s="126"/>
      <c r="AD643" s="126"/>
      <c r="AE643" s="126"/>
      <c r="AF643" s="126"/>
      <c r="AG643" s="126"/>
      <c r="AH643" s="126"/>
      <c r="AI643" s="126">
        <f t="shared" si="563"/>
        <v>0</v>
      </c>
      <c r="AJ643" s="126">
        <f t="shared" ref="AJ643:AK649" si="606">D643+J643-Q643-X643-AD643</f>
        <v>0</v>
      </c>
      <c r="AK643" s="126">
        <f t="shared" si="606"/>
        <v>0</v>
      </c>
      <c r="AL643" s="126">
        <f t="shared" ref="AL643:AM649" si="607">F643+M643-T643-AA643-AG643</f>
        <v>0</v>
      </c>
      <c r="AM643" s="126">
        <f t="shared" si="607"/>
        <v>0</v>
      </c>
      <c r="AN643" s="126"/>
      <c r="AO643" s="130">
        <f t="shared" si="548"/>
        <v>0</v>
      </c>
      <c r="AP643" s="116"/>
    </row>
    <row r="644" spans="1:42" s="117" customFormat="1" ht="14" hidden="1" outlineLevel="1">
      <c r="A644" s="136"/>
      <c r="B644" s="137" t="s">
        <v>682</v>
      </c>
      <c r="C644" s="126">
        <f>SUM(D644:G644)</f>
        <v>63.971999999999994</v>
      </c>
      <c r="D644" s="126">
        <v>0</v>
      </c>
      <c r="E644" s="126">
        <v>63.971999999999994</v>
      </c>
      <c r="F644" s="126">
        <v>0</v>
      </c>
      <c r="G644" s="126">
        <v>0</v>
      </c>
      <c r="H644" s="126">
        <f>I644+L644</f>
        <v>0</v>
      </c>
      <c r="I644" s="126">
        <f>J644+K644</f>
        <v>0</v>
      </c>
      <c r="J644" s="126"/>
      <c r="K644" s="126"/>
      <c r="L644" s="126"/>
      <c r="M644" s="126"/>
      <c r="N644" s="126"/>
      <c r="O644" s="126">
        <f>P644+S644</f>
        <v>0</v>
      </c>
      <c r="P644" s="126">
        <f>Q644+R644</f>
        <v>0</v>
      </c>
      <c r="Q644" s="126"/>
      <c r="R644" s="126"/>
      <c r="S644" s="126"/>
      <c r="T644" s="126"/>
      <c r="U644" s="126"/>
      <c r="V644" s="126">
        <f>W644+Z644</f>
        <v>63.971999999999994</v>
      </c>
      <c r="W644" s="126">
        <f>X644+Y644</f>
        <v>63.971999999999994</v>
      </c>
      <c r="X644" s="126"/>
      <c r="Y644" s="126">
        <v>63.971999999999994</v>
      </c>
      <c r="Z644" s="126"/>
      <c r="AA644" s="126"/>
      <c r="AB644" s="126"/>
      <c r="AC644" s="126"/>
      <c r="AD644" s="126"/>
      <c r="AE644" s="126"/>
      <c r="AF644" s="126"/>
      <c r="AG644" s="126"/>
      <c r="AH644" s="126"/>
      <c r="AI644" s="126">
        <f t="shared" si="563"/>
        <v>0</v>
      </c>
      <c r="AJ644" s="126">
        <f t="shared" si="606"/>
        <v>0</v>
      </c>
      <c r="AK644" s="126">
        <f t="shared" si="606"/>
        <v>0</v>
      </c>
      <c r="AL644" s="126">
        <f t="shared" si="607"/>
        <v>0</v>
      </c>
      <c r="AM644" s="126">
        <f t="shared" si="607"/>
        <v>0</v>
      </c>
      <c r="AN644" s="126"/>
      <c r="AO644" s="130">
        <f t="shared" si="548"/>
        <v>0</v>
      </c>
      <c r="AP644" s="116"/>
    </row>
    <row r="645" spans="1:42" s="157" customFormat="1" ht="14" collapsed="1">
      <c r="A645" s="136"/>
      <c r="B645" s="137"/>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30">
        <f t="shared" si="548"/>
        <v>0</v>
      </c>
      <c r="AP645" s="116"/>
    </row>
    <row r="646" spans="1:42" s="157" customFormat="1" ht="14" hidden="1" outlineLevel="1">
      <c r="A646" s="136"/>
      <c r="B646" s="137"/>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c r="AO646" s="130">
        <f t="shared" si="548"/>
        <v>0</v>
      </c>
      <c r="AP646" s="116"/>
    </row>
    <row r="647" spans="1:42" s="117" customFormat="1" ht="14" collapsed="1">
      <c r="A647" s="136">
        <v>2</v>
      </c>
      <c r="B647" s="137" t="s">
        <v>810</v>
      </c>
      <c r="C647" s="126">
        <f>C649+C648</f>
        <v>61.822599999999923</v>
      </c>
      <c r="D647" s="126">
        <f t="shared" ref="D647:AM647" si="608">D649+D648</f>
        <v>0</v>
      </c>
      <c r="E647" s="126">
        <f t="shared" si="608"/>
        <v>61.822599999999923</v>
      </c>
      <c r="F647" s="126">
        <f t="shared" si="608"/>
        <v>0</v>
      </c>
      <c r="G647" s="126">
        <f t="shared" si="608"/>
        <v>0</v>
      </c>
      <c r="H647" s="126">
        <f t="shared" si="608"/>
        <v>1500.5075999999999</v>
      </c>
      <c r="I647" s="126">
        <f t="shared" si="608"/>
        <v>1500.5075999999999</v>
      </c>
      <c r="J647" s="126">
        <f t="shared" si="608"/>
        <v>0</v>
      </c>
      <c r="K647" s="126">
        <f t="shared" si="608"/>
        <v>1500.5075999999999</v>
      </c>
      <c r="L647" s="126">
        <f t="shared" si="608"/>
        <v>0</v>
      </c>
      <c r="M647" s="126">
        <f t="shared" si="608"/>
        <v>0</v>
      </c>
      <c r="N647" s="126">
        <f t="shared" si="608"/>
        <v>0</v>
      </c>
      <c r="O647" s="126">
        <f t="shared" si="608"/>
        <v>1458.145</v>
      </c>
      <c r="P647" s="126">
        <f t="shared" si="608"/>
        <v>1458.145</v>
      </c>
      <c r="Q647" s="126">
        <f t="shared" si="608"/>
        <v>0</v>
      </c>
      <c r="R647" s="126">
        <f t="shared" si="608"/>
        <v>1458.145</v>
      </c>
      <c r="S647" s="126">
        <f t="shared" si="608"/>
        <v>0</v>
      </c>
      <c r="T647" s="126">
        <f t="shared" si="608"/>
        <v>0</v>
      </c>
      <c r="U647" s="126">
        <f t="shared" si="608"/>
        <v>0</v>
      </c>
      <c r="V647" s="126">
        <f t="shared" si="608"/>
        <v>61.822599999999923</v>
      </c>
      <c r="W647" s="126">
        <f t="shared" si="608"/>
        <v>61.822599999999923</v>
      </c>
      <c r="X647" s="126">
        <f t="shared" si="608"/>
        <v>0</v>
      </c>
      <c r="Y647" s="126">
        <f t="shared" si="608"/>
        <v>61.822599999999923</v>
      </c>
      <c r="Z647" s="126">
        <f t="shared" si="608"/>
        <v>0</v>
      </c>
      <c r="AA647" s="126">
        <f t="shared" si="608"/>
        <v>0</v>
      </c>
      <c r="AB647" s="126">
        <f t="shared" si="608"/>
        <v>0</v>
      </c>
      <c r="AC647" s="126">
        <f t="shared" si="608"/>
        <v>0</v>
      </c>
      <c r="AD647" s="126">
        <f t="shared" si="608"/>
        <v>0</v>
      </c>
      <c r="AE647" s="126">
        <f t="shared" si="608"/>
        <v>0</v>
      </c>
      <c r="AF647" s="126">
        <f t="shared" si="608"/>
        <v>0</v>
      </c>
      <c r="AG647" s="126">
        <f t="shared" si="608"/>
        <v>0</v>
      </c>
      <c r="AH647" s="126">
        <f t="shared" si="608"/>
        <v>0</v>
      </c>
      <c r="AI647" s="126">
        <f t="shared" si="608"/>
        <v>42.3626</v>
      </c>
      <c r="AJ647" s="126">
        <f t="shared" si="608"/>
        <v>0</v>
      </c>
      <c r="AK647" s="126">
        <f t="shared" si="608"/>
        <v>42.3626</v>
      </c>
      <c r="AL647" s="126">
        <f t="shared" si="608"/>
        <v>0</v>
      </c>
      <c r="AM647" s="126">
        <f t="shared" si="608"/>
        <v>0</v>
      </c>
      <c r="AN647" s="126"/>
      <c r="AO647" s="130">
        <f t="shared" si="548"/>
        <v>0</v>
      </c>
      <c r="AP647" s="116"/>
    </row>
    <row r="648" spans="1:42" s="117" customFormat="1" ht="14" hidden="1" outlineLevel="1">
      <c r="A648" s="136"/>
      <c r="B648" s="137" t="s">
        <v>570</v>
      </c>
      <c r="C648" s="126">
        <f t="shared" ref="C648:C680" si="609">SUM(D648:G648)</f>
        <v>61.822599999999923</v>
      </c>
      <c r="D648" s="126">
        <v>0</v>
      </c>
      <c r="E648" s="126">
        <v>61.822599999999923</v>
      </c>
      <c r="F648" s="126">
        <v>0</v>
      </c>
      <c r="G648" s="126">
        <v>0</v>
      </c>
      <c r="H648" s="126">
        <f>I648+L648</f>
        <v>1458.145</v>
      </c>
      <c r="I648" s="126">
        <f>J648+K648</f>
        <v>1458.145</v>
      </c>
      <c r="J648" s="126"/>
      <c r="K648" s="126">
        <f>1500.5076-42.3626</f>
        <v>1458.145</v>
      </c>
      <c r="L648" s="126"/>
      <c r="M648" s="126"/>
      <c r="N648" s="126"/>
      <c r="O648" s="126">
        <f>P648+S648</f>
        <v>1458.145</v>
      </c>
      <c r="P648" s="126">
        <f>Q648+R648</f>
        <v>1458.145</v>
      </c>
      <c r="Q648" s="126"/>
      <c r="R648" s="126">
        <f>1458.145</f>
        <v>1458.145</v>
      </c>
      <c r="S648" s="126"/>
      <c r="T648" s="126"/>
      <c r="U648" s="126"/>
      <c r="V648" s="126">
        <f>W648+Z648</f>
        <v>61.822599999999923</v>
      </c>
      <c r="W648" s="126">
        <f>X648+Y648</f>
        <v>61.822599999999923</v>
      </c>
      <c r="X648" s="126"/>
      <c r="Y648" s="126">
        <f>E648</f>
        <v>61.822599999999923</v>
      </c>
      <c r="Z648" s="126"/>
      <c r="AA648" s="126"/>
      <c r="AB648" s="126"/>
      <c r="AC648" s="126"/>
      <c r="AD648" s="126"/>
      <c r="AE648" s="126"/>
      <c r="AF648" s="126"/>
      <c r="AG648" s="126"/>
      <c r="AH648" s="126"/>
      <c r="AI648" s="126">
        <f t="shared" ref="AI648" si="610">SUM(AJ648:AM648)</f>
        <v>0</v>
      </c>
      <c r="AJ648" s="126">
        <f t="shared" ref="AJ648" si="611">D648+J648-Q648-X648-AD648</f>
        <v>0</v>
      </c>
      <c r="AK648" s="126">
        <v>0</v>
      </c>
      <c r="AL648" s="126">
        <f t="shared" ref="AL648:AM648" si="612">F648+M648-T648-AA648-AG648</f>
        <v>0</v>
      </c>
      <c r="AM648" s="126">
        <f t="shared" si="612"/>
        <v>0</v>
      </c>
      <c r="AN648" s="126"/>
      <c r="AO648" s="130">
        <f t="shared" si="548"/>
        <v>4.2632564145606011E-14</v>
      </c>
      <c r="AP648" s="116"/>
    </row>
    <row r="649" spans="1:42" s="117" customFormat="1" ht="14" hidden="1" outlineLevel="1">
      <c r="A649" s="136"/>
      <c r="B649" s="137" t="s">
        <v>594</v>
      </c>
      <c r="C649" s="126">
        <f t="shared" si="609"/>
        <v>0</v>
      </c>
      <c r="D649" s="126">
        <v>0</v>
      </c>
      <c r="E649" s="126"/>
      <c r="F649" s="126">
        <v>0</v>
      </c>
      <c r="G649" s="126">
        <v>0</v>
      </c>
      <c r="H649" s="126">
        <f>I649+L649</f>
        <v>42.3626</v>
      </c>
      <c r="I649" s="126">
        <f>J649+K649</f>
        <v>42.3626</v>
      </c>
      <c r="J649" s="126"/>
      <c r="K649" s="126">
        <v>42.3626</v>
      </c>
      <c r="L649" s="126"/>
      <c r="M649" s="126"/>
      <c r="N649" s="126"/>
      <c r="O649" s="126">
        <f>P649+S649</f>
        <v>0</v>
      </c>
      <c r="P649" s="126">
        <f>Q649+R649</f>
        <v>0</v>
      </c>
      <c r="Q649" s="126"/>
      <c r="R649" s="126"/>
      <c r="S649" s="126"/>
      <c r="T649" s="126"/>
      <c r="U649" s="126"/>
      <c r="V649" s="126">
        <f>W649+Z649</f>
        <v>0</v>
      </c>
      <c r="W649" s="126">
        <f>X649+Y649</f>
        <v>0</v>
      </c>
      <c r="X649" s="126"/>
      <c r="Y649" s="126"/>
      <c r="Z649" s="126"/>
      <c r="AA649" s="126"/>
      <c r="AB649" s="126"/>
      <c r="AC649" s="126"/>
      <c r="AD649" s="126"/>
      <c r="AE649" s="126"/>
      <c r="AF649" s="126"/>
      <c r="AG649" s="126"/>
      <c r="AH649" s="126"/>
      <c r="AI649" s="126">
        <f t="shared" ref="AI649:AI680" si="613">SUM(AJ649:AM649)</f>
        <v>42.3626</v>
      </c>
      <c r="AJ649" s="126">
        <f t="shared" si="606"/>
        <v>0</v>
      </c>
      <c r="AK649" s="126">
        <f t="shared" si="606"/>
        <v>42.3626</v>
      </c>
      <c r="AL649" s="126">
        <f t="shared" si="607"/>
        <v>0</v>
      </c>
      <c r="AM649" s="126">
        <f t="shared" si="607"/>
        <v>0</v>
      </c>
      <c r="AN649" s="126"/>
      <c r="AO649" s="130">
        <f t="shared" si="548"/>
        <v>0</v>
      </c>
      <c r="AP649" s="116"/>
    </row>
    <row r="650" spans="1:42" s="117" customFormat="1" ht="28" collapsed="1">
      <c r="A650" s="136">
        <v>3</v>
      </c>
      <c r="B650" s="137" t="s">
        <v>811</v>
      </c>
      <c r="C650" s="141">
        <f>C651+C652</f>
        <v>856.32</v>
      </c>
      <c r="D650" s="141">
        <f t="shared" ref="D650:AM650" si="614">D651+D652</f>
        <v>0</v>
      </c>
      <c r="E650" s="141">
        <f t="shared" si="614"/>
        <v>856.32</v>
      </c>
      <c r="F650" s="141">
        <f t="shared" si="614"/>
        <v>0</v>
      </c>
      <c r="G650" s="141">
        <f t="shared" si="614"/>
        <v>0</v>
      </c>
      <c r="H650" s="141">
        <f t="shared" si="614"/>
        <v>0</v>
      </c>
      <c r="I650" s="141">
        <f t="shared" si="614"/>
        <v>0</v>
      </c>
      <c r="J650" s="141">
        <f t="shared" si="614"/>
        <v>0</v>
      </c>
      <c r="K650" s="141">
        <f t="shared" si="614"/>
        <v>0</v>
      </c>
      <c r="L650" s="141">
        <f t="shared" si="614"/>
        <v>0</v>
      </c>
      <c r="M650" s="141">
        <f t="shared" si="614"/>
        <v>0</v>
      </c>
      <c r="N650" s="141">
        <f t="shared" si="614"/>
        <v>0</v>
      </c>
      <c r="O650" s="141">
        <f t="shared" si="614"/>
        <v>0</v>
      </c>
      <c r="P650" s="141">
        <f t="shared" si="614"/>
        <v>0</v>
      </c>
      <c r="Q650" s="141">
        <f t="shared" si="614"/>
        <v>0</v>
      </c>
      <c r="R650" s="141">
        <f t="shared" si="614"/>
        <v>0</v>
      </c>
      <c r="S650" s="141">
        <f t="shared" si="614"/>
        <v>0</v>
      </c>
      <c r="T650" s="141">
        <f t="shared" si="614"/>
        <v>0</v>
      </c>
      <c r="U650" s="141">
        <f t="shared" si="614"/>
        <v>0</v>
      </c>
      <c r="V650" s="141">
        <f t="shared" si="614"/>
        <v>0</v>
      </c>
      <c r="W650" s="141">
        <f t="shared" si="614"/>
        <v>0</v>
      </c>
      <c r="X650" s="141">
        <f t="shared" si="614"/>
        <v>0</v>
      </c>
      <c r="Y650" s="141">
        <f t="shared" si="614"/>
        <v>0</v>
      </c>
      <c r="Z650" s="141">
        <f t="shared" si="614"/>
        <v>0</v>
      </c>
      <c r="AA650" s="141">
        <f t="shared" si="614"/>
        <v>0</v>
      </c>
      <c r="AB650" s="141">
        <f t="shared" si="614"/>
        <v>0</v>
      </c>
      <c r="AC650" s="141">
        <f t="shared" si="614"/>
        <v>0</v>
      </c>
      <c r="AD650" s="141">
        <f t="shared" si="614"/>
        <v>0</v>
      </c>
      <c r="AE650" s="141">
        <f t="shared" si="614"/>
        <v>0</v>
      </c>
      <c r="AF650" s="141">
        <f t="shared" si="614"/>
        <v>0</v>
      </c>
      <c r="AG650" s="141">
        <f t="shared" si="614"/>
        <v>0</v>
      </c>
      <c r="AH650" s="141">
        <f t="shared" si="614"/>
        <v>0</v>
      </c>
      <c r="AI650" s="141">
        <f t="shared" si="614"/>
        <v>856.32</v>
      </c>
      <c r="AJ650" s="141">
        <f t="shared" si="614"/>
        <v>0</v>
      </c>
      <c r="AK650" s="141">
        <f t="shared" si="614"/>
        <v>856.32</v>
      </c>
      <c r="AL650" s="141">
        <f t="shared" si="614"/>
        <v>0</v>
      </c>
      <c r="AM650" s="141">
        <f t="shared" si="614"/>
        <v>0</v>
      </c>
      <c r="AN650" s="141"/>
      <c r="AO650" s="130">
        <f t="shared" si="548"/>
        <v>0</v>
      </c>
      <c r="AP650" s="116"/>
    </row>
    <row r="651" spans="1:42" s="117" customFormat="1" ht="14" hidden="1" outlineLevel="1">
      <c r="A651" s="136"/>
      <c r="B651" s="137" t="s">
        <v>812</v>
      </c>
      <c r="C651" s="126">
        <f t="shared" si="609"/>
        <v>0</v>
      </c>
      <c r="D651" s="126">
        <v>0</v>
      </c>
      <c r="E651" s="126">
        <f>856.32-856.32</f>
        <v>0</v>
      </c>
      <c r="F651" s="126">
        <v>0</v>
      </c>
      <c r="G651" s="126">
        <v>0</v>
      </c>
      <c r="H651" s="126">
        <f>I651+L651</f>
        <v>0</v>
      </c>
      <c r="I651" s="126">
        <f>J651+K651</f>
        <v>0</v>
      </c>
      <c r="J651" s="126"/>
      <c r="K651" s="126"/>
      <c r="L651" s="126"/>
      <c r="M651" s="126"/>
      <c r="N651" s="126"/>
      <c r="O651" s="126">
        <f>P651+S651</f>
        <v>0</v>
      </c>
      <c r="P651" s="126">
        <f>Q651+R651</f>
        <v>0</v>
      </c>
      <c r="Q651" s="126"/>
      <c r="R651" s="126">
        <f>0</f>
        <v>0</v>
      </c>
      <c r="S651" s="126"/>
      <c r="T651" s="126"/>
      <c r="U651" s="126"/>
      <c r="V651" s="126"/>
      <c r="W651" s="126"/>
      <c r="X651" s="126"/>
      <c r="Y651" s="126"/>
      <c r="Z651" s="126"/>
      <c r="AA651" s="126"/>
      <c r="AB651" s="126"/>
      <c r="AC651" s="126"/>
      <c r="AD651" s="126"/>
      <c r="AE651" s="126"/>
      <c r="AF651" s="126"/>
      <c r="AG651" s="126"/>
      <c r="AH651" s="126"/>
      <c r="AI651" s="126">
        <f t="shared" si="613"/>
        <v>0</v>
      </c>
      <c r="AJ651" s="126">
        <f t="shared" ref="AJ651:AK667" si="615">D651+J651-Q651-X651-AD651</f>
        <v>0</v>
      </c>
      <c r="AK651" s="126">
        <f t="shared" si="615"/>
        <v>0</v>
      </c>
      <c r="AL651" s="126">
        <f t="shared" ref="AL651:AM667" si="616">F651+M651-T651-AA651-AG651</f>
        <v>0</v>
      </c>
      <c r="AM651" s="126">
        <f t="shared" si="616"/>
        <v>0</v>
      </c>
      <c r="AN651" s="126"/>
      <c r="AO651" s="130">
        <f t="shared" si="548"/>
        <v>0</v>
      </c>
      <c r="AP651" s="116"/>
    </row>
    <row r="652" spans="1:42" s="117" customFormat="1" ht="14" hidden="1" outlineLevel="1">
      <c r="A652" s="136"/>
      <c r="B652" s="137" t="s">
        <v>594</v>
      </c>
      <c r="C652" s="126">
        <f t="shared" si="609"/>
        <v>856.32</v>
      </c>
      <c r="D652" s="126"/>
      <c r="E652" s="126">
        <f>856.32</f>
        <v>856.32</v>
      </c>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f t="shared" si="613"/>
        <v>856.32</v>
      </c>
      <c r="AJ652" s="126">
        <f t="shared" si="615"/>
        <v>0</v>
      </c>
      <c r="AK652" s="126">
        <f t="shared" si="615"/>
        <v>856.32</v>
      </c>
      <c r="AL652" s="126">
        <f t="shared" si="616"/>
        <v>0</v>
      </c>
      <c r="AM652" s="126">
        <f t="shared" si="616"/>
        <v>0</v>
      </c>
      <c r="AN652" s="126"/>
      <c r="AO652" s="130">
        <f t="shared" si="548"/>
        <v>0</v>
      </c>
      <c r="AP652" s="116"/>
    </row>
    <row r="653" spans="1:42" s="117" customFormat="1" ht="28" collapsed="1">
      <c r="A653" s="136">
        <v>4</v>
      </c>
      <c r="B653" s="137" t="s">
        <v>813</v>
      </c>
      <c r="C653" s="126">
        <f>SUM(C654:C658)</f>
        <v>74.770000000000437</v>
      </c>
      <c r="D653" s="126">
        <f>SUM(D654:D658)</f>
        <v>0</v>
      </c>
      <c r="E653" s="126">
        <f>SUM(E654:E658)</f>
        <v>0</v>
      </c>
      <c r="F653" s="126">
        <f>SUM(F654:F658)</f>
        <v>0</v>
      </c>
      <c r="G653" s="126">
        <f>SUM(G654:G658)</f>
        <v>74.770000000000437</v>
      </c>
      <c r="H653" s="126">
        <f t="shared" ref="H653:AH653" si="617">SUM(H654:H658)</f>
        <v>0</v>
      </c>
      <c r="I653" s="126">
        <f t="shared" si="617"/>
        <v>0</v>
      </c>
      <c r="J653" s="126">
        <f t="shared" si="617"/>
        <v>0</v>
      </c>
      <c r="K653" s="126">
        <f t="shared" si="617"/>
        <v>0</v>
      </c>
      <c r="L653" s="126">
        <f t="shared" si="617"/>
        <v>0</v>
      </c>
      <c r="M653" s="126">
        <f t="shared" si="617"/>
        <v>0</v>
      </c>
      <c r="N653" s="126">
        <f t="shared" si="617"/>
        <v>0</v>
      </c>
      <c r="O653" s="126">
        <f t="shared" si="617"/>
        <v>74.770000000000437</v>
      </c>
      <c r="P653" s="126">
        <f t="shared" si="617"/>
        <v>0</v>
      </c>
      <c r="Q653" s="126">
        <f t="shared" si="617"/>
        <v>0</v>
      </c>
      <c r="R653" s="126">
        <f t="shared" si="617"/>
        <v>0</v>
      </c>
      <c r="S653" s="126">
        <f t="shared" si="617"/>
        <v>74.770000000000437</v>
      </c>
      <c r="T653" s="126">
        <f t="shared" si="617"/>
        <v>0</v>
      </c>
      <c r="U653" s="126">
        <f t="shared" si="617"/>
        <v>74.770000000000437</v>
      </c>
      <c r="V653" s="126">
        <f t="shared" si="617"/>
        <v>0</v>
      </c>
      <c r="W653" s="126">
        <f t="shared" si="617"/>
        <v>0</v>
      </c>
      <c r="X653" s="126">
        <f t="shared" si="617"/>
        <v>0</v>
      </c>
      <c r="Y653" s="126">
        <f t="shared" si="617"/>
        <v>0</v>
      </c>
      <c r="Z653" s="126">
        <f t="shared" si="617"/>
        <v>0</v>
      </c>
      <c r="AA653" s="126">
        <f t="shared" si="617"/>
        <v>0</v>
      </c>
      <c r="AB653" s="126">
        <f t="shared" si="617"/>
        <v>0</v>
      </c>
      <c r="AC653" s="126">
        <f t="shared" si="617"/>
        <v>0</v>
      </c>
      <c r="AD653" s="126">
        <f t="shared" si="617"/>
        <v>0</v>
      </c>
      <c r="AE653" s="126">
        <f t="shared" si="617"/>
        <v>0</v>
      </c>
      <c r="AF653" s="126">
        <f t="shared" si="617"/>
        <v>0</v>
      </c>
      <c r="AG653" s="126">
        <f t="shared" si="617"/>
        <v>0</v>
      </c>
      <c r="AH653" s="126">
        <f t="shared" si="617"/>
        <v>0</v>
      </c>
      <c r="AI653" s="126">
        <f t="shared" si="613"/>
        <v>0</v>
      </c>
      <c r="AJ653" s="126">
        <f t="shared" si="615"/>
        <v>0</v>
      </c>
      <c r="AK653" s="126">
        <f t="shared" si="615"/>
        <v>0</v>
      </c>
      <c r="AL653" s="126">
        <f t="shared" si="616"/>
        <v>0</v>
      </c>
      <c r="AM653" s="126">
        <f t="shared" si="616"/>
        <v>0</v>
      </c>
      <c r="AN653" s="126"/>
      <c r="AO653" s="130">
        <f t="shared" si="548"/>
        <v>0</v>
      </c>
      <c r="AP653" s="116"/>
    </row>
    <row r="654" spans="1:42" s="157" customFormat="1" ht="14" hidden="1" outlineLevel="1">
      <c r="A654" s="136"/>
      <c r="B654" s="137" t="s">
        <v>814</v>
      </c>
      <c r="C654" s="126">
        <f t="shared" si="609"/>
        <v>0</v>
      </c>
      <c r="D654" s="126">
        <v>0</v>
      </c>
      <c r="E654" s="126">
        <v>0</v>
      </c>
      <c r="F654" s="126">
        <v>0</v>
      </c>
      <c r="G654" s="126">
        <v>0</v>
      </c>
      <c r="H654" s="126">
        <f>I654+L654</f>
        <v>0</v>
      </c>
      <c r="I654" s="126">
        <f>J654+K654</f>
        <v>0</v>
      </c>
      <c r="J654" s="126"/>
      <c r="K654" s="126"/>
      <c r="L654" s="126">
        <f>M654+N654</f>
        <v>0</v>
      </c>
      <c r="M654" s="126"/>
      <c r="N654" s="126"/>
      <c r="O654" s="126">
        <f>P654+S654</f>
        <v>0</v>
      </c>
      <c r="P654" s="126">
        <f>Q654+R654</f>
        <v>0</v>
      </c>
      <c r="Q654" s="126"/>
      <c r="R654" s="126"/>
      <c r="S654" s="126">
        <f>T654+U654</f>
        <v>0</v>
      </c>
      <c r="T654" s="126"/>
      <c r="U654" s="126"/>
      <c r="V654" s="126"/>
      <c r="W654" s="126"/>
      <c r="X654" s="126"/>
      <c r="Y654" s="126"/>
      <c r="Z654" s="126"/>
      <c r="AA654" s="126"/>
      <c r="AB654" s="126"/>
      <c r="AC654" s="126"/>
      <c r="AD654" s="126"/>
      <c r="AE654" s="126"/>
      <c r="AF654" s="126"/>
      <c r="AG654" s="126"/>
      <c r="AH654" s="126"/>
      <c r="AI654" s="126">
        <f t="shared" si="613"/>
        <v>0</v>
      </c>
      <c r="AJ654" s="126">
        <f t="shared" si="615"/>
        <v>0</v>
      </c>
      <c r="AK654" s="126">
        <f t="shared" si="615"/>
        <v>0</v>
      </c>
      <c r="AL654" s="126">
        <f t="shared" si="616"/>
        <v>0</v>
      </c>
      <c r="AM654" s="126">
        <f t="shared" si="616"/>
        <v>0</v>
      </c>
      <c r="AN654" s="126"/>
      <c r="AO654" s="130">
        <f t="shared" si="548"/>
        <v>0</v>
      </c>
      <c r="AP654" s="116"/>
    </row>
    <row r="655" spans="1:42" s="117" customFormat="1" ht="14" hidden="1" outlineLevel="1">
      <c r="A655" s="136"/>
      <c r="B655" s="137" t="s">
        <v>815</v>
      </c>
      <c r="C655" s="126">
        <f t="shared" si="609"/>
        <v>0</v>
      </c>
      <c r="D655" s="126">
        <v>0</v>
      </c>
      <c r="E655" s="126">
        <v>0</v>
      </c>
      <c r="F655" s="126">
        <v>0</v>
      </c>
      <c r="G655" s="126">
        <v>0</v>
      </c>
      <c r="H655" s="126">
        <f>I655+L655</f>
        <v>0</v>
      </c>
      <c r="I655" s="126">
        <f>J655+K655</f>
        <v>0</v>
      </c>
      <c r="J655" s="126"/>
      <c r="K655" s="126"/>
      <c r="L655" s="126">
        <f>M655+N655</f>
        <v>0</v>
      </c>
      <c r="M655" s="126"/>
      <c r="N655" s="126"/>
      <c r="O655" s="126">
        <f>P655+S655</f>
        <v>0</v>
      </c>
      <c r="P655" s="126">
        <f>Q655+R655</f>
        <v>0</v>
      </c>
      <c r="Q655" s="126"/>
      <c r="R655" s="126"/>
      <c r="S655" s="126">
        <f>T655+U655</f>
        <v>0</v>
      </c>
      <c r="T655" s="126"/>
      <c r="U655" s="126"/>
      <c r="V655" s="126"/>
      <c r="W655" s="126"/>
      <c r="X655" s="126"/>
      <c r="Y655" s="126"/>
      <c r="Z655" s="126"/>
      <c r="AA655" s="126"/>
      <c r="AB655" s="126"/>
      <c r="AC655" s="126"/>
      <c r="AD655" s="126"/>
      <c r="AE655" s="126"/>
      <c r="AF655" s="126"/>
      <c r="AG655" s="126"/>
      <c r="AH655" s="126"/>
      <c r="AI655" s="126">
        <f t="shared" si="613"/>
        <v>0</v>
      </c>
      <c r="AJ655" s="126">
        <f t="shared" si="615"/>
        <v>0</v>
      </c>
      <c r="AK655" s="126">
        <f t="shared" si="615"/>
        <v>0</v>
      </c>
      <c r="AL655" s="126">
        <f t="shared" si="616"/>
        <v>0</v>
      </c>
      <c r="AM655" s="126">
        <f t="shared" si="616"/>
        <v>0</v>
      </c>
      <c r="AN655" s="126"/>
      <c r="AO655" s="130">
        <f t="shared" ref="AO655:AO679" si="618">C655+H655-O655-V655-AI655</f>
        <v>0</v>
      </c>
      <c r="AP655" s="116"/>
    </row>
    <row r="656" spans="1:42" s="157" customFormat="1" ht="14" hidden="1" outlineLevel="1">
      <c r="A656" s="136"/>
      <c r="B656" s="137" t="s">
        <v>816</v>
      </c>
      <c r="C656" s="126">
        <f t="shared" si="609"/>
        <v>0</v>
      </c>
      <c r="D656" s="126">
        <v>0</v>
      </c>
      <c r="E656" s="126">
        <v>0</v>
      </c>
      <c r="F656" s="126">
        <v>0</v>
      </c>
      <c r="G656" s="126">
        <v>0</v>
      </c>
      <c r="H656" s="126">
        <f>I656+L656</f>
        <v>0</v>
      </c>
      <c r="I656" s="126">
        <f>J656+K656</f>
        <v>0</v>
      </c>
      <c r="J656" s="126"/>
      <c r="K656" s="126"/>
      <c r="L656" s="126">
        <f>M656+N656</f>
        <v>0</v>
      </c>
      <c r="M656" s="126"/>
      <c r="N656" s="126"/>
      <c r="O656" s="126">
        <f>P656+S656</f>
        <v>0</v>
      </c>
      <c r="P656" s="126">
        <f>Q656+R656</f>
        <v>0</v>
      </c>
      <c r="Q656" s="126"/>
      <c r="R656" s="126"/>
      <c r="S656" s="126">
        <f>T656+U656</f>
        <v>0</v>
      </c>
      <c r="T656" s="126"/>
      <c r="U656" s="126"/>
      <c r="V656" s="126"/>
      <c r="W656" s="126"/>
      <c r="X656" s="126"/>
      <c r="Y656" s="126"/>
      <c r="Z656" s="126"/>
      <c r="AA656" s="126"/>
      <c r="AB656" s="126"/>
      <c r="AC656" s="126"/>
      <c r="AD656" s="126"/>
      <c r="AE656" s="126"/>
      <c r="AF656" s="126"/>
      <c r="AG656" s="126"/>
      <c r="AH656" s="126"/>
      <c r="AI656" s="126">
        <f t="shared" si="613"/>
        <v>0</v>
      </c>
      <c r="AJ656" s="126">
        <f t="shared" si="615"/>
        <v>0</v>
      </c>
      <c r="AK656" s="126">
        <f t="shared" si="615"/>
        <v>0</v>
      </c>
      <c r="AL656" s="126">
        <f t="shared" si="616"/>
        <v>0</v>
      </c>
      <c r="AM656" s="126">
        <f t="shared" si="616"/>
        <v>0</v>
      </c>
      <c r="AN656" s="126"/>
      <c r="AO656" s="130">
        <f t="shared" si="618"/>
        <v>0</v>
      </c>
      <c r="AP656" s="116"/>
    </row>
    <row r="657" spans="1:42" s="117" customFormat="1" ht="14" hidden="1" outlineLevel="1">
      <c r="A657" s="136"/>
      <c r="B657" s="137" t="s">
        <v>567</v>
      </c>
      <c r="C657" s="126">
        <f t="shared" si="609"/>
        <v>74.770000000000437</v>
      </c>
      <c r="D657" s="126">
        <v>0</v>
      </c>
      <c r="E657" s="126">
        <v>0</v>
      </c>
      <c r="F657" s="126">
        <v>0</v>
      </c>
      <c r="G657" s="126">
        <v>74.770000000000437</v>
      </c>
      <c r="H657" s="126">
        <f>I657+L657</f>
        <v>0</v>
      </c>
      <c r="I657" s="126">
        <f>J657+K657</f>
        <v>0</v>
      </c>
      <c r="J657" s="126"/>
      <c r="K657" s="126"/>
      <c r="L657" s="126">
        <f>M657+N657</f>
        <v>0</v>
      </c>
      <c r="M657" s="126"/>
      <c r="N657" s="126"/>
      <c r="O657" s="126">
        <f>P657+S657</f>
        <v>74.770000000000437</v>
      </c>
      <c r="P657" s="126">
        <f>Q657+R657</f>
        <v>0</v>
      </c>
      <c r="Q657" s="126"/>
      <c r="R657" s="126"/>
      <c r="S657" s="126">
        <f>T657+U657</f>
        <v>74.770000000000437</v>
      </c>
      <c r="T657" s="126"/>
      <c r="U657" s="126">
        <f>G657</f>
        <v>74.770000000000437</v>
      </c>
      <c r="V657" s="126"/>
      <c r="W657" s="126"/>
      <c r="X657" s="126"/>
      <c r="Y657" s="126"/>
      <c r="Z657" s="126"/>
      <c r="AA657" s="126"/>
      <c r="AB657" s="126"/>
      <c r="AC657" s="126"/>
      <c r="AD657" s="126"/>
      <c r="AE657" s="126"/>
      <c r="AF657" s="126"/>
      <c r="AG657" s="126"/>
      <c r="AH657" s="126"/>
      <c r="AI657" s="126">
        <f t="shared" si="613"/>
        <v>0</v>
      </c>
      <c r="AJ657" s="126">
        <f t="shared" si="615"/>
        <v>0</v>
      </c>
      <c r="AK657" s="126">
        <f t="shared" si="615"/>
        <v>0</v>
      </c>
      <c r="AL657" s="126">
        <f t="shared" si="616"/>
        <v>0</v>
      </c>
      <c r="AM657" s="126">
        <f t="shared" si="616"/>
        <v>0</v>
      </c>
      <c r="AN657" s="126"/>
      <c r="AO657" s="130">
        <f t="shared" si="618"/>
        <v>0</v>
      </c>
      <c r="AP657" s="116"/>
    </row>
    <row r="658" spans="1:42" s="157" customFormat="1" ht="14" hidden="1" outlineLevel="1">
      <c r="A658" s="136"/>
      <c r="B658" s="137" t="s">
        <v>660</v>
      </c>
      <c r="C658" s="126">
        <f t="shared" si="609"/>
        <v>0</v>
      </c>
      <c r="D658" s="126">
        <v>0</v>
      </c>
      <c r="E658" s="126">
        <v>0</v>
      </c>
      <c r="F658" s="126">
        <v>0</v>
      </c>
      <c r="G658" s="126">
        <v>0</v>
      </c>
      <c r="H658" s="126">
        <f>I658+L658</f>
        <v>0</v>
      </c>
      <c r="I658" s="126">
        <f>J658+K658</f>
        <v>0</v>
      </c>
      <c r="J658" s="126"/>
      <c r="K658" s="126"/>
      <c r="L658" s="126">
        <f>M658+N658</f>
        <v>0</v>
      </c>
      <c r="M658" s="126"/>
      <c r="N658" s="126"/>
      <c r="O658" s="126">
        <f>P658+S658</f>
        <v>0</v>
      </c>
      <c r="P658" s="126">
        <f>Q658+R658</f>
        <v>0</v>
      </c>
      <c r="Q658" s="126"/>
      <c r="R658" s="126"/>
      <c r="S658" s="126">
        <f>T658+U658</f>
        <v>0</v>
      </c>
      <c r="T658" s="126"/>
      <c r="U658" s="126"/>
      <c r="V658" s="126"/>
      <c r="W658" s="126"/>
      <c r="X658" s="126"/>
      <c r="Y658" s="126"/>
      <c r="Z658" s="126"/>
      <c r="AA658" s="126"/>
      <c r="AB658" s="126"/>
      <c r="AC658" s="126"/>
      <c r="AD658" s="126"/>
      <c r="AE658" s="126"/>
      <c r="AF658" s="126"/>
      <c r="AG658" s="126"/>
      <c r="AH658" s="126"/>
      <c r="AI658" s="126">
        <f t="shared" si="613"/>
        <v>0</v>
      </c>
      <c r="AJ658" s="126">
        <f t="shared" si="615"/>
        <v>0</v>
      </c>
      <c r="AK658" s="126">
        <f t="shared" si="615"/>
        <v>0</v>
      </c>
      <c r="AL658" s="126">
        <f t="shared" si="616"/>
        <v>0</v>
      </c>
      <c r="AM658" s="126">
        <f t="shared" si="616"/>
        <v>0</v>
      </c>
      <c r="AN658" s="126"/>
      <c r="AO658" s="130">
        <f t="shared" si="618"/>
        <v>0</v>
      </c>
      <c r="AP658" s="116"/>
    </row>
    <row r="659" spans="1:42" s="157" customFormat="1" ht="14" collapsed="1">
      <c r="A659" s="136">
        <v>6</v>
      </c>
      <c r="B659" s="137" t="s">
        <v>817</v>
      </c>
      <c r="C659" s="126">
        <f t="shared" ref="C659:AH659" si="619">C660</f>
        <v>0</v>
      </c>
      <c r="D659" s="126">
        <f t="shared" si="619"/>
        <v>0</v>
      </c>
      <c r="E659" s="126">
        <f t="shared" si="619"/>
        <v>0</v>
      </c>
      <c r="F659" s="126">
        <f t="shared" si="619"/>
        <v>0</v>
      </c>
      <c r="G659" s="126">
        <f t="shared" si="619"/>
        <v>0</v>
      </c>
      <c r="H659" s="126">
        <f t="shared" si="619"/>
        <v>0</v>
      </c>
      <c r="I659" s="126">
        <f t="shared" si="619"/>
        <v>0</v>
      </c>
      <c r="J659" s="126">
        <f t="shared" si="619"/>
        <v>0</v>
      </c>
      <c r="K659" s="126">
        <f t="shared" si="619"/>
        <v>0</v>
      </c>
      <c r="L659" s="126">
        <f t="shared" si="619"/>
        <v>0</v>
      </c>
      <c r="M659" s="126">
        <f t="shared" si="619"/>
        <v>0</v>
      </c>
      <c r="N659" s="126">
        <f t="shared" si="619"/>
        <v>0</v>
      </c>
      <c r="O659" s="126">
        <f t="shared" si="619"/>
        <v>0</v>
      </c>
      <c r="P659" s="126">
        <f t="shared" si="619"/>
        <v>0</v>
      </c>
      <c r="Q659" s="126">
        <f t="shared" si="619"/>
        <v>0</v>
      </c>
      <c r="R659" s="126">
        <f t="shared" si="619"/>
        <v>0</v>
      </c>
      <c r="S659" s="126">
        <f t="shared" si="619"/>
        <v>0</v>
      </c>
      <c r="T659" s="126">
        <f t="shared" si="619"/>
        <v>0</v>
      </c>
      <c r="U659" s="126">
        <f t="shared" si="619"/>
        <v>0</v>
      </c>
      <c r="V659" s="126">
        <f t="shared" si="619"/>
        <v>0</v>
      </c>
      <c r="W659" s="126">
        <f t="shared" si="619"/>
        <v>0</v>
      </c>
      <c r="X659" s="126">
        <f t="shared" si="619"/>
        <v>0</v>
      </c>
      <c r="Y659" s="126">
        <f t="shared" si="619"/>
        <v>0</v>
      </c>
      <c r="Z659" s="126">
        <f t="shared" si="619"/>
        <v>0</v>
      </c>
      <c r="AA659" s="126">
        <f t="shared" si="619"/>
        <v>0</v>
      </c>
      <c r="AB659" s="126">
        <f t="shared" si="619"/>
        <v>0</v>
      </c>
      <c r="AC659" s="126">
        <f t="shared" si="619"/>
        <v>0</v>
      </c>
      <c r="AD659" s="126">
        <f t="shared" si="619"/>
        <v>0</v>
      </c>
      <c r="AE659" s="126">
        <f t="shared" si="619"/>
        <v>0</v>
      </c>
      <c r="AF659" s="126">
        <f t="shared" si="619"/>
        <v>0</v>
      </c>
      <c r="AG659" s="126">
        <f t="shared" si="619"/>
        <v>0</v>
      </c>
      <c r="AH659" s="126">
        <f t="shared" si="619"/>
        <v>0</v>
      </c>
      <c r="AI659" s="126">
        <f t="shared" si="613"/>
        <v>0</v>
      </c>
      <c r="AJ659" s="126">
        <f t="shared" si="615"/>
        <v>0</v>
      </c>
      <c r="AK659" s="126">
        <f t="shared" si="615"/>
        <v>0</v>
      </c>
      <c r="AL659" s="126">
        <f t="shared" si="616"/>
        <v>0</v>
      </c>
      <c r="AM659" s="126">
        <f t="shared" si="616"/>
        <v>0</v>
      </c>
      <c r="AN659" s="126"/>
      <c r="AO659" s="130">
        <f t="shared" si="618"/>
        <v>0</v>
      </c>
      <c r="AP659" s="116"/>
    </row>
    <row r="660" spans="1:42" s="157" customFormat="1" ht="14" hidden="1" outlineLevel="1">
      <c r="A660" s="136"/>
      <c r="B660" s="137" t="s">
        <v>818</v>
      </c>
      <c r="C660" s="126">
        <f t="shared" si="609"/>
        <v>0</v>
      </c>
      <c r="D660" s="126">
        <v>0</v>
      </c>
      <c r="E660" s="126">
        <v>0</v>
      </c>
      <c r="F660" s="126">
        <v>0</v>
      </c>
      <c r="G660" s="126">
        <v>0</v>
      </c>
      <c r="H660" s="126">
        <f>I660+L660</f>
        <v>0</v>
      </c>
      <c r="I660" s="126">
        <f>J660+K660</f>
        <v>0</v>
      </c>
      <c r="J660" s="126"/>
      <c r="K660" s="126"/>
      <c r="L660" s="126"/>
      <c r="M660" s="126"/>
      <c r="N660" s="126"/>
      <c r="O660" s="126">
        <f>P660+S660</f>
        <v>0</v>
      </c>
      <c r="P660" s="126">
        <f>Q660+R660</f>
        <v>0</v>
      </c>
      <c r="Q660" s="126"/>
      <c r="R660" s="126"/>
      <c r="S660" s="126"/>
      <c r="T660" s="126"/>
      <c r="U660" s="126"/>
      <c r="V660" s="126"/>
      <c r="W660" s="126"/>
      <c r="X660" s="126"/>
      <c r="Y660" s="126"/>
      <c r="Z660" s="126"/>
      <c r="AA660" s="126"/>
      <c r="AB660" s="126"/>
      <c r="AC660" s="126"/>
      <c r="AD660" s="126"/>
      <c r="AE660" s="126"/>
      <c r="AF660" s="126"/>
      <c r="AG660" s="126"/>
      <c r="AH660" s="126"/>
      <c r="AI660" s="126">
        <f t="shared" si="613"/>
        <v>0</v>
      </c>
      <c r="AJ660" s="126">
        <f t="shared" si="615"/>
        <v>0</v>
      </c>
      <c r="AK660" s="126">
        <f t="shared" si="615"/>
        <v>0</v>
      </c>
      <c r="AL660" s="126">
        <f t="shared" si="616"/>
        <v>0</v>
      </c>
      <c r="AM660" s="126">
        <f t="shared" si="616"/>
        <v>0</v>
      </c>
      <c r="AN660" s="126"/>
      <c r="AO660" s="130">
        <f t="shared" si="618"/>
        <v>0</v>
      </c>
      <c r="AP660" s="116"/>
    </row>
    <row r="661" spans="1:42" s="117" customFormat="1" ht="14" collapsed="1">
      <c r="A661" s="185">
        <v>7</v>
      </c>
      <c r="B661" s="137" t="s">
        <v>819</v>
      </c>
      <c r="C661" s="126">
        <f>SUM(C662:C662)</f>
        <v>0</v>
      </c>
      <c r="D661" s="126">
        <f>SUM(D662:D662)</f>
        <v>0</v>
      </c>
      <c r="E661" s="126">
        <f>SUM(E662:E662)</f>
        <v>0</v>
      </c>
      <c r="F661" s="126">
        <f>SUM(F662:F662)</f>
        <v>0</v>
      </c>
      <c r="G661" s="126">
        <f>SUM(G662:G662)</f>
        <v>0</v>
      </c>
      <c r="H661" s="126">
        <f t="shared" ref="H661:AH661" si="620">SUM(H662:H662)</f>
        <v>0</v>
      </c>
      <c r="I661" s="126">
        <f t="shared" si="620"/>
        <v>0</v>
      </c>
      <c r="J661" s="126">
        <f t="shared" si="620"/>
        <v>0</v>
      </c>
      <c r="K661" s="126">
        <f t="shared" si="620"/>
        <v>0</v>
      </c>
      <c r="L661" s="126">
        <f t="shared" si="620"/>
        <v>0</v>
      </c>
      <c r="M661" s="126">
        <f t="shared" si="620"/>
        <v>0</v>
      </c>
      <c r="N661" s="126">
        <f t="shared" si="620"/>
        <v>0</v>
      </c>
      <c r="O661" s="126">
        <f t="shared" si="620"/>
        <v>0</v>
      </c>
      <c r="P661" s="126">
        <f t="shared" si="620"/>
        <v>0</v>
      </c>
      <c r="Q661" s="126">
        <f t="shared" si="620"/>
        <v>0</v>
      </c>
      <c r="R661" s="126">
        <f t="shared" si="620"/>
        <v>0</v>
      </c>
      <c r="S661" s="126">
        <f t="shared" si="620"/>
        <v>0</v>
      </c>
      <c r="T661" s="126">
        <f t="shared" si="620"/>
        <v>0</v>
      </c>
      <c r="U661" s="126">
        <f t="shared" si="620"/>
        <v>0</v>
      </c>
      <c r="V661" s="126">
        <f t="shared" si="620"/>
        <v>0</v>
      </c>
      <c r="W661" s="126">
        <f t="shared" si="620"/>
        <v>0</v>
      </c>
      <c r="X661" s="126">
        <f t="shared" si="620"/>
        <v>0</v>
      </c>
      <c r="Y661" s="126">
        <f t="shared" si="620"/>
        <v>0</v>
      </c>
      <c r="Z661" s="126">
        <f t="shared" si="620"/>
        <v>0</v>
      </c>
      <c r="AA661" s="126">
        <f t="shared" si="620"/>
        <v>0</v>
      </c>
      <c r="AB661" s="126">
        <f t="shared" si="620"/>
        <v>0</v>
      </c>
      <c r="AC661" s="126">
        <f t="shared" si="620"/>
        <v>0</v>
      </c>
      <c r="AD661" s="126">
        <f t="shared" si="620"/>
        <v>0</v>
      </c>
      <c r="AE661" s="126">
        <f t="shared" si="620"/>
        <v>0</v>
      </c>
      <c r="AF661" s="126">
        <f t="shared" si="620"/>
        <v>0</v>
      </c>
      <c r="AG661" s="126">
        <f t="shared" si="620"/>
        <v>0</v>
      </c>
      <c r="AH661" s="126">
        <f t="shared" si="620"/>
        <v>0</v>
      </c>
      <c r="AI661" s="126">
        <f t="shared" si="613"/>
        <v>0</v>
      </c>
      <c r="AJ661" s="126">
        <f t="shared" si="615"/>
        <v>0</v>
      </c>
      <c r="AK661" s="126">
        <f t="shared" si="615"/>
        <v>0</v>
      </c>
      <c r="AL661" s="126">
        <f t="shared" si="616"/>
        <v>0</v>
      </c>
      <c r="AM661" s="126">
        <f t="shared" si="616"/>
        <v>0</v>
      </c>
      <c r="AN661" s="126"/>
      <c r="AO661" s="130">
        <f t="shared" si="618"/>
        <v>0</v>
      </c>
      <c r="AP661" s="116"/>
    </row>
    <row r="662" spans="1:42" s="157" customFormat="1" ht="14" hidden="1" outlineLevel="1">
      <c r="A662" s="136"/>
      <c r="B662" s="137" t="s">
        <v>565</v>
      </c>
      <c r="C662" s="126">
        <f t="shared" si="609"/>
        <v>0</v>
      </c>
      <c r="D662" s="126">
        <v>0</v>
      </c>
      <c r="E662" s="126">
        <v>0</v>
      </c>
      <c r="F662" s="126">
        <v>0</v>
      </c>
      <c r="G662" s="126">
        <v>0</v>
      </c>
      <c r="H662" s="126">
        <f>I662+L662</f>
        <v>0</v>
      </c>
      <c r="I662" s="126">
        <f>J662+K662</f>
        <v>0</v>
      </c>
      <c r="J662" s="126"/>
      <c r="K662" s="126"/>
      <c r="L662" s="126">
        <f>M662+N662</f>
        <v>0</v>
      </c>
      <c r="M662" s="126"/>
      <c r="N662" s="126"/>
      <c r="O662" s="126">
        <f>P662+S662</f>
        <v>0</v>
      </c>
      <c r="P662" s="126">
        <f>Q662+R662</f>
        <v>0</v>
      </c>
      <c r="Q662" s="126"/>
      <c r="R662" s="126"/>
      <c r="S662" s="126">
        <f>T662+U662</f>
        <v>0</v>
      </c>
      <c r="T662" s="126"/>
      <c r="U662" s="126"/>
      <c r="V662" s="126">
        <f>W662+Z662+AC662+AF662</f>
        <v>0</v>
      </c>
      <c r="W662" s="126">
        <f>X662+Y662</f>
        <v>0</v>
      </c>
      <c r="X662" s="126"/>
      <c r="Y662" s="126"/>
      <c r="Z662" s="126">
        <f>AA662+AB662</f>
        <v>0</v>
      </c>
      <c r="AA662" s="126"/>
      <c r="AB662" s="126"/>
      <c r="AC662" s="126">
        <f>AD662+AE662</f>
        <v>0</v>
      </c>
      <c r="AD662" s="126"/>
      <c r="AE662" s="126"/>
      <c r="AF662" s="126">
        <f>AG662+AH662</f>
        <v>0</v>
      </c>
      <c r="AG662" s="126"/>
      <c r="AH662" s="126"/>
      <c r="AI662" s="126">
        <f t="shared" si="613"/>
        <v>0</v>
      </c>
      <c r="AJ662" s="126">
        <f t="shared" si="615"/>
        <v>0</v>
      </c>
      <c r="AK662" s="126">
        <f t="shared" si="615"/>
        <v>0</v>
      </c>
      <c r="AL662" s="126">
        <f t="shared" si="616"/>
        <v>0</v>
      </c>
      <c r="AM662" s="126">
        <f t="shared" si="616"/>
        <v>0</v>
      </c>
      <c r="AN662" s="126"/>
      <c r="AO662" s="130">
        <f t="shared" si="618"/>
        <v>0</v>
      </c>
      <c r="AP662" s="116"/>
    </row>
    <row r="663" spans="1:42" s="157" customFormat="1" ht="14" collapsed="1">
      <c r="A663" s="185">
        <v>8</v>
      </c>
      <c r="B663" s="173" t="s">
        <v>820</v>
      </c>
      <c r="C663" s="155">
        <f>SUM(C664:C664)</f>
        <v>0</v>
      </c>
      <c r="D663" s="155">
        <f>SUM(D664:D664)</f>
        <v>0</v>
      </c>
      <c r="E663" s="155">
        <f>SUM(E664:E664)</f>
        <v>0</v>
      </c>
      <c r="F663" s="155">
        <f>SUM(F664:F664)</f>
        <v>0</v>
      </c>
      <c r="G663" s="155">
        <f>SUM(G664:G664)</f>
        <v>0</v>
      </c>
      <c r="H663" s="155">
        <f t="shared" ref="H663:AH663" si="621">SUM(H664:H664)</f>
        <v>0</v>
      </c>
      <c r="I663" s="155">
        <f t="shared" si="621"/>
        <v>0</v>
      </c>
      <c r="J663" s="155">
        <f t="shared" si="621"/>
        <v>0</v>
      </c>
      <c r="K663" s="155">
        <f t="shared" si="621"/>
        <v>0</v>
      </c>
      <c r="L663" s="155">
        <f t="shared" si="621"/>
        <v>0</v>
      </c>
      <c r="M663" s="155">
        <f t="shared" si="621"/>
        <v>0</v>
      </c>
      <c r="N663" s="155">
        <f t="shared" si="621"/>
        <v>0</v>
      </c>
      <c r="O663" s="155">
        <f t="shared" si="621"/>
        <v>0</v>
      </c>
      <c r="P663" s="155">
        <f t="shared" si="621"/>
        <v>0</v>
      </c>
      <c r="Q663" s="155">
        <f t="shared" si="621"/>
        <v>0</v>
      </c>
      <c r="R663" s="155">
        <f t="shared" si="621"/>
        <v>0</v>
      </c>
      <c r="S663" s="155">
        <f t="shared" si="621"/>
        <v>0</v>
      </c>
      <c r="T663" s="155">
        <f t="shared" si="621"/>
        <v>0</v>
      </c>
      <c r="U663" s="155">
        <f t="shared" si="621"/>
        <v>0</v>
      </c>
      <c r="V663" s="155">
        <f t="shared" si="621"/>
        <v>0</v>
      </c>
      <c r="W663" s="155">
        <f t="shared" si="621"/>
        <v>0</v>
      </c>
      <c r="X663" s="155">
        <f t="shared" si="621"/>
        <v>0</v>
      </c>
      <c r="Y663" s="155">
        <f t="shared" si="621"/>
        <v>0</v>
      </c>
      <c r="Z663" s="155">
        <f t="shared" si="621"/>
        <v>0</v>
      </c>
      <c r="AA663" s="155">
        <f t="shared" si="621"/>
        <v>0</v>
      </c>
      <c r="AB663" s="155">
        <f t="shared" si="621"/>
        <v>0</v>
      </c>
      <c r="AC663" s="155">
        <f t="shared" si="621"/>
        <v>0</v>
      </c>
      <c r="AD663" s="155">
        <f t="shared" si="621"/>
        <v>0</v>
      </c>
      <c r="AE663" s="155">
        <f t="shared" si="621"/>
        <v>0</v>
      </c>
      <c r="AF663" s="155">
        <f t="shared" si="621"/>
        <v>0</v>
      </c>
      <c r="AG663" s="155">
        <f t="shared" si="621"/>
        <v>0</v>
      </c>
      <c r="AH663" s="155">
        <f t="shared" si="621"/>
        <v>0</v>
      </c>
      <c r="AI663" s="155">
        <f t="shared" si="613"/>
        <v>0</v>
      </c>
      <c r="AJ663" s="155">
        <f t="shared" si="615"/>
        <v>0</v>
      </c>
      <c r="AK663" s="155">
        <f t="shared" si="615"/>
        <v>0</v>
      </c>
      <c r="AL663" s="155">
        <f t="shared" si="616"/>
        <v>0</v>
      </c>
      <c r="AM663" s="155">
        <f t="shared" si="616"/>
        <v>0</v>
      </c>
      <c r="AN663" s="126"/>
      <c r="AO663" s="130">
        <f t="shared" si="618"/>
        <v>0</v>
      </c>
      <c r="AP663" s="116"/>
    </row>
    <row r="664" spans="1:42" s="157" customFormat="1" ht="14" hidden="1" outlineLevel="1">
      <c r="A664" s="136"/>
      <c r="B664" s="137" t="s">
        <v>337</v>
      </c>
      <c r="C664" s="126">
        <f t="shared" si="609"/>
        <v>0</v>
      </c>
      <c r="D664" s="126">
        <v>0</v>
      </c>
      <c r="E664" s="126">
        <v>0</v>
      </c>
      <c r="F664" s="126">
        <v>0</v>
      </c>
      <c r="G664" s="126">
        <v>0</v>
      </c>
      <c r="H664" s="126">
        <f>I664+L664</f>
        <v>0</v>
      </c>
      <c r="I664" s="126">
        <f>J664+K664</f>
        <v>0</v>
      </c>
      <c r="J664" s="126"/>
      <c r="K664" s="126">
        <v>0</v>
      </c>
      <c r="L664" s="126">
        <f>M664+N664</f>
        <v>0</v>
      </c>
      <c r="M664" s="126"/>
      <c r="N664" s="126"/>
      <c r="O664" s="126">
        <f>P664+S664</f>
        <v>0</v>
      </c>
      <c r="P664" s="126">
        <f>Q664+R664</f>
        <v>0</v>
      </c>
      <c r="Q664" s="126"/>
      <c r="R664" s="126"/>
      <c r="S664" s="126">
        <f>T664+U664</f>
        <v>0</v>
      </c>
      <c r="T664" s="126"/>
      <c r="U664" s="126"/>
      <c r="V664" s="126">
        <f>W664+Z664+AC664+AF664</f>
        <v>0</v>
      </c>
      <c r="W664" s="126">
        <f>X664+Y664</f>
        <v>0</v>
      </c>
      <c r="X664" s="126"/>
      <c r="Y664" s="126"/>
      <c r="Z664" s="126">
        <f>AA664+AB664</f>
        <v>0</v>
      </c>
      <c r="AA664" s="126"/>
      <c r="AB664" s="126"/>
      <c r="AC664" s="126">
        <f>AD664+AE664</f>
        <v>0</v>
      </c>
      <c r="AD664" s="126"/>
      <c r="AE664" s="126"/>
      <c r="AF664" s="126">
        <f>AG664+AH664</f>
        <v>0</v>
      </c>
      <c r="AG664" s="126"/>
      <c r="AH664" s="126"/>
      <c r="AI664" s="126">
        <f t="shared" si="613"/>
        <v>0</v>
      </c>
      <c r="AJ664" s="126">
        <f t="shared" si="615"/>
        <v>0</v>
      </c>
      <c r="AK664" s="126">
        <f t="shared" si="615"/>
        <v>0</v>
      </c>
      <c r="AL664" s="126">
        <f t="shared" si="616"/>
        <v>0</v>
      </c>
      <c r="AM664" s="126">
        <f t="shared" si="616"/>
        <v>0</v>
      </c>
      <c r="AN664" s="126"/>
      <c r="AO664" s="130">
        <f t="shared" si="618"/>
        <v>0</v>
      </c>
      <c r="AP664" s="116"/>
    </row>
    <row r="665" spans="1:42" s="117" customFormat="1" ht="14" collapsed="1">
      <c r="A665" s="185">
        <v>9</v>
      </c>
      <c r="B665" s="173" t="s">
        <v>821</v>
      </c>
      <c r="C665" s="155">
        <f t="shared" ref="C665:AH665" si="622">SUM(C666:C668)</f>
        <v>0</v>
      </c>
      <c r="D665" s="155">
        <f t="shared" si="622"/>
        <v>0</v>
      </c>
      <c r="E665" s="155">
        <f t="shared" si="622"/>
        <v>0</v>
      </c>
      <c r="F665" s="155">
        <f t="shared" si="622"/>
        <v>0</v>
      </c>
      <c r="G665" s="155">
        <f t="shared" si="622"/>
        <v>0</v>
      </c>
      <c r="H665" s="155">
        <f t="shared" si="622"/>
        <v>0</v>
      </c>
      <c r="I665" s="155">
        <f t="shared" si="622"/>
        <v>0</v>
      </c>
      <c r="J665" s="155">
        <f t="shared" si="622"/>
        <v>0</v>
      </c>
      <c r="K665" s="155">
        <f t="shared" si="622"/>
        <v>0</v>
      </c>
      <c r="L665" s="155">
        <f t="shared" si="622"/>
        <v>0</v>
      </c>
      <c r="M665" s="155">
        <f t="shared" si="622"/>
        <v>0</v>
      </c>
      <c r="N665" s="155">
        <f t="shared" si="622"/>
        <v>0</v>
      </c>
      <c r="O665" s="155">
        <f t="shared" si="622"/>
        <v>0</v>
      </c>
      <c r="P665" s="155">
        <f t="shared" si="622"/>
        <v>0</v>
      </c>
      <c r="Q665" s="155">
        <f t="shared" si="622"/>
        <v>0</v>
      </c>
      <c r="R665" s="155">
        <f t="shared" si="622"/>
        <v>0</v>
      </c>
      <c r="S665" s="155">
        <f t="shared" si="622"/>
        <v>0</v>
      </c>
      <c r="T665" s="155">
        <f t="shared" si="622"/>
        <v>0</v>
      </c>
      <c r="U665" s="155">
        <f t="shared" si="622"/>
        <v>0</v>
      </c>
      <c r="V665" s="155">
        <f t="shared" si="622"/>
        <v>0</v>
      </c>
      <c r="W665" s="155">
        <f t="shared" si="622"/>
        <v>0</v>
      </c>
      <c r="X665" s="155">
        <f t="shared" si="622"/>
        <v>0</v>
      </c>
      <c r="Y665" s="155">
        <f t="shared" si="622"/>
        <v>0</v>
      </c>
      <c r="Z665" s="155">
        <f t="shared" si="622"/>
        <v>0</v>
      </c>
      <c r="AA665" s="155">
        <f t="shared" si="622"/>
        <v>0</v>
      </c>
      <c r="AB665" s="155">
        <f t="shared" si="622"/>
        <v>0</v>
      </c>
      <c r="AC665" s="155">
        <f t="shared" si="622"/>
        <v>0</v>
      </c>
      <c r="AD665" s="155">
        <f t="shared" si="622"/>
        <v>0</v>
      </c>
      <c r="AE665" s="155">
        <f t="shared" si="622"/>
        <v>0</v>
      </c>
      <c r="AF665" s="155">
        <f t="shared" si="622"/>
        <v>0</v>
      </c>
      <c r="AG665" s="155">
        <f t="shared" si="622"/>
        <v>0</v>
      </c>
      <c r="AH665" s="155">
        <f t="shared" si="622"/>
        <v>0</v>
      </c>
      <c r="AI665" s="155">
        <f t="shared" si="613"/>
        <v>0</v>
      </c>
      <c r="AJ665" s="155">
        <f t="shared" si="615"/>
        <v>0</v>
      </c>
      <c r="AK665" s="155">
        <f t="shared" si="615"/>
        <v>0</v>
      </c>
      <c r="AL665" s="155">
        <f t="shared" si="616"/>
        <v>0</v>
      </c>
      <c r="AM665" s="155">
        <f t="shared" si="616"/>
        <v>0</v>
      </c>
      <c r="AN665" s="126"/>
      <c r="AO665" s="130">
        <f t="shared" si="618"/>
        <v>0</v>
      </c>
      <c r="AP665" s="116"/>
    </row>
    <row r="666" spans="1:42" s="157" customFormat="1" ht="14" hidden="1" outlineLevel="1">
      <c r="A666" s="136"/>
      <c r="B666" s="137" t="s">
        <v>822</v>
      </c>
      <c r="C666" s="126">
        <f t="shared" si="609"/>
        <v>0</v>
      </c>
      <c r="D666" s="126">
        <v>0</v>
      </c>
      <c r="E666" s="126">
        <v>0</v>
      </c>
      <c r="F666" s="126">
        <v>0</v>
      </c>
      <c r="G666" s="126"/>
      <c r="H666" s="126">
        <f>I666+L666</f>
        <v>0</v>
      </c>
      <c r="I666" s="126">
        <f>J666+K666</f>
        <v>0</v>
      </c>
      <c r="J666" s="126"/>
      <c r="K666" s="126">
        <v>0</v>
      </c>
      <c r="L666" s="126">
        <f>M666+N666</f>
        <v>0</v>
      </c>
      <c r="M666" s="126"/>
      <c r="N666" s="126"/>
      <c r="O666" s="126">
        <f>P666+S666</f>
        <v>0</v>
      </c>
      <c r="P666" s="126">
        <f>Q666+R666</f>
        <v>0</v>
      </c>
      <c r="Q666" s="126"/>
      <c r="R666" s="126"/>
      <c r="S666" s="126">
        <f>T666+U666</f>
        <v>0</v>
      </c>
      <c r="T666" s="126"/>
      <c r="U666" s="126"/>
      <c r="V666" s="126">
        <f>W666+Z666+AC666+AF666</f>
        <v>0</v>
      </c>
      <c r="W666" s="126">
        <f>X666+Y666</f>
        <v>0</v>
      </c>
      <c r="X666" s="126"/>
      <c r="Y666" s="126"/>
      <c r="Z666" s="126">
        <f>AA666+AB666</f>
        <v>0</v>
      </c>
      <c r="AA666" s="126"/>
      <c r="AB666" s="126"/>
      <c r="AC666" s="126">
        <f>AD666+AE666</f>
        <v>0</v>
      </c>
      <c r="AD666" s="126"/>
      <c r="AE666" s="126"/>
      <c r="AF666" s="126">
        <f>AG666+AH666</f>
        <v>0</v>
      </c>
      <c r="AG666" s="126"/>
      <c r="AH666" s="126"/>
      <c r="AI666" s="126">
        <f t="shared" si="613"/>
        <v>0</v>
      </c>
      <c r="AJ666" s="126">
        <f t="shared" si="615"/>
        <v>0</v>
      </c>
      <c r="AK666" s="126">
        <f t="shared" si="615"/>
        <v>0</v>
      </c>
      <c r="AL666" s="126">
        <f t="shared" si="616"/>
        <v>0</v>
      </c>
      <c r="AM666" s="126">
        <f t="shared" si="616"/>
        <v>0</v>
      </c>
      <c r="AN666" s="126"/>
      <c r="AO666" s="130">
        <f t="shared" si="618"/>
        <v>0</v>
      </c>
      <c r="AP666" s="116"/>
    </row>
    <row r="667" spans="1:42" s="157" customFormat="1" ht="14" hidden="1" outlineLevel="1">
      <c r="A667" s="136"/>
      <c r="B667" s="137" t="s">
        <v>563</v>
      </c>
      <c r="C667" s="126">
        <f t="shared" si="609"/>
        <v>0</v>
      </c>
      <c r="D667" s="126">
        <v>0</v>
      </c>
      <c r="E667" s="126">
        <v>0</v>
      </c>
      <c r="F667" s="126">
        <v>0</v>
      </c>
      <c r="G667" s="156">
        <v>0</v>
      </c>
      <c r="H667" s="126">
        <f>I667+L667</f>
        <v>0</v>
      </c>
      <c r="I667" s="126">
        <f>J667+K667</f>
        <v>0</v>
      </c>
      <c r="J667" s="126"/>
      <c r="K667" s="126">
        <v>0</v>
      </c>
      <c r="L667" s="126">
        <f>M667+N667</f>
        <v>0</v>
      </c>
      <c r="M667" s="126"/>
      <c r="N667" s="126"/>
      <c r="O667" s="126">
        <f>P667+S667</f>
        <v>0</v>
      </c>
      <c r="P667" s="126">
        <f>Q667+R667</f>
        <v>0</v>
      </c>
      <c r="Q667" s="126"/>
      <c r="R667" s="126"/>
      <c r="S667" s="126">
        <f>T667+U667</f>
        <v>0</v>
      </c>
      <c r="T667" s="126"/>
      <c r="U667" s="126"/>
      <c r="V667" s="126">
        <f>W667+Z667+AC667+AF667</f>
        <v>0</v>
      </c>
      <c r="W667" s="126">
        <f>X667+Y667</f>
        <v>0</v>
      </c>
      <c r="X667" s="126"/>
      <c r="Y667" s="126"/>
      <c r="Z667" s="126">
        <f>AA667+AB667</f>
        <v>0</v>
      </c>
      <c r="AA667" s="126"/>
      <c r="AB667" s="126"/>
      <c r="AC667" s="126">
        <f>AD667+AE667</f>
        <v>0</v>
      </c>
      <c r="AD667" s="126"/>
      <c r="AE667" s="126"/>
      <c r="AF667" s="126">
        <f>AG667+AH667</f>
        <v>0</v>
      </c>
      <c r="AG667" s="126"/>
      <c r="AH667" s="126"/>
      <c r="AI667" s="126">
        <f t="shared" si="613"/>
        <v>0</v>
      </c>
      <c r="AJ667" s="126">
        <f t="shared" si="615"/>
        <v>0</v>
      </c>
      <c r="AK667" s="126">
        <f t="shared" si="615"/>
        <v>0</v>
      </c>
      <c r="AL667" s="126">
        <f t="shared" si="616"/>
        <v>0</v>
      </c>
      <c r="AM667" s="126">
        <f t="shared" si="616"/>
        <v>0</v>
      </c>
      <c r="AN667" s="126"/>
      <c r="AO667" s="130">
        <f t="shared" si="618"/>
        <v>0</v>
      </c>
      <c r="AP667" s="116"/>
    </row>
    <row r="668" spans="1:42" s="157" customFormat="1" ht="14" hidden="1" outlineLevel="1">
      <c r="A668" s="136"/>
      <c r="B668" s="137" t="s">
        <v>568</v>
      </c>
      <c r="C668" s="126">
        <f t="shared" si="609"/>
        <v>0</v>
      </c>
      <c r="D668" s="126">
        <v>0</v>
      </c>
      <c r="E668" s="126">
        <v>0</v>
      </c>
      <c r="F668" s="126">
        <v>0</v>
      </c>
      <c r="G668" s="126">
        <v>0</v>
      </c>
      <c r="H668" s="126">
        <f>I668+L668</f>
        <v>0</v>
      </c>
      <c r="I668" s="126">
        <f>J668+K668</f>
        <v>0</v>
      </c>
      <c r="J668" s="126"/>
      <c r="K668" s="126">
        <v>0</v>
      </c>
      <c r="L668" s="126">
        <f>M668+N668</f>
        <v>0</v>
      </c>
      <c r="M668" s="126"/>
      <c r="N668" s="126"/>
      <c r="O668" s="126">
        <f>P668+S668</f>
        <v>0</v>
      </c>
      <c r="P668" s="126">
        <f>Q668+R668</f>
        <v>0</v>
      </c>
      <c r="Q668" s="126"/>
      <c r="R668" s="126"/>
      <c r="S668" s="126">
        <f>T668+U668</f>
        <v>0</v>
      </c>
      <c r="T668" s="126"/>
      <c r="U668" s="126"/>
      <c r="V668" s="126">
        <f>W668+Z668+AC668+AF668</f>
        <v>0</v>
      </c>
      <c r="W668" s="126">
        <f>X668+Y668</f>
        <v>0</v>
      </c>
      <c r="X668" s="126"/>
      <c r="Y668" s="126"/>
      <c r="Z668" s="126">
        <f>AA668+AB668</f>
        <v>0</v>
      </c>
      <c r="AA668" s="126"/>
      <c r="AB668" s="126"/>
      <c r="AC668" s="126">
        <f>AD668+AE668</f>
        <v>0</v>
      </c>
      <c r="AD668" s="126"/>
      <c r="AE668" s="126"/>
      <c r="AF668" s="126">
        <f>AG668+AH668</f>
        <v>0</v>
      </c>
      <c r="AG668" s="126"/>
      <c r="AH668" s="126"/>
      <c r="AI668" s="126">
        <f t="shared" si="613"/>
        <v>0</v>
      </c>
      <c r="AJ668" s="126">
        <f t="shared" ref="AJ668:AK670" si="623">D668+J668-Q668-X668-AD668</f>
        <v>0</v>
      </c>
      <c r="AK668" s="126">
        <f t="shared" si="623"/>
        <v>0</v>
      </c>
      <c r="AL668" s="126">
        <f t="shared" ref="AL668:AM670" si="624">F668+M668-T668-AA668-AG668</f>
        <v>0</v>
      </c>
      <c r="AM668" s="126">
        <f t="shared" si="624"/>
        <v>0</v>
      </c>
      <c r="AN668" s="126"/>
      <c r="AO668" s="130">
        <f t="shared" si="618"/>
        <v>0</v>
      </c>
      <c r="AP668" s="116"/>
    </row>
    <row r="669" spans="1:42" s="157" customFormat="1" ht="28" collapsed="1">
      <c r="A669" s="151">
        <v>10</v>
      </c>
      <c r="B669" s="178" t="s">
        <v>823</v>
      </c>
      <c r="C669" s="179">
        <f>SUM(C670:C670)</f>
        <v>0</v>
      </c>
      <c r="D669" s="179">
        <f>SUM(D670:D670)</f>
        <v>0</v>
      </c>
      <c r="E669" s="179">
        <f>SUM(E670:E670)</f>
        <v>0</v>
      </c>
      <c r="F669" s="179">
        <f>SUM(F670:F670)</f>
        <v>0</v>
      </c>
      <c r="G669" s="179">
        <f>SUM(G670:G670)</f>
        <v>0</v>
      </c>
      <c r="H669" s="179">
        <f t="shared" ref="H669:AH669" si="625">SUM(H670:H670)</f>
        <v>0</v>
      </c>
      <c r="I669" s="179">
        <f t="shared" si="625"/>
        <v>0</v>
      </c>
      <c r="J669" s="179">
        <f t="shared" si="625"/>
        <v>0</v>
      </c>
      <c r="K669" s="179">
        <f t="shared" si="625"/>
        <v>0</v>
      </c>
      <c r="L669" s="179">
        <f t="shared" si="625"/>
        <v>0</v>
      </c>
      <c r="M669" s="179">
        <f t="shared" si="625"/>
        <v>0</v>
      </c>
      <c r="N669" s="179">
        <f t="shared" si="625"/>
        <v>0</v>
      </c>
      <c r="O669" s="179">
        <f t="shared" si="625"/>
        <v>0</v>
      </c>
      <c r="P669" s="179">
        <f t="shared" si="625"/>
        <v>0</v>
      </c>
      <c r="Q669" s="179">
        <f t="shared" si="625"/>
        <v>0</v>
      </c>
      <c r="R669" s="179">
        <f t="shared" si="625"/>
        <v>0</v>
      </c>
      <c r="S669" s="179">
        <f t="shared" si="625"/>
        <v>0</v>
      </c>
      <c r="T669" s="179">
        <f t="shared" si="625"/>
        <v>0</v>
      </c>
      <c r="U669" s="179">
        <f t="shared" si="625"/>
        <v>0</v>
      </c>
      <c r="V669" s="179">
        <f t="shared" si="625"/>
        <v>0</v>
      </c>
      <c r="W669" s="179">
        <f t="shared" si="625"/>
        <v>0</v>
      </c>
      <c r="X669" s="179">
        <f t="shared" si="625"/>
        <v>0</v>
      </c>
      <c r="Y669" s="179">
        <f t="shared" si="625"/>
        <v>0</v>
      </c>
      <c r="Z669" s="179">
        <f t="shared" si="625"/>
        <v>0</v>
      </c>
      <c r="AA669" s="179">
        <f t="shared" si="625"/>
        <v>0</v>
      </c>
      <c r="AB669" s="179">
        <f t="shared" si="625"/>
        <v>0</v>
      </c>
      <c r="AC669" s="179">
        <f t="shared" si="625"/>
        <v>0</v>
      </c>
      <c r="AD669" s="179">
        <f t="shared" si="625"/>
        <v>0</v>
      </c>
      <c r="AE669" s="179">
        <f t="shared" si="625"/>
        <v>0</v>
      </c>
      <c r="AF669" s="179">
        <f t="shared" si="625"/>
        <v>0</v>
      </c>
      <c r="AG669" s="179">
        <f t="shared" si="625"/>
        <v>0</v>
      </c>
      <c r="AH669" s="179">
        <f t="shared" si="625"/>
        <v>0</v>
      </c>
      <c r="AI669" s="179">
        <f t="shared" si="613"/>
        <v>0</v>
      </c>
      <c r="AJ669" s="179">
        <f t="shared" si="623"/>
        <v>0</v>
      </c>
      <c r="AK669" s="179">
        <f t="shared" si="623"/>
        <v>0</v>
      </c>
      <c r="AL669" s="179">
        <f t="shared" si="624"/>
        <v>0</v>
      </c>
      <c r="AM669" s="179">
        <f t="shared" si="624"/>
        <v>0</v>
      </c>
      <c r="AN669" s="126"/>
      <c r="AO669" s="130">
        <f t="shared" si="618"/>
        <v>0</v>
      </c>
      <c r="AP669" s="116"/>
    </row>
    <row r="670" spans="1:42" s="157" customFormat="1" ht="14" hidden="1" outlineLevel="1">
      <c r="A670" s="139"/>
      <c r="B670" s="182" t="s">
        <v>824</v>
      </c>
      <c r="C670" s="126">
        <f t="shared" si="609"/>
        <v>0</v>
      </c>
      <c r="D670" s="180">
        <v>0</v>
      </c>
      <c r="E670" s="180">
        <v>0</v>
      </c>
      <c r="F670" s="180">
        <v>0</v>
      </c>
      <c r="G670" s="180">
        <v>0</v>
      </c>
      <c r="H670" s="180">
        <f>I670+L670</f>
        <v>0</v>
      </c>
      <c r="I670" s="180">
        <f>J670+K670</f>
        <v>0</v>
      </c>
      <c r="J670" s="180"/>
      <c r="K670" s="180"/>
      <c r="L670" s="180">
        <f>M670+N670</f>
        <v>0</v>
      </c>
      <c r="M670" s="180"/>
      <c r="N670" s="180"/>
      <c r="O670" s="180">
        <f>P670+S670</f>
        <v>0</v>
      </c>
      <c r="P670" s="180"/>
      <c r="Q670" s="180"/>
      <c r="R670" s="180"/>
      <c r="S670" s="180">
        <f>T670+U670</f>
        <v>0</v>
      </c>
      <c r="T670" s="180"/>
      <c r="U670" s="180"/>
      <c r="V670" s="180">
        <f>W670+Z670+AC670+AF670</f>
        <v>0</v>
      </c>
      <c r="W670" s="180">
        <f>X670+Y670</f>
        <v>0</v>
      </c>
      <c r="X670" s="180"/>
      <c r="Y670" s="180"/>
      <c r="Z670" s="180">
        <f>AA670+AB670</f>
        <v>0</v>
      </c>
      <c r="AA670" s="180"/>
      <c r="AB670" s="180"/>
      <c r="AC670" s="126">
        <f>AD670+AE670</f>
        <v>0</v>
      </c>
      <c r="AD670" s="126"/>
      <c r="AE670" s="126"/>
      <c r="AF670" s="126">
        <f>AG670+AH670</f>
        <v>0</v>
      </c>
      <c r="AG670" s="180"/>
      <c r="AH670" s="180"/>
      <c r="AI670" s="126">
        <f t="shared" si="613"/>
        <v>0</v>
      </c>
      <c r="AJ670" s="126">
        <f t="shared" si="623"/>
        <v>0</v>
      </c>
      <c r="AK670" s="126">
        <f t="shared" si="623"/>
        <v>0</v>
      </c>
      <c r="AL670" s="126">
        <f t="shared" si="624"/>
        <v>0</v>
      </c>
      <c r="AM670" s="126">
        <f t="shared" si="624"/>
        <v>0</v>
      </c>
      <c r="AN670" s="126"/>
      <c r="AO670" s="130">
        <f t="shared" si="618"/>
        <v>0</v>
      </c>
      <c r="AP670" s="116"/>
    </row>
    <row r="671" spans="1:42" s="117" customFormat="1" ht="28" collapsed="1">
      <c r="A671" s="166">
        <v>5</v>
      </c>
      <c r="B671" s="137" t="s">
        <v>825</v>
      </c>
      <c r="C671" s="126">
        <f>SUM(C672:C672)</f>
        <v>0</v>
      </c>
      <c r="D671" s="126">
        <f>SUM(D672:D672)</f>
        <v>0</v>
      </c>
      <c r="E671" s="126">
        <f>SUM(E672:E672)</f>
        <v>0</v>
      </c>
      <c r="F671" s="126">
        <f>SUM(F672:F672)</f>
        <v>0</v>
      </c>
      <c r="G671" s="126">
        <f>SUM(G672:G672)</f>
        <v>0</v>
      </c>
      <c r="H671" s="126">
        <f t="shared" ref="H671:AM671" si="626">SUM(H672:H672)</f>
        <v>6888</v>
      </c>
      <c r="I671" s="126">
        <f t="shared" si="626"/>
        <v>6888</v>
      </c>
      <c r="J671" s="126">
        <f t="shared" si="626"/>
        <v>0</v>
      </c>
      <c r="K671" s="126">
        <f t="shared" si="626"/>
        <v>6888</v>
      </c>
      <c r="L671" s="126">
        <f t="shared" si="626"/>
        <v>0</v>
      </c>
      <c r="M671" s="126">
        <f t="shared" si="626"/>
        <v>0</v>
      </c>
      <c r="N671" s="126">
        <f t="shared" si="626"/>
        <v>0</v>
      </c>
      <c r="O671" s="126">
        <f t="shared" si="626"/>
        <v>0</v>
      </c>
      <c r="P671" s="126">
        <f t="shared" si="626"/>
        <v>0</v>
      </c>
      <c r="Q671" s="126">
        <f t="shared" si="626"/>
        <v>0</v>
      </c>
      <c r="R671" s="126">
        <f t="shared" si="626"/>
        <v>0</v>
      </c>
      <c r="S671" s="126">
        <f t="shared" si="626"/>
        <v>0</v>
      </c>
      <c r="T671" s="126">
        <f t="shared" si="626"/>
        <v>0</v>
      </c>
      <c r="U671" s="126">
        <f t="shared" si="626"/>
        <v>0</v>
      </c>
      <c r="V671" s="126">
        <f t="shared" si="626"/>
        <v>0</v>
      </c>
      <c r="W671" s="126">
        <f t="shared" si="626"/>
        <v>0</v>
      </c>
      <c r="X671" s="126">
        <f t="shared" si="626"/>
        <v>0</v>
      </c>
      <c r="Y671" s="126">
        <f t="shared" si="626"/>
        <v>0</v>
      </c>
      <c r="Z671" s="126">
        <f t="shared" si="626"/>
        <v>0</v>
      </c>
      <c r="AA671" s="126">
        <f t="shared" si="626"/>
        <v>0</v>
      </c>
      <c r="AB671" s="126">
        <f t="shared" si="626"/>
        <v>0</v>
      </c>
      <c r="AC671" s="126">
        <f t="shared" si="626"/>
        <v>0</v>
      </c>
      <c r="AD671" s="126">
        <f t="shared" si="626"/>
        <v>0</v>
      </c>
      <c r="AE671" s="126">
        <f t="shared" si="626"/>
        <v>0</v>
      </c>
      <c r="AF671" s="126">
        <f t="shared" si="626"/>
        <v>0</v>
      </c>
      <c r="AG671" s="126">
        <f t="shared" si="626"/>
        <v>0</v>
      </c>
      <c r="AH671" s="126">
        <f t="shared" si="626"/>
        <v>0</v>
      </c>
      <c r="AI671" s="126">
        <f t="shared" si="613"/>
        <v>6888</v>
      </c>
      <c r="AJ671" s="126">
        <f t="shared" si="626"/>
        <v>0</v>
      </c>
      <c r="AK671" s="126">
        <f t="shared" si="626"/>
        <v>6888</v>
      </c>
      <c r="AL671" s="126">
        <f t="shared" si="626"/>
        <v>0</v>
      </c>
      <c r="AM671" s="126">
        <f t="shared" si="626"/>
        <v>0</v>
      </c>
      <c r="AN671" s="126"/>
      <c r="AO671" s="130">
        <f t="shared" si="618"/>
        <v>0</v>
      </c>
      <c r="AP671" s="116"/>
    </row>
    <row r="672" spans="1:42" s="117" customFormat="1" ht="14" hidden="1" outlineLevel="1">
      <c r="A672" s="166"/>
      <c r="B672" s="137" t="s">
        <v>699</v>
      </c>
      <c r="C672" s="126">
        <f t="shared" si="609"/>
        <v>0</v>
      </c>
      <c r="D672" s="126">
        <v>0</v>
      </c>
      <c r="E672" s="126">
        <v>0</v>
      </c>
      <c r="F672" s="126">
        <v>0</v>
      </c>
      <c r="G672" s="126">
        <v>0</v>
      </c>
      <c r="H672" s="126">
        <f>I672+L672</f>
        <v>6888</v>
      </c>
      <c r="I672" s="126">
        <f>SUM(J672:K672)</f>
        <v>6888</v>
      </c>
      <c r="J672" s="126"/>
      <c r="K672" s="126">
        <v>6888</v>
      </c>
      <c r="L672" s="126">
        <f>SUM(M672:N672)</f>
        <v>0</v>
      </c>
      <c r="M672" s="126"/>
      <c r="N672" s="126"/>
      <c r="O672" s="126">
        <f>P672+S672</f>
        <v>0</v>
      </c>
      <c r="P672" s="126">
        <f>Q672+R672</f>
        <v>0</v>
      </c>
      <c r="Q672" s="126"/>
      <c r="R672" s="126"/>
      <c r="S672" s="126">
        <f>T672+U672</f>
        <v>0</v>
      </c>
      <c r="T672" s="126"/>
      <c r="U672" s="126"/>
      <c r="V672" s="180">
        <f>W672+Z672+AC672+AF672</f>
        <v>0</v>
      </c>
      <c r="W672" s="180">
        <f>X672+Y672</f>
        <v>0</v>
      </c>
      <c r="X672" s="180"/>
      <c r="Y672" s="180"/>
      <c r="Z672" s="180">
        <f>AA672+AB672</f>
        <v>0</v>
      </c>
      <c r="AA672" s="180"/>
      <c r="AB672" s="126"/>
      <c r="AC672" s="126"/>
      <c r="AD672" s="126"/>
      <c r="AE672" s="126"/>
      <c r="AF672" s="126"/>
      <c r="AG672" s="126"/>
      <c r="AH672" s="126"/>
      <c r="AI672" s="126">
        <f t="shared" si="613"/>
        <v>6888</v>
      </c>
      <c r="AJ672" s="126">
        <f>D672+J672-Q672-X672-AD672</f>
        <v>0</v>
      </c>
      <c r="AK672" s="126">
        <f>E672+K672-R672-Y672-AE672</f>
        <v>6888</v>
      </c>
      <c r="AL672" s="126">
        <f>F672+M672-T672-AA672-AG672</f>
        <v>0</v>
      </c>
      <c r="AM672" s="126">
        <f>G672+N672-U672-AB672-AH672</f>
        <v>0</v>
      </c>
      <c r="AN672" s="126"/>
      <c r="AO672" s="130">
        <f t="shared" si="618"/>
        <v>0</v>
      </c>
      <c r="AP672" s="116"/>
    </row>
    <row r="673" spans="1:42" s="117" customFormat="1" ht="14" collapsed="1">
      <c r="A673" s="136">
        <v>6</v>
      </c>
      <c r="B673" s="137" t="s">
        <v>826</v>
      </c>
      <c r="C673" s="126">
        <f t="shared" ref="C673:AH673" si="627">C674</f>
        <v>5179.1899999999996</v>
      </c>
      <c r="D673" s="126">
        <f t="shared" si="627"/>
        <v>0</v>
      </c>
      <c r="E673" s="126">
        <f t="shared" si="627"/>
        <v>0</v>
      </c>
      <c r="F673" s="126">
        <f t="shared" si="627"/>
        <v>0</v>
      </c>
      <c r="G673" s="126">
        <f t="shared" si="627"/>
        <v>5179.1899999999996</v>
      </c>
      <c r="H673" s="126">
        <f t="shared" si="627"/>
        <v>0</v>
      </c>
      <c r="I673" s="126">
        <f t="shared" si="627"/>
        <v>0</v>
      </c>
      <c r="J673" s="126">
        <f t="shared" si="627"/>
        <v>0</v>
      </c>
      <c r="K673" s="126">
        <f t="shared" si="627"/>
        <v>0</v>
      </c>
      <c r="L673" s="126">
        <f t="shared" si="627"/>
        <v>0</v>
      </c>
      <c r="M673" s="126">
        <f t="shared" si="627"/>
        <v>0</v>
      </c>
      <c r="N673" s="126">
        <f t="shared" si="627"/>
        <v>0</v>
      </c>
      <c r="O673" s="126">
        <f t="shared" si="627"/>
        <v>3950</v>
      </c>
      <c r="P673" s="126">
        <f t="shared" si="627"/>
        <v>0</v>
      </c>
      <c r="Q673" s="126">
        <f t="shared" si="627"/>
        <v>0</v>
      </c>
      <c r="R673" s="126">
        <f t="shared" si="627"/>
        <v>0</v>
      </c>
      <c r="S673" s="126">
        <f t="shared" si="627"/>
        <v>3950</v>
      </c>
      <c r="T673" s="126">
        <f t="shared" si="627"/>
        <v>0</v>
      </c>
      <c r="U673" s="126">
        <f t="shared" si="627"/>
        <v>3950</v>
      </c>
      <c r="V673" s="126">
        <f t="shared" si="627"/>
        <v>0</v>
      </c>
      <c r="W673" s="126">
        <f t="shared" si="627"/>
        <v>0</v>
      </c>
      <c r="X673" s="126">
        <f t="shared" si="627"/>
        <v>0</v>
      </c>
      <c r="Y673" s="126">
        <f t="shared" si="627"/>
        <v>0</v>
      </c>
      <c r="Z673" s="126">
        <f t="shared" si="627"/>
        <v>0</v>
      </c>
      <c r="AA673" s="126">
        <f t="shared" si="627"/>
        <v>0</v>
      </c>
      <c r="AB673" s="126">
        <f t="shared" si="627"/>
        <v>0</v>
      </c>
      <c r="AC673" s="126">
        <f t="shared" si="627"/>
        <v>0</v>
      </c>
      <c r="AD673" s="126">
        <f t="shared" si="627"/>
        <v>0</v>
      </c>
      <c r="AE673" s="126">
        <f t="shared" si="627"/>
        <v>0</v>
      </c>
      <c r="AF673" s="126">
        <f t="shared" si="627"/>
        <v>0</v>
      </c>
      <c r="AG673" s="126">
        <f t="shared" si="627"/>
        <v>0</v>
      </c>
      <c r="AH673" s="126">
        <f t="shared" si="627"/>
        <v>0</v>
      </c>
      <c r="AI673" s="126">
        <f t="shared" si="613"/>
        <v>1229.1899999999996</v>
      </c>
      <c r="AJ673" s="126">
        <f t="shared" ref="AJ673:AK680" si="628">D673+J673-Q673-X673-AD673</f>
        <v>0</v>
      </c>
      <c r="AK673" s="126">
        <f t="shared" si="628"/>
        <v>0</v>
      </c>
      <c r="AL673" s="126">
        <f t="shared" ref="AL673:AM680" si="629">F673+M673-T673-AA673-AG673</f>
        <v>0</v>
      </c>
      <c r="AM673" s="126">
        <f t="shared" si="629"/>
        <v>1229.1899999999996</v>
      </c>
      <c r="AN673" s="126"/>
      <c r="AO673" s="130">
        <f t="shared" si="618"/>
        <v>0</v>
      </c>
      <c r="AP673" s="116"/>
    </row>
    <row r="674" spans="1:42" s="117" customFormat="1" ht="14" hidden="1" outlineLevel="1">
      <c r="A674" s="136"/>
      <c r="B674" s="137" t="s">
        <v>561</v>
      </c>
      <c r="C674" s="126">
        <f t="shared" si="609"/>
        <v>5179.1899999999996</v>
      </c>
      <c r="D674" s="126">
        <v>0</v>
      </c>
      <c r="E674" s="126">
        <v>0</v>
      </c>
      <c r="F674" s="126">
        <v>0</v>
      </c>
      <c r="G674" s="126">
        <v>5179.1899999999996</v>
      </c>
      <c r="H674" s="126">
        <f>I674+L674</f>
        <v>0</v>
      </c>
      <c r="I674" s="126">
        <f>J674+K674</f>
        <v>0</v>
      </c>
      <c r="J674" s="126"/>
      <c r="K674" s="126"/>
      <c r="L674" s="126"/>
      <c r="M674" s="126"/>
      <c r="N674" s="126"/>
      <c r="O674" s="126">
        <f>P674+S674</f>
        <v>3950</v>
      </c>
      <c r="P674" s="126">
        <f>Q674+R674</f>
        <v>0</v>
      </c>
      <c r="Q674" s="126"/>
      <c r="R674" s="126"/>
      <c r="S674" s="126">
        <f>T674+U674</f>
        <v>3950</v>
      </c>
      <c r="T674" s="126"/>
      <c r="U674" s="126">
        <f>3950</f>
        <v>3950</v>
      </c>
      <c r="V674" s="126">
        <f>W674+Z674+AC674+AF674</f>
        <v>0</v>
      </c>
      <c r="W674" s="126"/>
      <c r="X674" s="126"/>
      <c r="Y674" s="126"/>
      <c r="Z674" s="126"/>
      <c r="AA674" s="126"/>
      <c r="AB674" s="126"/>
      <c r="AC674" s="126">
        <f t="shared" ref="AC674:AC680" si="630">AD674+AE674</f>
        <v>0</v>
      </c>
      <c r="AD674" s="126"/>
      <c r="AE674" s="126"/>
      <c r="AF674" s="126">
        <f t="shared" ref="AF674:AF680" si="631">AG674+AH674</f>
        <v>0</v>
      </c>
      <c r="AG674" s="126"/>
      <c r="AH674" s="126"/>
      <c r="AI674" s="126">
        <f t="shared" si="613"/>
        <v>1229.1899999999996</v>
      </c>
      <c r="AJ674" s="126">
        <f t="shared" si="628"/>
        <v>0</v>
      </c>
      <c r="AK674" s="126">
        <f t="shared" si="628"/>
        <v>0</v>
      </c>
      <c r="AL674" s="126">
        <f t="shared" si="629"/>
        <v>0</v>
      </c>
      <c r="AM674" s="126">
        <f t="shared" si="629"/>
        <v>1229.1899999999996</v>
      </c>
      <c r="AN674" s="126"/>
      <c r="AO674" s="130">
        <f t="shared" si="618"/>
        <v>0</v>
      </c>
      <c r="AP674" s="116"/>
    </row>
    <row r="675" spans="1:42" s="157" customFormat="1" ht="14" collapsed="1">
      <c r="A675" s="166">
        <v>13</v>
      </c>
      <c r="B675" s="194" t="s">
        <v>827</v>
      </c>
      <c r="C675" s="126">
        <f>C676</f>
        <v>0</v>
      </c>
      <c r="D675" s="126">
        <f>D676</f>
        <v>0</v>
      </c>
      <c r="E675" s="126">
        <f>E676</f>
        <v>0</v>
      </c>
      <c r="F675" s="126">
        <f>F676</f>
        <v>0</v>
      </c>
      <c r="G675" s="126">
        <f>G676</f>
        <v>0</v>
      </c>
      <c r="H675" s="126">
        <f t="shared" ref="H675:AH675" si="632">H676</f>
        <v>0</v>
      </c>
      <c r="I675" s="126">
        <f t="shared" si="632"/>
        <v>0</v>
      </c>
      <c r="J675" s="126">
        <f t="shared" si="632"/>
        <v>0</v>
      </c>
      <c r="K675" s="126">
        <f t="shared" si="632"/>
        <v>0</v>
      </c>
      <c r="L675" s="126">
        <f t="shared" si="632"/>
        <v>0</v>
      </c>
      <c r="M675" s="126">
        <f t="shared" si="632"/>
        <v>0</v>
      </c>
      <c r="N675" s="126">
        <f t="shared" si="632"/>
        <v>0</v>
      </c>
      <c r="O675" s="126">
        <f t="shared" si="632"/>
        <v>0</v>
      </c>
      <c r="P675" s="126">
        <f t="shared" si="632"/>
        <v>0</v>
      </c>
      <c r="Q675" s="126">
        <f t="shared" si="632"/>
        <v>0</v>
      </c>
      <c r="R675" s="126">
        <f t="shared" si="632"/>
        <v>0</v>
      </c>
      <c r="S675" s="126">
        <f t="shared" si="632"/>
        <v>0</v>
      </c>
      <c r="T675" s="126">
        <f t="shared" si="632"/>
        <v>0</v>
      </c>
      <c r="U675" s="126">
        <f t="shared" si="632"/>
        <v>0</v>
      </c>
      <c r="V675" s="126">
        <f t="shared" si="632"/>
        <v>0</v>
      </c>
      <c r="W675" s="126">
        <f t="shared" si="632"/>
        <v>0</v>
      </c>
      <c r="X675" s="126">
        <f t="shared" si="632"/>
        <v>0</v>
      </c>
      <c r="Y675" s="126">
        <f t="shared" si="632"/>
        <v>0</v>
      </c>
      <c r="Z675" s="126">
        <f t="shared" si="632"/>
        <v>0</v>
      </c>
      <c r="AA675" s="126">
        <f t="shared" si="632"/>
        <v>0</v>
      </c>
      <c r="AB675" s="126">
        <f t="shared" si="632"/>
        <v>0</v>
      </c>
      <c r="AC675" s="126">
        <f t="shared" si="632"/>
        <v>0</v>
      </c>
      <c r="AD675" s="126">
        <f t="shared" si="632"/>
        <v>0</v>
      </c>
      <c r="AE675" s="126">
        <f t="shared" si="632"/>
        <v>0</v>
      </c>
      <c r="AF675" s="126">
        <f t="shared" si="632"/>
        <v>0</v>
      </c>
      <c r="AG675" s="126">
        <f t="shared" si="632"/>
        <v>0</v>
      </c>
      <c r="AH675" s="126">
        <f t="shared" si="632"/>
        <v>0</v>
      </c>
      <c r="AI675" s="126">
        <f t="shared" si="613"/>
        <v>0</v>
      </c>
      <c r="AJ675" s="126">
        <f t="shared" si="628"/>
        <v>0</v>
      </c>
      <c r="AK675" s="126">
        <f t="shared" si="628"/>
        <v>0</v>
      </c>
      <c r="AL675" s="126">
        <f t="shared" si="629"/>
        <v>0</v>
      </c>
      <c r="AM675" s="126">
        <f t="shared" si="629"/>
        <v>0</v>
      </c>
      <c r="AN675" s="126"/>
      <c r="AO675" s="130">
        <f t="shared" si="618"/>
        <v>0</v>
      </c>
      <c r="AP675" s="116"/>
    </row>
    <row r="676" spans="1:42" s="157" customFormat="1" ht="14" hidden="1" outlineLevel="1">
      <c r="A676" s="136"/>
      <c r="B676" s="137" t="s">
        <v>337</v>
      </c>
      <c r="C676" s="126">
        <f t="shared" si="609"/>
        <v>0</v>
      </c>
      <c r="D676" s="126">
        <v>0</v>
      </c>
      <c r="E676" s="126">
        <v>0</v>
      </c>
      <c r="F676" s="126">
        <v>0</v>
      </c>
      <c r="G676" s="126">
        <v>0</v>
      </c>
      <c r="H676" s="126">
        <f>I676+L676</f>
        <v>0</v>
      </c>
      <c r="I676" s="126"/>
      <c r="J676" s="126"/>
      <c r="K676" s="126"/>
      <c r="L676" s="126">
        <f>M676+N676</f>
        <v>0</v>
      </c>
      <c r="M676" s="126"/>
      <c r="N676" s="126"/>
      <c r="O676" s="126">
        <f>P676+S676</f>
        <v>0</v>
      </c>
      <c r="P676" s="126">
        <f>Q676+R676</f>
        <v>0</v>
      </c>
      <c r="Q676" s="126"/>
      <c r="R676" s="126"/>
      <c r="S676" s="126">
        <f>T676+U676</f>
        <v>0</v>
      </c>
      <c r="T676" s="126"/>
      <c r="U676" s="126"/>
      <c r="V676" s="180">
        <f>W676+Z676+AC676+AF676</f>
        <v>0</v>
      </c>
      <c r="W676" s="180">
        <f>X676+Y676</f>
        <v>0</v>
      </c>
      <c r="X676" s="180"/>
      <c r="Y676" s="180"/>
      <c r="Z676" s="180">
        <f>AA676+AB676</f>
        <v>0</v>
      </c>
      <c r="AA676" s="126"/>
      <c r="AB676" s="126"/>
      <c r="AC676" s="126">
        <f t="shared" si="630"/>
        <v>0</v>
      </c>
      <c r="AD676" s="126"/>
      <c r="AE676" s="126"/>
      <c r="AF676" s="126">
        <f t="shared" si="631"/>
        <v>0</v>
      </c>
      <c r="AG676" s="126"/>
      <c r="AH676" s="126"/>
      <c r="AI676" s="126">
        <f t="shared" si="613"/>
        <v>0</v>
      </c>
      <c r="AJ676" s="126">
        <f t="shared" si="628"/>
        <v>0</v>
      </c>
      <c r="AK676" s="126">
        <f t="shared" si="628"/>
        <v>0</v>
      </c>
      <c r="AL676" s="126">
        <f t="shared" si="629"/>
        <v>0</v>
      </c>
      <c r="AM676" s="126">
        <f t="shared" si="629"/>
        <v>0</v>
      </c>
      <c r="AN676" s="126"/>
      <c r="AO676" s="130">
        <f t="shared" si="618"/>
        <v>0</v>
      </c>
      <c r="AP676" s="116"/>
    </row>
    <row r="677" spans="1:42" s="157" customFormat="1" ht="14" collapsed="1">
      <c r="A677" s="154">
        <v>14</v>
      </c>
      <c r="B677" s="195" t="s">
        <v>828</v>
      </c>
      <c r="C677" s="196">
        <f>SUM(C678:C678)</f>
        <v>0</v>
      </c>
      <c r="D677" s="196">
        <f>SUM(D678:D678)</f>
        <v>0</v>
      </c>
      <c r="E677" s="196">
        <f>SUM(E678:E678)</f>
        <v>0</v>
      </c>
      <c r="F677" s="196">
        <f>SUM(F678:F678)</f>
        <v>0</v>
      </c>
      <c r="G677" s="196">
        <f>SUM(G678:G678)</f>
        <v>0</v>
      </c>
      <c r="H677" s="196">
        <f t="shared" ref="H677:AH677" si="633">SUM(H678:H678)</f>
        <v>0</v>
      </c>
      <c r="I677" s="196">
        <f t="shared" si="633"/>
        <v>0</v>
      </c>
      <c r="J677" s="196">
        <f t="shared" si="633"/>
        <v>0</v>
      </c>
      <c r="K677" s="196">
        <f t="shared" si="633"/>
        <v>0</v>
      </c>
      <c r="L677" s="196">
        <f t="shared" si="633"/>
        <v>0</v>
      </c>
      <c r="M677" s="196">
        <f t="shared" si="633"/>
        <v>0</v>
      </c>
      <c r="N677" s="196">
        <f t="shared" si="633"/>
        <v>0</v>
      </c>
      <c r="O677" s="196">
        <f t="shared" si="633"/>
        <v>0</v>
      </c>
      <c r="P677" s="196">
        <f t="shared" si="633"/>
        <v>0</v>
      </c>
      <c r="Q677" s="196">
        <f t="shared" si="633"/>
        <v>0</v>
      </c>
      <c r="R677" s="196">
        <f t="shared" si="633"/>
        <v>0</v>
      </c>
      <c r="S677" s="196">
        <f t="shared" si="633"/>
        <v>0</v>
      </c>
      <c r="T677" s="196">
        <f t="shared" si="633"/>
        <v>0</v>
      </c>
      <c r="U677" s="196">
        <f t="shared" si="633"/>
        <v>0</v>
      </c>
      <c r="V677" s="196">
        <f t="shared" si="633"/>
        <v>0</v>
      </c>
      <c r="W677" s="196">
        <f t="shared" si="633"/>
        <v>0</v>
      </c>
      <c r="X677" s="196">
        <f t="shared" si="633"/>
        <v>0</v>
      </c>
      <c r="Y677" s="196">
        <f t="shared" si="633"/>
        <v>0</v>
      </c>
      <c r="Z677" s="196">
        <f t="shared" si="633"/>
        <v>0</v>
      </c>
      <c r="AA677" s="196">
        <f t="shared" si="633"/>
        <v>0</v>
      </c>
      <c r="AB677" s="196">
        <f t="shared" si="633"/>
        <v>0</v>
      </c>
      <c r="AC677" s="196">
        <f t="shared" si="633"/>
        <v>0</v>
      </c>
      <c r="AD677" s="196">
        <f t="shared" si="633"/>
        <v>0</v>
      </c>
      <c r="AE677" s="196">
        <f t="shared" si="633"/>
        <v>0</v>
      </c>
      <c r="AF677" s="196">
        <f t="shared" si="633"/>
        <v>0</v>
      </c>
      <c r="AG677" s="196">
        <f t="shared" si="633"/>
        <v>0</v>
      </c>
      <c r="AH677" s="196">
        <f t="shared" si="633"/>
        <v>0</v>
      </c>
      <c r="AI677" s="196">
        <f t="shared" si="613"/>
        <v>0</v>
      </c>
      <c r="AJ677" s="196">
        <f t="shared" si="628"/>
        <v>0</v>
      </c>
      <c r="AK677" s="196">
        <f t="shared" si="628"/>
        <v>0</v>
      </c>
      <c r="AL677" s="196">
        <f t="shared" si="629"/>
        <v>0</v>
      </c>
      <c r="AM677" s="196">
        <f t="shared" si="629"/>
        <v>0</v>
      </c>
      <c r="AN677" s="126"/>
      <c r="AO677" s="130">
        <f t="shared" si="618"/>
        <v>0</v>
      </c>
      <c r="AP677" s="116"/>
    </row>
    <row r="678" spans="1:42" s="157" customFormat="1" ht="14" hidden="1" outlineLevel="1">
      <c r="A678" s="136"/>
      <c r="B678" s="137" t="s">
        <v>562</v>
      </c>
      <c r="C678" s="126">
        <f t="shared" si="609"/>
        <v>0</v>
      </c>
      <c r="D678" s="126">
        <v>0</v>
      </c>
      <c r="E678" s="126">
        <v>0</v>
      </c>
      <c r="F678" s="126">
        <v>0</v>
      </c>
      <c r="G678" s="126">
        <v>0</v>
      </c>
      <c r="H678" s="126">
        <f>I678+L678</f>
        <v>0</v>
      </c>
      <c r="I678" s="126">
        <f>J678+K678</f>
        <v>0</v>
      </c>
      <c r="J678" s="126"/>
      <c r="K678" s="126">
        <v>0</v>
      </c>
      <c r="L678" s="126">
        <f>M678+N678</f>
        <v>0</v>
      </c>
      <c r="M678" s="126"/>
      <c r="N678" s="126"/>
      <c r="O678" s="126">
        <f>P678+S678</f>
        <v>0</v>
      </c>
      <c r="P678" s="126"/>
      <c r="Q678" s="126"/>
      <c r="R678" s="126"/>
      <c r="S678" s="126">
        <f>T678+U678</f>
        <v>0</v>
      </c>
      <c r="T678" s="126"/>
      <c r="U678" s="126"/>
      <c r="V678" s="126">
        <f>W678+Z678+AC678+AF678</f>
        <v>0</v>
      </c>
      <c r="W678" s="126">
        <f>X678+Y678</f>
        <v>0</v>
      </c>
      <c r="X678" s="126"/>
      <c r="Y678" s="126"/>
      <c r="Z678" s="126">
        <f>AA678+AB678</f>
        <v>0</v>
      </c>
      <c r="AA678" s="126"/>
      <c r="AB678" s="126"/>
      <c r="AC678" s="126">
        <f t="shared" si="630"/>
        <v>0</v>
      </c>
      <c r="AD678" s="126"/>
      <c r="AE678" s="126"/>
      <c r="AF678" s="126">
        <f t="shared" si="631"/>
        <v>0</v>
      </c>
      <c r="AG678" s="126"/>
      <c r="AH678" s="126"/>
      <c r="AI678" s="126">
        <f t="shared" si="613"/>
        <v>0</v>
      </c>
      <c r="AJ678" s="126">
        <f t="shared" si="628"/>
        <v>0</v>
      </c>
      <c r="AK678" s="126">
        <f t="shared" si="628"/>
        <v>0</v>
      </c>
      <c r="AL678" s="126">
        <f t="shared" si="629"/>
        <v>0</v>
      </c>
      <c r="AM678" s="126">
        <f t="shared" si="629"/>
        <v>0</v>
      </c>
      <c r="AN678" s="126"/>
      <c r="AO678" s="130">
        <f t="shared" si="618"/>
        <v>0</v>
      </c>
      <c r="AP678" s="116"/>
    </row>
    <row r="679" spans="1:42" s="117" customFormat="1" ht="14" collapsed="1">
      <c r="A679" s="166">
        <v>7</v>
      </c>
      <c r="B679" s="137" t="s">
        <v>829</v>
      </c>
      <c r="C679" s="126">
        <f>C680</f>
        <v>272</v>
      </c>
      <c r="D679" s="126">
        <f>D680</f>
        <v>0</v>
      </c>
      <c r="E679" s="126">
        <f>E680</f>
        <v>272</v>
      </c>
      <c r="F679" s="126">
        <f>F680</f>
        <v>0</v>
      </c>
      <c r="G679" s="126">
        <f>G680</f>
        <v>0</v>
      </c>
      <c r="H679" s="126">
        <f t="shared" ref="H679:AH679" si="634">H680</f>
        <v>0</v>
      </c>
      <c r="I679" s="126">
        <f t="shared" si="634"/>
        <v>0</v>
      </c>
      <c r="J679" s="126">
        <f t="shared" si="634"/>
        <v>0</v>
      </c>
      <c r="K679" s="126">
        <f t="shared" si="634"/>
        <v>0</v>
      </c>
      <c r="L679" s="126">
        <f t="shared" si="634"/>
        <v>0</v>
      </c>
      <c r="M679" s="126">
        <f t="shared" si="634"/>
        <v>0</v>
      </c>
      <c r="N679" s="126">
        <f t="shared" si="634"/>
        <v>0</v>
      </c>
      <c r="O679" s="126">
        <f t="shared" si="634"/>
        <v>0</v>
      </c>
      <c r="P679" s="126">
        <f t="shared" si="634"/>
        <v>0</v>
      </c>
      <c r="Q679" s="126">
        <f t="shared" si="634"/>
        <v>0</v>
      </c>
      <c r="R679" s="126">
        <f t="shared" si="634"/>
        <v>0</v>
      </c>
      <c r="S679" s="126">
        <f t="shared" si="634"/>
        <v>0</v>
      </c>
      <c r="T679" s="126">
        <f t="shared" si="634"/>
        <v>0</v>
      </c>
      <c r="U679" s="126">
        <f t="shared" si="634"/>
        <v>0</v>
      </c>
      <c r="V679" s="126">
        <f t="shared" si="634"/>
        <v>272</v>
      </c>
      <c r="W679" s="126">
        <f t="shared" si="634"/>
        <v>272</v>
      </c>
      <c r="X679" s="126">
        <f t="shared" si="634"/>
        <v>0</v>
      </c>
      <c r="Y679" s="126">
        <f t="shared" si="634"/>
        <v>272</v>
      </c>
      <c r="Z679" s="126">
        <f t="shared" si="634"/>
        <v>0</v>
      </c>
      <c r="AA679" s="126">
        <f t="shared" si="634"/>
        <v>0</v>
      </c>
      <c r="AB679" s="126">
        <f t="shared" si="634"/>
        <v>0</v>
      </c>
      <c r="AC679" s="126">
        <f t="shared" si="634"/>
        <v>0</v>
      </c>
      <c r="AD679" s="126">
        <f t="shared" si="634"/>
        <v>0</v>
      </c>
      <c r="AE679" s="126">
        <f t="shared" si="634"/>
        <v>0</v>
      </c>
      <c r="AF679" s="126">
        <f t="shared" si="634"/>
        <v>0</v>
      </c>
      <c r="AG679" s="126">
        <f t="shared" si="634"/>
        <v>0</v>
      </c>
      <c r="AH679" s="126">
        <f t="shared" si="634"/>
        <v>0</v>
      </c>
      <c r="AI679" s="126">
        <f t="shared" si="613"/>
        <v>0</v>
      </c>
      <c r="AJ679" s="126">
        <f t="shared" si="628"/>
        <v>0</v>
      </c>
      <c r="AK679" s="126">
        <f t="shared" si="628"/>
        <v>0</v>
      </c>
      <c r="AL679" s="126">
        <f t="shared" si="629"/>
        <v>0</v>
      </c>
      <c r="AM679" s="126">
        <f t="shared" si="629"/>
        <v>0</v>
      </c>
      <c r="AN679" s="126"/>
      <c r="AO679" s="130">
        <f t="shared" si="618"/>
        <v>0</v>
      </c>
      <c r="AP679" s="116"/>
    </row>
    <row r="680" spans="1:42" s="117" customFormat="1" ht="14" hidden="1" outlineLevel="1">
      <c r="A680" s="136"/>
      <c r="B680" s="137" t="s">
        <v>830</v>
      </c>
      <c r="C680" s="126">
        <f t="shared" si="609"/>
        <v>272</v>
      </c>
      <c r="D680" s="126">
        <v>0</v>
      </c>
      <c r="E680" s="126">
        <v>272</v>
      </c>
      <c r="F680" s="126">
        <v>0</v>
      </c>
      <c r="G680" s="126">
        <v>0</v>
      </c>
      <c r="H680" s="126">
        <f>I680+L680</f>
        <v>0</v>
      </c>
      <c r="I680" s="126">
        <f>J680+K680</f>
        <v>0</v>
      </c>
      <c r="J680" s="126"/>
      <c r="K680" s="126"/>
      <c r="L680" s="126"/>
      <c r="M680" s="126"/>
      <c r="N680" s="126"/>
      <c r="O680" s="126">
        <f>P680+S680</f>
        <v>0</v>
      </c>
      <c r="P680" s="126">
        <f>Q680+R680</f>
        <v>0</v>
      </c>
      <c r="Q680" s="126"/>
      <c r="R680" s="126"/>
      <c r="S680" s="126">
        <f>T680+U680</f>
        <v>0</v>
      </c>
      <c r="T680" s="126">
        <v>0</v>
      </c>
      <c r="U680" s="126"/>
      <c r="V680" s="126">
        <f>W680+Z680+AC680+AF680</f>
        <v>272</v>
      </c>
      <c r="W680" s="126">
        <f>X680+Y680</f>
        <v>272</v>
      </c>
      <c r="X680" s="126"/>
      <c r="Y680" s="126">
        <v>272</v>
      </c>
      <c r="Z680" s="126">
        <f>AA680+AB680</f>
        <v>0</v>
      </c>
      <c r="AA680" s="126"/>
      <c r="AB680" s="126"/>
      <c r="AC680" s="126">
        <f t="shared" si="630"/>
        <v>0</v>
      </c>
      <c r="AD680" s="126"/>
      <c r="AE680" s="126"/>
      <c r="AF680" s="126">
        <f t="shared" si="631"/>
        <v>0</v>
      </c>
      <c r="AG680" s="126"/>
      <c r="AH680" s="126"/>
      <c r="AI680" s="126">
        <f t="shared" si="613"/>
        <v>0</v>
      </c>
      <c r="AJ680" s="126">
        <f t="shared" si="628"/>
        <v>0</v>
      </c>
      <c r="AK680" s="126">
        <f t="shared" si="628"/>
        <v>0</v>
      </c>
      <c r="AL680" s="126">
        <f t="shared" si="629"/>
        <v>0</v>
      </c>
      <c r="AM680" s="126">
        <f t="shared" si="629"/>
        <v>0</v>
      </c>
      <c r="AN680" s="126"/>
      <c r="AO680" s="116"/>
      <c r="AP680" s="116"/>
    </row>
    <row r="681" spans="1:42" s="117" customFormat="1" ht="18.75" customHeight="1" collapsed="1">
      <c r="A681" s="197"/>
      <c r="C681" s="198"/>
      <c r="D681" s="198"/>
      <c r="E681" s="198"/>
      <c r="F681" s="198"/>
      <c r="G681" s="198"/>
      <c r="H681" s="198"/>
      <c r="I681" s="198"/>
      <c r="J681" s="198"/>
      <c r="K681" s="198"/>
      <c r="L681" s="198"/>
      <c r="M681" s="198"/>
      <c r="N681" s="198"/>
      <c r="O681" s="619"/>
      <c r="P681" s="619"/>
      <c r="Q681" s="619"/>
      <c r="R681" s="619"/>
      <c r="S681" s="619"/>
      <c r="T681" s="619"/>
      <c r="U681" s="198"/>
      <c r="V681" s="198"/>
      <c r="W681" s="198"/>
      <c r="X681" s="198"/>
      <c r="Y681" s="198"/>
      <c r="Z681" s="198"/>
      <c r="AA681" s="198"/>
      <c r="AB681" s="198"/>
      <c r="AC681" s="198"/>
      <c r="AD681" s="198"/>
      <c r="AE681" s="198"/>
      <c r="AF681" s="198"/>
      <c r="AG681" s="198"/>
      <c r="AH681" s="198"/>
      <c r="AI681" s="198"/>
      <c r="AJ681" s="198"/>
      <c r="AK681" s="198"/>
      <c r="AL681" s="198"/>
      <c r="AM681" s="198"/>
      <c r="AN681" s="198"/>
    </row>
    <row r="682" spans="1:42" s="117" customFormat="1" ht="16.5">
      <c r="A682" s="197"/>
      <c r="B682" s="199"/>
      <c r="C682" s="200"/>
      <c r="D682" s="201"/>
      <c r="E682" s="200"/>
      <c r="H682" s="202"/>
      <c r="I682" s="203"/>
      <c r="J682" s="203"/>
      <c r="K682" s="203"/>
      <c r="L682" s="203"/>
      <c r="M682" s="202"/>
      <c r="N682" s="132"/>
      <c r="O682" s="620"/>
      <c r="P682" s="620"/>
      <c r="Q682" s="620"/>
      <c r="R682" s="620"/>
      <c r="S682" s="620"/>
      <c r="T682" s="620"/>
      <c r="U682" s="619"/>
      <c r="V682" s="619"/>
      <c r="W682" s="619"/>
      <c r="X682" s="619"/>
      <c r="Y682" s="619"/>
      <c r="Z682" s="619"/>
      <c r="AA682" s="619"/>
      <c r="AB682" s="619"/>
      <c r="AC682" s="619"/>
      <c r="AD682" s="619"/>
      <c r="AE682" s="619"/>
      <c r="AF682" s="619"/>
      <c r="AG682" s="619"/>
      <c r="AH682" s="619"/>
      <c r="AI682" s="619"/>
      <c r="AJ682" s="619"/>
      <c r="AK682" s="619"/>
      <c r="AL682" s="619"/>
      <c r="AM682" s="204"/>
    </row>
    <row r="683" spans="1:42" s="209" customFormat="1" ht="14">
      <c r="A683" s="197"/>
      <c r="B683" s="205"/>
      <c r="C683" s="198"/>
      <c r="D683" s="205"/>
      <c r="E683" s="205"/>
      <c r="F683" s="117"/>
      <c r="G683" s="206"/>
      <c r="H683" s="207"/>
      <c r="I683" s="203"/>
      <c r="J683" s="203"/>
      <c r="K683" s="203"/>
      <c r="L683" s="208"/>
      <c r="M683" s="203"/>
      <c r="N683" s="132"/>
      <c r="O683" s="132"/>
      <c r="P683" s="132"/>
      <c r="Q683" s="619"/>
      <c r="R683" s="619"/>
      <c r="S683" s="619"/>
      <c r="T683" s="619"/>
      <c r="U683" s="132"/>
      <c r="V683" s="132"/>
      <c r="W683" s="132"/>
      <c r="X683" s="132"/>
      <c r="Y683" s="132"/>
      <c r="Z683" s="132"/>
      <c r="AA683" s="132"/>
      <c r="AB683" s="132"/>
      <c r="AC683" s="132"/>
      <c r="AD683" s="132"/>
      <c r="AE683" s="132"/>
      <c r="AF683" s="132"/>
      <c r="AG683" s="132"/>
      <c r="AH683" s="132"/>
      <c r="AI683" s="621"/>
      <c r="AJ683" s="621"/>
      <c r="AK683" s="621"/>
      <c r="AL683" s="621"/>
      <c r="AM683" s="204"/>
      <c r="AN683" s="204"/>
    </row>
    <row r="684" spans="1:42" s="209" customFormat="1" ht="14">
      <c r="A684" s="197"/>
      <c r="B684" s="205"/>
      <c r="C684" s="198"/>
      <c r="D684" s="205"/>
      <c r="E684" s="205"/>
      <c r="F684" s="117"/>
      <c r="G684" s="206"/>
      <c r="H684" s="208"/>
      <c r="I684" s="208"/>
      <c r="J684" s="208"/>
      <c r="K684" s="203"/>
      <c r="L684" s="203"/>
      <c r="M684" s="203"/>
      <c r="N684" s="203"/>
      <c r="O684" s="210"/>
      <c r="P684" s="210"/>
      <c r="Q684" s="210"/>
      <c r="R684" s="210"/>
      <c r="S684" s="210"/>
      <c r="T684" s="210"/>
      <c r="U684" s="210"/>
      <c r="V684" s="210"/>
      <c r="W684" s="210"/>
      <c r="X684" s="210"/>
      <c r="Y684" s="210"/>
      <c r="Z684" s="210"/>
      <c r="AA684" s="210"/>
      <c r="AB684" s="210"/>
      <c r="AC684" s="210"/>
      <c r="AD684" s="210"/>
      <c r="AE684" s="210"/>
      <c r="AF684" s="210"/>
      <c r="AG684" s="210"/>
      <c r="AH684" s="210"/>
      <c r="AI684" s="210"/>
      <c r="AJ684" s="210"/>
      <c r="AK684" s="210"/>
      <c r="AL684" s="210"/>
      <c r="AM684" s="210"/>
      <c r="AN684" s="204"/>
    </row>
    <row r="685" spans="1:42" s="209" customFormat="1" ht="14">
      <c r="A685" s="197"/>
      <c r="B685" s="205"/>
      <c r="C685" s="198"/>
      <c r="D685" s="205"/>
      <c r="E685" s="205"/>
      <c r="F685" s="117"/>
      <c r="G685" s="206"/>
      <c r="H685" s="198"/>
      <c r="I685" s="208"/>
      <c r="J685" s="208"/>
      <c r="K685" s="203"/>
      <c r="L685" s="203"/>
      <c r="M685" s="203"/>
      <c r="N685" s="203"/>
      <c r="O685" s="198"/>
      <c r="P685" s="210"/>
      <c r="Q685" s="210"/>
      <c r="R685" s="210"/>
      <c r="S685" s="210"/>
      <c r="T685" s="210"/>
      <c r="U685" s="210"/>
      <c r="V685" s="198"/>
      <c r="W685" s="210"/>
      <c r="X685" s="210"/>
      <c r="Y685" s="210"/>
      <c r="Z685" s="210"/>
      <c r="AA685" s="210"/>
      <c r="AB685" s="210"/>
      <c r="AC685" s="210"/>
      <c r="AD685" s="210"/>
      <c r="AE685" s="210"/>
      <c r="AF685" s="210"/>
      <c r="AG685" s="210"/>
      <c r="AH685" s="210"/>
      <c r="AI685" s="198"/>
      <c r="AJ685" s="210"/>
      <c r="AK685" s="210"/>
      <c r="AL685" s="210"/>
      <c r="AM685" s="210"/>
      <c r="AN685" s="204"/>
    </row>
    <row r="686" spans="1:42" s="209" customFormat="1" ht="14">
      <c r="A686" s="197"/>
      <c r="B686" s="205"/>
      <c r="C686" s="198"/>
      <c r="D686" s="211"/>
      <c r="E686" s="117"/>
      <c r="F686" s="211"/>
      <c r="G686" s="117"/>
      <c r="H686" s="198"/>
      <c r="I686" s="212"/>
      <c r="J686" s="212"/>
      <c r="K686" s="203"/>
      <c r="L686" s="203"/>
      <c r="M686" s="203"/>
      <c r="N686" s="203"/>
      <c r="O686" s="198"/>
      <c r="P686" s="117"/>
      <c r="Q686" s="206"/>
      <c r="R686" s="117"/>
      <c r="S686" s="213">
        <f>SUBTOTAL(9,S25:S657)</f>
        <v>1261499.7110400007</v>
      </c>
      <c r="T686" s="213">
        <f>SUBTOTAL(9,T25:T657)</f>
        <v>506618.80935999996</v>
      </c>
      <c r="U686" s="213">
        <f>SUBTOTAL(9,U25:U657)</f>
        <v>754880.90167999943</v>
      </c>
      <c r="V686" s="198"/>
      <c r="W686" s="214"/>
      <c r="X686" s="214"/>
      <c r="Y686" s="214"/>
      <c r="Z686" s="214"/>
      <c r="AA686" s="214"/>
      <c r="AB686" s="214"/>
      <c r="AC686" s="214"/>
      <c r="AD686" s="214"/>
      <c r="AE686" s="214"/>
      <c r="AF686" s="214"/>
      <c r="AG686" s="214"/>
      <c r="AH686" s="214"/>
      <c r="AI686" s="198"/>
      <c r="AJ686" s="198"/>
      <c r="AK686" s="204"/>
      <c r="AL686" s="198"/>
      <c r="AM686" s="204"/>
      <c r="AN686" s="117"/>
    </row>
    <row r="687" spans="1:42" s="209" customFormat="1" ht="14">
      <c r="A687" s="197"/>
      <c r="B687" s="205"/>
      <c r="C687" s="198"/>
      <c r="D687" s="198"/>
      <c r="E687" s="198"/>
      <c r="F687" s="198"/>
      <c r="G687" s="198"/>
      <c r="H687" s="198"/>
      <c r="I687" s="198"/>
      <c r="J687" s="198"/>
      <c r="K687" s="198"/>
      <c r="L687" s="198"/>
      <c r="M687" s="198"/>
      <c r="N687" s="198"/>
      <c r="O687" s="198"/>
      <c r="P687" s="198"/>
      <c r="Q687" s="198"/>
      <c r="R687" s="198"/>
      <c r="S687" s="198"/>
      <c r="T687" s="198"/>
      <c r="U687" s="198"/>
      <c r="V687" s="198"/>
      <c r="W687" s="198"/>
      <c r="X687" s="198"/>
      <c r="Y687" s="198"/>
      <c r="Z687" s="198"/>
      <c r="AA687" s="198"/>
      <c r="AB687" s="198"/>
      <c r="AC687" s="198"/>
      <c r="AD687" s="198"/>
      <c r="AE687" s="198"/>
      <c r="AF687" s="198"/>
      <c r="AG687" s="198"/>
      <c r="AH687" s="198"/>
      <c r="AI687" s="198"/>
      <c r="AJ687" s="198"/>
      <c r="AK687" s="198"/>
      <c r="AL687" s="198"/>
      <c r="AM687" s="204"/>
      <c r="AN687" s="117"/>
    </row>
    <row r="688" spans="1:42" s="209" customFormat="1" ht="14">
      <c r="A688" s="197"/>
      <c r="B688" s="205"/>
      <c r="C688" s="198"/>
      <c r="D688" s="205"/>
      <c r="E688" s="205"/>
      <c r="F688" s="117"/>
      <c r="G688" s="117"/>
      <c r="H688" s="208"/>
      <c r="I688" s="203"/>
      <c r="J688" s="203"/>
      <c r="K688" s="203"/>
      <c r="L688" s="203"/>
      <c r="M688" s="203"/>
      <c r="N688" s="203"/>
      <c r="O688" s="117"/>
      <c r="P688" s="117"/>
      <c r="Q688" s="117"/>
      <c r="R688" s="117"/>
      <c r="S688" s="117"/>
      <c r="T688" s="117"/>
      <c r="U688" s="215"/>
      <c r="V688" s="216"/>
      <c r="W688" s="216"/>
      <c r="X688" s="216"/>
      <c r="Y688" s="216"/>
      <c r="Z688" s="216"/>
      <c r="AA688" s="216"/>
      <c r="AB688" s="216"/>
      <c r="AC688" s="216"/>
      <c r="AD688" s="216"/>
      <c r="AE688" s="216"/>
      <c r="AF688" s="216"/>
      <c r="AG688" s="216"/>
      <c r="AH688" s="216"/>
      <c r="AI688" s="215"/>
      <c r="AJ688" s="215"/>
      <c r="AK688" s="215"/>
      <c r="AL688" s="215"/>
      <c r="AM688" s="204"/>
      <c r="AN688" s="204"/>
    </row>
    <row r="689" spans="1:40" s="209" customFormat="1" ht="14">
      <c r="A689" s="197"/>
      <c r="B689" s="205"/>
      <c r="C689" s="198"/>
      <c r="D689" s="205"/>
      <c r="E689" s="205"/>
      <c r="F689" s="117"/>
      <c r="G689" s="117"/>
      <c r="H689" s="208"/>
      <c r="I689" s="203"/>
      <c r="J689" s="203"/>
      <c r="K689" s="203"/>
      <c r="L689" s="203"/>
      <c r="M689" s="203"/>
      <c r="N689" s="203"/>
      <c r="O689" s="117"/>
      <c r="P689" s="117"/>
      <c r="Q689" s="117"/>
      <c r="R689" s="117"/>
      <c r="S689" s="210"/>
      <c r="T689" s="210"/>
      <c r="U689" s="217"/>
      <c r="V689" s="216"/>
      <c r="W689" s="216"/>
      <c r="X689" s="216"/>
      <c r="Y689" s="216"/>
      <c r="Z689" s="216"/>
      <c r="AA689" s="216"/>
      <c r="AB689" s="216"/>
      <c r="AC689" s="216"/>
      <c r="AD689" s="216"/>
      <c r="AE689" s="216"/>
      <c r="AF689" s="216"/>
      <c r="AG689" s="216"/>
      <c r="AH689" s="216"/>
      <c r="AI689" s="215"/>
      <c r="AJ689" s="215"/>
      <c r="AK689" s="215"/>
      <c r="AL689" s="215"/>
      <c r="AM689" s="204"/>
      <c r="AN689" s="117"/>
    </row>
    <row r="690" spans="1:40" s="209" customFormat="1" ht="14">
      <c r="A690" s="197"/>
      <c r="B690" s="205"/>
      <c r="C690" s="198"/>
      <c r="D690" s="205"/>
      <c r="E690" s="205"/>
      <c r="F690" s="117"/>
      <c r="G690" s="117"/>
      <c r="H690" s="208"/>
      <c r="I690" s="203"/>
      <c r="J690" s="203"/>
      <c r="K690" s="203"/>
      <c r="L690" s="203"/>
      <c r="M690" s="203"/>
      <c r="N690" s="203"/>
      <c r="O690" s="117"/>
      <c r="P690" s="117"/>
      <c r="Q690" s="117"/>
      <c r="R690" s="117"/>
      <c r="S690" s="218"/>
      <c r="T690" s="218"/>
      <c r="U690" s="218"/>
      <c r="V690" s="216"/>
      <c r="W690" s="216"/>
      <c r="X690" s="216"/>
      <c r="Y690" s="216"/>
      <c r="Z690" s="216"/>
      <c r="AA690" s="216"/>
      <c r="AB690" s="216"/>
      <c r="AC690" s="216"/>
      <c r="AD690" s="216"/>
      <c r="AE690" s="216"/>
      <c r="AF690" s="216"/>
      <c r="AG690" s="216"/>
      <c r="AH690" s="216"/>
      <c r="AI690" s="215"/>
      <c r="AJ690" s="215"/>
      <c r="AK690" s="215"/>
      <c r="AL690" s="215"/>
      <c r="AM690" s="204"/>
      <c r="AN690" s="117"/>
    </row>
    <row r="691" spans="1:40" s="209" customFormat="1" ht="14">
      <c r="A691" s="197"/>
      <c r="B691" s="205"/>
      <c r="C691" s="198"/>
      <c r="D691" s="205"/>
      <c r="E691" s="205"/>
      <c r="F691" s="117"/>
      <c r="G691" s="117"/>
      <c r="H691" s="203"/>
      <c r="I691" s="203"/>
      <c r="J691" s="203"/>
      <c r="K691" s="203"/>
      <c r="L691" s="203"/>
      <c r="M691" s="203"/>
      <c r="N691" s="203"/>
      <c r="O691" s="117"/>
      <c r="P691" s="117"/>
      <c r="Q691" s="117"/>
      <c r="R691" s="117"/>
      <c r="S691" s="117"/>
      <c r="T691" s="117"/>
      <c r="U691" s="216"/>
      <c r="V691" s="216"/>
      <c r="W691" s="216"/>
      <c r="X691" s="216"/>
      <c r="Y691" s="216"/>
      <c r="Z691" s="216"/>
      <c r="AA691" s="216"/>
      <c r="AB691" s="216"/>
      <c r="AC691" s="216"/>
      <c r="AD691" s="216"/>
      <c r="AE691" s="216"/>
      <c r="AF691" s="216"/>
      <c r="AG691" s="216"/>
      <c r="AH691" s="216"/>
      <c r="AI691" s="215"/>
      <c r="AJ691" s="215"/>
      <c r="AK691" s="215"/>
      <c r="AL691" s="215"/>
      <c r="AM691" s="204"/>
      <c r="AN691" s="117"/>
    </row>
    <row r="692" spans="1:40" s="209" customFormat="1" ht="14">
      <c r="A692" s="197"/>
      <c r="B692" s="205"/>
      <c r="C692" s="198"/>
      <c r="D692" s="205"/>
      <c r="E692" s="205"/>
      <c r="F692" s="117"/>
      <c r="G692" s="117"/>
      <c r="H692" s="203"/>
      <c r="I692" s="203"/>
      <c r="J692" s="203"/>
      <c r="K692" s="203"/>
      <c r="L692" s="203"/>
      <c r="M692" s="203"/>
      <c r="N692" s="203"/>
      <c r="O692" s="117"/>
      <c r="P692" s="117"/>
      <c r="Q692" s="117"/>
      <c r="R692" s="117"/>
      <c r="S692" s="117"/>
      <c r="T692" s="117"/>
      <c r="U692" s="216"/>
      <c r="V692" s="216"/>
      <c r="W692" s="216"/>
      <c r="X692" s="216"/>
      <c r="Y692" s="216"/>
      <c r="Z692" s="216"/>
      <c r="AA692" s="216"/>
      <c r="AB692" s="216"/>
      <c r="AC692" s="216"/>
      <c r="AD692" s="216"/>
      <c r="AE692" s="216"/>
      <c r="AF692" s="216"/>
      <c r="AG692" s="216"/>
      <c r="AH692" s="216"/>
      <c r="AI692" s="215"/>
      <c r="AJ692" s="215"/>
      <c r="AK692" s="215"/>
      <c r="AL692" s="215"/>
      <c r="AM692" s="204"/>
      <c r="AN692" s="117"/>
    </row>
    <row r="693" spans="1:40" s="209" customFormat="1" ht="14">
      <c r="A693" s="197"/>
      <c r="B693" s="205"/>
      <c r="C693" s="198"/>
      <c r="D693" s="198"/>
      <c r="E693" s="198"/>
      <c r="F693" s="198"/>
      <c r="G693" s="198"/>
      <c r="H693" s="198"/>
      <c r="I693" s="198"/>
      <c r="J693" s="198"/>
      <c r="K693" s="198"/>
      <c r="L693" s="198"/>
      <c r="M693" s="198"/>
      <c r="N693" s="198"/>
      <c r="O693" s="198"/>
      <c r="P693" s="198"/>
      <c r="Q693" s="198"/>
      <c r="R693" s="198"/>
      <c r="S693" s="198"/>
      <c r="T693" s="198"/>
      <c r="U693" s="198"/>
      <c r="V693" s="198"/>
      <c r="W693" s="198"/>
      <c r="X693" s="198"/>
      <c r="Y693" s="198"/>
      <c r="Z693" s="198"/>
      <c r="AA693" s="198"/>
      <c r="AB693" s="198"/>
      <c r="AC693" s="198"/>
      <c r="AD693" s="198"/>
      <c r="AE693" s="198"/>
      <c r="AF693" s="198"/>
      <c r="AG693" s="198"/>
      <c r="AH693" s="198"/>
      <c r="AI693" s="198"/>
      <c r="AJ693" s="198"/>
      <c r="AK693" s="198"/>
      <c r="AL693" s="198"/>
      <c r="AM693" s="198"/>
      <c r="AN693" s="117"/>
    </row>
    <row r="694" spans="1:40" s="209" customFormat="1" ht="14">
      <c r="A694" s="197"/>
      <c r="B694" s="205"/>
      <c r="C694" s="198"/>
      <c r="D694" s="205"/>
      <c r="E694" s="205"/>
      <c r="F694" s="117"/>
      <c r="G694" s="117"/>
      <c r="H694" s="203"/>
      <c r="I694" s="203"/>
      <c r="J694" s="203"/>
      <c r="K694" s="203"/>
      <c r="L694" s="203"/>
      <c r="M694" s="203"/>
      <c r="N694" s="203"/>
      <c r="O694" s="117"/>
      <c r="P694" s="117"/>
      <c r="Q694" s="117"/>
      <c r="R694" s="117"/>
      <c r="S694" s="117"/>
      <c r="T694" s="117"/>
      <c r="U694" s="216"/>
      <c r="V694" s="216"/>
      <c r="W694" s="216"/>
      <c r="X694" s="216"/>
      <c r="Y694" s="216"/>
      <c r="Z694" s="216"/>
      <c r="AA694" s="216"/>
      <c r="AB694" s="216"/>
      <c r="AC694" s="216"/>
      <c r="AD694" s="216"/>
      <c r="AE694" s="216"/>
      <c r="AF694" s="216"/>
      <c r="AG694" s="216"/>
      <c r="AH694" s="216"/>
      <c r="AI694" s="215"/>
      <c r="AJ694" s="215"/>
      <c r="AK694" s="215"/>
      <c r="AL694" s="215"/>
      <c r="AM694" s="204"/>
      <c r="AN694" s="117"/>
    </row>
    <row r="695" spans="1:40" s="209" customFormat="1" ht="14">
      <c r="A695" s="197"/>
      <c r="B695" s="205"/>
      <c r="C695" s="198"/>
      <c r="D695" s="205"/>
      <c r="E695" s="205"/>
      <c r="F695" s="117"/>
      <c r="G695" s="117"/>
      <c r="H695" s="203"/>
      <c r="I695" s="203"/>
      <c r="J695" s="203"/>
      <c r="K695" s="203"/>
      <c r="L695" s="203"/>
      <c r="M695" s="203"/>
      <c r="N695" s="203"/>
      <c r="O695" s="117"/>
      <c r="P695" s="117"/>
      <c r="Q695" s="117"/>
      <c r="R695" s="117"/>
      <c r="S695" s="117"/>
      <c r="T695" s="117"/>
      <c r="U695" s="216"/>
      <c r="V695" s="216"/>
      <c r="W695" s="216"/>
      <c r="X695" s="216"/>
      <c r="Y695" s="216"/>
      <c r="Z695" s="216"/>
      <c r="AA695" s="216"/>
      <c r="AB695" s="216"/>
      <c r="AC695" s="216"/>
      <c r="AD695" s="216"/>
      <c r="AE695" s="216"/>
      <c r="AF695" s="216"/>
      <c r="AG695" s="216"/>
      <c r="AH695" s="216"/>
      <c r="AI695" s="215"/>
      <c r="AJ695" s="215"/>
      <c r="AK695" s="215"/>
      <c r="AL695" s="215"/>
      <c r="AM695" s="204"/>
      <c r="AN695" s="117"/>
    </row>
    <row r="696" spans="1:40" s="209" customFormat="1" ht="14">
      <c r="A696" s="197"/>
      <c r="B696" s="205"/>
      <c r="C696" s="198"/>
      <c r="D696" s="205"/>
      <c r="E696" s="205"/>
      <c r="F696" s="117"/>
      <c r="G696" s="117"/>
      <c r="H696" s="203"/>
      <c r="I696" s="203"/>
      <c r="J696" s="203"/>
      <c r="K696" s="203"/>
      <c r="L696" s="203"/>
      <c r="M696" s="203"/>
      <c r="N696" s="203"/>
      <c r="O696" s="117"/>
      <c r="P696" s="117"/>
      <c r="Q696" s="117"/>
      <c r="R696" s="117"/>
      <c r="S696" s="117"/>
      <c r="T696" s="117"/>
      <c r="U696" s="216"/>
      <c r="V696" s="216"/>
      <c r="W696" s="216"/>
      <c r="X696" s="216"/>
      <c r="Y696" s="216"/>
      <c r="Z696" s="216"/>
      <c r="AA696" s="216"/>
      <c r="AB696" s="216"/>
      <c r="AC696" s="216"/>
      <c r="AD696" s="216"/>
      <c r="AE696" s="216"/>
      <c r="AF696" s="216"/>
      <c r="AG696" s="216"/>
      <c r="AH696" s="216"/>
      <c r="AI696" s="215"/>
      <c r="AJ696" s="215"/>
      <c r="AK696" s="215"/>
      <c r="AL696" s="215"/>
      <c r="AM696" s="204"/>
      <c r="AN696" s="117"/>
    </row>
    <row r="697" spans="1:40" s="209" customFormat="1" ht="14">
      <c r="A697" s="197"/>
      <c r="B697" s="205"/>
      <c r="C697" s="198"/>
      <c r="D697" s="205"/>
      <c r="E697" s="205"/>
      <c r="F697" s="117"/>
      <c r="G697" s="117"/>
      <c r="H697" s="203"/>
      <c r="I697" s="203"/>
      <c r="J697" s="203"/>
      <c r="K697" s="203"/>
      <c r="L697" s="203"/>
      <c r="M697" s="203"/>
      <c r="N697" s="203"/>
      <c r="O697" s="117"/>
      <c r="P697" s="117"/>
      <c r="Q697" s="117"/>
      <c r="R697" s="117"/>
      <c r="S697" s="117"/>
      <c r="T697" s="117"/>
      <c r="U697" s="216"/>
      <c r="V697" s="216"/>
      <c r="W697" s="216"/>
      <c r="X697" s="216"/>
      <c r="Y697" s="216"/>
      <c r="Z697" s="216"/>
      <c r="AA697" s="216"/>
      <c r="AB697" s="216"/>
      <c r="AC697" s="216"/>
      <c r="AD697" s="216"/>
      <c r="AE697" s="216"/>
      <c r="AF697" s="216"/>
      <c r="AG697" s="216"/>
      <c r="AH697" s="216"/>
      <c r="AI697" s="215"/>
      <c r="AJ697" s="215"/>
      <c r="AK697" s="215"/>
      <c r="AL697" s="215"/>
      <c r="AM697" s="204"/>
      <c r="AN697" s="117"/>
    </row>
    <row r="698" spans="1:40" s="209" customFormat="1" ht="14">
      <c r="A698" s="197"/>
      <c r="B698" s="205"/>
      <c r="C698" s="198"/>
      <c r="D698" s="205"/>
      <c r="E698" s="205"/>
      <c r="F698" s="117"/>
      <c r="G698" s="117"/>
      <c r="H698" s="203"/>
      <c r="I698" s="203"/>
      <c r="J698" s="203"/>
      <c r="K698" s="203"/>
      <c r="L698" s="203"/>
      <c r="M698" s="203"/>
      <c r="N698" s="203"/>
      <c r="O698" s="117"/>
      <c r="P698" s="117"/>
      <c r="Q698" s="117"/>
      <c r="R698" s="117"/>
      <c r="S698" s="117"/>
      <c r="T698" s="117"/>
      <c r="U698" s="216"/>
      <c r="V698" s="216"/>
      <c r="W698" s="216"/>
      <c r="X698" s="216"/>
      <c r="Y698" s="216"/>
      <c r="Z698" s="216"/>
      <c r="AA698" s="216"/>
      <c r="AB698" s="216"/>
      <c r="AC698" s="216"/>
      <c r="AD698" s="216"/>
      <c r="AE698" s="216"/>
      <c r="AF698" s="216"/>
      <c r="AG698" s="216"/>
      <c r="AH698" s="216"/>
      <c r="AI698" s="215"/>
      <c r="AJ698" s="215"/>
      <c r="AK698" s="215"/>
      <c r="AL698" s="215"/>
      <c r="AM698" s="204"/>
      <c r="AN698" s="117"/>
    </row>
    <row r="699" spans="1:40" s="209" customFormat="1" ht="14">
      <c r="A699" s="197"/>
      <c r="B699" s="205"/>
      <c r="C699" s="198"/>
      <c r="D699" s="205"/>
      <c r="E699" s="205"/>
      <c r="F699" s="117"/>
      <c r="G699" s="117"/>
      <c r="H699" s="203"/>
      <c r="I699" s="203"/>
      <c r="J699" s="203"/>
      <c r="K699" s="203"/>
      <c r="L699" s="203"/>
      <c r="M699" s="203"/>
      <c r="N699" s="203"/>
      <c r="O699" s="117"/>
      <c r="P699" s="117"/>
      <c r="Q699" s="117"/>
      <c r="R699" s="117"/>
      <c r="S699" s="117"/>
      <c r="T699" s="117"/>
      <c r="U699" s="216"/>
      <c r="V699" s="216"/>
      <c r="W699" s="216"/>
      <c r="X699" s="216"/>
      <c r="Y699" s="216"/>
      <c r="Z699" s="216"/>
      <c r="AA699" s="216"/>
      <c r="AB699" s="216"/>
      <c r="AC699" s="216"/>
      <c r="AD699" s="216"/>
      <c r="AE699" s="216"/>
      <c r="AF699" s="216"/>
      <c r="AG699" s="216"/>
      <c r="AH699" s="216"/>
      <c r="AI699" s="215"/>
      <c r="AJ699" s="215"/>
      <c r="AK699" s="215"/>
      <c r="AL699" s="215"/>
      <c r="AM699" s="204"/>
      <c r="AN699" s="117"/>
    </row>
    <row r="700" spans="1:40" s="209" customFormat="1" ht="14">
      <c r="A700" s="197"/>
      <c r="B700" s="205"/>
      <c r="C700" s="198"/>
      <c r="D700" s="205"/>
      <c r="E700" s="205"/>
      <c r="F700" s="117"/>
      <c r="G700" s="117"/>
      <c r="H700" s="203"/>
      <c r="I700" s="203"/>
      <c r="J700" s="203"/>
      <c r="K700" s="203"/>
      <c r="L700" s="203"/>
      <c r="M700" s="203"/>
      <c r="N700" s="203"/>
      <c r="O700" s="117"/>
      <c r="P700" s="117"/>
      <c r="Q700" s="117"/>
      <c r="R700" s="117"/>
      <c r="S700" s="117"/>
      <c r="T700" s="117"/>
      <c r="U700" s="216"/>
      <c r="V700" s="216"/>
      <c r="W700" s="216"/>
      <c r="X700" s="216"/>
      <c r="Y700" s="216"/>
      <c r="Z700" s="216"/>
      <c r="AA700" s="216"/>
      <c r="AB700" s="216"/>
      <c r="AC700" s="216"/>
      <c r="AD700" s="216"/>
      <c r="AE700" s="216"/>
      <c r="AF700" s="216"/>
      <c r="AG700" s="216"/>
      <c r="AH700" s="216"/>
      <c r="AI700" s="215"/>
      <c r="AJ700" s="215"/>
      <c r="AK700" s="215"/>
      <c r="AL700" s="215"/>
      <c r="AM700" s="204"/>
      <c r="AN700" s="117"/>
    </row>
    <row r="701" spans="1:40" s="209" customFormat="1" ht="14">
      <c r="A701" s="197"/>
      <c r="B701" s="205"/>
      <c r="C701" s="198"/>
      <c r="D701" s="205"/>
      <c r="E701" s="205"/>
      <c r="F701" s="117"/>
      <c r="G701" s="117"/>
      <c r="H701" s="203"/>
      <c r="I701" s="203"/>
      <c r="J701" s="203"/>
      <c r="K701" s="203"/>
      <c r="L701" s="203"/>
      <c r="M701" s="203"/>
      <c r="N701" s="203"/>
      <c r="O701" s="117"/>
      <c r="P701" s="117"/>
      <c r="Q701" s="117"/>
      <c r="R701" s="117"/>
      <c r="S701" s="117"/>
      <c r="T701" s="117"/>
      <c r="U701" s="216"/>
      <c r="V701" s="216"/>
      <c r="W701" s="216"/>
      <c r="X701" s="216"/>
      <c r="Y701" s="216"/>
      <c r="Z701" s="216"/>
      <c r="AA701" s="216"/>
      <c r="AB701" s="216"/>
      <c r="AC701" s="216"/>
      <c r="AD701" s="216"/>
      <c r="AE701" s="216"/>
      <c r="AF701" s="216"/>
      <c r="AG701" s="216"/>
      <c r="AH701" s="216"/>
      <c r="AI701" s="215"/>
      <c r="AJ701" s="215"/>
      <c r="AK701" s="215"/>
      <c r="AL701" s="215"/>
      <c r="AM701" s="204"/>
      <c r="AN701" s="117"/>
    </row>
    <row r="702" spans="1:40" s="209" customFormat="1" ht="14">
      <c r="A702" s="197"/>
      <c r="B702" s="205"/>
      <c r="C702" s="198"/>
      <c r="D702" s="205"/>
      <c r="E702" s="205"/>
      <c r="F702" s="117"/>
      <c r="G702" s="117"/>
      <c r="H702" s="203"/>
      <c r="I702" s="203"/>
      <c r="J702" s="203"/>
      <c r="K702" s="203"/>
      <c r="L702" s="203"/>
      <c r="M702" s="203"/>
      <c r="N702" s="203"/>
      <c r="O702" s="117"/>
      <c r="P702" s="117"/>
      <c r="Q702" s="117"/>
      <c r="R702" s="117"/>
      <c r="S702" s="117"/>
      <c r="T702" s="117"/>
      <c r="U702" s="216"/>
      <c r="V702" s="216"/>
      <c r="W702" s="216"/>
      <c r="X702" s="216"/>
      <c r="Y702" s="216"/>
      <c r="Z702" s="216"/>
      <c r="AA702" s="216"/>
      <c r="AB702" s="216"/>
      <c r="AC702" s="216"/>
      <c r="AD702" s="216"/>
      <c r="AE702" s="216"/>
      <c r="AF702" s="216"/>
      <c r="AG702" s="216"/>
      <c r="AH702" s="216"/>
      <c r="AI702" s="215"/>
      <c r="AJ702" s="215"/>
      <c r="AK702" s="215"/>
      <c r="AL702" s="215"/>
      <c r="AM702" s="204"/>
      <c r="AN702" s="117"/>
    </row>
    <row r="703" spans="1:40" s="209" customFormat="1" ht="14">
      <c r="A703" s="197"/>
      <c r="B703" s="205"/>
      <c r="C703" s="198"/>
      <c r="D703" s="205"/>
      <c r="E703" s="205"/>
      <c r="F703" s="117"/>
      <c r="G703" s="117"/>
      <c r="H703" s="203"/>
      <c r="I703" s="203"/>
      <c r="J703" s="203"/>
      <c r="K703" s="203"/>
      <c r="L703" s="203"/>
      <c r="M703" s="203"/>
      <c r="N703" s="203"/>
      <c r="O703" s="117"/>
      <c r="P703" s="117"/>
      <c r="Q703" s="117"/>
      <c r="R703" s="117"/>
      <c r="S703" s="117"/>
      <c r="T703" s="117"/>
      <c r="U703" s="216"/>
      <c r="V703" s="216"/>
      <c r="W703" s="216"/>
      <c r="X703" s="216"/>
      <c r="Y703" s="216"/>
      <c r="Z703" s="216"/>
      <c r="AA703" s="216"/>
      <c r="AB703" s="216"/>
      <c r="AC703" s="216"/>
      <c r="AD703" s="216"/>
      <c r="AE703" s="216"/>
      <c r="AF703" s="216"/>
      <c r="AG703" s="216"/>
      <c r="AH703" s="216"/>
      <c r="AI703" s="215"/>
      <c r="AJ703" s="215"/>
      <c r="AK703" s="215"/>
      <c r="AL703" s="215"/>
      <c r="AM703" s="204"/>
      <c r="AN703" s="117"/>
    </row>
    <row r="704" spans="1:40" s="209" customFormat="1" ht="14">
      <c r="A704" s="197"/>
      <c r="B704" s="205"/>
      <c r="C704" s="198"/>
      <c r="D704" s="205"/>
      <c r="E704" s="205"/>
      <c r="F704" s="117"/>
      <c r="G704" s="117"/>
      <c r="H704" s="203"/>
      <c r="I704" s="203"/>
      <c r="J704" s="203"/>
      <c r="K704" s="203"/>
      <c r="L704" s="203"/>
      <c r="M704" s="203"/>
      <c r="N704" s="203"/>
      <c r="O704" s="117"/>
      <c r="P704" s="117"/>
      <c r="Q704" s="117"/>
      <c r="R704" s="117"/>
      <c r="S704" s="117"/>
      <c r="T704" s="117"/>
      <c r="U704" s="216"/>
      <c r="V704" s="216"/>
      <c r="W704" s="216"/>
      <c r="X704" s="216"/>
      <c r="Y704" s="216"/>
      <c r="Z704" s="216"/>
      <c r="AA704" s="216"/>
      <c r="AB704" s="216"/>
      <c r="AC704" s="216"/>
      <c r="AD704" s="216"/>
      <c r="AE704" s="216"/>
      <c r="AF704" s="216"/>
      <c r="AG704" s="216"/>
      <c r="AH704" s="216"/>
      <c r="AI704" s="215"/>
      <c r="AJ704" s="215"/>
      <c r="AK704" s="215"/>
      <c r="AL704" s="215"/>
      <c r="AM704" s="204"/>
      <c r="AN704" s="117"/>
    </row>
    <row r="705" spans="1:40" s="209" customFormat="1" ht="14">
      <c r="A705" s="197"/>
      <c r="B705" s="205"/>
      <c r="C705" s="198"/>
      <c r="D705" s="205"/>
      <c r="E705" s="205"/>
      <c r="F705" s="117"/>
      <c r="G705" s="117"/>
      <c r="H705" s="203"/>
      <c r="I705" s="203"/>
      <c r="J705" s="203"/>
      <c r="K705" s="203"/>
      <c r="L705" s="203"/>
      <c r="M705" s="203"/>
      <c r="N705" s="203"/>
      <c r="O705" s="117"/>
      <c r="P705" s="117"/>
      <c r="Q705" s="117"/>
      <c r="R705" s="117"/>
      <c r="S705" s="117"/>
      <c r="T705" s="117"/>
      <c r="U705" s="216"/>
      <c r="V705" s="216"/>
      <c r="W705" s="216"/>
      <c r="X705" s="216"/>
      <c r="Y705" s="216"/>
      <c r="Z705" s="216"/>
      <c r="AA705" s="216"/>
      <c r="AB705" s="216"/>
      <c r="AC705" s="216"/>
      <c r="AD705" s="216"/>
      <c r="AE705" s="216"/>
      <c r="AF705" s="216"/>
      <c r="AG705" s="216"/>
      <c r="AH705" s="216"/>
      <c r="AI705" s="215"/>
      <c r="AJ705" s="215"/>
      <c r="AK705" s="215"/>
      <c r="AL705" s="215"/>
      <c r="AM705" s="204"/>
      <c r="AN705" s="117"/>
    </row>
    <row r="706" spans="1:40" s="209" customFormat="1" ht="14">
      <c r="A706" s="197"/>
      <c r="B706" s="205"/>
      <c r="C706" s="198"/>
      <c r="D706" s="205"/>
      <c r="E706" s="205"/>
      <c r="F706" s="117"/>
      <c r="G706" s="117"/>
      <c r="H706" s="203"/>
      <c r="I706" s="203"/>
      <c r="J706" s="203"/>
      <c r="K706" s="203"/>
      <c r="L706" s="203"/>
      <c r="M706" s="203"/>
      <c r="N706" s="203"/>
      <c r="O706" s="117"/>
      <c r="P706" s="117"/>
      <c r="Q706" s="117"/>
      <c r="R706" s="117"/>
      <c r="S706" s="117"/>
      <c r="T706" s="117"/>
      <c r="U706" s="216"/>
      <c r="V706" s="216"/>
      <c r="W706" s="216"/>
      <c r="X706" s="216"/>
      <c r="Y706" s="216"/>
      <c r="Z706" s="216"/>
      <c r="AA706" s="216"/>
      <c r="AB706" s="216"/>
      <c r="AC706" s="216"/>
      <c r="AD706" s="216"/>
      <c r="AE706" s="216"/>
      <c r="AF706" s="216"/>
      <c r="AG706" s="216"/>
      <c r="AH706" s="216"/>
      <c r="AI706" s="215"/>
      <c r="AJ706" s="215"/>
      <c r="AK706" s="215"/>
      <c r="AL706" s="215"/>
      <c r="AM706" s="204"/>
      <c r="AN706" s="117"/>
    </row>
    <row r="707" spans="1:40" s="209" customFormat="1" ht="14">
      <c r="A707" s="197"/>
      <c r="B707" s="205"/>
      <c r="C707" s="198"/>
      <c r="D707" s="205"/>
      <c r="E707" s="205"/>
      <c r="F707" s="117"/>
      <c r="G707" s="117"/>
      <c r="H707" s="203"/>
      <c r="I707" s="203"/>
      <c r="J707" s="203"/>
      <c r="K707" s="203"/>
      <c r="L707" s="203"/>
      <c r="M707" s="203"/>
      <c r="N707" s="203"/>
      <c r="O707" s="117"/>
      <c r="P707" s="117"/>
      <c r="Q707" s="117"/>
      <c r="R707" s="117"/>
      <c r="S707" s="117"/>
      <c r="T707" s="117"/>
      <c r="U707" s="216"/>
      <c r="V707" s="216"/>
      <c r="W707" s="216"/>
      <c r="X707" s="216"/>
      <c r="Y707" s="216"/>
      <c r="Z707" s="216"/>
      <c r="AA707" s="216"/>
      <c r="AB707" s="216"/>
      <c r="AC707" s="216"/>
      <c r="AD707" s="216"/>
      <c r="AE707" s="216"/>
      <c r="AF707" s="216"/>
      <c r="AG707" s="216"/>
      <c r="AH707" s="216"/>
      <c r="AI707" s="215"/>
      <c r="AJ707" s="215"/>
      <c r="AK707" s="215"/>
      <c r="AL707" s="215"/>
      <c r="AM707" s="204"/>
      <c r="AN707" s="117"/>
    </row>
    <row r="708" spans="1:40" s="209" customFormat="1" ht="14">
      <c r="A708" s="197"/>
      <c r="B708" s="205"/>
      <c r="C708" s="198"/>
      <c r="D708" s="205"/>
      <c r="E708" s="205"/>
      <c r="F708" s="117"/>
      <c r="G708" s="117"/>
      <c r="H708" s="203"/>
      <c r="I708" s="203"/>
      <c r="J708" s="203"/>
      <c r="K708" s="203"/>
      <c r="L708" s="203"/>
      <c r="M708" s="203"/>
      <c r="N708" s="203"/>
      <c r="O708" s="117"/>
      <c r="P708" s="117"/>
      <c r="Q708" s="117"/>
      <c r="R708" s="117"/>
      <c r="S708" s="117"/>
      <c r="T708" s="117"/>
      <c r="U708" s="216"/>
      <c r="V708" s="216"/>
      <c r="W708" s="216"/>
      <c r="X708" s="216"/>
      <c r="Y708" s="216"/>
      <c r="Z708" s="216"/>
      <c r="AA708" s="216"/>
      <c r="AB708" s="216"/>
      <c r="AC708" s="216"/>
      <c r="AD708" s="216"/>
      <c r="AE708" s="216"/>
      <c r="AF708" s="216"/>
      <c r="AG708" s="216"/>
      <c r="AH708" s="216"/>
      <c r="AI708" s="215"/>
      <c r="AJ708" s="215"/>
      <c r="AK708" s="215"/>
      <c r="AL708" s="215"/>
      <c r="AM708" s="204"/>
      <c r="AN708" s="117"/>
    </row>
    <row r="709" spans="1:40" s="209" customFormat="1" ht="14">
      <c r="A709" s="197"/>
      <c r="B709" s="205"/>
      <c r="C709" s="198"/>
      <c r="D709" s="205"/>
      <c r="E709" s="205"/>
      <c r="F709" s="117"/>
      <c r="G709" s="117"/>
      <c r="H709" s="203"/>
      <c r="I709" s="203"/>
      <c r="J709" s="203"/>
      <c r="K709" s="203"/>
      <c r="L709" s="203"/>
      <c r="M709" s="203"/>
      <c r="N709" s="203"/>
      <c r="O709" s="117"/>
      <c r="P709" s="117"/>
      <c r="Q709" s="117"/>
      <c r="R709" s="117"/>
      <c r="S709" s="117"/>
      <c r="T709" s="117"/>
      <c r="U709" s="216"/>
      <c r="V709" s="216"/>
      <c r="W709" s="216"/>
      <c r="X709" s="216"/>
      <c r="Y709" s="216"/>
      <c r="Z709" s="216"/>
      <c r="AA709" s="216"/>
      <c r="AB709" s="216"/>
      <c r="AC709" s="216"/>
      <c r="AD709" s="216"/>
      <c r="AE709" s="216"/>
      <c r="AF709" s="216"/>
      <c r="AG709" s="216"/>
      <c r="AH709" s="216"/>
      <c r="AI709" s="215"/>
      <c r="AJ709" s="215"/>
      <c r="AK709" s="215"/>
      <c r="AL709" s="215"/>
      <c r="AM709" s="204"/>
      <c r="AN709" s="117"/>
    </row>
    <row r="710" spans="1:40" s="209" customFormat="1" ht="14">
      <c r="A710" s="197"/>
      <c r="B710" s="205"/>
      <c r="C710" s="198"/>
      <c r="D710" s="205"/>
      <c r="E710" s="205"/>
      <c r="F710" s="117"/>
      <c r="G710" s="117"/>
      <c r="H710" s="203"/>
      <c r="I710" s="203"/>
      <c r="J710" s="203"/>
      <c r="K710" s="203"/>
      <c r="L710" s="203"/>
      <c r="M710" s="203"/>
      <c r="N710" s="203"/>
      <c r="O710" s="117"/>
      <c r="P710" s="117"/>
      <c r="Q710" s="117"/>
      <c r="R710" s="117"/>
      <c r="S710" s="117"/>
      <c r="T710" s="117"/>
      <c r="U710" s="216"/>
      <c r="V710" s="216"/>
      <c r="W710" s="216"/>
      <c r="X710" s="216"/>
      <c r="Y710" s="216"/>
      <c r="Z710" s="216"/>
      <c r="AA710" s="216"/>
      <c r="AB710" s="216"/>
      <c r="AC710" s="216"/>
      <c r="AD710" s="216"/>
      <c r="AE710" s="216"/>
      <c r="AF710" s="216"/>
      <c r="AG710" s="216"/>
      <c r="AH710" s="216"/>
      <c r="AI710" s="215"/>
      <c r="AJ710" s="215"/>
      <c r="AK710" s="215"/>
      <c r="AL710" s="215"/>
      <c r="AM710" s="204"/>
      <c r="AN710" s="117"/>
    </row>
    <row r="711" spans="1:40" s="209" customFormat="1" ht="14">
      <c r="A711" s="197"/>
      <c r="B711" s="205"/>
      <c r="C711" s="198"/>
      <c r="D711" s="205"/>
      <c r="E711" s="205"/>
      <c r="F711" s="117"/>
      <c r="G711" s="117"/>
      <c r="H711" s="203"/>
      <c r="I711" s="203"/>
      <c r="J711" s="203"/>
      <c r="K711" s="203"/>
      <c r="L711" s="203"/>
      <c r="M711" s="203"/>
      <c r="N711" s="203"/>
      <c r="O711" s="117"/>
      <c r="P711" s="117"/>
      <c r="Q711" s="117"/>
      <c r="R711" s="117"/>
      <c r="S711" s="117"/>
      <c r="T711" s="117"/>
      <c r="U711" s="216"/>
      <c r="V711" s="216"/>
      <c r="W711" s="216"/>
      <c r="X711" s="216"/>
      <c r="Y711" s="216"/>
      <c r="Z711" s="216"/>
      <c r="AA711" s="216"/>
      <c r="AB711" s="216"/>
      <c r="AC711" s="216"/>
      <c r="AD711" s="216"/>
      <c r="AE711" s="216"/>
      <c r="AF711" s="216"/>
      <c r="AG711" s="216"/>
      <c r="AH711" s="216"/>
      <c r="AI711" s="215"/>
      <c r="AJ711" s="215"/>
      <c r="AK711" s="215"/>
      <c r="AL711" s="215"/>
      <c r="AM711" s="204"/>
      <c r="AN711" s="117"/>
    </row>
    <row r="712" spans="1:40" s="209" customFormat="1" ht="14">
      <c r="A712" s="197"/>
      <c r="B712" s="205"/>
      <c r="C712" s="198"/>
      <c r="D712" s="205"/>
      <c r="E712" s="205"/>
      <c r="F712" s="117"/>
      <c r="G712" s="117"/>
      <c r="H712" s="203"/>
      <c r="I712" s="203"/>
      <c r="J712" s="203"/>
      <c r="K712" s="203"/>
      <c r="L712" s="203"/>
      <c r="M712" s="203"/>
      <c r="N712" s="203"/>
      <c r="O712" s="117"/>
      <c r="P712" s="117"/>
      <c r="Q712" s="117"/>
      <c r="R712" s="117"/>
      <c r="S712" s="117"/>
      <c r="T712" s="117"/>
      <c r="U712" s="216"/>
      <c r="V712" s="216"/>
      <c r="W712" s="216"/>
      <c r="X712" s="216"/>
      <c r="Y712" s="216"/>
      <c r="Z712" s="216"/>
      <c r="AA712" s="216"/>
      <c r="AB712" s="216"/>
      <c r="AC712" s="216"/>
      <c r="AD712" s="216"/>
      <c r="AE712" s="216"/>
      <c r="AF712" s="216"/>
      <c r="AG712" s="216"/>
      <c r="AH712" s="216"/>
      <c r="AI712" s="215"/>
      <c r="AJ712" s="215"/>
      <c r="AK712" s="215"/>
      <c r="AL712" s="215"/>
      <c r="AM712" s="204"/>
      <c r="AN712" s="117"/>
    </row>
    <row r="713" spans="1:40" s="209" customFormat="1" ht="14">
      <c r="A713" s="197"/>
      <c r="B713" s="205"/>
      <c r="C713" s="198"/>
      <c r="D713" s="205"/>
      <c r="E713" s="205"/>
      <c r="F713" s="117"/>
      <c r="G713" s="117"/>
      <c r="H713" s="203"/>
      <c r="I713" s="203"/>
      <c r="J713" s="203"/>
      <c r="K713" s="203"/>
      <c r="L713" s="203"/>
      <c r="M713" s="203"/>
      <c r="N713" s="203"/>
      <c r="O713" s="117"/>
      <c r="P713" s="117"/>
      <c r="Q713" s="117"/>
      <c r="R713" s="117"/>
      <c r="S713" s="117"/>
      <c r="T713" s="117"/>
      <c r="U713" s="216"/>
      <c r="V713" s="216"/>
      <c r="W713" s="216"/>
      <c r="X713" s="216"/>
      <c r="Y713" s="216"/>
      <c r="Z713" s="216"/>
      <c r="AA713" s="216"/>
      <c r="AB713" s="216"/>
      <c r="AC713" s="216"/>
      <c r="AD713" s="216"/>
      <c r="AE713" s="216"/>
      <c r="AF713" s="216"/>
      <c r="AG713" s="216"/>
      <c r="AH713" s="216"/>
      <c r="AI713" s="215"/>
      <c r="AJ713" s="215"/>
      <c r="AK713" s="215"/>
      <c r="AL713" s="215"/>
      <c r="AM713" s="204"/>
      <c r="AN713" s="117"/>
    </row>
    <row r="714" spans="1:40" s="209" customFormat="1" ht="14">
      <c r="A714" s="197"/>
      <c r="B714" s="205"/>
      <c r="C714" s="198"/>
      <c r="D714" s="205"/>
      <c r="E714" s="205"/>
      <c r="F714" s="117"/>
      <c r="G714" s="117"/>
      <c r="H714" s="203"/>
      <c r="I714" s="203"/>
      <c r="J714" s="203"/>
      <c r="K714" s="203"/>
      <c r="L714" s="203"/>
      <c r="M714" s="203"/>
      <c r="N714" s="203"/>
      <c r="O714" s="117"/>
      <c r="P714" s="117"/>
      <c r="Q714" s="117"/>
      <c r="R714" s="117"/>
      <c r="S714" s="117"/>
      <c r="T714" s="117"/>
      <c r="U714" s="216"/>
      <c r="V714" s="216"/>
      <c r="W714" s="216"/>
      <c r="X714" s="216"/>
      <c r="Y714" s="216"/>
      <c r="Z714" s="216"/>
      <c r="AA714" s="216"/>
      <c r="AB714" s="216"/>
      <c r="AC714" s="216"/>
      <c r="AD714" s="216"/>
      <c r="AE714" s="216"/>
      <c r="AF714" s="216"/>
      <c r="AG714" s="216"/>
      <c r="AH714" s="216"/>
      <c r="AI714" s="215"/>
      <c r="AJ714" s="215"/>
      <c r="AK714" s="215"/>
      <c r="AL714" s="215"/>
      <c r="AM714" s="204"/>
      <c r="AN714" s="117"/>
    </row>
    <row r="715" spans="1:40" s="209" customFormat="1" ht="14">
      <c r="A715" s="197"/>
      <c r="B715" s="205"/>
      <c r="C715" s="198"/>
      <c r="D715" s="205"/>
      <c r="E715" s="205"/>
      <c r="F715" s="117"/>
      <c r="G715" s="117"/>
      <c r="H715" s="203"/>
      <c r="I715" s="203"/>
      <c r="J715" s="203"/>
      <c r="K715" s="203"/>
      <c r="L715" s="203"/>
      <c r="M715" s="203"/>
      <c r="N715" s="203"/>
      <c r="O715" s="117"/>
      <c r="P715" s="117"/>
      <c r="Q715" s="117"/>
      <c r="R715" s="117"/>
      <c r="S715" s="117"/>
      <c r="T715" s="117"/>
      <c r="U715" s="216"/>
      <c r="V715" s="216"/>
      <c r="W715" s="216"/>
      <c r="X715" s="216"/>
      <c r="Y715" s="216"/>
      <c r="Z715" s="216"/>
      <c r="AA715" s="216"/>
      <c r="AB715" s="216"/>
      <c r="AC715" s="216"/>
      <c r="AD715" s="216"/>
      <c r="AE715" s="216"/>
      <c r="AF715" s="216"/>
      <c r="AG715" s="216"/>
      <c r="AH715" s="216"/>
      <c r="AI715" s="215"/>
      <c r="AJ715" s="215"/>
      <c r="AK715" s="215"/>
      <c r="AL715" s="215"/>
      <c r="AM715" s="204"/>
      <c r="AN715" s="117"/>
    </row>
    <row r="716" spans="1:40" s="209" customFormat="1" ht="14">
      <c r="A716" s="197"/>
      <c r="B716" s="205"/>
      <c r="C716" s="198"/>
      <c r="D716" s="205"/>
      <c r="E716" s="205"/>
      <c r="F716" s="117"/>
      <c r="G716" s="117"/>
      <c r="H716" s="203"/>
      <c r="I716" s="203"/>
      <c r="J716" s="203"/>
      <c r="K716" s="203"/>
      <c r="L716" s="203"/>
      <c r="M716" s="203"/>
      <c r="N716" s="203"/>
      <c r="O716" s="117"/>
      <c r="P716" s="117"/>
      <c r="Q716" s="117"/>
      <c r="R716" s="117"/>
      <c r="S716" s="117"/>
      <c r="T716" s="117"/>
      <c r="U716" s="216"/>
      <c r="V716" s="216"/>
      <c r="W716" s="216"/>
      <c r="X716" s="216"/>
      <c r="Y716" s="216"/>
      <c r="Z716" s="216"/>
      <c r="AA716" s="216"/>
      <c r="AB716" s="216"/>
      <c r="AC716" s="216"/>
      <c r="AD716" s="216"/>
      <c r="AE716" s="216"/>
      <c r="AF716" s="216"/>
      <c r="AG716" s="216"/>
      <c r="AH716" s="216"/>
      <c r="AI716" s="215"/>
      <c r="AJ716" s="215"/>
      <c r="AK716" s="215"/>
      <c r="AL716" s="215"/>
      <c r="AM716" s="204"/>
      <c r="AN716" s="117"/>
    </row>
    <row r="717" spans="1:40" s="209" customFormat="1" ht="14">
      <c r="A717" s="197"/>
      <c r="B717" s="205"/>
      <c r="C717" s="198"/>
      <c r="D717" s="205"/>
      <c r="E717" s="205"/>
      <c r="F717" s="117"/>
      <c r="G717" s="117"/>
      <c r="H717" s="203"/>
      <c r="I717" s="203"/>
      <c r="J717" s="203"/>
      <c r="K717" s="203"/>
      <c r="L717" s="203"/>
      <c r="M717" s="203"/>
      <c r="N717" s="203"/>
      <c r="O717" s="117"/>
      <c r="P717" s="117"/>
      <c r="Q717" s="117"/>
      <c r="R717" s="117"/>
      <c r="S717" s="117"/>
      <c r="T717" s="117"/>
      <c r="U717" s="216"/>
      <c r="V717" s="216"/>
      <c r="W717" s="216"/>
      <c r="X717" s="216"/>
      <c r="Y717" s="216"/>
      <c r="Z717" s="216"/>
      <c r="AA717" s="216"/>
      <c r="AB717" s="216"/>
      <c r="AC717" s="216"/>
      <c r="AD717" s="216"/>
      <c r="AE717" s="216"/>
      <c r="AF717" s="216"/>
      <c r="AG717" s="216"/>
      <c r="AH717" s="216"/>
      <c r="AI717" s="215"/>
      <c r="AJ717" s="215"/>
      <c r="AK717" s="215"/>
      <c r="AL717" s="215"/>
      <c r="AM717" s="204"/>
      <c r="AN717" s="117"/>
    </row>
    <row r="718" spans="1:40" s="209" customFormat="1" ht="14">
      <c r="A718" s="197"/>
      <c r="B718" s="205"/>
      <c r="C718" s="198"/>
      <c r="D718" s="205"/>
      <c r="E718" s="205"/>
      <c r="F718" s="117"/>
      <c r="G718" s="117"/>
      <c r="H718" s="203"/>
      <c r="I718" s="203"/>
      <c r="J718" s="203"/>
      <c r="K718" s="203"/>
      <c r="L718" s="203"/>
      <c r="M718" s="203"/>
      <c r="N718" s="203"/>
      <c r="O718" s="117"/>
      <c r="P718" s="117"/>
      <c r="Q718" s="117"/>
      <c r="R718" s="117"/>
      <c r="S718" s="117"/>
      <c r="T718" s="117"/>
      <c r="U718" s="216"/>
      <c r="V718" s="216"/>
      <c r="W718" s="216"/>
      <c r="X718" s="216"/>
      <c r="Y718" s="216"/>
      <c r="Z718" s="216"/>
      <c r="AA718" s="216"/>
      <c r="AB718" s="216"/>
      <c r="AC718" s="216"/>
      <c r="AD718" s="216"/>
      <c r="AE718" s="216"/>
      <c r="AF718" s="216"/>
      <c r="AG718" s="216"/>
      <c r="AH718" s="216"/>
      <c r="AI718" s="215"/>
      <c r="AJ718" s="215"/>
      <c r="AK718" s="215"/>
      <c r="AL718" s="215"/>
      <c r="AM718" s="204"/>
      <c r="AN718" s="117"/>
    </row>
    <row r="719" spans="1:40" s="209" customFormat="1" ht="14">
      <c r="A719" s="197"/>
      <c r="B719" s="205"/>
      <c r="C719" s="198"/>
      <c r="D719" s="205"/>
      <c r="E719" s="205"/>
      <c r="F719" s="117"/>
      <c r="G719" s="117"/>
      <c r="H719" s="203"/>
      <c r="I719" s="203"/>
      <c r="J719" s="203"/>
      <c r="K719" s="203"/>
      <c r="L719" s="203"/>
      <c r="M719" s="203"/>
      <c r="N719" s="203"/>
      <c r="O719" s="117"/>
      <c r="P719" s="117"/>
      <c r="Q719" s="117"/>
      <c r="R719" s="117"/>
      <c r="S719" s="117"/>
      <c r="T719" s="117"/>
      <c r="U719" s="216"/>
      <c r="V719" s="216"/>
      <c r="W719" s="216"/>
      <c r="X719" s="216"/>
      <c r="Y719" s="216"/>
      <c r="Z719" s="216"/>
      <c r="AA719" s="216"/>
      <c r="AB719" s="216"/>
      <c r="AC719" s="216"/>
      <c r="AD719" s="216"/>
      <c r="AE719" s="216"/>
      <c r="AF719" s="216"/>
      <c r="AG719" s="216"/>
      <c r="AH719" s="216"/>
      <c r="AI719" s="215"/>
      <c r="AJ719" s="215"/>
      <c r="AK719" s="215"/>
      <c r="AL719" s="215"/>
      <c r="AM719" s="204"/>
      <c r="AN719" s="117"/>
    </row>
    <row r="720" spans="1:40" s="209" customFormat="1" ht="14">
      <c r="A720" s="197"/>
      <c r="B720" s="205"/>
      <c r="C720" s="198"/>
      <c r="D720" s="205"/>
      <c r="E720" s="205"/>
      <c r="F720" s="117"/>
      <c r="G720" s="117"/>
      <c r="H720" s="203"/>
      <c r="I720" s="203"/>
      <c r="J720" s="203"/>
      <c r="K720" s="203"/>
      <c r="L720" s="203"/>
      <c r="M720" s="203"/>
      <c r="N720" s="203"/>
      <c r="O720" s="117"/>
      <c r="P720" s="117"/>
      <c r="Q720" s="117"/>
      <c r="R720" s="117"/>
      <c r="S720" s="117"/>
      <c r="T720" s="117"/>
      <c r="U720" s="216"/>
      <c r="V720" s="216"/>
      <c r="W720" s="216"/>
      <c r="X720" s="216"/>
      <c r="Y720" s="216"/>
      <c r="Z720" s="216"/>
      <c r="AA720" s="216"/>
      <c r="AB720" s="216"/>
      <c r="AC720" s="216"/>
      <c r="AD720" s="216"/>
      <c r="AE720" s="216"/>
      <c r="AF720" s="216"/>
      <c r="AG720" s="216"/>
      <c r="AH720" s="216"/>
      <c r="AI720" s="215"/>
      <c r="AJ720" s="215"/>
      <c r="AK720" s="215"/>
      <c r="AL720" s="215"/>
      <c r="AM720" s="204"/>
      <c r="AN720" s="117"/>
    </row>
    <row r="721" spans="1:40" s="209" customFormat="1" ht="14">
      <c r="A721" s="197"/>
      <c r="B721" s="205"/>
      <c r="C721" s="198"/>
      <c r="D721" s="205"/>
      <c r="E721" s="205"/>
      <c r="F721" s="117"/>
      <c r="G721" s="117"/>
      <c r="H721" s="203"/>
      <c r="I721" s="203"/>
      <c r="J721" s="203"/>
      <c r="K721" s="203"/>
      <c r="L721" s="203"/>
      <c r="M721" s="203"/>
      <c r="N721" s="203"/>
      <c r="O721" s="117"/>
      <c r="P721" s="117"/>
      <c r="Q721" s="117"/>
      <c r="R721" s="117"/>
      <c r="S721" s="117"/>
      <c r="T721" s="117"/>
      <c r="U721" s="216"/>
      <c r="V721" s="216"/>
      <c r="W721" s="216"/>
      <c r="X721" s="216"/>
      <c r="Y721" s="216"/>
      <c r="Z721" s="216"/>
      <c r="AA721" s="216"/>
      <c r="AB721" s="216"/>
      <c r="AC721" s="216"/>
      <c r="AD721" s="216"/>
      <c r="AE721" s="216"/>
      <c r="AF721" s="216"/>
      <c r="AG721" s="216"/>
      <c r="AH721" s="216"/>
      <c r="AI721" s="215"/>
      <c r="AJ721" s="215"/>
      <c r="AK721" s="215"/>
      <c r="AL721" s="215"/>
      <c r="AM721" s="204"/>
      <c r="AN721" s="117"/>
    </row>
    <row r="722" spans="1:40" s="209" customFormat="1" ht="14">
      <c r="A722" s="197"/>
      <c r="B722" s="205"/>
      <c r="C722" s="198"/>
      <c r="D722" s="205"/>
      <c r="E722" s="205"/>
      <c r="F722" s="117"/>
      <c r="G722" s="117"/>
      <c r="H722" s="203"/>
      <c r="I722" s="203"/>
      <c r="J722" s="203"/>
      <c r="K722" s="203"/>
      <c r="L722" s="203"/>
      <c r="M722" s="203"/>
      <c r="N722" s="203"/>
      <c r="O722" s="117"/>
      <c r="P722" s="117"/>
      <c r="Q722" s="117"/>
      <c r="R722" s="117"/>
      <c r="S722" s="117"/>
      <c r="T722" s="117"/>
      <c r="U722" s="216"/>
      <c r="V722" s="216"/>
      <c r="W722" s="216"/>
      <c r="X722" s="216"/>
      <c r="Y722" s="216"/>
      <c r="Z722" s="216"/>
      <c r="AA722" s="216"/>
      <c r="AB722" s="216"/>
      <c r="AC722" s="216"/>
      <c r="AD722" s="216"/>
      <c r="AE722" s="216"/>
      <c r="AF722" s="216"/>
      <c r="AG722" s="216"/>
      <c r="AH722" s="216"/>
      <c r="AI722" s="215"/>
      <c r="AJ722" s="215"/>
      <c r="AK722" s="215"/>
      <c r="AL722" s="215"/>
      <c r="AM722" s="204"/>
      <c r="AN722" s="117"/>
    </row>
    <row r="723" spans="1:40" s="209" customFormat="1" ht="14">
      <c r="A723" s="197"/>
      <c r="B723" s="205"/>
      <c r="C723" s="198"/>
      <c r="D723" s="205"/>
      <c r="E723" s="205"/>
      <c r="F723" s="117"/>
      <c r="G723" s="117"/>
      <c r="H723" s="203"/>
      <c r="I723" s="203"/>
      <c r="J723" s="203"/>
      <c r="K723" s="203"/>
      <c r="L723" s="203"/>
      <c r="M723" s="203"/>
      <c r="N723" s="203"/>
      <c r="O723" s="117"/>
      <c r="P723" s="117"/>
      <c r="Q723" s="117"/>
      <c r="R723" s="117"/>
      <c r="S723" s="117"/>
      <c r="T723" s="117"/>
      <c r="U723" s="216"/>
      <c r="V723" s="216"/>
      <c r="W723" s="216"/>
      <c r="X723" s="216"/>
      <c r="Y723" s="216"/>
      <c r="Z723" s="216"/>
      <c r="AA723" s="216"/>
      <c r="AB723" s="216"/>
      <c r="AC723" s="216"/>
      <c r="AD723" s="216"/>
      <c r="AE723" s="216"/>
      <c r="AF723" s="216"/>
      <c r="AG723" s="216"/>
      <c r="AH723" s="216"/>
      <c r="AI723" s="215"/>
      <c r="AJ723" s="215"/>
      <c r="AK723" s="215"/>
      <c r="AL723" s="215"/>
      <c r="AM723" s="204"/>
      <c r="AN723" s="117"/>
    </row>
    <row r="724" spans="1:40" s="209" customFormat="1" ht="14">
      <c r="A724" s="197"/>
      <c r="B724" s="205"/>
      <c r="C724" s="198"/>
      <c r="D724" s="205"/>
      <c r="E724" s="205"/>
      <c r="F724" s="117"/>
      <c r="G724" s="117"/>
      <c r="H724" s="203"/>
      <c r="I724" s="203"/>
      <c r="J724" s="203"/>
      <c r="K724" s="203"/>
      <c r="L724" s="203"/>
      <c r="M724" s="203"/>
      <c r="N724" s="203"/>
      <c r="O724" s="117"/>
      <c r="P724" s="117"/>
      <c r="Q724" s="117"/>
      <c r="R724" s="117"/>
      <c r="S724" s="117"/>
      <c r="T724" s="117"/>
      <c r="U724" s="216"/>
      <c r="V724" s="216"/>
      <c r="W724" s="216"/>
      <c r="X724" s="216"/>
      <c r="Y724" s="216"/>
      <c r="Z724" s="216"/>
      <c r="AA724" s="216"/>
      <c r="AB724" s="216"/>
      <c r="AC724" s="216"/>
      <c r="AD724" s="216"/>
      <c r="AE724" s="216"/>
      <c r="AF724" s="216"/>
      <c r="AG724" s="216"/>
      <c r="AH724" s="216"/>
      <c r="AI724" s="215"/>
      <c r="AJ724" s="215"/>
      <c r="AK724" s="215"/>
      <c r="AL724" s="215"/>
      <c r="AM724" s="204"/>
      <c r="AN724" s="117"/>
    </row>
    <row r="725" spans="1:40" s="209" customFormat="1" ht="14">
      <c r="A725" s="197"/>
      <c r="B725" s="205"/>
      <c r="C725" s="198"/>
      <c r="D725" s="205"/>
      <c r="E725" s="205"/>
      <c r="F725" s="117"/>
      <c r="G725" s="117"/>
      <c r="H725" s="203"/>
      <c r="I725" s="203"/>
      <c r="J725" s="203"/>
      <c r="K725" s="203"/>
      <c r="L725" s="203"/>
      <c r="M725" s="203"/>
      <c r="N725" s="203"/>
      <c r="O725" s="117"/>
      <c r="P725" s="117"/>
      <c r="Q725" s="117"/>
      <c r="R725" s="117"/>
      <c r="S725" s="117"/>
      <c r="T725" s="117"/>
      <c r="U725" s="216"/>
      <c r="V725" s="216"/>
      <c r="W725" s="216"/>
      <c r="X725" s="216"/>
      <c r="Y725" s="216"/>
      <c r="Z725" s="216"/>
      <c r="AA725" s="216"/>
      <c r="AB725" s="216"/>
      <c r="AC725" s="216"/>
      <c r="AD725" s="216"/>
      <c r="AE725" s="216"/>
      <c r="AF725" s="216"/>
      <c r="AG725" s="216"/>
      <c r="AH725" s="216"/>
      <c r="AI725" s="215"/>
      <c r="AJ725" s="215"/>
      <c r="AK725" s="215"/>
      <c r="AL725" s="215"/>
      <c r="AM725" s="204"/>
      <c r="AN725" s="117"/>
    </row>
    <row r="726" spans="1:40" s="209" customFormat="1" ht="14">
      <c r="A726" s="197"/>
      <c r="B726" s="205"/>
      <c r="C726" s="198"/>
      <c r="D726" s="205"/>
      <c r="E726" s="205"/>
      <c r="F726" s="117"/>
      <c r="G726" s="117"/>
      <c r="H726" s="203"/>
      <c r="I726" s="203"/>
      <c r="J726" s="203"/>
      <c r="K726" s="203"/>
      <c r="L726" s="203"/>
      <c r="M726" s="203"/>
      <c r="N726" s="203"/>
      <c r="O726" s="117"/>
      <c r="P726" s="117"/>
      <c r="Q726" s="117"/>
      <c r="R726" s="117"/>
      <c r="S726" s="117"/>
      <c r="T726" s="117"/>
      <c r="U726" s="216"/>
      <c r="V726" s="216"/>
      <c r="W726" s="216"/>
      <c r="X726" s="216"/>
      <c r="Y726" s="216"/>
      <c r="Z726" s="216"/>
      <c r="AA726" s="216"/>
      <c r="AB726" s="216"/>
      <c r="AC726" s="216"/>
      <c r="AD726" s="216"/>
      <c r="AE726" s="216"/>
      <c r="AF726" s="216"/>
      <c r="AG726" s="216"/>
      <c r="AH726" s="216"/>
      <c r="AI726" s="215"/>
      <c r="AJ726" s="215"/>
      <c r="AK726" s="215"/>
      <c r="AL726" s="215"/>
      <c r="AM726" s="204"/>
      <c r="AN726" s="117"/>
    </row>
    <row r="727" spans="1:40" s="209" customFormat="1" ht="14">
      <c r="A727" s="197"/>
      <c r="B727" s="205"/>
      <c r="C727" s="198"/>
      <c r="D727" s="205"/>
      <c r="E727" s="205"/>
      <c r="F727" s="117"/>
      <c r="G727" s="117"/>
      <c r="H727" s="203"/>
      <c r="I727" s="203"/>
      <c r="J727" s="203"/>
      <c r="K727" s="203"/>
      <c r="L727" s="203"/>
      <c r="M727" s="203"/>
      <c r="N727" s="203"/>
      <c r="O727" s="117"/>
      <c r="P727" s="117"/>
      <c r="Q727" s="117"/>
      <c r="R727" s="117"/>
      <c r="S727" s="117"/>
      <c r="T727" s="117"/>
      <c r="U727" s="216"/>
      <c r="V727" s="216"/>
      <c r="W727" s="216"/>
      <c r="X727" s="216"/>
      <c r="Y727" s="216"/>
      <c r="Z727" s="216"/>
      <c r="AA727" s="216"/>
      <c r="AB727" s="216"/>
      <c r="AC727" s="216"/>
      <c r="AD727" s="216"/>
      <c r="AE727" s="216"/>
      <c r="AF727" s="216"/>
      <c r="AG727" s="216"/>
      <c r="AH727" s="216"/>
      <c r="AI727" s="215"/>
      <c r="AJ727" s="215"/>
      <c r="AK727" s="215"/>
      <c r="AL727" s="215"/>
      <c r="AM727" s="204"/>
      <c r="AN727" s="117"/>
    </row>
    <row r="728" spans="1:40" s="209" customFormat="1" ht="14">
      <c r="A728" s="197"/>
      <c r="B728" s="205"/>
      <c r="C728" s="198"/>
      <c r="D728" s="205"/>
      <c r="E728" s="205"/>
      <c r="F728" s="117"/>
      <c r="G728" s="117"/>
      <c r="H728" s="203"/>
      <c r="I728" s="203"/>
      <c r="J728" s="203"/>
      <c r="K728" s="203"/>
      <c r="L728" s="203"/>
      <c r="M728" s="203"/>
      <c r="N728" s="203"/>
      <c r="O728" s="117"/>
      <c r="P728" s="117"/>
      <c r="Q728" s="117"/>
      <c r="R728" s="117"/>
      <c r="S728" s="117"/>
      <c r="T728" s="117"/>
      <c r="U728" s="216"/>
      <c r="V728" s="216"/>
      <c r="W728" s="216"/>
      <c r="X728" s="216"/>
      <c r="Y728" s="216"/>
      <c r="Z728" s="216"/>
      <c r="AA728" s="216"/>
      <c r="AB728" s="216"/>
      <c r="AC728" s="216"/>
      <c r="AD728" s="216"/>
      <c r="AE728" s="216"/>
      <c r="AF728" s="216"/>
      <c r="AG728" s="216"/>
      <c r="AH728" s="216"/>
      <c r="AI728" s="215"/>
      <c r="AJ728" s="215"/>
      <c r="AK728" s="215"/>
      <c r="AL728" s="215"/>
      <c r="AM728" s="204"/>
      <c r="AN728" s="117"/>
    </row>
    <row r="729" spans="1:40" s="209" customFormat="1" ht="14">
      <c r="A729" s="197"/>
      <c r="B729" s="205"/>
      <c r="C729" s="198"/>
      <c r="D729" s="205"/>
      <c r="E729" s="205"/>
      <c r="F729" s="117"/>
      <c r="G729" s="117"/>
      <c r="H729" s="203"/>
      <c r="I729" s="203"/>
      <c r="J729" s="203"/>
      <c r="K729" s="203"/>
      <c r="L729" s="203"/>
      <c r="M729" s="203"/>
      <c r="N729" s="203"/>
      <c r="O729" s="117"/>
      <c r="P729" s="117"/>
      <c r="Q729" s="117"/>
      <c r="R729" s="117"/>
      <c r="S729" s="117"/>
      <c r="T729" s="117"/>
      <c r="U729" s="216"/>
      <c r="V729" s="216"/>
      <c r="W729" s="216"/>
      <c r="X729" s="216"/>
      <c r="Y729" s="216"/>
      <c r="Z729" s="216"/>
      <c r="AA729" s="216"/>
      <c r="AB729" s="216"/>
      <c r="AC729" s="216"/>
      <c r="AD729" s="216"/>
      <c r="AE729" s="216"/>
      <c r="AF729" s="216"/>
      <c r="AG729" s="216"/>
      <c r="AH729" s="216"/>
      <c r="AI729" s="215"/>
      <c r="AJ729" s="215"/>
      <c r="AK729" s="215"/>
      <c r="AL729" s="215"/>
      <c r="AM729" s="204"/>
      <c r="AN729" s="117"/>
    </row>
    <row r="730" spans="1:40" s="209" customFormat="1" ht="14">
      <c r="A730" s="197"/>
      <c r="B730" s="205"/>
      <c r="C730" s="198"/>
      <c r="D730" s="205"/>
      <c r="E730" s="205"/>
      <c r="F730" s="117"/>
      <c r="G730" s="117"/>
      <c r="H730" s="203"/>
      <c r="I730" s="203"/>
      <c r="J730" s="203"/>
      <c r="K730" s="203"/>
      <c r="L730" s="203"/>
      <c r="M730" s="203"/>
      <c r="N730" s="203"/>
      <c r="O730" s="117"/>
      <c r="P730" s="117"/>
      <c r="Q730" s="117"/>
      <c r="R730" s="117"/>
      <c r="S730" s="117"/>
      <c r="T730" s="117"/>
      <c r="U730" s="216"/>
      <c r="V730" s="216"/>
      <c r="W730" s="216"/>
      <c r="X730" s="216"/>
      <c r="Y730" s="216"/>
      <c r="Z730" s="216"/>
      <c r="AA730" s="216"/>
      <c r="AB730" s="216"/>
      <c r="AC730" s="216"/>
      <c r="AD730" s="216"/>
      <c r="AE730" s="216"/>
      <c r="AF730" s="216"/>
      <c r="AG730" s="216"/>
      <c r="AH730" s="216"/>
      <c r="AI730" s="215"/>
      <c r="AJ730" s="215"/>
      <c r="AK730" s="215"/>
      <c r="AL730" s="215"/>
      <c r="AM730" s="204"/>
      <c r="AN730" s="117"/>
    </row>
    <row r="731" spans="1:40" s="209" customFormat="1" ht="14">
      <c r="A731" s="197"/>
      <c r="B731" s="205"/>
      <c r="C731" s="198"/>
      <c r="D731" s="205"/>
      <c r="E731" s="205"/>
      <c r="F731" s="117"/>
      <c r="G731" s="117"/>
      <c r="H731" s="203"/>
      <c r="I731" s="203"/>
      <c r="J731" s="203"/>
      <c r="K731" s="203"/>
      <c r="L731" s="203"/>
      <c r="M731" s="203"/>
      <c r="N731" s="203"/>
      <c r="O731" s="117"/>
      <c r="P731" s="117"/>
      <c r="Q731" s="117"/>
      <c r="R731" s="117"/>
      <c r="S731" s="117"/>
      <c r="T731" s="117"/>
      <c r="U731" s="216"/>
      <c r="V731" s="216"/>
      <c r="W731" s="216"/>
      <c r="X731" s="216"/>
      <c r="Y731" s="216"/>
      <c r="Z731" s="216"/>
      <c r="AA731" s="216"/>
      <c r="AB731" s="216"/>
      <c r="AC731" s="216"/>
      <c r="AD731" s="216"/>
      <c r="AE731" s="216"/>
      <c r="AF731" s="216"/>
      <c r="AG731" s="216"/>
      <c r="AH731" s="216"/>
      <c r="AI731" s="215"/>
      <c r="AJ731" s="215"/>
      <c r="AK731" s="215"/>
      <c r="AL731" s="215"/>
      <c r="AM731" s="204"/>
      <c r="AN731" s="117"/>
    </row>
    <row r="732" spans="1:40" s="209" customFormat="1" ht="14">
      <c r="A732" s="197"/>
      <c r="B732" s="205"/>
      <c r="C732" s="198"/>
      <c r="D732" s="205"/>
      <c r="E732" s="205"/>
      <c r="F732" s="117"/>
      <c r="G732" s="117"/>
      <c r="H732" s="203"/>
      <c r="I732" s="203"/>
      <c r="J732" s="203"/>
      <c r="K732" s="203"/>
      <c r="L732" s="203"/>
      <c r="M732" s="203"/>
      <c r="N732" s="203"/>
      <c r="O732" s="117"/>
      <c r="P732" s="117"/>
      <c r="Q732" s="117"/>
      <c r="R732" s="117"/>
      <c r="S732" s="117"/>
      <c r="T732" s="117"/>
      <c r="U732" s="216"/>
      <c r="V732" s="216"/>
      <c r="W732" s="216"/>
      <c r="X732" s="216"/>
      <c r="Y732" s="216"/>
      <c r="Z732" s="216"/>
      <c r="AA732" s="216"/>
      <c r="AB732" s="216"/>
      <c r="AC732" s="216"/>
      <c r="AD732" s="216"/>
      <c r="AE732" s="216"/>
      <c r="AF732" s="216"/>
      <c r="AG732" s="216"/>
      <c r="AH732" s="216"/>
      <c r="AI732" s="215"/>
      <c r="AJ732" s="215"/>
      <c r="AK732" s="215"/>
      <c r="AL732" s="215"/>
      <c r="AM732" s="204"/>
      <c r="AN732" s="117"/>
    </row>
    <row r="733" spans="1:40" s="209" customFormat="1" ht="14">
      <c r="A733" s="197"/>
      <c r="B733" s="205"/>
      <c r="C733" s="198"/>
      <c r="D733" s="205"/>
      <c r="E733" s="205"/>
      <c r="F733" s="117"/>
      <c r="G733" s="117"/>
      <c r="H733" s="203"/>
      <c r="I733" s="203"/>
      <c r="J733" s="203"/>
      <c r="K733" s="203"/>
      <c r="L733" s="203"/>
      <c r="M733" s="203"/>
      <c r="N733" s="203"/>
      <c r="O733" s="117"/>
      <c r="P733" s="117"/>
      <c r="Q733" s="117"/>
      <c r="R733" s="117"/>
      <c r="S733" s="117"/>
      <c r="T733" s="117"/>
      <c r="U733" s="216"/>
      <c r="V733" s="216"/>
      <c r="W733" s="216"/>
      <c r="X733" s="216"/>
      <c r="Y733" s="216"/>
      <c r="Z733" s="216"/>
      <c r="AA733" s="216"/>
      <c r="AB733" s="216"/>
      <c r="AC733" s="216"/>
      <c r="AD733" s="216"/>
      <c r="AE733" s="216"/>
      <c r="AF733" s="216"/>
      <c r="AG733" s="216"/>
      <c r="AH733" s="216"/>
      <c r="AI733" s="215"/>
      <c r="AJ733" s="215"/>
      <c r="AK733" s="215"/>
      <c r="AL733" s="215"/>
      <c r="AM733" s="204"/>
      <c r="AN733" s="117"/>
    </row>
    <row r="734" spans="1:40" s="209" customFormat="1" ht="14">
      <c r="A734" s="197"/>
      <c r="B734" s="205"/>
      <c r="C734" s="198"/>
      <c r="D734" s="205"/>
      <c r="E734" s="205"/>
      <c r="F734" s="117"/>
      <c r="G734" s="117"/>
      <c r="H734" s="203"/>
      <c r="I734" s="203"/>
      <c r="J734" s="203"/>
      <c r="K734" s="203"/>
      <c r="L734" s="203"/>
      <c r="M734" s="203"/>
      <c r="N734" s="203"/>
      <c r="O734" s="117"/>
      <c r="P734" s="117"/>
      <c r="Q734" s="117"/>
      <c r="R734" s="117"/>
      <c r="S734" s="117"/>
      <c r="T734" s="117"/>
      <c r="U734" s="216"/>
      <c r="V734" s="216"/>
      <c r="W734" s="216"/>
      <c r="X734" s="216"/>
      <c r="Y734" s="216"/>
      <c r="Z734" s="216"/>
      <c r="AA734" s="216"/>
      <c r="AB734" s="216"/>
      <c r="AC734" s="216"/>
      <c r="AD734" s="216"/>
      <c r="AE734" s="216"/>
      <c r="AF734" s="216"/>
      <c r="AG734" s="216"/>
      <c r="AH734" s="216"/>
      <c r="AI734" s="215"/>
      <c r="AJ734" s="215"/>
      <c r="AK734" s="215"/>
      <c r="AL734" s="215"/>
      <c r="AM734" s="204"/>
      <c r="AN734" s="117"/>
    </row>
    <row r="735" spans="1:40" s="209" customFormat="1" ht="14">
      <c r="A735" s="197"/>
      <c r="B735" s="205"/>
      <c r="C735" s="198"/>
      <c r="D735" s="205"/>
      <c r="E735" s="205"/>
      <c r="F735" s="117"/>
      <c r="G735" s="117"/>
      <c r="H735" s="203"/>
      <c r="I735" s="203"/>
      <c r="J735" s="203"/>
      <c r="K735" s="203"/>
      <c r="L735" s="203"/>
      <c r="M735" s="203"/>
      <c r="N735" s="203"/>
      <c r="O735" s="117"/>
      <c r="P735" s="117"/>
      <c r="Q735" s="117"/>
      <c r="R735" s="117"/>
      <c r="S735" s="117"/>
      <c r="T735" s="117"/>
      <c r="U735" s="216"/>
      <c r="V735" s="216"/>
      <c r="W735" s="216"/>
      <c r="X735" s="216"/>
      <c r="Y735" s="216"/>
      <c r="Z735" s="216"/>
      <c r="AA735" s="216"/>
      <c r="AB735" s="216"/>
      <c r="AC735" s="216"/>
      <c r="AD735" s="216"/>
      <c r="AE735" s="216"/>
      <c r="AF735" s="216"/>
      <c r="AG735" s="216"/>
      <c r="AH735" s="216"/>
      <c r="AI735" s="215"/>
      <c r="AJ735" s="215"/>
      <c r="AK735" s="215"/>
      <c r="AL735" s="215"/>
      <c r="AM735" s="204"/>
      <c r="AN735" s="117"/>
    </row>
    <row r="736" spans="1:40" s="209" customFormat="1" ht="14">
      <c r="A736" s="197"/>
      <c r="B736" s="205"/>
      <c r="C736" s="198"/>
      <c r="D736" s="205"/>
      <c r="E736" s="205"/>
      <c r="F736" s="117"/>
      <c r="G736" s="117"/>
      <c r="H736" s="203"/>
      <c r="I736" s="203"/>
      <c r="J736" s="203"/>
      <c r="K736" s="203"/>
      <c r="L736" s="203"/>
      <c r="M736" s="203"/>
      <c r="N736" s="203"/>
      <c r="O736" s="117"/>
      <c r="P736" s="117"/>
      <c r="Q736" s="117"/>
      <c r="R736" s="117"/>
      <c r="S736" s="117"/>
      <c r="T736" s="117"/>
      <c r="U736" s="216"/>
      <c r="V736" s="216"/>
      <c r="W736" s="216"/>
      <c r="X736" s="216"/>
      <c r="Y736" s="216"/>
      <c r="Z736" s="216"/>
      <c r="AA736" s="216"/>
      <c r="AB736" s="216"/>
      <c r="AC736" s="216"/>
      <c r="AD736" s="216"/>
      <c r="AE736" s="216"/>
      <c r="AF736" s="216"/>
      <c r="AG736" s="216"/>
      <c r="AH736" s="216"/>
      <c r="AI736" s="215"/>
      <c r="AJ736" s="215"/>
      <c r="AK736" s="215"/>
      <c r="AL736" s="215"/>
      <c r="AM736" s="204"/>
      <c r="AN736" s="117"/>
    </row>
    <row r="737" spans="1:40" s="209" customFormat="1" ht="14">
      <c r="A737" s="197"/>
      <c r="B737" s="205"/>
      <c r="C737" s="198"/>
      <c r="D737" s="205"/>
      <c r="E737" s="205"/>
      <c r="F737" s="117"/>
      <c r="G737" s="117"/>
      <c r="H737" s="203"/>
      <c r="I737" s="203"/>
      <c r="J737" s="203"/>
      <c r="K737" s="203"/>
      <c r="L737" s="203"/>
      <c r="M737" s="203"/>
      <c r="N737" s="203"/>
      <c r="O737" s="117"/>
      <c r="P737" s="117"/>
      <c r="Q737" s="117"/>
      <c r="R737" s="117"/>
      <c r="S737" s="117"/>
      <c r="T737" s="117"/>
      <c r="U737" s="216"/>
      <c r="V737" s="216"/>
      <c r="W737" s="216"/>
      <c r="X737" s="216"/>
      <c r="Y737" s="216"/>
      <c r="Z737" s="216"/>
      <c r="AA737" s="216"/>
      <c r="AB737" s="216"/>
      <c r="AC737" s="216"/>
      <c r="AD737" s="216"/>
      <c r="AE737" s="216"/>
      <c r="AF737" s="216"/>
      <c r="AG737" s="216"/>
      <c r="AH737" s="216"/>
      <c r="AI737" s="215"/>
      <c r="AJ737" s="215"/>
      <c r="AK737" s="215"/>
      <c r="AL737" s="215"/>
      <c r="AM737" s="204"/>
      <c r="AN737" s="117"/>
    </row>
    <row r="738" spans="1:40" s="209" customFormat="1" ht="14">
      <c r="A738" s="197"/>
      <c r="B738" s="205"/>
      <c r="C738" s="198"/>
      <c r="D738" s="205"/>
      <c r="E738" s="205"/>
      <c r="F738" s="117"/>
      <c r="G738" s="117"/>
      <c r="H738" s="203"/>
      <c r="I738" s="203"/>
      <c r="J738" s="203"/>
      <c r="K738" s="203"/>
      <c r="L738" s="203"/>
      <c r="M738" s="203"/>
      <c r="N738" s="203"/>
      <c r="O738" s="117"/>
      <c r="P738" s="117"/>
      <c r="Q738" s="117"/>
      <c r="R738" s="117"/>
      <c r="S738" s="117"/>
      <c r="T738" s="117"/>
      <c r="U738" s="216"/>
      <c r="V738" s="216"/>
      <c r="W738" s="216"/>
      <c r="X738" s="216"/>
      <c r="Y738" s="216"/>
      <c r="Z738" s="216"/>
      <c r="AA738" s="216"/>
      <c r="AB738" s="216"/>
      <c r="AC738" s="216"/>
      <c r="AD738" s="216"/>
      <c r="AE738" s="216"/>
      <c r="AF738" s="216"/>
      <c r="AG738" s="216"/>
      <c r="AH738" s="216"/>
      <c r="AI738" s="215"/>
      <c r="AJ738" s="215"/>
      <c r="AK738" s="215"/>
      <c r="AL738" s="215"/>
      <c r="AM738" s="204"/>
      <c r="AN738" s="117"/>
    </row>
    <row r="739" spans="1:40" s="209" customFormat="1" ht="14">
      <c r="A739" s="197"/>
      <c r="B739" s="205"/>
      <c r="C739" s="198"/>
      <c r="D739" s="205"/>
      <c r="E739" s="205"/>
      <c r="F739" s="117"/>
      <c r="G739" s="117"/>
      <c r="H739" s="203"/>
      <c r="I739" s="203"/>
      <c r="J739" s="203"/>
      <c r="K739" s="203"/>
      <c r="L739" s="203"/>
      <c r="M739" s="203"/>
      <c r="N739" s="203"/>
      <c r="O739" s="117"/>
      <c r="P739" s="117"/>
      <c r="Q739" s="117"/>
      <c r="R739" s="117"/>
      <c r="S739" s="117"/>
      <c r="T739" s="117"/>
      <c r="U739" s="216"/>
      <c r="V739" s="216"/>
      <c r="W739" s="216"/>
      <c r="X739" s="216"/>
      <c r="Y739" s="216"/>
      <c r="Z739" s="216"/>
      <c r="AA739" s="216"/>
      <c r="AB739" s="216"/>
      <c r="AC739" s="216"/>
      <c r="AD739" s="216"/>
      <c r="AE739" s="216"/>
      <c r="AF739" s="216"/>
      <c r="AG739" s="216"/>
      <c r="AH739" s="216"/>
      <c r="AI739" s="215"/>
      <c r="AJ739" s="215"/>
      <c r="AK739" s="215"/>
      <c r="AL739" s="215"/>
      <c r="AM739" s="204"/>
      <c r="AN739" s="117"/>
    </row>
    <row r="740" spans="1:40" s="209" customFormat="1" ht="14">
      <c r="A740" s="197"/>
      <c r="B740" s="205"/>
      <c r="C740" s="198"/>
      <c r="D740" s="205"/>
      <c r="E740" s="205"/>
      <c r="F740" s="117"/>
      <c r="G740" s="117"/>
      <c r="H740" s="203"/>
      <c r="I740" s="203"/>
      <c r="J740" s="203"/>
      <c r="K740" s="203"/>
      <c r="L740" s="203"/>
      <c r="M740" s="203"/>
      <c r="N740" s="203"/>
      <c r="O740" s="117"/>
      <c r="P740" s="117"/>
      <c r="Q740" s="117"/>
      <c r="R740" s="117"/>
      <c r="S740" s="117"/>
      <c r="T740" s="117"/>
      <c r="U740" s="216"/>
      <c r="V740" s="216"/>
      <c r="W740" s="216"/>
      <c r="X740" s="216"/>
      <c r="Y740" s="216"/>
      <c r="Z740" s="216"/>
      <c r="AA740" s="216"/>
      <c r="AB740" s="216"/>
      <c r="AC740" s="216"/>
      <c r="AD740" s="216"/>
      <c r="AE740" s="216"/>
      <c r="AF740" s="216"/>
      <c r="AG740" s="216"/>
      <c r="AH740" s="216"/>
      <c r="AI740" s="215"/>
      <c r="AJ740" s="215"/>
      <c r="AK740" s="215"/>
      <c r="AL740" s="215"/>
      <c r="AM740" s="204"/>
      <c r="AN740" s="117"/>
    </row>
    <row r="741" spans="1:40" s="209" customFormat="1" ht="14">
      <c r="A741" s="197"/>
      <c r="B741" s="205"/>
      <c r="C741" s="198"/>
      <c r="D741" s="205"/>
      <c r="E741" s="205"/>
      <c r="F741" s="117"/>
      <c r="G741" s="117"/>
      <c r="H741" s="203"/>
      <c r="I741" s="203"/>
      <c r="J741" s="203"/>
      <c r="K741" s="203"/>
      <c r="L741" s="203"/>
      <c r="M741" s="203"/>
      <c r="N741" s="203"/>
      <c r="O741" s="117"/>
      <c r="P741" s="117"/>
      <c r="Q741" s="117"/>
      <c r="R741" s="117"/>
      <c r="S741" s="117"/>
      <c r="T741" s="117"/>
      <c r="U741" s="216"/>
      <c r="V741" s="216"/>
      <c r="W741" s="216"/>
      <c r="X741" s="216"/>
      <c r="Y741" s="216"/>
      <c r="Z741" s="216"/>
      <c r="AA741" s="216"/>
      <c r="AB741" s="216"/>
      <c r="AC741" s="216"/>
      <c r="AD741" s="216"/>
      <c r="AE741" s="216"/>
      <c r="AF741" s="216"/>
      <c r="AG741" s="216"/>
      <c r="AH741" s="216"/>
      <c r="AI741" s="215"/>
      <c r="AJ741" s="215"/>
      <c r="AK741" s="215"/>
      <c r="AL741" s="215"/>
      <c r="AM741" s="204"/>
      <c r="AN741" s="117"/>
    </row>
    <row r="742" spans="1:40" s="209" customFormat="1" ht="14">
      <c r="A742" s="197"/>
      <c r="B742" s="117"/>
      <c r="C742" s="198"/>
      <c r="D742" s="211"/>
      <c r="E742" s="117"/>
      <c r="F742" s="211"/>
      <c r="G742" s="117"/>
      <c r="H742" s="615"/>
      <c r="I742" s="615"/>
      <c r="J742" s="615"/>
      <c r="K742" s="203"/>
      <c r="L742" s="203"/>
      <c r="M742" s="203"/>
      <c r="N742" s="203"/>
      <c r="O742" s="117"/>
      <c r="P742" s="117"/>
      <c r="Q742" s="206"/>
      <c r="R742" s="117"/>
      <c r="S742" s="117"/>
      <c r="T742" s="213"/>
      <c r="U742" s="214"/>
      <c r="V742" s="214"/>
      <c r="W742" s="214"/>
      <c r="X742" s="214"/>
      <c r="Y742" s="214"/>
      <c r="Z742" s="214"/>
      <c r="AA742" s="214"/>
      <c r="AB742" s="214"/>
      <c r="AC742" s="214"/>
      <c r="AD742" s="214"/>
      <c r="AE742" s="214"/>
      <c r="AF742" s="214"/>
      <c r="AG742" s="214"/>
      <c r="AH742" s="214"/>
      <c r="AI742" s="219"/>
      <c r="AJ742" s="198"/>
      <c r="AK742" s="204"/>
      <c r="AL742" s="198"/>
      <c r="AM742" s="204"/>
      <c r="AN742" s="117"/>
    </row>
    <row r="743" spans="1:40" s="209" customFormat="1" ht="14">
      <c r="A743" s="197"/>
      <c r="B743" s="616"/>
      <c r="C743" s="616"/>
      <c r="D743" s="616"/>
      <c r="E743" s="616"/>
      <c r="F743" s="211"/>
      <c r="G743" s="117"/>
      <c r="H743" s="212"/>
      <c r="I743" s="212"/>
      <c r="J743" s="212"/>
      <c r="K743" s="203"/>
      <c r="L743" s="203"/>
      <c r="M743" s="203"/>
      <c r="N743" s="203"/>
      <c r="O743" s="117"/>
      <c r="P743" s="117"/>
      <c r="Q743" s="206"/>
      <c r="R743" s="117"/>
      <c r="S743" s="117"/>
      <c r="T743" s="213"/>
      <c r="U743" s="214"/>
      <c r="V743" s="214"/>
      <c r="W743" s="214"/>
      <c r="X743" s="214"/>
      <c r="Y743" s="214"/>
      <c r="Z743" s="214"/>
      <c r="AA743" s="214"/>
      <c r="AB743" s="214"/>
      <c r="AC743" s="214"/>
      <c r="AD743" s="214"/>
      <c r="AE743" s="214"/>
      <c r="AF743" s="214"/>
      <c r="AG743" s="214"/>
      <c r="AH743" s="214"/>
      <c r="AI743" s="219"/>
      <c r="AJ743" s="198"/>
      <c r="AK743" s="204"/>
      <c r="AL743" s="198"/>
      <c r="AM743" s="204"/>
      <c r="AN743" s="117"/>
    </row>
    <row r="744" spans="1:40" s="209" customFormat="1" ht="14">
      <c r="A744" s="197"/>
      <c r="B744" s="117"/>
      <c r="C744" s="198"/>
      <c r="D744" s="211"/>
      <c r="E744" s="117"/>
      <c r="F744" s="211"/>
      <c r="G744" s="117"/>
      <c r="H744" s="212"/>
      <c r="I744" s="212"/>
      <c r="J744" s="212"/>
      <c r="K744" s="203"/>
      <c r="L744" s="203"/>
      <c r="M744" s="203"/>
      <c r="N744" s="203"/>
      <c r="O744" s="117"/>
      <c r="P744" s="117"/>
      <c r="Q744" s="206"/>
      <c r="R744" s="117"/>
      <c r="S744" s="117"/>
      <c r="T744" s="213"/>
      <c r="U744" s="214"/>
      <c r="V744" s="214"/>
      <c r="W744" s="214"/>
      <c r="X744" s="214"/>
      <c r="Y744" s="214"/>
      <c r="Z744" s="214"/>
      <c r="AA744" s="214"/>
      <c r="AB744" s="214"/>
      <c r="AC744" s="214"/>
      <c r="AD744" s="214"/>
      <c r="AE744" s="214"/>
      <c r="AF744" s="214"/>
      <c r="AG744" s="214"/>
      <c r="AH744" s="214"/>
      <c r="AI744" s="219"/>
      <c r="AJ744" s="198"/>
      <c r="AK744" s="204"/>
      <c r="AL744" s="198"/>
      <c r="AM744" s="204"/>
      <c r="AN744" s="117"/>
    </row>
    <row r="745" spans="1:40" s="209" customFormat="1" ht="14">
      <c r="A745" s="197"/>
      <c r="B745" s="117"/>
      <c r="C745" s="198"/>
      <c r="D745" s="211"/>
      <c r="E745" s="117"/>
      <c r="F745" s="211"/>
      <c r="G745" s="117"/>
      <c r="H745" s="212"/>
      <c r="I745" s="212"/>
      <c r="J745" s="212"/>
      <c r="K745" s="203"/>
      <c r="L745" s="203"/>
      <c r="M745" s="203"/>
      <c r="N745" s="203"/>
      <c r="O745" s="117"/>
      <c r="P745" s="117"/>
      <c r="Q745" s="206"/>
      <c r="R745" s="117"/>
      <c r="S745" s="117"/>
      <c r="T745" s="213"/>
      <c r="U745" s="214"/>
      <c r="V745" s="214"/>
      <c r="W745" s="214"/>
      <c r="X745" s="214"/>
      <c r="Y745" s="214"/>
      <c r="Z745" s="214"/>
      <c r="AA745" s="214"/>
      <c r="AB745" s="214"/>
      <c r="AC745" s="214"/>
      <c r="AD745" s="214"/>
      <c r="AE745" s="214"/>
      <c r="AF745" s="214"/>
      <c r="AG745" s="214"/>
      <c r="AH745" s="214"/>
      <c r="AI745" s="219"/>
      <c r="AJ745" s="198"/>
      <c r="AK745" s="204"/>
      <c r="AL745" s="198"/>
      <c r="AM745" s="204"/>
      <c r="AN745" s="117"/>
    </row>
    <row r="746" spans="1:40" s="209" customFormat="1" ht="14">
      <c r="A746" s="197"/>
      <c r="B746" s="117"/>
      <c r="C746" s="198"/>
      <c r="D746" s="211"/>
      <c r="E746" s="117"/>
      <c r="F746" s="211"/>
      <c r="G746" s="117"/>
      <c r="H746" s="212"/>
      <c r="I746" s="212"/>
      <c r="J746" s="212"/>
      <c r="K746" s="203"/>
      <c r="L746" s="203"/>
      <c r="M746" s="203"/>
      <c r="N746" s="203"/>
      <c r="O746" s="117"/>
      <c r="P746" s="117"/>
      <c r="Q746" s="206"/>
      <c r="R746" s="117"/>
      <c r="S746" s="117"/>
      <c r="T746" s="213"/>
      <c r="U746" s="214"/>
      <c r="V746" s="214"/>
      <c r="W746" s="214"/>
      <c r="X746" s="214"/>
      <c r="Y746" s="214"/>
      <c r="Z746" s="214"/>
      <c r="AA746" s="214"/>
      <c r="AB746" s="214"/>
      <c r="AC746" s="214"/>
      <c r="AD746" s="214"/>
      <c r="AE746" s="214"/>
      <c r="AF746" s="214"/>
      <c r="AG746" s="214"/>
      <c r="AH746" s="214"/>
      <c r="AI746" s="219"/>
      <c r="AJ746" s="198"/>
      <c r="AK746" s="204"/>
      <c r="AL746" s="198"/>
      <c r="AM746" s="204"/>
      <c r="AN746" s="117"/>
    </row>
    <row r="747" spans="1:40" s="209" customFormat="1" ht="14">
      <c r="A747" s="197"/>
      <c r="B747" s="117"/>
      <c r="C747" s="198"/>
      <c r="D747" s="211"/>
      <c r="E747" s="117"/>
      <c r="F747" s="211"/>
      <c r="G747" s="117"/>
      <c r="H747" s="212"/>
      <c r="I747" s="212"/>
      <c r="J747" s="212"/>
      <c r="K747" s="203"/>
      <c r="L747" s="203"/>
      <c r="M747" s="203"/>
      <c r="N747" s="203"/>
      <c r="O747" s="117"/>
      <c r="P747" s="117"/>
      <c r="Q747" s="206"/>
      <c r="R747" s="117"/>
      <c r="S747" s="117"/>
      <c r="T747" s="213"/>
      <c r="U747" s="214"/>
      <c r="V747" s="214"/>
      <c r="W747" s="214"/>
      <c r="X747" s="214"/>
      <c r="Y747" s="214"/>
      <c r="Z747" s="214"/>
      <c r="AA747" s="214"/>
      <c r="AB747" s="214"/>
      <c r="AC747" s="214"/>
      <c r="AD747" s="214"/>
      <c r="AE747" s="214"/>
      <c r="AF747" s="214"/>
      <c r="AG747" s="214"/>
      <c r="AH747" s="214"/>
      <c r="AI747" s="219"/>
      <c r="AJ747" s="198"/>
      <c r="AK747" s="204"/>
      <c r="AL747" s="198"/>
      <c r="AM747" s="204"/>
      <c r="AN747" s="117"/>
    </row>
    <row r="748" spans="1:40" s="209" customFormat="1" ht="14">
      <c r="A748" s="197"/>
      <c r="B748" s="117"/>
      <c r="C748" s="198"/>
      <c r="D748" s="211"/>
      <c r="E748" s="117"/>
      <c r="F748" s="211"/>
      <c r="G748" s="117"/>
      <c r="H748" s="212"/>
      <c r="I748" s="212"/>
      <c r="J748" s="212"/>
      <c r="K748" s="203"/>
      <c r="L748" s="203"/>
      <c r="M748" s="203"/>
      <c r="N748" s="203"/>
      <c r="O748" s="117"/>
      <c r="P748" s="117"/>
      <c r="Q748" s="206"/>
      <c r="R748" s="117"/>
      <c r="S748" s="117"/>
      <c r="T748" s="213"/>
      <c r="U748" s="214"/>
      <c r="V748" s="214"/>
      <c r="W748" s="214"/>
      <c r="X748" s="214"/>
      <c r="Y748" s="214"/>
      <c r="Z748" s="214"/>
      <c r="AA748" s="214"/>
      <c r="AB748" s="214"/>
      <c r="AC748" s="214"/>
      <c r="AD748" s="214"/>
      <c r="AE748" s="214"/>
      <c r="AF748" s="214"/>
      <c r="AG748" s="214"/>
      <c r="AH748" s="214"/>
      <c r="AI748" s="219"/>
      <c r="AJ748" s="198"/>
      <c r="AK748" s="204"/>
      <c r="AL748" s="198"/>
      <c r="AM748" s="204"/>
      <c r="AN748" s="117"/>
    </row>
    <row r="749" spans="1:40" s="209" customFormat="1" ht="14">
      <c r="A749" s="197"/>
      <c r="B749" s="117"/>
      <c r="C749" s="198"/>
      <c r="D749" s="211"/>
      <c r="E749" s="117"/>
      <c r="F749" s="211"/>
      <c r="G749" s="117"/>
      <c r="H749" s="212"/>
      <c r="I749" s="212"/>
      <c r="J749" s="212"/>
      <c r="K749" s="203"/>
      <c r="L749" s="203"/>
      <c r="M749" s="203"/>
      <c r="N749" s="203"/>
      <c r="O749" s="117"/>
      <c r="P749" s="117"/>
      <c r="Q749" s="206"/>
      <c r="R749" s="117"/>
      <c r="S749" s="117"/>
      <c r="T749" s="213"/>
      <c r="U749" s="214"/>
      <c r="V749" s="214"/>
      <c r="W749" s="214"/>
      <c r="X749" s="214"/>
      <c r="Y749" s="214"/>
      <c r="Z749" s="214"/>
      <c r="AA749" s="214"/>
      <c r="AB749" s="214"/>
      <c r="AC749" s="214"/>
      <c r="AD749" s="214"/>
      <c r="AE749" s="214"/>
      <c r="AF749" s="214"/>
      <c r="AG749" s="214"/>
      <c r="AH749" s="214"/>
      <c r="AI749" s="219"/>
      <c r="AJ749" s="198"/>
      <c r="AK749" s="204"/>
      <c r="AL749" s="198"/>
      <c r="AM749" s="204"/>
      <c r="AN749" s="117"/>
    </row>
    <row r="750" spans="1:40" s="209" customFormat="1" ht="14">
      <c r="A750" s="197"/>
      <c r="B750" s="117"/>
      <c r="C750" s="198"/>
      <c r="D750" s="211"/>
      <c r="E750" s="117"/>
      <c r="F750" s="211"/>
      <c r="G750" s="117"/>
      <c r="H750" s="212"/>
      <c r="I750" s="212"/>
      <c r="J750" s="212"/>
      <c r="K750" s="203"/>
      <c r="L750" s="203"/>
      <c r="M750" s="203"/>
      <c r="N750" s="203"/>
      <c r="O750" s="117"/>
      <c r="P750" s="117"/>
      <c r="Q750" s="206"/>
      <c r="R750" s="117"/>
      <c r="S750" s="117"/>
      <c r="T750" s="213"/>
      <c r="U750" s="214"/>
      <c r="V750" s="214"/>
      <c r="W750" s="214"/>
      <c r="X750" s="214"/>
      <c r="Y750" s="214"/>
      <c r="Z750" s="214"/>
      <c r="AA750" s="214"/>
      <c r="AB750" s="214"/>
      <c r="AC750" s="214"/>
      <c r="AD750" s="214"/>
      <c r="AE750" s="214"/>
      <c r="AF750" s="214"/>
      <c r="AG750" s="214"/>
      <c r="AH750" s="214"/>
      <c r="AI750" s="219"/>
      <c r="AJ750" s="198"/>
      <c r="AK750" s="204"/>
      <c r="AL750" s="198"/>
      <c r="AM750" s="204"/>
      <c r="AN750" s="117"/>
    </row>
    <row r="751" spans="1:40" s="209" customFormat="1" ht="14">
      <c r="A751" s="197"/>
      <c r="B751" s="117"/>
      <c r="C751" s="198"/>
      <c r="D751" s="211"/>
      <c r="E751" s="117"/>
      <c r="F751" s="211"/>
      <c r="G751" s="117"/>
      <c r="H751" s="212"/>
      <c r="I751" s="212"/>
      <c r="J751" s="212"/>
      <c r="K751" s="203"/>
      <c r="L751" s="203"/>
      <c r="M751" s="203"/>
      <c r="N751" s="203"/>
      <c r="O751" s="117"/>
      <c r="P751" s="117"/>
      <c r="Q751" s="206"/>
      <c r="R751" s="117"/>
      <c r="S751" s="117"/>
      <c r="T751" s="213"/>
      <c r="U751" s="214"/>
      <c r="V751" s="214"/>
      <c r="W751" s="214"/>
      <c r="X751" s="214"/>
      <c r="Y751" s="214"/>
      <c r="Z751" s="214"/>
      <c r="AA751" s="214"/>
      <c r="AB751" s="214"/>
      <c r="AC751" s="214"/>
      <c r="AD751" s="214"/>
      <c r="AE751" s="214"/>
      <c r="AF751" s="214"/>
      <c r="AG751" s="214"/>
      <c r="AH751" s="214"/>
      <c r="AI751" s="219"/>
      <c r="AJ751" s="198"/>
      <c r="AK751" s="204"/>
      <c r="AL751" s="198"/>
      <c r="AM751" s="204"/>
      <c r="AN751" s="117"/>
    </row>
    <row r="752" spans="1:40" s="209" customFormat="1" ht="14">
      <c r="A752" s="197"/>
      <c r="B752" s="117"/>
      <c r="C752" s="198"/>
      <c r="D752" s="211"/>
      <c r="E752" s="117"/>
      <c r="F752" s="211"/>
      <c r="G752" s="117"/>
      <c r="H752" s="212"/>
      <c r="I752" s="212"/>
      <c r="J752" s="212"/>
      <c r="K752" s="203"/>
      <c r="L752" s="203"/>
      <c r="M752" s="203"/>
      <c r="N752" s="203"/>
      <c r="O752" s="117"/>
      <c r="P752" s="117"/>
      <c r="Q752" s="206"/>
      <c r="R752" s="117"/>
      <c r="S752" s="117"/>
      <c r="T752" s="213"/>
      <c r="U752" s="214"/>
      <c r="V752" s="214"/>
      <c r="W752" s="214"/>
      <c r="X752" s="214"/>
      <c r="Y752" s="214"/>
      <c r="Z752" s="214"/>
      <c r="AA752" s="214"/>
      <c r="AB752" s="214"/>
      <c r="AC752" s="214"/>
      <c r="AD752" s="214"/>
      <c r="AE752" s="214"/>
      <c r="AF752" s="214"/>
      <c r="AG752" s="214"/>
      <c r="AH752" s="214"/>
      <c r="AI752" s="219"/>
      <c r="AJ752" s="198"/>
      <c r="AK752" s="204"/>
      <c r="AL752" s="198"/>
      <c r="AM752" s="204"/>
      <c r="AN752" s="117"/>
    </row>
    <row r="753" spans="1:40" s="209" customFormat="1" ht="14">
      <c r="A753" s="197"/>
      <c r="B753" s="117"/>
      <c r="C753" s="198"/>
      <c r="D753" s="211"/>
      <c r="E753" s="117"/>
      <c r="F753" s="211"/>
      <c r="G753" s="117"/>
      <c r="H753" s="212"/>
      <c r="I753" s="212"/>
      <c r="J753" s="212"/>
      <c r="K753" s="203"/>
      <c r="L753" s="203"/>
      <c r="M753" s="203"/>
      <c r="N753" s="203"/>
      <c r="O753" s="117"/>
      <c r="P753" s="117"/>
      <c r="Q753" s="206"/>
      <c r="R753" s="117"/>
      <c r="S753" s="117"/>
      <c r="T753" s="213"/>
      <c r="U753" s="214"/>
      <c r="V753" s="214"/>
      <c r="W753" s="214"/>
      <c r="X753" s="214"/>
      <c r="Y753" s="214"/>
      <c r="Z753" s="214"/>
      <c r="AA753" s="214"/>
      <c r="AB753" s="214"/>
      <c r="AC753" s="214"/>
      <c r="AD753" s="214"/>
      <c r="AE753" s="214"/>
      <c r="AF753" s="214"/>
      <c r="AG753" s="214"/>
      <c r="AH753" s="214"/>
      <c r="AI753" s="219"/>
      <c r="AJ753" s="198"/>
      <c r="AK753" s="204"/>
      <c r="AL753" s="198"/>
      <c r="AM753" s="204"/>
      <c r="AN753" s="117"/>
    </row>
    <row r="754" spans="1:40" s="209" customFormat="1" ht="14">
      <c r="A754" s="197"/>
      <c r="B754" s="117"/>
      <c r="C754" s="198"/>
      <c r="D754" s="211"/>
      <c r="E754" s="117"/>
      <c r="F754" s="211"/>
      <c r="G754" s="117"/>
      <c r="H754" s="212"/>
      <c r="I754" s="212"/>
      <c r="J754" s="212"/>
      <c r="K754" s="203"/>
      <c r="L754" s="203"/>
      <c r="M754" s="203"/>
      <c r="N754" s="203"/>
      <c r="O754" s="117"/>
      <c r="P754" s="117"/>
      <c r="Q754" s="206"/>
      <c r="R754" s="117"/>
      <c r="S754" s="117"/>
      <c r="T754" s="213"/>
      <c r="U754" s="214"/>
      <c r="V754" s="214"/>
      <c r="W754" s="214"/>
      <c r="X754" s="214"/>
      <c r="Y754" s="214"/>
      <c r="Z754" s="214"/>
      <c r="AA754" s="214"/>
      <c r="AB754" s="214"/>
      <c r="AC754" s="214"/>
      <c r="AD754" s="214"/>
      <c r="AE754" s="214"/>
      <c r="AF754" s="214"/>
      <c r="AG754" s="214"/>
      <c r="AH754" s="214"/>
      <c r="AI754" s="219"/>
      <c r="AJ754" s="198"/>
      <c r="AK754" s="204"/>
      <c r="AL754" s="198"/>
      <c r="AM754" s="204"/>
      <c r="AN754" s="117"/>
    </row>
    <row r="755" spans="1:40" s="209" customFormat="1" ht="14">
      <c r="A755" s="197"/>
      <c r="B755" s="117"/>
      <c r="C755" s="198"/>
      <c r="D755" s="211"/>
      <c r="E755" s="117"/>
      <c r="F755" s="211"/>
      <c r="G755" s="117"/>
      <c r="H755" s="212"/>
      <c r="I755" s="212"/>
      <c r="J755" s="212"/>
      <c r="K755" s="203"/>
      <c r="L755" s="203"/>
      <c r="M755" s="203"/>
      <c r="N755" s="203"/>
      <c r="O755" s="117"/>
      <c r="P755" s="117"/>
      <c r="Q755" s="206"/>
      <c r="R755" s="117"/>
      <c r="S755" s="117"/>
      <c r="T755" s="213"/>
      <c r="U755" s="214"/>
      <c r="V755" s="214"/>
      <c r="W755" s="214"/>
      <c r="X755" s="214"/>
      <c r="Y755" s="214"/>
      <c r="Z755" s="214"/>
      <c r="AA755" s="214"/>
      <c r="AB755" s="214"/>
      <c r="AC755" s="214"/>
      <c r="AD755" s="214"/>
      <c r="AE755" s="214"/>
      <c r="AF755" s="214"/>
      <c r="AG755" s="214"/>
      <c r="AH755" s="214"/>
      <c r="AI755" s="219"/>
      <c r="AJ755" s="198"/>
      <c r="AK755" s="204"/>
      <c r="AL755" s="198"/>
      <c r="AM755" s="204"/>
      <c r="AN755" s="117"/>
    </row>
    <row r="756" spans="1:40" s="209" customFormat="1" ht="14">
      <c r="A756" s="197"/>
      <c r="B756" s="117"/>
      <c r="C756" s="198"/>
      <c r="D756" s="211"/>
      <c r="E756" s="117"/>
      <c r="F756" s="211"/>
      <c r="G756" s="117"/>
      <c r="H756" s="212"/>
      <c r="I756" s="212"/>
      <c r="J756" s="212"/>
      <c r="K756" s="203"/>
      <c r="L756" s="203"/>
      <c r="M756" s="203"/>
      <c r="N756" s="203"/>
      <c r="O756" s="117"/>
      <c r="P756" s="117"/>
      <c r="Q756" s="206"/>
      <c r="R756" s="117"/>
      <c r="S756" s="117"/>
      <c r="T756" s="213"/>
      <c r="U756" s="214"/>
      <c r="V756" s="214"/>
      <c r="W756" s="214"/>
      <c r="X756" s="214"/>
      <c r="Y756" s="214"/>
      <c r="Z756" s="214"/>
      <c r="AA756" s="214"/>
      <c r="AB756" s="214"/>
      <c r="AC756" s="214"/>
      <c r="AD756" s="214"/>
      <c r="AE756" s="214"/>
      <c r="AF756" s="214"/>
      <c r="AG756" s="214"/>
      <c r="AH756" s="214"/>
      <c r="AI756" s="219"/>
      <c r="AJ756" s="198"/>
      <c r="AK756" s="204"/>
      <c r="AL756" s="198"/>
      <c r="AM756" s="204"/>
      <c r="AN756" s="117"/>
    </row>
    <row r="757" spans="1:40" s="209" customFormat="1" ht="14">
      <c r="A757" s="197"/>
      <c r="B757" s="117"/>
      <c r="C757" s="198"/>
      <c r="D757" s="211"/>
      <c r="E757" s="117"/>
      <c r="F757" s="211"/>
      <c r="G757" s="117"/>
      <c r="H757" s="212"/>
      <c r="I757" s="212"/>
      <c r="J757" s="212"/>
      <c r="K757" s="203"/>
      <c r="L757" s="203"/>
      <c r="M757" s="203"/>
      <c r="N757" s="203"/>
      <c r="O757" s="117"/>
      <c r="P757" s="117"/>
      <c r="Q757" s="206"/>
      <c r="R757" s="117"/>
      <c r="S757" s="117"/>
      <c r="T757" s="213"/>
      <c r="U757" s="214"/>
      <c r="V757" s="214"/>
      <c r="W757" s="214"/>
      <c r="X757" s="214"/>
      <c r="Y757" s="214"/>
      <c r="Z757" s="214"/>
      <c r="AA757" s="214"/>
      <c r="AB757" s="214"/>
      <c r="AC757" s="214"/>
      <c r="AD757" s="214"/>
      <c r="AE757" s="214"/>
      <c r="AF757" s="214"/>
      <c r="AG757" s="214"/>
      <c r="AH757" s="214"/>
      <c r="AI757" s="219"/>
      <c r="AJ757" s="198"/>
      <c r="AK757" s="204"/>
      <c r="AL757" s="198"/>
      <c r="AM757" s="204"/>
      <c r="AN757" s="117"/>
    </row>
    <row r="758" spans="1:40" s="209" customFormat="1" ht="14">
      <c r="A758" s="197"/>
      <c r="B758" s="117"/>
      <c r="C758" s="198"/>
      <c r="D758" s="211"/>
      <c r="E758" s="117"/>
      <c r="F758" s="211"/>
      <c r="G758" s="117"/>
      <c r="H758" s="212"/>
      <c r="I758" s="212"/>
      <c r="J758" s="212"/>
      <c r="K758" s="203"/>
      <c r="L758" s="203"/>
      <c r="M758" s="203"/>
      <c r="N758" s="203"/>
      <c r="O758" s="117"/>
      <c r="P758" s="117"/>
      <c r="Q758" s="206"/>
      <c r="R758" s="117"/>
      <c r="S758" s="117"/>
      <c r="T758" s="213"/>
      <c r="U758" s="214"/>
      <c r="V758" s="214"/>
      <c r="W758" s="214"/>
      <c r="X758" s="214"/>
      <c r="Y758" s="214"/>
      <c r="Z758" s="214"/>
      <c r="AA758" s="214"/>
      <c r="AB758" s="214"/>
      <c r="AC758" s="214"/>
      <c r="AD758" s="214"/>
      <c r="AE758" s="214"/>
      <c r="AF758" s="214"/>
      <c r="AG758" s="214"/>
      <c r="AH758" s="214"/>
      <c r="AI758" s="219"/>
      <c r="AJ758" s="198"/>
      <c r="AK758" s="204"/>
      <c r="AL758" s="198"/>
      <c r="AM758" s="204"/>
      <c r="AN758" s="117"/>
    </row>
    <row r="759" spans="1:40" s="209" customFormat="1" ht="14">
      <c r="A759" s="197"/>
      <c r="B759" s="117"/>
      <c r="C759" s="198"/>
      <c r="D759" s="211"/>
      <c r="E759" s="117"/>
      <c r="F759" s="211"/>
      <c r="G759" s="117"/>
      <c r="H759" s="212"/>
      <c r="I759" s="212"/>
      <c r="J759" s="212"/>
      <c r="K759" s="203"/>
      <c r="L759" s="203"/>
      <c r="M759" s="203"/>
      <c r="N759" s="203"/>
      <c r="O759" s="117"/>
      <c r="P759" s="117"/>
      <c r="Q759" s="206"/>
      <c r="R759" s="117"/>
      <c r="S759" s="117"/>
      <c r="T759" s="213"/>
      <c r="U759" s="214"/>
      <c r="V759" s="214"/>
      <c r="W759" s="214"/>
      <c r="X759" s="214"/>
      <c r="Y759" s="214"/>
      <c r="Z759" s="214"/>
      <c r="AA759" s="214"/>
      <c r="AB759" s="214"/>
      <c r="AC759" s="214"/>
      <c r="AD759" s="214"/>
      <c r="AE759" s="214"/>
      <c r="AF759" s="214"/>
      <c r="AG759" s="214"/>
      <c r="AH759" s="214"/>
      <c r="AI759" s="219"/>
      <c r="AJ759" s="198"/>
      <c r="AK759" s="204"/>
      <c r="AL759" s="198"/>
      <c r="AM759" s="204"/>
      <c r="AN759" s="117"/>
    </row>
    <row r="760" spans="1:40" s="209" customFormat="1" ht="14">
      <c r="A760" s="197"/>
      <c r="B760" s="117"/>
      <c r="C760" s="198"/>
      <c r="D760" s="211"/>
      <c r="E760" s="117"/>
      <c r="F760" s="211"/>
      <c r="G760" s="117"/>
      <c r="H760" s="212"/>
      <c r="I760" s="212"/>
      <c r="J760" s="212"/>
      <c r="K760" s="203"/>
      <c r="L760" s="203"/>
      <c r="M760" s="203"/>
      <c r="N760" s="203"/>
      <c r="O760" s="117"/>
      <c r="P760" s="117"/>
      <c r="Q760" s="206"/>
      <c r="R760" s="117"/>
      <c r="S760" s="117"/>
      <c r="T760" s="213"/>
      <c r="U760" s="214"/>
      <c r="V760" s="214"/>
      <c r="W760" s="214"/>
      <c r="X760" s="214"/>
      <c r="Y760" s="214"/>
      <c r="Z760" s="214"/>
      <c r="AA760" s="214"/>
      <c r="AB760" s="214"/>
      <c r="AC760" s="214"/>
      <c r="AD760" s="214"/>
      <c r="AE760" s="214"/>
      <c r="AF760" s="214"/>
      <c r="AG760" s="214"/>
      <c r="AH760" s="214"/>
      <c r="AI760" s="219"/>
      <c r="AJ760" s="198"/>
      <c r="AK760" s="204"/>
      <c r="AL760" s="198"/>
      <c r="AM760" s="204"/>
      <c r="AN760" s="117"/>
    </row>
    <row r="761" spans="1:40" s="209" customFormat="1" ht="14">
      <c r="A761" s="197"/>
      <c r="B761" s="117"/>
      <c r="C761" s="198"/>
      <c r="D761" s="211"/>
      <c r="E761" s="117"/>
      <c r="F761" s="211"/>
      <c r="G761" s="117"/>
      <c r="H761" s="212"/>
      <c r="I761" s="212"/>
      <c r="J761" s="212"/>
      <c r="K761" s="203"/>
      <c r="L761" s="203"/>
      <c r="M761" s="203"/>
      <c r="N761" s="203"/>
      <c r="O761" s="117"/>
      <c r="P761" s="117"/>
      <c r="Q761" s="206"/>
      <c r="R761" s="117"/>
      <c r="S761" s="117"/>
      <c r="T761" s="213"/>
      <c r="U761" s="214"/>
      <c r="V761" s="214"/>
      <c r="W761" s="214"/>
      <c r="X761" s="214"/>
      <c r="Y761" s="214"/>
      <c r="Z761" s="214"/>
      <c r="AA761" s="214"/>
      <c r="AB761" s="214"/>
      <c r="AC761" s="214"/>
      <c r="AD761" s="214"/>
      <c r="AE761" s="214"/>
      <c r="AF761" s="214"/>
      <c r="AG761" s="214"/>
      <c r="AH761" s="214"/>
      <c r="AI761" s="219"/>
      <c r="AJ761" s="198"/>
      <c r="AK761" s="204"/>
      <c r="AL761" s="198"/>
      <c r="AM761" s="204"/>
      <c r="AN761" s="117"/>
    </row>
    <row r="762" spans="1:40" s="209" customFormat="1" ht="14">
      <c r="A762" s="197"/>
      <c r="B762" s="117"/>
      <c r="C762" s="198"/>
      <c r="D762" s="211"/>
      <c r="E762" s="117"/>
      <c r="F762" s="211"/>
      <c r="G762" s="117"/>
      <c r="H762" s="212"/>
      <c r="I762" s="212"/>
      <c r="J762" s="212"/>
      <c r="K762" s="203"/>
      <c r="L762" s="203"/>
      <c r="M762" s="203"/>
      <c r="N762" s="203"/>
      <c r="O762" s="117"/>
      <c r="P762" s="117"/>
      <c r="Q762" s="206"/>
      <c r="R762" s="117"/>
      <c r="S762" s="117"/>
      <c r="T762" s="213"/>
      <c r="U762" s="214"/>
      <c r="V762" s="214"/>
      <c r="W762" s="214"/>
      <c r="X762" s="214"/>
      <c r="Y762" s="214"/>
      <c r="Z762" s="214"/>
      <c r="AA762" s="214"/>
      <c r="AB762" s="214"/>
      <c r="AC762" s="214"/>
      <c r="AD762" s="214"/>
      <c r="AE762" s="214"/>
      <c r="AF762" s="214"/>
      <c r="AG762" s="214"/>
      <c r="AH762" s="214"/>
      <c r="AI762" s="219"/>
      <c r="AJ762" s="198"/>
      <c r="AK762" s="204"/>
      <c r="AL762" s="198"/>
      <c r="AM762" s="204"/>
      <c r="AN762" s="117"/>
    </row>
    <row r="763" spans="1:40" s="209" customFormat="1" ht="14">
      <c r="A763" s="197"/>
      <c r="B763" s="117"/>
      <c r="C763" s="198"/>
      <c r="D763" s="211"/>
      <c r="E763" s="117"/>
      <c r="F763" s="211"/>
      <c r="G763" s="117"/>
      <c r="H763" s="212"/>
      <c r="I763" s="212"/>
      <c r="J763" s="212"/>
      <c r="K763" s="203"/>
      <c r="L763" s="203"/>
      <c r="M763" s="203"/>
      <c r="N763" s="203"/>
      <c r="O763" s="117"/>
      <c r="P763" s="117"/>
      <c r="Q763" s="206"/>
      <c r="R763" s="117"/>
      <c r="S763" s="117"/>
      <c r="T763" s="213"/>
      <c r="U763" s="214"/>
      <c r="V763" s="214"/>
      <c r="W763" s="214"/>
      <c r="X763" s="214"/>
      <c r="Y763" s="214"/>
      <c r="Z763" s="214"/>
      <c r="AA763" s="214"/>
      <c r="AB763" s="214"/>
      <c r="AC763" s="214"/>
      <c r="AD763" s="214"/>
      <c r="AE763" s="214"/>
      <c r="AF763" s="214"/>
      <c r="AG763" s="214"/>
      <c r="AH763" s="214"/>
      <c r="AI763" s="219"/>
      <c r="AJ763" s="198"/>
      <c r="AK763" s="204"/>
      <c r="AL763" s="198"/>
      <c r="AM763" s="204"/>
      <c r="AN763" s="117"/>
    </row>
    <row r="764" spans="1:40" s="209" customFormat="1" ht="14">
      <c r="A764" s="197"/>
      <c r="B764" s="117"/>
      <c r="C764" s="198"/>
      <c r="D764" s="117"/>
      <c r="E764" s="117"/>
      <c r="F764" s="117"/>
      <c r="G764" s="117"/>
      <c r="H764" s="207"/>
      <c r="I764" s="203"/>
      <c r="J764" s="203"/>
      <c r="K764" s="203"/>
      <c r="L764" s="203"/>
      <c r="M764" s="203"/>
      <c r="N764" s="203"/>
      <c r="O764" s="117"/>
      <c r="P764" s="117"/>
      <c r="Q764" s="206"/>
      <c r="R764" s="117"/>
      <c r="S764" s="117"/>
      <c r="T764" s="213"/>
      <c r="U764" s="214"/>
      <c r="V764" s="214"/>
      <c r="W764" s="214"/>
      <c r="X764" s="214"/>
      <c r="Y764" s="214"/>
      <c r="Z764" s="214"/>
      <c r="AA764" s="214"/>
      <c r="AB764" s="214"/>
      <c r="AC764" s="214"/>
      <c r="AD764" s="214"/>
      <c r="AE764" s="214"/>
      <c r="AF764" s="214"/>
      <c r="AG764" s="214"/>
      <c r="AH764" s="214"/>
      <c r="AI764" s="219"/>
      <c r="AJ764" s="204"/>
      <c r="AK764" s="204"/>
      <c r="AL764" s="204"/>
      <c r="AM764" s="204"/>
      <c r="AN764" s="117"/>
    </row>
    <row r="765" spans="1:40" s="209" customFormat="1" ht="14">
      <c r="A765" s="197"/>
      <c r="B765" s="117"/>
      <c r="C765" s="198"/>
      <c r="D765" s="117"/>
      <c r="E765" s="117"/>
      <c r="F765" s="117"/>
      <c r="G765" s="117"/>
      <c r="H765" s="207"/>
      <c r="I765" s="203"/>
      <c r="J765" s="203"/>
      <c r="K765" s="203"/>
      <c r="L765" s="203"/>
      <c r="M765" s="203"/>
      <c r="N765" s="203"/>
      <c r="O765" s="117"/>
      <c r="P765" s="117"/>
      <c r="Q765" s="206"/>
      <c r="R765" s="117"/>
      <c r="S765" s="117"/>
      <c r="T765" s="117"/>
      <c r="U765" s="214"/>
      <c r="V765" s="214"/>
      <c r="W765" s="214"/>
      <c r="X765" s="214"/>
      <c r="Y765" s="214"/>
      <c r="Z765" s="214"/>
      <c r="AA765" s="214"/>
      <c r="AB765" s="214"/>
      <c r="AC765" s="214"/>
      <c r="AD765" s="214"/>
      <c r="AE765" s="214"/>
      <c r="AF765" s="214"/>
      <c r="AG765" s="214"/>
      <c r="AH765" s="214"/>
      <c r="AI765" s="219"/>
      <c r="AJ765" s="204"/>
      <c r="AK765" s="204"/>
      <c r="AL765" s="204"/>
      <c r="AM765" s="204"/>
      <c r="AN765" s="117"/>
    </row>
    <row r="766" spans="1:40" s="209" customFormat="1" ht="14">
      <c r="A766" s="197"/>
      <c r="B766" s="117"/>
      <c r="C766" s="198"/>
      <c r="D766" s="117"/>
      <c r="E766" s="117"/>
      <c r="F766" s="117"/>
      <c r="G766" s="117"/>
      <c r="H766" s="207"/>
      <c r="I766" s="203"/>
      <c r="J766" s="203"/>
      <c r="K766" s="203"/>
      <c r="L766" s="203"/>
      <c r="M766" s="203"/>
      <c r="N766" s="203"/>
      <c r="O766" s="117"/>
      <c r="P766" s="117"/>
      <c r="Q766" s="206"/>
      <c r="R766" s="117"/>
      <c r="S766" s="117"/>
      <c r="T766" s="213"/>
      <c r="U766" s="214"/>
      <c r="V766" s="214"/>
      <c r="W766" s="214"/>
      <c r="X766" s="214"/>
      <c r="Y766" s="214"/>
      <c r="Z766" s="214"/>
      <c r="AA766" s="214"/>
      <c r="AB766" s="214"/>
      <c r="AC766" s="214"/>
      <c r="AD766" s="214"/>
      <c r="AE766" s="214"/>
      <c r="AF766" s="214"/>
      <c r="AG766" s="214"/>
      <c r="AH766" s="214"/>
      <c r="AI766" s="219"/>
      <c r="AJ766" s="204"/>
      <c r="AK766" s="204"/>
      <c r="AL766" s="204"/>
      <c r="AM766" s="204"/>
      <c r="AN766" s="117"/>
    </row>
    <row r="767" spans="1:40" s="209" customFormat="1" ht="14">
      <c r="A767" s="197"/>
      <c r="B767" s="117"/>
      <c r="C767" s="198"/>
      <c r="D767" s="117"/>
      <c r="E767" s="117"/>
      <c r="F767" s="117"/>
      <c r="G767" s="117"/>
      <c r="H767" s="207"/>
      <c r="I767" s="203"/>
      <c r="J767" s="203"/>
      <c r="K767" s="203"/>
      <c r="L767" s="203"/>
      <c r="M767" s="203"/>
      <c r="N767" s="203"/>
      <c r="O767" s="117"/>
      <c r="P767" s="117"/>
      <c r="Q767" s="206"/>
      <c r="R767" s="117"/>
      <c r="S767" s="117"/>
      <c r="T767" s="213"/>
      <c r="U767" s="214"/>
      <c r="V767" s="214"/>
      <c r="W767" s="214"/>
      <c r="X767" s="214"/>
      <c r="Y767" s="214"/>
      <c r="Z767" s="214"/>
      <c r="AA767" s="214"/>
      <c r="AB767" s="214"/>
      <c r="AC767" s="214"/>
      <c r="AD767" s="214"/>
      <c r="AE767" s="214"/>
      <c r="AF767" s="214"/>
      <c r="AG767" s="214"/>
      <c r="AH767" s="214"/>
      <c r="AI767" s="219"/>
      <c r="AJ767" s="204"/>
      <c r="AK767" s="204"/>
      <c r="AL767" s="204"/>
      <c r="AM767" s="204"/>
      <c r="AN767" s="117"/>
    </row>
    <row r="768" spans="1:40" s="209" customFormat="1" ht="14">
      <c r="A768" s="197"/>
      <c r="B768" s="117"/>
      <c r="C768" s="198"/>
      <c r="D768" s="117"/>
      <c r="E768" s="117"/>
      <c r="F768" s="117"/>
      <c r="G768" s="117"/>
      <c r="H768" s="208"/>
      <c r="I768" s="203"/>
      <c r="J768" s="203"/>
      <c r="K768" s="203"/>
      <c r="L768" s="203"/>
      <c r="M768" s="203"/>
      <c r="N768" s="203"/>
      <c r="O768" s="117"/>
      <c r="P768" s="117"/>
      <c r="Q768" s="206"/>
      <c r="R768" s="117"/>
      <c r="S768" s="117"/>
      <c r="T768" s="213"/>
      <c r="U768" s="214"/>
      <c r="V768" s="214"/>
      <c r="W768" s="214"/>
      <c r="X768" s="214"/>
      <c r="Y768" s="214"/>
      <c r="Z768" s="214"/>
      <c r="AA768" s="214"/>
      <c r="AB768" s="214"/>
      <c r="AC768" s="214"/>
      <c r="AD768" s="214"/>
      <c r="AE768" s="214"/>
      <c r="AF768" s="214"/>
      <c r="AG768" s="214"/>
      <c r="AH768" s="214"/>
      <c r="AI768" s="219"/>
      <c r="AJ768" s="204"/>
      <c r="AK768" s="204"/>
      <c r="AL768" s="204"/>
      <c r="AM768" s="204"/>
      <c r="AN768" s="117"/>
    </row>
    <row r="769" spans="1:40" s="209" customFormat="1" ht="14">
      <c r="A769" s="197"/>
      <c r="B769" s="117"/>
      <c r="C769" s="198"/>
      <c r="D769" s="117"/>
      <c r="E769" s="117"/>
      <c r="F769" s="117"/>
      <c r="G769" s="117"/>
      <c r="H769" s="203"/>
      <c r="I769" s="203"/>
      <c r="J769" s="203"/>
      <c r="K769" s="203"/>
      <c r="L769" s="203"/>
      <c r="M769" s="203"/>
      <c r="N769" s="203"/>
      <c r="O769" s="117"/>
      <c r="P769" s="117"/>
      <c r="Q769" s="117"/>
      <c r="R769" s="117"/>
      <c r="S769" s="117"/>
      <c r="T769" s="117"/>
      <c r="U769" s="117"/>
      <c r="V769" s="117"/>
      <c r="W769" s="117"/>
      <c r="X769" s="117"/>
      <c r="Y769" s="117"/>
      <c r="Z769" s="117"/>
      <c r="AA769" s="117"/>
      <c r="AB769" s="117"/>
      <c r="AC769" s="117"/>
      <c r="AD769" s="117"/>
      <c r="AE769" s="117"/>
      <c r="AF769" s="117"/>
      <c r="AG769" s="117"/>
      <c r="AH769" s="117"/>
      <c r="AI769" s="204"/>
      <c r="AJ769" s="204"/>
      <c r="AK769" s="204"/>
      <c r="AL769" s="204"/>
      <c r="AM769" s="204"/>
      <c r="AN769" s="117"/>
    </row>
    <row r="770" spans="1:40" s="209" customFormat="1" ht="14">
      <c r="A770" s="197"/>
      <c r="B770" s="117"/>
      <c r="C770" s="198"/>
      <c r="D770" s="117"/>
      <c r="E770" s="117"/>
      <c r="F770" s="117"/>
      <c r="G770" s="117"/>
      <c r="H770" s="203"/>
      <c r="I770" s="203"/>
      <c r="J770" s="203"/>
      <c r="K770" s="203"/>
      <c r="L770" s="203"/>
      <c r="M770" s="203"/>
      <c r="N770" s="203"/>
      <c r="O770" s="117"/>
      <c r="P770" s="117"/>
      <c r="Q770" s="117"/>
      <c r="R770" s="117"/>
      <c r="S770" s="117"/>
      <c r="T770" s="117"/>
      <c r="U770" s="117"/>
      <c r="V770" s="117"/>
      <c r="W770" s="117"/>
      <c r="X770" s="117"/>
      <c r="Y770" s="117"/>
      <c r="Z770" s="117"/>
      <c r="AA770" s="117"/>
      <c r="AB770" s="117"/>
      <c r="AC770" s="117"/>
      <c r="AD770" s="117"/>
      <c r="AE770" s="117"/>
      <c r="AF770" s="117"/>
      <c r="AG770" s="117"/>
      <c r="AH770" s="117"/>
      <c r="AI770" s="204"/>
      <c r="AJ770" s="204"/>
      <c r="AK770" s="204"/>
      <c r="AL770" s="204"/>
      <c r="AM770" s="204"/>
      <c r="AN770" s="117"/>
    </row>
    <row r="771" spans="1:40" s="209" customFormat="1" ht="14">
      <c r="A771" s="197"/>
      <c r="B771" s="117"/>
      <c r="C771" s="198"/>
      <c r="D771" s="117"/>
      <c r="E771" s="117"/>
      <c r="F771" s="117"/>
      <c r="G771" s="117"/>
      <c r="H771" s="203"/>
      <c r="I771" s="203"/>
      <c r="J771" s="203"/>
      <c r="K771" s="203"/>
      <c r="L771" s="203"/>
      <c r="M771" s="203"/>
      <c r="N771" s="203"/>
      <c r="O771" s="117"/>
      <c r="P771" s="117"/>
      <c r="Q771" s="117"/>
      <c r="R771" s="117"/>
      <c r="S771" s="117"/>
      <c r="T771" s="117"/>
      <c r="U771" s="117"/>
      <c r="V771" s="117"/>
      <c r="W771" s="117"/>
      <c r="X771" s="117"/>
      <c r="Y771" s="117"/>
      <c r="Z771" s="117"/>
      <c r="AA771" s="117"/>
      <c r="AB771" s="117"/>
      <c r="AC771" s="117"/>
      <c r="AD771" s="117"/>
      <c r="AE771" s="117"/>
      <c r="AF771" s="117"/>
      <c r="AG771" s="117"/>
      <c r="AH771" s="117"/>
      <c r="AI771" s="204"/>
      <c r="AJ771" s="204"/>
      <c r="AK771" s="204"/>
      <c r="AL771" s="204"/>
      <c r="AM771" s="204"/>
      <c r="AN771" s="117"/>
    </row>
    <row r="772" spans="1:40" s="209" customFormat="1" ht="14">
      <c r="A772" s="197"/>
      <c r="B772" s="117"/>
      <c r="C772" s="198"/>
      <c r="D772" s="117"/>
      <c r="E772" s="117"/>
      <c r="F772" s="117"/>
      <c r="G772" s="117"/>
      <c r="H772" s="203"/>
      <c r="I772" s="203"/>
      <c r="J772" s="203"/>
      <c r="K772" s="203"/>
      <c r="L772" s="203"/>
      <c r="M772" s="203"/>
      <c r="N772" s="203"/>
      <c r="O772" s="117"/>
      <c r="P772" s="117"/>
      <c r="Q772" s="117"/>
      <c r="R772" s="117"/>
      <c r="S772" s="117"/>
      <c r="T772" s="117"/>
      <c r="U772" s="117"/>
      <c r="V772" s="117"/>
      <c r="W772" s="117"/>
      <c r="X772" s="117"/>
      <c r="Y772" s="117"/>
      <c r="Z772" s="117"/>
      <c r="AA772" s="117"/>
      <c r="AB772" s="117"/>
      <c r="AC772" s="117"/>
      <c r="AD772" s="117"/>
      <c r="AE772" s="117"/>
      <c r="AF772" s="117"/>
      <c r="AG772" s="117"/>
      <c r="AH772" s="117"/>
      <c r="AI772" s="204"/>
      <c r="AJ772" s="204"/>
      <c r="AK772" s="204"/>
      <c r="AL772" s="204"/>
      <c r="AM772" s="204"/>
      <c r="AN772" s="117"/>
    </row>
    <row r="773" spans="1:40" s="209" customFormat="1" ht="14">
      <c r="A773" s="197"/>
      <c r="B773" s="117"/>
      <c r="C773" s="198"/>
      <c r="D773" s="117"/>
      <c r="E773" s="117"/>
      <c r="F773" s="117"/>
      <c r="G773" s="117"/>
      <c r="H773" s="203"/>
      <c r="I773" s="203"/>
      <c r="J773" s="203"/>
      <c r="K773" s="203"/>
      <c r="L773" s="203"/>
      <c r="M773" s="203"/>
      <c r="N773" s="203"/>
      <c r="O773" s="117"/>
      <c r="P773" s="117"/>
      <c r="Q773" s="117"/>
      <c r="R773" s="117"/>
      <c r="S773" s="117"/>
      <c r="T773" s="117"/>
      <c r="U773" s="117"/>
      <c r="V773" s="117"/>
      <c r="W773" s="117"/>
      <c r="X773" s="117"/>
      <c r="Y773" s="117"/>
      <c r="Z773" s="117"/>
      <c r="AA773" s="117"/>
      <c r="AB773" s="117"/>
      <c r="AC773" s="117"/>
      <c r="AD773" s="117"/>
      <c r="AE773" s="117"/>
      <c r="AF773" s="117"/>
      <c r="AG773" s="117"/>
      <c r="AH773" s="117"/>
      <c r="AI773" s="204"/>
      <c r="AJ773" s="204"/>
      <c r="AK773" s="204"/>
      <c r="AL773" s="204"/>
      <c r="AM773" s="204"/>
      <c r="AN773" s="117"/>
    </row>
    <row r="774" spans="1:40" s="209" customFormat="1" ht="14">
      <c r="A774" s="197"/>
      <c r="B774" s="117"/>
      <c r="C774" s="198"/>
      <c r="D774" s="117"/>
      <c r="E774" s="117"/>
      <c r="F774" s="117"/>
      <c r="G774" s="117"/>
      <c r="H774" s="203"/>
      <c r="I774" s="203"/>
      <c r="J774" s="203"/>
      <c r="K774" s="203"/>
      <c r="L774" s="203"/>
      <c r="M774" s="203"/>
      <c r="N774" s="203"/>
      <c r="O774" s="117"/>
      <c r="P774" s="117"/>
      <c r="Q774" s="117"/>
      <c r="R774" s="117"/>
      <c r="S774" s="117"/>
      <c r="T774" s="117"/>
      <c r="U774" s="117"/>
      <c r="V774" s="117"/>
      <c r="W774" s="117"/>
      <c r="X774" s="117"/>
      <c r="Y774" s="117"/>
      <c r="Z774" s="117"/>
      <c r="AA774" s="117"/>
      <c r="AB774" s="117"/>
      <c r="AC774" s="117"/>
      <c r="AD774" s="117"/>
      <c r="AE774" s="117"/>
      <c r="AF774" s="117"/>
      <c r="AG774" s="117"/>
      <c r="AH774" s="117"/>
      <c r="AI774" s="204"/>
      <c r="AJ774" s="204"/>
      <c r="AK774" s="204"/>
      <c r="AL774" s="204"/>
      <c r="AM774" s="204"/>
      <c r="AN774" s="117"/>
    </row>
    <row r="775" spans="1:40" s="209" customFormat="1" ht="14">
      <c r="A775" s="197"/>
      <c r="B775" s="117"/>
      <c r="C775" s="198"/>
      <c r="D775" s="117"/>
      <c r="E775" s="117"/>
      <c r="F775" s="117"/>
      <c r="G775" s="117"/>
      <c r="H775" s="203"/>
      <c r="I775" s="203"/>
      <c r="J775" s="203"/>
      <c r="K775" s="203"/>
      <c r="L775" s="203"/>
      <c r="M775" s="203"/>
      <c r="N775" s="203"/>
      <c r="O775" s="117"/>
      <c r="P775" s="117"/>
      <c r="Q775" s="117"/>
      <c r="R775" s="117"/>
      <c r="S775" s="117"/>
      <c r="T775" s="117"/>
      <c r="U775" s="117"/>
      <c r="V775" s="117"/>
      <c r="W775" s="117"/>
      <c r="X775" s="117"/>
      <c r="Y775" s="117"/>
      <c r="Z775" s="117"/>
      <c r="AA775" s="117"/>
      <c r="AB775" s="117"/>
      <c r="AC775" s="117"/>
      <c r="AD775" s="117"/>
      <c r="AE775" s="117"/>
      <c r="AF775" s="117"/>
      <c r="AG775" s="117"/>
      <c r="AH775" s="117"/>
      <c r="AI775" s="204"/>
      <c r="AJ775" s="204"/>
      <c r="AK775" s="204"/>
      <c r="AL775" s="204"/>
      <c r="AM775" s="204"/>
      <c r="AN775" s="117"/>
    </row>
    <row r="776" spans="1:40" s="209" customFormat="1" ht="14">
      <c r="A776" s="197"/>
      <c r="B776" s="117"/>
      <c r="C776" s="198"/>
      <c r="D776" s="117"/>
      <c r="E776" s="117"/>
      <c r="F776" s="117"/>
      <c r="G776" s="117"/>
      <c r="H776" s="203"/>
      <c r="I776" s="203"/>
      <c r="J776" s="203"/>
      <c r="K776" s="203"/>
      <c r="L776" s="203"/>
      <c r="M776" s="203"/>
      <c r="N776" s="203"/>
      <c r="O776" s="117"/>
      <c r="P776" s="117"/>
      <c r="Q776" s="117"/>
      <c r="R776" s="117"/>
      <c r="S776" s="117"/>
      <c r="T776" s="117"/>
      <c r="U776" s="117"/>
      <c r="V776" s="117"/>
      <c r="W776" s="117"/>
      <c r="X776" s="117"/>
      <c r="Y776" s="117"/>
      <c r="Z776" s="117"/>
      <c r="AA776" s="117"/>
      <c r="AB776" s="117"/>
      <c r="AC776" s="117"/>
      <c r="AD776" s="117"/>
      <c r="AE776" s="117"/>
      <c r="AF776" s="117"/>
      <c r="AG776" s="117"/>
      <c r="AH776" s="117"/>
      <c r="AI776" s="204"/>
      <c r="AJ776" s="204"/>
      <c r="AK776" s="204"/>
      <c r="AL776" s="204"/>
      <c r="AM776" s="204"/>
      <c r="AN776" s="117"/>
    </row>
    <row r="777" spans="1:40" s="209" customFormat="1" ht="14">
      <c r="A777" s="197"/>
      <c r="B777" s="117"/>
      <c r="C777" s="198"/>
      <c r="D777" s="117"/>
      <c r="E777" s="117"/>
      <c r="F777" s="117"/>
      <c r="G777" s="117"/>
      <c r="H777" s="203"/>
      <c r="I777" s="203"/>
      <c r="J777" s="203"/>
      <c r="K777" s="203"/>
      <c r="L777" s="203"/>
      <c r="M777" s="203"/>
      <c r="N777" s="203"/>
      <c r="O777" s="117"/>
      <c r="P777" s="117"/>
      <c r="Q777" s="117"/>
      <c r="R777" s="117"/>
      <c r="S777" s="117"/>
      <c r="T777" s="117"/>
      <c r="U777" s="117"/>
      <c r="V777" s="117"/>
      <c r="W777" s="117"/>
      <c r="X777" s="117"/>
      <c r="Y777" s="117"/>
      <c r="Z777" s="117"/>
      <c r="AA777" s="117"/>
      <c r="AB777" s="117"/>
      <c r="AC777" s="117"/>
      <c r="AD777" s="117"/>
      <c r="AE777" s="117"/>
      <c r="AF777" s="117"/>
      <c r="AG777" s="117"/>
      <c r="AH777" s="117"/>
      <c r="AI777" s="204"/>
      <c r="AJ777" s="204"/>
      <c r="AK777" s="204"/>
      <c r="AL777" s="204"/>
      <c r="AM777" s="204"/>
      <c r="AN777" s="117"/>
    </row>
    <row r="778" spans="1:40" s="209" customFormat="1" ht="14">
      <c r="A778" s="197"/>
      <c r="B778" s="117"/>
      <c r="C778" s="198"/>
      <c r="D778" s="117"/>
      <c r="E778" s="117"/>
      <c r="F778" s="117"/>
      <c r="G778" s="117"/>
      <c r="H778" s="203"/>
      <c r="I778" s="203"/>
      <c r="J778" s="203"/>
      <c r="K778" s="203"/>
      <c r="L778" s="203"/>
      <c r="M778" s="203"/>
      <c r="N778" s="203"/>
      <c r="O778" s="117"/>
      <c r="P778" s="117"/>
      <c r="Q778" s="117"/>
      <c r="R778" s="117"/>
      <c r="S778" s="117"/>
      <c r="T778" s="117"/>
      <c r="U778" s="117"/>
      <c r="V778" s="117"/>
      <c r="W778" s="117"/>
      <c r="X778" s="117"/>
      <c r="Y778" s="117"/>
      <c r="Z778" s="117"/>
      <c r="AA778" s="117"/>
      <c r="AB778" s="117"/>
      <c r="AC778" s="117"/>
      <c r="AD778" s="117"/>
      <c r="AE778" s="117"/>
      <c r="AF778" s="117"/>
      <c r="AG778" s="117"/>
      <c r="AH778" s="117"/>
      <c r="AI778" s="204"/>
      <c r="AJ778" s="204"/>
      <c r="AK778" s="204"/>
      <c r="AL778" s="204"/>
      <c r="AM778" s="204"/>
      <c r="AN778" s="117"/>
    </row>
    <row r="779" spans="1:40" s="209" customFormat="1" ht="14">
      <c r="A779" s="197"/>
      <c r="B779" s="117"/>
      <c r="C779" s="198"/>
      <c r="D779" s="117"/>
      <c r="E779" s="117"/>
      <c r="F779" s="117"/>
      <c r="G779" s="117"/>
      <c r="H779" s="203"/>
      <c r="I779" s="203"/>
      <c r="J779" s="203"/>
      <c r="K779" s="203"/>
      <c r="L779" s="203"/>
      <c r="M779" s="203"/>
      <c r="N779" s="203"/>
      <c r="O779" s="117"/>
      <c r="P779" s="117"/>
      <c r="Q779" s="117"/>
      <c r="R779" s="117"/>
      <c r="S779" s="117"/>
      <c r="T779" s="117"/>
      <c r="U779" s="117"/>
      <c r="V779" s="117"/>
      <c r="W779" s="117"/>
      <c r="X779" s="117"/>
      <c r="Y779" s="117"/>
      <c r="Z779" s="117"/>
      <c r="AA779" s="117"/>
      <c r="AB779" s="117"/>
      <c r="AC779" s="117"/>
      <c r="AD779" s="117"/>
      <c r="AE779" s="117"/>
      <c r="AF779" s="117"/>
      <c r="AG779" s="117"/>
      <c r="AH779" s="117"/>
      <c r="AI779" s="204"/>
      <c r="AJ779" s="204"/>
      <c r="AK779" s="204"/>
      <c r="AL779" s="204"/>
      <c r="AM779" s="204"/>
      <c r="AN779" s="117"/>
    </row>
    <row r="780" spans="1:40" s="209" customFormat="1" ht="14">
      <c r="A780" s="197"/>
      <c r="B780" s="117"/>
      <c r="C780" s="198"/>
      <c r="D780" s="117"/>
      <c r="E780" s="117"/>
      <c r="F780" s="117"/>
      <c r="G780" s="117"/>
      <c r="H780" s="203"/>
      <c r="I780" s="203"/>
      <c r="J780" s="203"/>
      <c r="K780" s="203"/>
      <c r="L780" s="203"/>
      <c r="M780" s="203"/>
      <c r="N780" s="203"/>
      <c r="O780" s="117"/>
      <c r="P780" s="117"/>
      <c r="Q780" s="117"/>
      <c r="R780" s="117"/>
      <c r="S780" s="117"/>
      <c r="T780" s="117"/>
      <c r="U780" s="117"/>
      <c r="V780" s="117"/>
      <c r="W780" s="117"/>
      <c r="X780" s="117"/>
      <c r="Y780" s="117"/>
      <c r="Z780" s="117"/>
      <c r="AA780" s="117"/>
      <c r="AB780" s="117"/>
      <c r="AC780" s="117"/>
      <c r="AD780" s="117"/>
      <c r="AE780" s="117"/>
      <c r="AF780" s="117"/>
      <c r="AG780" s="117"/>
      <c r="AH780" s="117"/>
      <c r="AI780" s="204"/>
      <c r="AJ780" s="204"/>
      <c r="AK780" s="204"/>
      <c r="AL780" s="204"/>
      <c r="AM780" s="204"/>
      <c r="AN780" s="117"/>
    </row>
    <row r="781" spans="1:40" s="209" customFormat="1" ht="14">
      <c r="A781" s="197"/>
      <c r="B781" s="117"/>
      <c r="C781" s="198"/>
      <c r="D781" s="117"/>
      <c r="E781" s="117"/>
      <c r="F781" s="117"/>
      <c r="G781" s="117"/>
      <c r="H781" s="203"/>
      <c r="I781" s="203"/>
      <c r="J781" s="203"/>
      <c r="K781" s="203"/>
      <c r="L781" s="203"/>
      <c r="M781" s="203"/>
      <c r="N781" s="203"/>
      <c r="O781" s="117"/>
      <c r="P781" s="117"/>
      <c r="Q781" s="117"/>
      <c r="R781" s="117"/>
      <c r="S781" s="117"/>
      <c r="T781" s="117"/>
      <c r="U781" s="117"/>
      <c r="V781" s="117"/>
      <c r="W781" s="117"/>
      <c r="X781" s="117"/>
      <c r="Y781" s="117"/>
      <c r="Z781" s="117"/>
      <c r="AA781" s="117"/>
      <c r="AB781" s="117"/>
      <c r="AC781" s="117"/>
      <c r="AD781" s="117"/>
      <c r="AE781" s="117"/>
      <c r="AF781" s="117"/>
      <c r="AG781" s="117"/>
      <c r="AH781" s="117"/>
      <c r="AI781" s="204"/>
      <c r="AJ781" s="204"/>
      <c r="AK781" s="204"/>
      <c r="AL781" s="204"/>
      <c r="AM781" s="204"/>
      <c r="AN781" s="117"/>
    </row>
    <row r="782" spans="1:40" s="209" customFormat="1" ht="14">
      <c r="A782" s="197"/>
      <c r="B782" s="117"/>
      <c r="C782" s="198"/>
      <c r="D782" s="117"/>
      <c r="E782" s="117"/>
      <c r="F782" s="117"/>
      <c r="G782" s="117"/>
      <c r="H782" s="203"/>
      <c r="I782" s="203"/>
      <c r="J782" s="203"/>
      <c r="K782" s="203"/>
      <c r="L782" s="203"/>
      <c r="M782" s="203"/>
      <c r="N782" s="203"/>
      <c r="O782" s="117"/>
      <c r="P782" s="117"/>
      <c r="Q782" s="117"/>
      <c r="R782" s="117"/>
      <c r="S782" s="117"/>
      <c r="T782" s="117"/>
      <c r="U782" s="117"/>
      <c r="V782" s="117"/>
      <c r="W782" s="117"/>
      <c r="X782" s="117"/>
      <c r="Y782" s="117"/>
      <c r="Z782" s="117"/>
      <c r="AA782" s="117"/>
      <c r="AB782" s="117"/>
      <c r="AC782" s="117"/>
      <c r="AD782" s="117"/>
      <c r="AE782" s="117"/>
      <c r="AF782" s="117"/>
      <c r="AG782" s="117"/>
      <c r="AH782" s="117"/>
      <c r="AI782" s="204"/>
      <c r="AJ782" s="204"/>
      <c r="AK782" s="204"/>
      <c r="AL782" s="204"/>
      <c r="AM782" s="204"/>
      <c r="AN782" s="117"/>
    </row>
    <row r="783" spans="1:40" s="209" customFormat="1" ht="14">
      <c r="A783" s="197"/>
      <c r="B783" s="117"/>
      <c r="C783" s="198"/>
      <c r="D783" s="117"/>
      <c r="E783" s="117"/>
      <c r="F783" s="117"/>
      <c r="G783" s="117"/>
      <c r="H783" s="203"/>
      <c r="I783" s="203"/>
      <c r="J783" s="203"/>
      <c r="K783" s="203"/>
      <c r="L783" s="203"/>
      <c r="M783" s="203"/>
      <c r="N783" s="203"/>
      <c r="O783" s="117"/>
      <c r="P783" s="117"/>
      <c r="Q783" s="117"/>
      <c r="R783" s="117"/>
      <c r="S783" s="117"/>
      <c r="T783" s="117"/>
      <c r="U783" s="117"/>
      <c r="V783" s="117"/>
      <c r="W783" s="117"/>
      <c r="X783" s="117"/>
      <c r="Y783" s="117"/>
      <c r="Z783" s="117"/>
      <c r="AA783" s="117"/>
      <c r="AB783" s="117"/>
      <c r="AC783" s="117"/>
      <c r="AD783" s="117"/>
      <c r="AE783" s="117"/>
      <c r="AF783" s="117"/>
      <c r="AG783" s="117"/>
      <c r="AH783" s="117"/>
      <c r="AI783" s="204"/>
      <c r="AJ783" s="204"/>
      <c r="AK783" s="204"/>
      <c r="AL783" s="204"/>
      <c r="AM783" s="204"/>
      <c r="AN783" s="117"/>
    </row>
  </sheetData>
  <autoFilter ref="A11:AN684" xr:uid="{00000000-0009-0000-0000-00000A000000}"/>
  <mergeCells count="73">
    <mergeCell ref="S1:U1"/>
    <mergeCell ref="A3:U3"/>
    <mergeCell ref="A4:U4"/>
    <mergeCell ref="T6:U6"/>
    <mergeCell ref="AL6:AM6"/>
    <mergeCell ref="I7:N7"/>
    <mergeCell ref="L9:L10"/>
    <mergeCell ref="M9:M10"/>
    <mergeCell ref="N9:N10"/>
    <mergeCell ref="A1:D1"/>
    <mergeCell ref="A7:A10"/>
    <mergeCell ref="B7:B10"/>
    <mergeCell ref="C7:C10"/>
    <mergeCell ref="D7:G7"/>
    <mergeCell ref="H7:H10"/>
    <mergeCell ref="AJ7:AM7"/>
    <mergeCell ref="D8:E8"/>
    <mergeCell ref="F8:G8"/>
    <mergeCell ref="I8:K8"/>
    <mergeCell ref="L8:N8"/>
    <mergeCell ref="P8:R8"/>
    <mergeCell ref="S8:U8"/>
    <mergeCell ref="W8:Y8"/>
    <mergeCell ref="Z8:AB8"/>
    <mergeCell ref="AC8:AE8"/>
    <mergeCell ref="O7:O10"/>
    <mergeCell ref="P7:U7"/>
    <mergeCell ref="V7:V10"/>
    <mergeCell ref="W7:AB7"/>
    <mergeCell ref="AC7:AH7"/>
    <mergeCell ref="AI7:AI10"/>
    <mergeCell ref="AJ8:AK8"/>
    <mergeCell ref="AL8:AM8"/>
    <mergeCell ref="AN8:AN9"/>
    <mergeCell ref="D9:D10"/>
    <mergeCell ref="E9:E10"/>
    <mergeCell ref="F9:F10"/>
    <mergeCell ref="G9:G10"/>
    <mergeCell ref="I9:I10"/>
    <mergeCell ref="J9:J10"/>
    <mergeCell ref="K9:K10"/>
    <mergeCell ref="AF8:AH8"/>
    <mergeCell ref="P9:P10"/>
    <mergeCell ref="Q9:Q10"/>
    <mergeCell ref="R9:R10"/>
    <mergeCell ref="AE9:AE10"/>
    <mergeCell ref="S9:S10"/>
    <mergeCell ref="T9:T10"/>
    <mergeCell ref="U9:U10"/>
    <mergeCell ref="W9:W10"/>
    <mergeCell ref="X9:X10"/>
    <mergeCell ref="Y9:Y10"/>
    <mergeCell ref="Z9:Z10"/>
    <mergeCell ref="AA9:AA10"/>
    <mergeCell ref="AB9:AB10"/>
    <mergeCell ref="AC9:AC10"/>
    <mergeCell ref="AD9:AD10"/>
    <mergeCell ref="H742:J742"/>
    <mergeCell ref="B743:E743"/>
    <mergeCell ref="AM9:AM10"/>
    <mergeCell ref="O681:T681"/>
    <mergeCell ref="O682:T682"/>
    <mergeCell ref="U682:AL682"/>
    <mergeCell ref="Q683:R683"/>
    <mergeCell ref="S683:T683"/>
    <mergeCell ref="AI683:AJ683"/>
    <mergeCell ref="AK683:AL683"/>
    <mergeCell ref="AF9:AF10"/>
    <mergeCell ref="AG9:AG10"/>
    <mergeCell ref="AH9:AH10"/>
    <mergeCell ref="AJ9:AJ10"/>
    <mergeCell ref="AK9:AK10"/>
    <mergeCell ref="AL9:AL10"/>
  </mergeCells>
  <dataValidations count="2">
    <dataValidation allowBlank="1" showInputMessage="1" showErrorMessage="1" prompt="PHÒNG TCĐT" sqref="AP160" xr:uid="{00000000-0002-0000-0A00-000000000000}"/>
    <dataValidation allowBlank="1" showInputMessage="1" showErrorMessage="1" prompt="Bộ Tài chính điều chỉnh giảm 36 tỷ tại VB số 3863/BTC-NSNN ngày 01/4/2020" sqref="A192:XFD192" xr:uid="{00000000-0002-0000-0A00-000001000000}"/>
  </dataValidations>
  <pageMargins left="0.19685039370078741" right="0.19685039370078741" top="0.31496062992125984" bottom="0.27559055118110237" header="0.19685039370078741" footer="0.19685039370078741"/>
  <pageSetup paperSize="8" scale="63"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L39"/>
  <sheetViews>
    <sheetView workbookViewId="0">
      <pane xSplit="1" ySplit="7" topLeftCell="B8" activePane="bottomRight" state="frozen"/>
      <selection pane="topRight" activeCell="B1" sqref="B1"/>
      <selection pane="bottomLeft" activeCell="A8" sqref="A8"/>
      <selection pane="bottomRight" activeCell="L13" sqref="L13"/>
    </sheetView>
  </sheetViews>
  <sheetFormatPr defaultColWidth="9.1796875" defaultRowHeight="14" outlineLevelRow="1"/>
  <cols>
    <col min="1" max="1" width="36.453125" style="225" customWidth="1"/>
    <col min="2" max="2" width="12.453125" style="225" customWidth="1"/>
    <col min="3" max="3" width="13" style="225" customWidth="1"/>
    <col min="4" max="4" width="12.54296875" style="225" customWidth="1"/>
    <col min="5" max="5" width="11.54296875" style="225" customWidth="1"/>
    <col min="6" max="6" width="31.453125" style="225" customWidth="1"/>
    <col min="7" max="7" width="13.26953125" style="225" customWidth="1"/>
    <col min="8" max="9" width="11.26953125" style="225" bestFit="1" customWidth="1"/>
    <col min="10" max="10" width="9.54296875" style="225" customWidth="1"/>
    <col min="11" max="11" width="12.26953125" style="228" customWidth="1"/>
    <col min="12" max="12" width="13.453125" style="225" customWidth="1"/>
    <col min="13" max="13" width="9.1796875" style="225"/>
    <col min="14" max="14" width="9.1796875" style="225" customWidth="1"/>
    <col min="15" max="16384" width="9.1796875" style="225"/>
  </cols>
  <sheetData>
    <row r="1" spans="1:12" ht="15">
      <c r="A1" s="223" t="s">
        <v>328</v>
      </c>
      <c r="B1" s="224"/>
      <c r="C1" s="224"/>
      <c r="I1" s="649" t="s">
        <v>831</v>
      </c>
      <c r="J1" s="649"/>
      <c r="K1" s="226"/>
    </row>
    <row r="2" spans="1:12" ht="15">
      <c r="A2" s="227"/>
      <c r="B2" s="224"/>
      <c r="C2" s="228"/>
      <c r="D2" s="224"/>
      <c r="E2" s="224"/>
      <c r="G2" s="224"/>
      <c r="H2" s="224"/>
      <c r="I2" s="224"/>
      <c r="J2" s="224"/>
    </row>
    <row r="3" spans="1:12" ht="18" customHeight="1">
      <c r="A3" s="649" t="s">
        <v>832</v>
      </c>
      <c r="B3" s="649"/>
      <c r="C3" s="649"/>
      <c r="D3" s="649"/>
      <c r="E3" s="649"/>
      <c r="F3" s="649"/>
      <c r="G3" s="649"/>
      <c r="H3" s="649"/>
      <c r="I3" s="649"/>
      <c r="J3" s="649"/>
    </row>
    <row r="4" spans="1:12" ht="15.5" hidden="1" outlineLevel="1">
      <c r="A4" s="650" t="s">
        <v>833</v>
      </c>
      <c r="B4" s="650"/>
      <c r="C4" s="650"/>
      <c r="D4" s="650"/>
      <c r="E4" s="650"/>
      <c r="F4" s="650"/>
      <c r="G4" s="650"/>
      <c r="H4" s="650"/>
      <c r="I4" s="650"/>
      <c r="J4" s="650"/>
    </row>
    <row r="5" spans="1:12" ht="15.5" collapsed="1">
      <c r="A5" s="229"/>
      <c r="B5" s="224"/>
      <c r="C5" s="228"/>
      <c r="D5" s="228"/>
      <c r="E5" s="228"/>
      <c r="F5" s="230"/>
      <c r="G5" s="224"/>
      <c r="H5" s="224"/>
      <c r="I5" s="231" t="s">
        <v>834</v>
      </c>
    </row>
    <row r="6" spans="1:12" ht="30">
      <c r="A6" s="232" t="s">
        <v>835</v>
      </c>
      <c r="B6" s="232" t="s">
        <v>151</v>
      </c>
      <c r="C6" s="232" t="s">
        <v>836</v>
      </c>
      <c r="D6" s="232" t="s">
        <v>837</v>
      </c>
      <c r="E6" s="232" t="s">
        <v>838</v>
      </c>
      <c r="F6" s="232" t="s">
        <v>839</v>
      </c>
      <c r="G6" s="232" t="s">
        <v>151</v>
      </c>
      <c r="H6" s="232" t="s">
        <v>840</v>
      </c>
      <c r="I6" s="232" t="s">
        <v>841</v>
      </c>
      <c r="J6" s="232" t="s">
        <v>842</v>
      </c>
    </row>
    <row r="7" spans="1:12" ht="15.5">
      <c r="A7" s="233">
        <v>1</v>
      </c>
      <c r="B7" s="233">
        <v>2</v>
      </c>
      <c r="C7" s="233">
        <v>3</v>
      </c>
      <c r="D7" s="233">
        <v>4</v>
      </c>
      <c r="E7" s="233">
        <v>5</v>
      </c>
      <c r="F7" s="233">
        <v>6</v>
      </c>
      <c r="G7" s="233">
        <v>7</v>
      </c>
      <c r="H7" s="233">
        <v>8</v>
      </c>
      <c r="I7" s="233">
        <v>9</v>
      </c>
      <c r="J7" s="233">
        <v>10</v>
      </c>
    </row>
    <row r="8" spans="1:12" ht="15">
      <c r="A8" s="234" t="s">
        <v>843</v>
      </c>
      <c r="B8" s="235">
        <f>B9</f>
        <v>13770674.505294999</v>
      </c>
      <c r="C8" s="235">
        <f t="shared" ref="C8" si="0">C9</f>
        <v>8648544.1237289999</v>
      </c>
      <c r="D8" s="235">
        <f>D9</f>
        <v>4485663.5892509995</v>
      </c>
      <c r="E8" s="235">
        <f>E9</f>
        <v>636466.79231499997</v>
      </c>
      <c r="F8" s="234" t="s">
        <v>844</v>
      </c>
      <c r="G8" s="236">
        <f>G9</f>
        <v>13652422.354806002</v>
      </c>
      <c r="H8" s="236">
        <f t="shared" ref="H8:J8" si="1">H9</f>
        <v>8617058.9104749989</v>
      </c>
      <c r="I8" s="236">
        <f t="shared" si="1"/>
        <v>4407079.9907750003</v>
      </c>
      <c r="J8" s="236">
        <f t="shared" si="1"/>
        <v>628283.45355600002</v>
      </c>
    </row>
    <row r="9" spans="1:12" ht="15">
      <c r="A9" s="237" t="s">
        <v>845</v>
      </c>
      <c r="B9" s="238">
        <f>B10+B11+B12+B13+B14+B15+B16+B19+B20</f>
        <v>13770674.505294999</v>
      </c>
      <c r="C9" s="238">
        <f t="shared" ref="C9" si="2">C10+C11+C12+C13+C14+C15+C16+C19+C20</f>
        <v>8648544.1237289999</v>
      </c>
      <c r="D9" s="238">
        <f>D10+D11+D12+D13+D14+D15+D16+D19+D20</f>
        <v>4485663.5892509995</v>
      </c>
      <c r="E9" s="238">
        <f>E10+E11+E12+E13+E14+E15+E16+E19+E20</f>
        <v>636466.79231499997</v>
      </c>
      <c r="F9" s="237" t="s">
        <v>846</v>
      </c>
      <c r="G9" s="239">
        <f>SUM(G10:G17)</f>
        <v>13652422.354806002</v>
      </c>
      <c r="H9" s="239">
        <f t="shared" ref="H9:J9" si="3">SUM(H10:H17)</f>
        <v>8617058.9104749989</v>
      </c>
      <c r="I9" s="239">
        <f t="shared" si="3"/>
        <v>4407079.9907750003</v>
      </c>
      <c r="J9" s="239">
        <f t="shared" si="3"/>
        <v>628283.45355600002</v>
      </c>
      <c r="L9" s="224"/>
    </row>
    <row r="10" spans="1:12" ht="15.5">
      <c r="A10" s="240" t="s">
        <v>847</v>
      </c>
      <c r="B10" s="241">
        <f>C10+D10+E10</f>
        <v>1710829.6951780005</v>
      </c>
      <c r="C10" s="242">
        <v>1032380.9751820004</v>
      </c>
      <c r="D10" s="242">
        <f>627246.258509+0.3</f>
        <v>627246.55850899999</v>
      </c>
      <c r="E10" s="242">
        <v>51202.161486999998</v>
      </c>
      <c r="F10" s="243" t="s">
        <v>848</v>
      </c>
      <c r="G10" s="244">
        <f>H10+I10+J10</f>
        <v>2607121.7953199996</v>
      </c>
      <c r="H10" s="244">
        <v>1725903.1915369998</v>
      </c>
      <c r="I10" s="244">
        <v>862734.45624399988</v>
      </c>
      <c r="J10" s="244">
        <v>18484.147538999998</v>
      </c>
      <c r="K10" s="228">
        <f>I10+J10</f>
        <v>881218.60378299991</v>
      </c>
      <c r="L10" s="224">
        <f>I10+J10</f>
        <v>881218.60378299991</v>
      </c>
    </row>
    <row r="11" spans="1:12" ht="15.5">
      <c r="A11" s="240" t="s">
        <v>849</v>
      </c>
      <c r="B11" s="241">
        <f t="shared" ref="B11:B15" si="4">C11+D11+E11</f>
        <v>1033855.859111</v>
      </c>
      <c r="C11" s="242">
        <v>484354.63825900003</v>
      </c>
      <c r="D11" s="242">
        <v>549501.22085199994</v>
      </c>
      <c r="E11" s="242"/>
      <c r="F11" s="245" t="s">
        <v>850</v>
      </c>
      <c r="G11" s="244">
        <f>H11+I11+J11</f>
        <v>29000</v>
      </c>
      <c r="H11" s="244">
        <v>29000</v>
      </c>
      <c r="I11" s="244">
        <v>0</v>
      </c>
      <c r="J11" s="244">
        <v>0</v>
      </c>
      <c r="L11" s="224"/>
    </row>
    <row r="12" spans="1:12" ht="15.5">
      <c r="A12" s="240" t="s">
        <v>851</v>
      </c>
      <c r="B12" s="241">
        <f>C12+D12+E12</f>
        <v>0</v>
      </c>
      <c r="C12" s="242">
        <v>0</v>
      </c>
      <c r="D12" s="242">
        <v>0</v>
      </c>
      <c r="E12" s="242">
        <v>0</v>
      </c>
      <c r="F12" s="240" t="s">
        <v>852</v>
      </c>
      <c r="G12" s="244">
        <f>H12+I12+J12</f>
        <v>4914678.1487470008</v>
      </c>
      <c r="H12" s="244">
        <v>1958066.9782340003</v>
      </c>
      <c r="I12" s="244">
        <v>2398824.8031010004</v>
      </c>
      <c r="J12" s="244">
        <v>557786.36741199996</v>
      </c>
      <c r="L12" s="224"/>
    </row>
    <row r="13" spans="1:12" ht="31">
      <c r="A13" s="240" t="s">
        <v>853</v>
      </c>
      <c r="B13" s="241">
        <f t="shared" si="4"/>
        <v>80346.576449999993</v>
      </c>
      <c r="C13" s="242">
        <v>5234</v>
      </c>
      <c r="D13" s="242">
        <v>65206.070331000003</v>
      </c>
      <c r="E13" s="242">
        <v>9906.5061189999997</v>
      </c>
      <c r="F13" s="240" t="s">
        <v>854</v>
      </c>
      <c r="G13" s="244">
        <f>H13+I13+J13</f>
        <v>2000</v>
      </c>
      <c r="H13" s="244">
        <v>2000</v>
      </c>
      <c r="I13" s="244">
        <v>0</v>
      </c>
      <c r="J13" s="244">
        <v>0</v>
      </c>
      <c r="L13" s="224"/>
    </row>
    <row r="14" spans="1:12" ht="31">
      <c r="A14" s="240" t="s">
        <v>855</v>
      </c>
      <c r="B14" s="241">
        <f t="shared" si="4"/>
        <v>2207814.4703509999</v>
      </c>
      <c r="C14" s="242">
        <v>1833064.2520000001</v>
      </c>
      <c r="D14" s="242">
        <v>333681.42700000003</v>
      </c>
      <c r="E14" s="242">
        <v>41068.791351</v>
      </c>
      <c r="F14" s="243" t="s">
        <v>856</v>
      </c>
      <c r="G14" s="244">
        <f t="shared" ref="G14:G17" si="5">H14+I14+J14</f>
        <v>3440589.977858</v>
      </c>
      <c r="H14" s="244">
        <v>2906304.6444999999</v>
      </c>
      <c r="I14" s="244">
        <v>534285.33335800003</v>
      </c>
      <c r="J14" s="244">
        <v>0</v>
      </c>
      <c r="K14" s="228">
        <f>G8-G14-G15-G16</f>
        <v>7552888.0600670027</v>
      </c>
      <c r="L14" s="224">
        <f>I8+J8-I14</f>
        <v>4501078.1109730005</v>
      </c>
    </row>
    <row r="15" spans="1:12" ht="31">
      <c r="A15" s="240" t="s">
        <v>517</v>
      </c>
      <c r="B15" s="241">
        <f t="shared" si="4"/>
        <v>49437.816161000002</v>
      </c>
      <c r="C15" s="241">
        <v>45714.148101999999</v>
      </c>
      <c r="D15" s="241">
        <v>3723.6680590000001</v>
      </c>
      <c r="E15" s="241">
        <v>0</v>
      </c>
      <c r="F15" s="243" t="s">
        <v>857</v>
      </c>
      <c r="G15" s="244">
        <f t="shared" si="5"/>
        <v>2587635.338399</v>
      </c>
      <c r="H15" s="244">
        <v>1973824.817883</v>
      </c>
      <c r="I15" s="244">
        <v>565521.24997</v>
      </c>
      <c r="J15" s="244">
        <v>48289.270546</v>
      </c>
      <c r="L15" s="224"/>
    </row>
    <row r="16" spans="1:12" ht="15.5">
      <c r="A16" s="240" t="s">
        <v>858</v>
      </c>
      <c r="B16" s="241">
        <f>B17+B18</f>
        <v>8660025.4526629988</v>
      </c>
      <c r="C16" s="241">
        <f t="shared" ref="C16:E16" si="6">C17+C18</f>
        <v>5219435.4748049993</v>
      </c>
      <c r="D16" s="241">
        <f t="shared" si="6"/>
        <v>2906304.6444999999</v>
      </c>
      <c r="E16" s="241">
        <f t="shared" si="6"/>
        <v>534285.33335800003</v>
      </c>
      <c r="F16" s="240" t="s">
        <v>859</v>
      </c>
      <c r="G16" s="244">
        <f t="shared" si="5"/>
        <v>71308.978482000006</v>
      </c>
      <c r="H16" s="244">
        <v>21871.162321</v>
      </c>
      <c r="I16" s="244">
        <v>45714.148101999999</v>
      </c>
      <c r="J16" s="244">
        <v>3723.6680590000001</v>
      </c>
      <c r="L16" s="224"/>
    </row>
    <row r="17" spans="1:12" ht="31">
      <c r="A17" s="246" t="s">
        <v>860</v>
      </c>
      <c r="B17" s="247">
        <f>C17+D17+E17</f>
        <v>5441202.4967139997</v>
      </c>
      <c r="C17" s="247">
        <v>3116511</v>
      </c>
      <c r="D17" s="247">
        <v>1913342</v>
      </c>
      <c r="E17" s="247">
        <v>411349.49671400001</v>
      </c>
      <c r="F17" s="240" t="s">
        <v>861</v>
      </c>
      <c r="G17" s="244">
        <f t="shared" si="5"/>
        <v>88.116</v>
      </c>
      <c r="H17" s="244">
        <v>88.116</v>
      </c>
      <c r="I17" s="244"/>
      <c r="J17" s="244"/>
      <c r="L17" s="224">
        <f>I8+J8-I14</f>
        <v>4501078.1109730005</v>
      </c>
    </row>
    <row r="18" spans="1:12" ht="15.5">
      <c r="A18" s="246" t="s">
        <v>862</v>
      </c>
      <c r="B18" s="247">
        <f>C18+D18+E18</f>
        <v>3218822.9559489996</v>
      </c>
      <c r="C18" s="247">
        <v>2102924.4748049998</v>
      </c>
      <c r="D18" s="247">
        <v>992962.64450000005</v>
      </c>
      <c r="E18" s="247">
        <v>122935.836644</v>
      </c>
      <c r="F18" s="240"/>
      <c r="G18" s="244"/>
      <c r="H18" s="244"/>
      <c r="I18" s="244"/>
      <c r="J18" s="244"/>
      <c r="L18" s="224"/>
    </row>
    <row r="19" spans="1:12" ht="15.5">
      <c r="A19" s="240" t="s">
        <v>863</v>
      </c>
      <c r="B19" s="241">
        <f t="shared" ref="B19:B20" si="7">C19+D19+E19</f>
        <v>3504</v>
      </c>
      <c r="C19" s="241">
        <v>3500</v>
      </c>
      <c r="D19" s="241">
        <v>0</v>
      </c>
      <c r="E19" s="241">
        <v>4</v>
      </c>
      <c r="F19" s="240"/>
      <c r="G19" s="244"/>
      <c r="H19" s="244"/>
      <c r="I19" s="244"/>
      <c r="J19" s="244"/>
      <c r="L19" s="224"/>
    </row>
    <row r="20" spans="1:12" ht="15.5">
      <c r="A20" s="240" t="s">
        <v>864</v>
      </c>
      <c r="B20" s="241">
        <f t="shared" si="7"/>
        <v>24860.635381</v>
      </c>
      <c r="C20" s="241">
        <v>24860.635381</v>
      </c>
      <c r="D20" s="241">
        <v>0</v>
      </c>
      <c r="E20" s="241">
        <v>0</v>
      </c>
      <c r="F20" s="240"/>
      <c r="G20" s="244"/>
      <c r="H20" s="244"/>
      <c r="I20" s="244"/>
      <c r="J20" s="244"/>
      <c r="L20" s="224"/>
    </row>
    <row r="21" spans="1:12" ht="31.5" customHeight="1">
      <c r="A21" s="248" t="s">
        <v>865</v>
      </c>
      <c r="B21" s="249">
        <f>B8-G8</f>
        <v>118252.15048899688</v>
      </c>
      <c r="C21" s="250">
        <f>C8-H8</f>
        <v>31485.213254000992</v>
      </c>
      <c r="D21" s="250">
        <f>D8-I8</f>
        <v>78583.598475999199</v>
      </c>
      <c r="E21" s="250">
        <f>E8-J8</f>
        <v>8183.3387589999475</v>
      </c>
      <c r="F21" s="251"/>
      <c r="G21" s="244"/>
      <c r="H21" s="252"/>
      <c r="I21" s="252"/>
      <c r="J21" s="252"/>
      <c r="L21" s="224"/>
    </row>
    <row r="22" spans="1:12" ht="18.75" customHeight="1">
      <c r="A22" s="253" t="s">
        <v>866</v>
      </c>
      <c r="B22" s="254"/>
      <c r="C22" s="255"/>
      <c r="D22" s="251"/>
      <c r="E22" s="251"/>
      <c r="F22" s="251"/>
      <c r="G22" s="252"/>
      <c r="H22" s="252"/>
      <c r="I22" s="252"/>
      <c r="J22" s="252"/>
    </row>
    <row r="23" spans="1:12" ht="20.25" customHeight="1">
      <c r="A23" s="248" t="s">
        <v>867</v>
      </c>
      <c r="B23" s="254"/>
      <c r="C23" s="254"/>
      <c r="D23" s="254"/>
      <c r="E23" s="237"/>
      <c r="F23" s="237" t="s">
        <v>868</v>
      </c>
      <c r="G23" s="244"/>
      <c r="H23" s="244"/>
      <c r="I23" s="244"/>
      <c r="J23" s="244"/>
    </row>
    <row r="24" spans="1:12" ht="6" customHeight="1">
      <c r="A24" s="256"/>
      <c r="B24" s="256"/>
      <c r="C24" s="256"/>
      <c r="D24" s="256"/>
      <c r="E24" s="256"/>
      <c r="F24" s="256"/>
      <c r="G24" s="257"/>
      <c r="H24" s="257"/>
      <c r="I24" s="257"/>
      <c r="J24" s="257"/>
    </row>
    <row r="25" spans="1:12" ht="9" customHeight="1">
      <c r="A25" s="258"/>
    </row>
    <row r="26" spans="1:12" s="259" customFormat="1" ht="16.5">
      <c r="A26" s="651" t="s">
        <v>869</v>
      </c>
      <c r="B26" s="651"/>
      <c r="D26" s="651" t="s">
        <v>869</v>
      </c>
      <c r="E26" s="651"/>
      <c r="F26" s="651"/>
      <c r="G26" s="651" t="s">
        <v>870</v>
      </c>
      <c r="H26" s="651"/>
      <c r="I26" s="651"/>
      <c r="J26" s="651"/>
      <c r="K26" s="260"/>
    </row>
    <row r="27" spans="1:12" s="259" customFormat="1" ht="16.5">
      <c r="A27" s="648" t="s">
        <v>871</v>
      </c>
      <c r="B27" s="648"/>
      <c r="C27" s="261"/>
      <c r="D27" s="648" t="s">
        <v>872</v>
      </c>
      <c r="E27" s="648"/>
      <c r="F27" s="648"/>
      <c r="G27" s="648" t="s">
        <v>873</v>
      </c>
      <c r="H27" s="648"/>
      <c r="I27" s="648"/>
      <c r="J27" s="648"/>
      <c r="K27" s="260"/>
    </row>
    <row r="28" spans="1:12" s="259" customFormat="1" ht="16.5">
      <c r="A28" s="648" t="s">
        <v>874</v>
      </c>
      <c r="B28" s="648"/>
      <c r="C28" s="260"/>
      <c r="D28" s="648" t="s">
        <v>875</v>
      </c>
      <c r="E28" s="648"/>
      <c r="F28" s="648"/>
      <c r="G28" s="648" t="s">
        <v>876</v>
      </c>
      <c r="H28" s="648"/>
      <c r="I28" s="648"/>
      <c r="J28" s="648"/>
      <c r="K28" s="260"/>
    </row>
    <row r="29" spans="1:12" s="259" customFormat="1" ht="16.5">
      <c r="A29" s="262"/>
      <c r="B29" s="263"/>
      <c r="C29" s="263"/>
      <c r="D29" s="263"/>
      <c r="E29" s="263"/>
      <c r="F29" s="264"/>
      <c r="G29" s="265"/>
      <c r="H29" s="265"/>
      <c r="I29" s="265"/>
      <c r="J29" s="265"/>
      <c r="K29" s="260"/>
    </row>
    <row r="30" spans="1:12" ht="15.5">
      <c r="A30" s="266"/>
      <c r="B30" s="228">
        <f>B8-G8</f>
        <v>118252.15048899688</v>
      </c>
      <c r="C30" s="228">
        <f t="shared" ref="C30:E30" si="8">C8-H8</f>
        <v>31485.213254000992</v>
      </c>
      <c r="D30" s="228">
        <f t="shared" si="8"/>
        <v>78583.598475999199</v>
      </c>
      <c r="E30" s="228">
        <f t="shared" si="8"/>
        <v>8183.3387589999475</v>
      </c>
      <c r="F30" s="267"/>
      <c r="G30" s="266"/>
      <c r="H30" s="266"/>
      <c r="I30" s="266"/>
      <c r="J30" s="266"/>
    </row>
    <row r="31" spans="1:12" ht="15.5">
      <c r="A31" s="266"/>
      <c r="B31" s="228"/>
      <c r="C31" s="228"/>
      <c r="D31" s="266"/>
      <c r="E31" s="266"/>
      <c r="F31" s="268"/>
      <c r="G31" s="268">
        <v>0</v>
      </c>
      <c r="H31" s="268">
        <v>0</v>
      </c>
      <c r="I31" s="268">
        <v>0</v>
      </c>
      <c r="J31" s="268">
        <v>0</v>
      </c>
    </row>
    <row r="32" spans="1:12" ht="15.5" hidden="1" outlineLevel="1">
      <c r="A32" s="269" t="s">
        <v>877</v>
      </c>
      <c r="B32" s="270"/>
      <c r="C32" s="270">
        <f>C33+C34+C35</f>
        <v>31485.213254000992</v>
      </c>
      <c r="D32" s="224"/>
      <c r="E32" s="224"/>
      <c r="F32" s="266"/>
      <c r="G32" s="266"/>
      <c r="H32" s="266"/>
      <c r="I32" s="266"/>
      <c r="J32" s="266"/>
    </row>
    <row r="33" spans="1:11" s="230" customFormat="1" ht="15.5" hidden="1" outlineLevel="1">
      <c r="A33" s="271" t="s">
        <v>878</v>
      </c>
      <c r="B33" s="272"/>
      <c r="C33" s="273">
        <v>25493.060382</v>
      </c>
      <c r="D33" s="273"/>
      <c r="E33" s="274"/>
      <c r="F33" s="275"/>
      <c r="G33" s="275"/>
      <c r="H33" s="275"/>
      <c r="I33" s="275"/>
      <c r="J33" s="275"/>
      <c r="K33" s="276"/>
    </row>
    <row r="34" spans="1:11" ht="15.5" hidden="1" outlineLevel="1">
      <c r="A34" s="271" t="s">
        <v>879</v>
      </c>
      <c r="B34" s="277"/>
      <c r="C34" s="273">
        <f>9826-1585-5000</f>
        <v>3241</v>
      </c>
      <c r="D34" s="273"/>
      <c r="E34" s="266"/>
      <c r="F34" s="266"/>
      <c r="G34" s="266"/>
      <c r="H34" s="266"/>
      <c r="I34" s="266"/>
      <c r="J34" s="266"/>
    </row>
    <row r="35" spans="1:11" ht="15.5" hidden="1" outlineLevel="1">
      <c r="A35" s="271" t="s">
        <v>880</v>
      </c>
      <c r="B35" s="270"/>
      <c r="C35" s="273">
        <f>C21-C33-C34</f>
        <v>2751.1528720009919</v>
      </c>
      <c r="D35" s="266"/>
      <c r="E35" s="266"/>
      <c r="F35" s="266"/>
      <c r="G35" s="266"/>
      <c r="H35" s="266"/>
      <c r="I35" s="266"/>
      <c r="J35" s="266"/>
    </row>
    <row r="36" spans="1:11" ht="15.5" collapsed="1">
      <c r="A36" s="266"/>
      <c r="B36" s="228"/>
      <c r="D36" s="266"/>
      <c r="E36" s="266"/>
      <c r="F36" s="266"/>
      <c r="G36" s="266"/>
      <c r="H36" s="266"/>
      <c r="I36" s="266"/>
      <c r="J36" s="266"/>
    </row>
    <row r="37" spans="1:11" ht="15.5">
      <c r="A37" s="266"/>
      <c r="B37" s="224"/>
      <c r="D37" s="266"/>
      <c r="E37" s="266"/>
      <c r="F37" s="266"/>
      <c r="G37" s="268">
        <f>G8-G14</f>
        <v>10211832.376948003</v>
      </c>
      <c r="H37" s="266"/>
      <c r="I37" s="266"/>
      <c r="J37" s="266"/>
    </row>
    <row r="38" spans="1:11" ht="15.5">
      <c r="A38" s="266"/>
      <c r="B38" s="228">
        <f>B8-B16+C16</f>
        <v>10330084.527437</v>
      </c>
      <c r="D38" s="266"/>
      <c r="E38" s="266"/>
      <c r="F38" s="266"/>
      <c r="G38" s="268">
        <f>B38-G37</f>
        <v>118252.15048899688</v>
      </c>
      <c r="H38" s="266"/>
      <c r="I38" s="266"/>
      <c r="J38" s="266"/>
    </row>
    <row r="39" spans="1:11" ht="15.5">
      <c r="A39" s="266"/>
      <c r="B39" s="224"/>
      <c r="D39" s="266"/>
      <c r="E39" s="266"/>
      <c r="F39" s="266"/>
      <c r="G39" s="266"/>
      <c r="H39" s="266"/>
      <c r="I39" s="266"/>
      <c r="J39" s="266"/>
    </row>
  </sheetData>
  <mergeCells count="12">
    <mergeCell ref="I1:J1"/>
    <mergeCell ref="A3:J3"/>
    <mergeCell ref="A4:J4"/>
    <mergeCell ref="A26:B26"/>
    <mergeCell ref="D26:F26"/>
    <mergeCell ref="G26:J26"/>
    <mergeCell ref="A27:B27"/>
    <mergeCell ref="D27:F27"/>
    <mergeCell ref="G27:J27"/>
    <mergeCell ref="A28:B28"/>
    <mergeCell ref="D28:F28"/>
    <mergeCell ref="G28:J28"/>
  </mergeCells>
  <printOptions horizontalCentered="1"/>
  <pageMargins left="0" right="0" top="0.5" bottom="0.25" header="0.3" footer="0.3"/>
  <pageSetup paperSize="9" scale="8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A71"/>
  <sheetViews>
    <sheetView workbookViewId="0">
      <pane xSplit="2" ySplit="8" topLeftCell="C9" activePane="bottomRight" state="frozen"/>
      <selection pane="topRight" activeCell="C1" sqref="C1"/>
      <selection pane="bottomLeft" activeCell="A9" sqref="A9"/>
      <selection pane="bottomRight" activeCell="D13" sqref="D13"/>
    </sheetView>
  </sheetViews>
  <sheetFormatPr defaultColWidth="9.1796875" defaultRowHeight="14" outlineLevelRow="1"/>
  <cols>
    <col min="1" max="1" width="5.453125" style="280" customWidth="1"/>
    <col min="2" max="2" width="48.81640625" style="280" customWidth="1"/>
    <col min="3" max="4" width="11.26953125" style="280" customWidth="1"/>
    <col min="5" max="5" width="13" style="280" customWidth="1"/>
    <col min="6" max="6" width="12" style="280" customWidth="1"/>
    <col min="7" max="8" width="11.26953125" style="280" customWidth="1"/>
    <col min="9" max="9" width="10.81640625" style="280" customWidth="1"/>
    <col min="10" max="10" width="11.26953125" style="280" customWidth="1"/>
    <col min="11" max="14" width="11.54296875" style="280" bestFit="1" customWidth="1"/>
    <col min="15" max="16384" width="9.1796875" style="280"/>
  </cols>
  <sheetData>
    <row r="1" spans="1:10" ht="15">
      <c r="A1" s="279" t="s">
        <v>328</v>
      </c>
      <c r="C1" s="281"/>
      <c r="D1" s="281"/>
      <c r="E1" s="282"/>
      <c r="F1" s="282"/>
      <c r="G1" s="282"/>
      <c r="H1" s="282"/>
      <c r="I1" s="654" t="s">
        <v>887</v>
      </c>
      <c r="J1" s="654"/>
    </row>
    <row r="2" spans="1:10" ht="15">
      <c r="A2" s="283"/>
      <c r="C2" s="281"/>
      <c r="D2" s="281"/>
    </row>
    <row r="3" spans="1:10" ht="15">
      <c r="A3" s="654" t="s">
        <v>888</v>
      </c>
      <c r="B3" s="654"/>
      <c r="C3" s="654"/>
      <c r="D3" s="654"/>
      <c r="E3" s="654"/>
      <c r="F3" s="654"/>
      <c r="G3" s="654"/>
      <c r="H3" s="654"/>
      <c r="I3" s="654"/>
      <c r="J3" s="654"/>
    </row>
    <row r="4" spans="1:10" ht="6.75" customHeight="1">
      <c r="A4" s="655"/>
      <c r="B4" s="655"/>
      <c r="C4" s="655"/>
      <c r="D4" s="655"/>
      <c r="E4" s="655"/>
      <c r="F4" s="655"/>
      <c r="G4" s="655"/>
      <c r="H4" s="655"/>
      <c r="I4" s="655"/>
      <c r="J4" s="655"/>
    </row>
    <row r="5" spans="1:10" ht="15.5">
      <c r="B5" s="284"/>
      <c r="C5" s="281"/>
      <c r="D5" s="281"/>
      <c r="E5" s="281"/>
      <c r="J5" s="285" t="s">
        <v>834</v>
      </c>
    </row>
    <row r="6" spans="1:10" s="229" customFormat="1" ht="15.75" customHeight="1">
      <c r="A6" s="656" t="s">
        <v>1</v>
      </c>
      <c r="B6" s="656" t="s">
        <v>525</v>
      </c>
      <c r="C6" s="656" t="s">
        <v>312</v>
      </c>
      <c r="D6" s="656"/>
      <c r="E6" s="656" t="s">
        <v>528</v>
      </c>
      <c r="F6" s="656"/>
      <c r="G6" s="656"/>
      <c r="H6" s="656"/>
      <c r="I6" s="656" t="s">
        <v>889</v>
      </c>
      <c r="J6" s="656"/>
    </row>
    <row r="7" spans="1:10" s="229" customFormat="1" ht="37.5" customHeight="1">
      <c r="A7" s="656"/>
      <c r="B7" s="656"/>
      <c r="C7" s="286" t="s">
        <v>890</v>
      </c>
      <c r="D7" s="286" t="s">
        <v>891</v>
      </c>
      <c r="E7" s="286" t="s">
        <v>892</v>
      </c>
      <c r="F7" s="286" t="s">
        <v>840</v>
      </c>
      <c r="G7" s="286" t="s">
        <v>841</v>
      </c>
      <c r="H7" s="286" t="s">
        <v>842</v>
      </c>
      <c r="I7" s="286" t="s">
        <v>890</v>
      </c>
      <c r="J7" s="286" t="s">
        <v>891</v>
      </c>
    </row>
    <row r="8" spans="1:10" s="288" customFormat="1" ht="13">
      <c r="A8" s="287" t="s">
        <v>8</v>
      </c>
      <c r="B8" s="287" t="s">
        <v>9</v>
      </c>
      <c r="C8" s="287">
        <v>1</v>
      </c>
      <c r="D8" s="287">
        <v>2</v>
      </c>
      <c r="E8" s="287" t="s">
        <v>893</v>
      </c>
      <c r="F8" s="287">
        <v>4</v>
      </c>
      <c r="G8" s="287">
        <v>5</v>
      </c>
      <c r="H8" s="287">
        <v>6</v>
      </c>
      <c r="I8" s="287" t="s">
        <v>894</v>
      </c>
      <c r="J8" s="287" t="s">
        <v>895</v>
      </c>
    </row>
    <row r="9" spans="1:10" s="229" customFormat="1" ht="15">
      <c r="A9" s="234" t="s">
        <v>8</v>
      </c>
      <c r="B9" s="289" t="s">
        <v>896</v>
      </c>
      <c r="C9" s="290">
        <f>'[6]62_dong '!C9/1000000</f>
        <v>6896296</v>
      </c>
      <c r="D9" s="290">
        <f>'[6]62_dong '!D9/1000000</f>
        <v>6963296</v>
      </c>
      <c r="E9" s="291">
        <f>E10+E27+E28+E42+E43+E44+E45+E46+E47+E48</f>
        <v>10140523.398466</v>
      </c>
      <c r="F9" s="291">
        <f t="shared" ref="F9:H9" si="0">F10+F27+F28+F42+F43+F44+F45+F46+F47+F48</f>
        <v>5688883.103654</v>
      </c>
      <c r="G9" s="291">
        <f t="shared" si="0"/>
        <v>3827080.5093149999</v>
      </c>
      <c r="H9" s="291">
        <f t="shared" si="0"/>
        <v>624559.78549699998</v>
      </c>
      <c r="I9" s="292">
        <f t="shared" ref="I9:I59" si="1">IF((C9&gt;0),(E9/C9)*100,0)</f>
        <v>147.04304163374078</v>
      </c>
      <c r="J9" s="292">
        <f t="shared" ref="J9:J59" si="2">IF((D9&gt;0),(E9/D9)*100,0)</f>
        <v>145.62821110097863</v>
      </c>
    </row>
    <row r="10" spans="1:10" s="229" customFormat="1" ht="15">
      <c r="A10" s="293" t="s">
        <v>13</v>
      </c>
      <c r="B10" s="237" t="s">
        <v>125</v>
      </c>
      <c r="C10" s="290">
        <f>'[6]62_dong '!C10/1000000</f>
        <v>1980092</v>
      </c>
      <c r="D10" s="290">
        <f>'[6]62_dong '!D10/1000000</f>
        <v>2043592</v>
      </c>
      <c r="E10" s="290">
        <f>SUM(E11)+E25+E26</f>
        <v>2607121.79532</v>
      </c>
      <c r="F10" s="290">
        <f t="shared" ref="F10:H10" si="3">SUM(F11)+F25+F26</f>
        <v>1725903.1915369998</v>
      </c>
      <c r="G10" s="290">
        <f t="shared" si="3"/>
        <v>862734.45624399988</v>
      </c>
      <c r="H10" s="290">
        <f t="shared" si="3"/>
        <v>18484.147538999998</v>
      </c>
      <c r="I10" s="294">
        <f t="shared" si="1"/>
        <v>131.66670009878331</v>
      </c>
      <c r="J10" s="294">
        <f t="shared" si="2"/>
        <v>127.57545514564552</v>
      </c>
    </row>
    <row r="11" spans="1:10" ht="31">
      <c r="A11" s="295">
        <v>1</v>
      </c>
      <c r="B11" s="240" t="s">
        <v>897</v>
      </c>
      <c r="C11" s="296">
        <f>'[6]62_dong '!C11/1000000</f>
        <v>1980092</v>
      </c>
      <c r="D11" s="296">
        <f>'[6]62_dong '!D11/1000000</f>
        <v>2042014</v>
      </c>
      <c r="E11" s="296">
        <f>SUM(E12:E24)</f>
        <v>2602606.79532</v>
      </c>
      <c r="F11" s="296">
        <f>SUM(F12:F24)</f>
        <v>1721388.1915369998</v>
      </c>
      <c r="G11" s="296">
        <f>SUM(G12:G24)</f>
        <v>862734.45624399988</v>
      </c>
      <c r="H11" s="296">
        <f t="shared" ref="H11" si="4">SUM(H12:H24)</f>
        <v>18484.147538999998</v>
      </c>
      <c r="I11" s="297">
        <f t="shared" si="1"/>
        <v>131.43868039060811</v>
      </c>
      <c r="J11" s="297">
        <f t="shared" si="2"/>
        <v>127.45293594069385</v>
      </c>
    </row>
    <row r="12" spans="1:10" ht="15.5">
      <c r="A12" s="295" t="s">
        <v>184</v>
      </c>
      <c r="B12" s="298" t="s">
        <v>127</v>
      </c>
      <c r="C12" s="296">
        <f>'[6]62_dong '!C12/1000000</f>
        <v>0</v>
      </c>
      <c r="D12" s="296">
        <f>'[6]62_dong '!D12/1000000</f>
        <v>29273.994999999999</v>
      </c>
      <c r="E12" s="296">
        <f>F12+G12+H12</f>
        <v>98530.870353000006</v>
      </c>
      <c r="F12" s="296">
        <f>'[6]62_dong '!Y12/1000000</f>
        <v>98530.870353000006</v>
      </c>
      <c r="G12" s="296">
        <f>'[6]62_dong '!Z12/1000000</f>
        <v>0</v>
      </c>
      <c r="H12" s="296">
        <f>'[6]62_dong '!AA12/1000000</f>
        <v>0</v>
      </c>
      <c r="I12" s="297">
        <f t="shared" si="1"/>
        <v>0</v>
      </c>
      <c r="J12" s="297">
        <f t="shared" si="2"/>
        <v>336.58156446702952</v>
      </c>
    </row>
    <row r="13" spans="1:10" ht="15.5">
      <c r="A13" s="295" t="s">
        <v>185</v>
      </c>
      <c r="B13" s="298" t="s">
        <v>128</v>
      </c>
      <c r="C13" s="296">
        <f>'[6]62_dong '!C13/1000000</f>
        <v>0</v>
      </c>
      <c r="D13" s="296">
        <f>'[6]62_dong '!D13/1000000</f>
        <v>0</v>
      </c>
      <c r="E13" s="296">
        <f t="shared" ref="E13:E58" si="5">F13+G13+H13</f>
        <v>3010.2179999999998</v>
      </c>
      <c r="F13" s="296">
        <f>'[6]62_dong '!Y13/1000000</f>
        <v>0</v>
      </c>
      <c r="G13" s="296">
        <f>'[6]62_dong '!Z13/1000000</f>
        <v>3010.2179999999998</v>
      </c>
      <c r="H13" s="296">
        <f>'[6]62_dong '!AA13/1000000</f>
        <v>0</v>
      </c>
      <c r="I13" s="297">
        <f t="shared" si="1"/>
        <v>0</v>
      </c>
      <c r="J13" s="297">
        <f t="shared" si="2"/>
        <v>0</v>
      </c>
    </row>
    <row r="14" spans="1:10" ht="15.5">
      <c r="A14" s="295" t="s">
        <v>186</v>
      </c>
      <c r="B14" s="298" t="s">
        <v>110</v>
      </c>
      <c r="C14" s="296">
        <f>'[6]62_dong '!C14/1000000</f>
        <v>0</v>
      </c>
      <c r="D14" s="296">
        <f>'[6]62_dong '!D14/1000000</f>
        <v>100117.75365</v>
      </c>
      <c r="E14" s="296">
        <f t="shared" si="5"/>
        <v>157028.45748700004</v>
      </c>
      <c r="F14" s="296">
        <f>'[6]62_dong '!Y14/1000000</f>
        <v>58915.729569000003</v>
      </c>
      <c r="G14" s="296">
        <f>'[6]62_dong '!Z14/1000000</f>
        <v>98053.274386000005</v>
      </c>
      <c r="H14" s="296">
        <f>'[6]62_dong '!AA14/1000000</f>
        <v>59.453532000000003</v>
      </c>
      <c r="I14" s="297">
        <f t="shared" si="1"/>
        <v>0</v>
      </c>
      <c r="J14" s="297">
        <f t="shared" si="2"/>
        <v>156.84376822511743</v>
      </c>
    </row>
    <row r="15" spans="1:10" ht="15.5">
      <c r="A15" s="295" t="s">
        <v>214</v>
      </c>
      <c r="B15" s="298" t="s">
        <v>118</v>
      </c>
      <c r="C15" s="296">
        <f>'[6]62_dong '!C15/1000000</f>
        <v>0</v>
      </c>
      <c r="D15" s="296">
        <f>'[6]62_dong '!D15/1000000</f>
        <v>17934.736000000001</v>
      </c>
      <c r="E15" s="296">
        <f t="shared" si="5"/>
        <v>17974.866000000002</v>
      </c>
      <c r="F15" s="296">
        <f>'[6]62_dong '!Y15/1000000</f>
        <v>17609.274000000001</v>
      </c>
      <c r="G15" s="296">
        <f>'[6]62_dong '!Z15/1000000</f>
        <v>365.59199999999998</v>
      </c>
      <c r="H15" s="296">
        <f>'[6]62_dong '!AA15/1000000</f>
        <v>0</v>
      </c>
      <c r="I15" s="297">
        <f t="shared" si="1"/>
        <v>0</v>
      </c>
      <c r="J15" s="297">
        <f t="shared" si="2"/>
        <v>100.22375573300883</v>
      </c>
    </row>
    <row r="16" spans="1:10" ht="15.5">
      <c r="A16" s="295" t="s">
        <v>898</v>
      </c>
      <c r="B16" s="298" t="s">
        <v>129</v>
      </c>
      <c r="C16" s="296">
        <f>'[6]62_dong '!C16/1000000</f>
        <v>0</v>
      </c>
      <c r="D16" s="296">
        <f>'[6]62_dong '!D16/1000000</f>
        <v>56493</v>
      </c>
      <c r="E16" s="296">
        <f t="shared" si="5"/>
        <v>67621.758484000005</v>
      </c>
      <c r="F16" s="296">
        <f>'[6]62_dong '!Y16/1000000</f>
        <v>67491.035484000007</v>
      </c>
      <c r="G16" s="296">
        <f>'[6]62_dong '!Z16/1000000</f>
        <v>130.72300000000001</v>
      </c>
      <c r="H16" s="296">
        <f>'[6]62_dong '!AA16/1000000</f>
        <v>0</v>
      </c>
      <c r="I16" s="297">
        <f t="shared" si="1"/>
        <v>0</v>
      </c>
      <c r="J16" s="297">
        <f t="shared" si="2"/>
        <v>119.69935829925834</v>
      </c>
    </row>
    <row r="17" spans="1:27" ht="15.5">
      <c r="A17" s="295" t="s">
        <v>899</v>
      </c>
      <c r="B17" s="298" t="s">
        <v>130</v>
      </c>
      <c r="C17" s="296">
        <f>'[6]62_dong '!C17/1000000</f>
        <v>0</v>
      </c>
      <c r="D17" s="296">
        <f>'[6]62_dong '!D17/1000000</f>
        <v>45280.544817000002</v>
      </c>
      <c r="E17" s="296">
        <f t="shared" si="5"/>
        <v>68484.545160000009</v>
      </c>
      <c r="F17" s="296">
        <f>'[6]62_dong '!Y17/1000000</f>
        <v>2724.5070000000001</v>
      </c>
      <c r="G17" s="296">
        <f>'[6]62_dong '!Z17/1000000</f>
        <v>65214.913959999998</v>
      </c>
      <c r="H17" s="296">
        <f>'[6]62_dong '!AA17/1000000</f>
        <v>545.12419999999997</v>
      </c>
      <c r="I17" s="297">
        <f t="shared" si="1"/>
        <v>0</v>
      </c>
      <c r="J17" s="297">
        <f t="shared" si="2"/>
        <v>151.24496720783353</v>
      </c>
    </row>
    <row r="18" spans="1:27" ht="15.5">
      <c r="A18" s="295" t="s">
        <v>900</v>
      </c>
      <c r="B18" s="298" t="s">
        <v>131</v>
      </c>
      <c r="C18" s="296">
        <f>'[6]62_dong '!C18/1000000</f>
        <v>0</v>
      </c>
      <c r="D18" s="296">
        <f>'[6]62_dong '!D18/1000000</f>
        <v>10043.457</v>
      </c>
      <c r="E18" s="296">
        <f t="shared" si="5"/>
        <v>17274.569132000001</v>
      </c>
      <c r="F18" s="296">
        <f>'[6]62_dong '!Y18/1000000</f>
        <v>17219.203131999999</v>
      </c>
      <c r="G18" s="296">
        <f>'[6]62_dong '!Z18/1000000</f>
        <v>55.366</v>
      </c>
      <c r="H18" s="296">
        <f>'[6]62_dong '!AA18/1000000</f>
        <v>0</v>
      </c>
      <c r="I18" s="297">
        <f t="shared" si="1"/>
        <v>0</v>
      </c>
      <c r="J18" s="299">
        <f t="shared" si="2"/>
        <v>171.99823857462624</v>
      </c>
    </row>
    <row r="19" spans="1:27" ht="15.5">
      <c r="A19" s="295" t="s">
        <v>901</v>
      </c>
      <c r="B19" s="298" t="s">
        <v>132</v>
      </c>
      <c r="C19" s="296">
        <f>'[6]62_dong '!C19/1000000</f>
        <v>0</v>
      </c>
      <c r="D19" s="296">
        <f>'[6]62_dong '!D19/1000000</f>
        <v>26562.760999999999</v>
      </c>
      <c r="E19" s="296">
        <f t="shared" si="5"/>
        <v>10162.811879999999</v>
      </c>
      <c r="F19" s="296">
        <f>'[6]62_dong '!Y19/1000000</f>
        <v>1000.7888799999999</v>
      </c>
      <c r="G19" s="296">
        <f>'[6]62_dong '!Z19/1000000</f>
        <v>9162.0229999999992</v>
      </c>
      <c r="H19" s="296">
        <f>'[6]62_dong '!AA19/1000000</f>
        <v>0</v>
      </c>
      <c r="I19" s="297">
        <f t="shared" si="1"/>
        <v>0</v>
      </c>
      <c r="J19" s="297">
        <f t="shared" si="2"/>
        <v>38.259621731340353</v>
      </c>
    </row>
    <row r="20" spans="1:27" ht="15.5">
      <c r="A20" s="295" t="s">
        <v>902</v>
      </c>
      <c r="B20" s="298" t="s">
        <v>133</v>
      </c>
      <c r="C20" s="296">
        <f>'[6]62_dong '!C20/1000000</f>
        <v>0</v>
      </c>
      <c r="D20" s="296">
        <f>'[6]62_dong '!D20/1000000</f>
        <v>0</v>
      </c>
      <c r="E20" s="296">
        <f t="shared" si="5"/>
        <v>5660.3482999999997</v>
      </c>
      <c r="F20" s="296">
        <f>'[6]62_dong '!Y20/1000000</f>
        <v>3646.1653000000001</v>
      </c>
      <c r="G20" s="296">
        <f>'[6]62_dong '!Z20/1000000</f>
        <v>2014.183</v>
      </c>
      <c r="H20" s="296">
        <f>'[6]62_dong '!AA20/1000000</f>
        <v>0</v>
      </c>
      <c r="I20" s="297">
        <f t="shared" si="1"/>
        <v>0</v>
      </c>
      <c r="J20" s="297">
        <f t="shared" si="2"/>
        <v>0</v>
      </c>
    </row>
    <row r="21" spans="1:27" ht="15.5">
      <c r="A21" s="295" t="s">
        <v>903</v>
      </c>
      <c r="B21" s="298" t="s">
        <v>134</v>
      </c>
      <c r="C21" s="296">
        <f>'[6]62_dong '!C21/1000000</f>
        <v>0</v>
      </c>
      <c r="D21" s="296">
        <f>'[6]62_dong '!D21/1000000</f>
        <v>1662495.7824329999</v>
      </c>
      <c r="E21" s="296">
        <f t="shared" si="5"/>
        <v>1968016.24208</v>
      </c>
      <c r="F21" s="296">
        <f>'[6]62_dong '!Y21/1000000</f>
        <v>1315790.0652389999</v>
      </c>
      <c r="G21" s="296">
        <f>'[6]62_dong '!Z21/1000000</f>
        <v>638484.78030099999</v>
      </c>
      <c r="H21" s="296">
        <f>'[6]62_dong '!AA21/1000000</f>
        <v>13741.39654</v>
      </c>
      <c r="I21" s="297">
        <f t="shared" si="1"/>
        <v>0</v>
      </c>
      <c r="J21" s="297">
        <f t="shared" si="2"/>
        <v>118.3772171259215</v>
      </c>
    </row>
    <row r="22" spans="1:27" ht="31">
      <c r="A22" s="295" t="s">
        <v>904</v>
      </c>
      <c r="B22" s="298" t="s">
        <v>905</v>
      </c>
      <c r="C22" s="296">
        <f>'[6]62_dong '!C22/1000000</f>
        <v>0</v>
      </c>
      <c r="D22" s="296">
        <f>'[6]62_dong '!D22/1000000</f>
        <v>91144.438099999999</v>
      </c>
      <c r="E22" s="296">
        <f t="shared" si="5"/>
        <v>182293.24744399998</v>
      </c>
      <c r="F22" s="296">
        <f>'[6]62_dong '!Y22/1000000</f>
        <v>135303.22357999999</v>
      </c>
      <c r="G22" s="296">
        <f>'[6]62_dong '!Z22/1000000</f>
        <v>42851.850596999997</v>
      </c>
      <c r="H22" s="296">
        <f>'[6]62_dong '!AA22/1000000</f>
        <v>4138.1732670000001</v>
      </c>
      <c r="I22" s="297">
        <f t="shared" si="1"/>
        <v>0</v>
      </c>
      <c r="J22" s="297">
        <f t="shared" si="2"/>
        <v>200.00479595254643</v>
      </c>
      <c r="K22" s="300"/>
      <c r="L22" s="300"/>
      <c r="M22" s="300"/>
      <c r="N22" s="300"/>
      <c r="O22" s="300"/>
    </row>
    <row r="23" spans="1:27" ht="15.5">
      <c r="A23" s="295" t="s">
        <v>906</v>
      </c>
      <c r="B23" s="298" t="s">
        <v>136</v>
      </c>
      <c r="C23" s="296">
        <f>'[6]62_dong '!C23/1000000</f>
        <v>0</v>
      </c>
      <c r="D23" s="296">
        <f>'[6]62_dong '!D23/1000000</f>
        <v>1500.7660000000001</v>
      </c>
      <c r="E23" s="296">
        <f t="shared" si="5"/>
        <v>5382.0950000000003</v>
      </c>
      <c r="F23" s="296">
        <f>'[6]62_dong '!Y23/1000000</f>
        <v>3157.3290000000002</v>
      </c>
      <c r="G23" s="296">
        <f>'[6]62_dong '!Z23/1000000</f>
        <v>2224.7660000000001</v>
      </c>
      <c r="H23" s="296">
        <f>'[6]62_dong '!AA23/1000000</f>
        <v>0</v>
      </c>
      <c r="I23" s="297">
        <f t="shared" si="1"/>
        <v>0</v>
      </c>
      <c r="J23" s="297">
        <f t="shared" si="2"/>
        <v>358.62319642102767</v>
      </c>
    </row>
    <row r="24" spans="1:27" ht="15.5">
      <c r="A24" s="295" t="s">
        <v>907</v>
      </c>
      <c r="B24" s="298" t="s">
        <v>908</v>
      </c>
      <c r="C24" s="296">
        <f>'[6]62_dong '!C24/1000000</f>
        <v>0</v>
      </c>
      <c r="D24" s="296">
        <f>'[6]62_dong '!D24/1000000</f>
        <v>1166.7660000000001</v>
      </c>
      <c r="E24" s="296">
        <f t="shared" si="5"/>
        <v>1166.7660000000001</v>
      </c>
      <c r="F24" s="296">
        <f>'[6]62_dong '!Y24/1000000</f>
        <v>0</v>
      </c>
      <c r="G24" s="296">
        <f>'[6]62_dong '!Z24/1000000</f>
        <v>1166.7660000000001</v>
      </c>
      <c r="H24" s="296">
        <f>'[6]62_dong '!AA24/1000000</f>
        <v>0</v>
      </c>
      <c r="I24" s="297">
        <f t="shared" si="1"/>
        <v>0</v>
      </c>
      <c r="J24" s="297">
        <f t="shared" si="2"/>
        <v>100</v>
      </c>
    </row>
    <row r="25" spans="1:27" ht="31">
      <c r="A25" s="295">
        <v>2</v>
      </c>
      <c r="B25" s="240" t="s">
        <v>909</v>
      </c>
      <c r="C25" s="296">
        <f>'[6]62_dong '!C25/1000000</f>
        <v>0</v>
      </c>
      <c r="D25" s="296">
        <f>'[6]62_dong '!D25/1000000</f>
        <v>1578</v>
      </c>
      <c r="E25" s="296">
        <f t="shared" si="5"/>
        <v>4515</v>
      </c>
      <c r="F25" s="296">
        <f>'[6]62_dong '!Y25/1000000</f>
        <v>4515</v>
      </c>
      <c r="G25" s="296">
        <f>'[6]62_dong '!Z25/1000000</f>
        <v>0</v>
      </c>
      <c r="H25" s="296">
        <f>'[6]62_dong '!AA25/1000000</f>
        <v>0</v>
      </c>
      <c r="I25" s="297">
        <f t="shared" si="1"/>
        <v>0</v>
      </c>
      <c r="J25" s="297">
        <f>IF((D25&gt;0),(E25/D25)*100,0)</f>
        <v>286.12167300380224</v>
      </c>
    </row>
    <row r="26" spans="1:27" ht="15.5">
      <c r="A26" s="295">
        <v>3</v>
      </c>
      <c r="B26" s="240" t="s">
        <v>116</v>
      </c>
      <c r="C26" s="296">
        <f>'[6]62_dong '!C26/1000000</f>
        <v>0</v>
      </c>
      <c r="D26" s="296">
        <f>'[6]62_dong '!D26/1000000</f>
        <v>0</v>
      </c>
      <c r="E26" s="296">
        <f t="shared" si="5"/>
        <v>0</v>
      </c>
      <c r="F26" s="296">
        <f>'[6]62_dong '!Y26/1000000</f>
        <v>0</v>
      </c>
      <c r="G26" s="296">
        <f>'[6]62_dong '!Z26/1000000</f>
        <v>0</v>
      </c>
      <c r="H26" s="296">
        <f>'[6]62_dong '!AA26/1000000</f>
        <v>0</v>
      </c>
      <c r="I26" s="297">
        <f t="shared" si="1"/>
        <v>0</v>
      </c>
      <c r="J26" s="297">
        <f t="shared" si="2"/>
        <v>0</v>
      </c>
      <c r="Z26" s="280">
        <v>32986</v>
      </c>
      <c r="AA26" s="280">
        <v>32986</v>
      </c>
    </row>
    <row r="27" spans="1:27" s="229" customFormat="1" ht="15.5">
      <c r="A27" s="301" t="s">
        <v>18</v>
      </c>
      <c r="B27" s="302" t="s">
        <v>910</v>
      </c>
      <c r="C27" s="296">
        <f>'[6]62_dong '!C27/1000000</f>
        <v>0</v>
      </c>
      <c r="D27" s="290">
        <f>'[6]62_dong '!D27/1000000</f>
        <v>0</v>
      </c>
      <c r="E27" s="290">
        <f t="shared" si="5"/>
        <v>29000</v>
      </c>
      <c r="F27" s="290">
        <f>'[6]62_dong '!Y27/1000000</f>
        <v>29000</v>
      </c>
      <c r="G27" s="290">
        <f>'[6]62_dong '!Z27/1000000</f>
        <v>0</v>
      </c>
      <c r="H27" s="290">
        <f>'[6]62_dong '!AA27/1000000</f>
        <v>0</v>
      </c>
      <c r="I27" s="294">
        <f t="shared" si="1"/>
        <v>0</v>
      </c>
      <c r="J27" s="294">
        <f t="shared" si="2"/>
        <v>0</v>
      </c>
      <c r="K27" s="303"/>
      <c r="O27" s="303"/>
      <c r="Z27" s="229">
        <v>93664</v>
      </c>
      <c r="AA27" s="229">
        <v>93664</v>
      </c>
    </row>
    <row r="28" spans="1:27" s="229" customFormat="1" ht="15">
      <c r="A28" s="301" t="s">
        <v>22</v>
      </c>
      <c r="B28" s="304" t="s">
        <v>31</v>
      </c>
      <c r="C28" s="290">
        <f>'[6]62_dong '!C28/1000000</f>
        <v>4813273</v>
      </c>
      <c r="D28" s="290">
        <f>'[6]62_dong '!D28/1000000</f>
        <v>4812257</v>
      </c>
      <c r="E28" s="290">
        <f>SUM(E29:E41)</f>
        <v>4883939.1487469999</v>
      </c>
      <c r="F28" s="290">
        <f t="shared" ref="F28:H28" si="6">SUM(F29:F41)</f>
        <v>1927831.9782340003</v>
      </c>
      <c r="G28" s="290">
        <f t="shared" si="6"/>
        <v>2398324.8031010004</v>
      </c>
      <c r="H28" s="290">
        <f t="shared" si="6"/>
        <v>557782.36741199996</v>
      </c>
      <c r="I28" s="294">
        <f t="shared" si="1"/>
        <v>101.46815168694981</v>
      </c>
      <c r="J28" s="294">
        <f t="shared" si="2"/>
        <v>101.48957440857794</v>
      </c>
      <c r="K28" s="303"/>
      <c r="L28" s="303"/>
      <c r="M28" s="303"/>
      <c r="N28" s="303"/>
      <c r="O28" s="303"/>
      <c r="P28" s="303"/>
      <c r="Q28" s="303"/>
    </row>
    <row r="29" spans="1:27" s="229" customFormat="1" ht="15.5">
      <c r="A29" s="305">
        <v>1</v>
      </c>
      <c r="B29" s="240" t="s">
        <v>127</v>
      </c>
      <c r="C29" s="296">
        <f>'[6]62_dong '!C29/1000000</f>
        <v>0</v>
      </c>
      <c r="D29" s="296">
        <f>'[6]62_dong '!D29/1000000</f>
        <v>90277.349000000002</v>
      </c>
      <c r="E29" s="296">
        <f t="shared" si="5"/>
        <v>130275.249282</v>
      </c>
      <c r="F29" s="296">
        <f>'[6]62_dong '!Y29/1000000</f>
        <v>52865.037550000001</v>
      </c>
      <c r="G29" s="296">
        <f>'[6]62_dong '!Z29/1000000</f>
        <v>28089.277839999999</v>
      </c>
      <c r="H29" s="296">
        <f>'[6]62_dong '!AA29/1000000</f>
        <v>49320.933892000001</v>
      </c>
      <c r="I29" s="294">
        <f t="shared" si="1"/>
        <v>0</v>
      </c>
      <c r="J29" s="297">
        <f t="shared" si="2"/>
        <v>144.30557689725691</v>
      </c>
      <c r="K29" s="281"/>
      <c r="L29" s="281"/>
      <c r="M29" s="280"/>
      <c r="N29" s="280"/>
      <c r="O29" s="281"/>
      <c r="P29" s="303"/>
      <c r="Q29" s="303"/>
    </row>
    <row r="30" spans="1:27" s="229" customFormat="1" ht="15.5">
      <c r="A30" s="305">
        <v>2</v>
      </c>
      <c r="B30" s="240" t="s">
        <v>911</v>
      </c>
      <c r="C30" s="296">
        <f>'[6]62_dong '!C30/1000000</f>
        <v>0</v>
      </c>
      <c r="D30" s="296">
        <f>'[6]62_dong '!D30/1000000</f>
        <v>38973</v>
      </c>
      <c r="E30" s="296">
        <f t="shared" si="5"/>
        <v>52233.809863999995</v>
      </c>
      <c r="F30" s="296">
        <f>'[6]62_dong '!Y30/1000000</f>
        <v>28238</v>
      </c>
      <c r="G30" s="296">
        <f>'[6]62_dong '!Z30/1000000</f>
        <v>12429.288181</v>
      </c>
      <c r="H30" s="296">
        <f>'[6]62_dong '!AA30/1000000</f>
        <v>11566.521683000001</v>
      </c>
      <c r="I30" s="294">
        <f t="shared" si="1"/>
        <v>0</v>
      </c>
      <c r="J30" s="297">
        <f t="shared" si="2"/>
        <v>134.02563278166934</v>
      </c>
      <c r="K30" s="281"/>
      <c r="L30" s="281"/>
      <c r="M30" s="280"/>
      <c r="N30" s="280"/>
      <c r="O30" s="281"/>
      <c r="P30" s="303"/>
      <c r="Q30" s="303"/>
    </row>
    <row r="31" spans="1:27" s="225" customFormat="1" ht="15.5">
      <c r="A31" s="305">
        <v>3</v>
      </c>
      <c r="B31" s="240" t="s">
        <v>110</v>
      </c>
      <c r="C31" s="296">
        <f>'[6]62_dong '!C31/1000000</f>
        <v>1874637</v>
      </c>
      <c r="D31" s="296">
        <f>'[6]62_dong '!D31/1000000</f>
        <v>1997555</v>
      </c>
      <c r="E31" s="296">
        <f t="shared" si="5"/>
        <v>1996233.5997359999</v>
      </c>
      <c r="F31" s="296">
        <f>'[6]62_dong '!Y31/1000000</f>
        <v>417048.19018500001</v>
      </c>
      <c r="G31" s="296">
        <f>'[6]62_dong '!Z31/1000000</f>
        <v>1577308.3841339999</v>
      </c>
      <c r="H31" s="296">
        <f>'[6]62_dong '!AA31/1000000</f>
        <v>1877.0254170000001</v>
      </c>
      <c r="I31" s="299">
        <f t="shared" si="1"/>
        <v>106.48640775446125</v>
      </c>
      <c r="J31" s="299">
        <f t="shared" si="2"/>
        <v>99.933849117345957</v>
      </c>
      <c r="K31" s="281"/>
      <c r="L31" s="281"/>
      <c r="O31" s="281"/>
      <c r="P31" s="303"/>
      <c r="Q31" s="303"/>
    </row>
    <row r="32" spans="1:27" s="225" customFormat="1" ht="15.5">
      <c r="A32" s="305">
        <v>4</v>
      </c>
      <c r="B32" s="240" t="s">
        <v>118</v>
      </c>
      <c r="C32" s="296">
        <f>'[6]62_dong '!C32/1000000</f>
        <v>15753</v>
      </c>
      <c r="D32" s="296">
        <f>'[6]62_dong '!D32/1000000</f>
        <v>15753</v>
      </c>
      <c r="E32" s="296">
        <f t="shared" si="5"/>
        <v>9429.8217490000006</v>
      </c>
      <c r="F32" s="296">
        <f>'[6]62_dong '!Y32/1000000</f>
        <v>8179.2847490000004</v>
      </c>
      <c r="G32" s="296">
        <f>'[6]62_dong '!Z32/1000000</f>
        <v>1250.537</v>
      </c>
      <c r="H32" s="296">
        <f>'[6]62_dong '!AA32/1000000</f>
        <v>0</v>
      </c>
      <c r="I32" s="299">
        <f t="shared" si="1"/>
        <v>59.860482124039869</v>
      </c>
      <c r="J32" s="299">
        <f t="shared" si="2"/>
        <v>59.860482124039869</v>
      </c>
      <c r="K32" s="281"/>
      <c r="L32" s="281"/>
      <c r="O32" s="281"/>
      <c r="P32" s="303"/>
      <c r="Q32" s="303"/>
    </row>
    <row r="33" spans="1:17" s="225" customFormat="1" ht="15.5">
      <c r="A33" s="305">
        <v>5</v>
      </c>
      <c r="B33" s="240" t="s">
        <v>129</v>
      </c>
      <c r="C33" s="296">
        <f>'[6]62_dong '!C33/1000000</f>
        <v>0</v>
      </c>
      <c r="D33" s="296">
        <f>'[6]62_dong '!D33/1000000</f>
        <v>701100</v>
      </c>
      <c r="E33" s="296">
        <f t="shared" si="5"/>
        <v>663648.81352999993</v>
      </c>
      <c r="F33" s="296">
        <f>'[6]62_dong '!Y33/1000000</f>
        <v>657383.50592899998</v>
      </c>
      <c r="G33" s="296">
        <f>'[6]62_dong '!Z33/1000000</f>
        <v>5566.8432389999998</v>
      </c>
      <c r="H33" s="296">
        <f>'[6]62_dong '!AA33/1000000</f>
        <v>698.46436200000005</v>
      </c>
      <c r="I33" s="299">
        <f t="shared" si="1"/>
        <v>0</v>
      </c>
      <c r="J33" s="299">
        <f t="shared" si="2"/>
        <v>94.658224722578794</v>
      </c>
      <c r="K33" s="281"/>
      <c r="L33" s="281"/>
      <c r="O33" s="281"/>
      <c r="P33" s="303"/>
      <c r="Q33" s="303"/>
    </row>
    <row r="34" spans="1:17" s="225" customFormat="1" ht="15.5">
      <c r="A34" s="305">
        <v>6</v>
      </c>
      <c r="B34" s="240" t="s">
        <v>130</v>
      </c>
      <c r="C34" s="296">
        <f>'[6]62_dong '!C34/1000000</f>
        <v>0</v>
      </c>
      <c r="D34" s="296">
        <f>'[6]62_dong '!D34/1000000</f>
        <v>59749.034</v>
      </c>
      <c r="E34" s="296">
        <f t="shared" si="5"/>
        <v>46401.418650999993</v>
      </c>
      <c r="F34" s="296">
        <f>'[6]62_dong '!Y34/1000000</f>
        <v>29928.007684</v>
      </c>
      <c r="G34" s="296">
        <f>'[6]62_dong '!Z34/1000000</f>
        <v>14041.636927</v>
      </c>
      <c r="H34" s="296">
        <f>'[6]62_dong '!AA34/1000000</f>
        <v>2431.7740399999998</v>
      </c>
      <c r="I34" s="299">
        <f t="shared" si="1"/>
        <v>0</v>
      </c>
      <c r="J34" s="299">
        <f t="shared" si="2"/>
        <v>77.660533643104586</v>
      </c>
      <c r="K34" s="281"/>
      <c r="L34" s="281"/>
      <c r="O34" s="281"/>
      <c r="P34" s="303"/>
      <c r="Q34" s="303"/>
    </row>
    <row r="35" spans="1:17" s="225" customFormat="1" ht="15.5">
      <c r="A35" s="305">
        <v>7</v>
      </c>
      <c r="B35" s="240" t="s">
        <v>131</v>
      </c>
      <c r="C35" s="296">
        <f>'[6]62_dong '!C35/1000000</f>
        <v>0</v>
      </c>
      <c r="D35" s="296">
        <f>'[6]62_dong '!D35/1000000</f>
        <v>31857.21</v>
      </c>
      <c r="E35" s="296">
        <f t="shared" si="5"/>
        <v>35601.105302999997</v>
      </c>
      <c r="F35" s="296">
        <f>'[6]62_dong '!Y35/1000000</f>
        <v>15743.25</v>
      </c>
      <c r="G35" s="296">
        <f>'[6]62_dong '!Z35/1000000</f>
        <v>19437.713871</v>
      </c>
      <c r="H35" s="296">
        <f>'[6]62_dong '!AA35/1000000</f>
        <v>420.14143200000001</v>
      </c>
      <c r="I35" s="299">
        <f t="shared" si="1"/>
        <v>0</v>
      </c>
      <c r="J35" s="299">
        <f t="shared" si="2"/>
        <v>111.75211295339422</v>
      </c>
      <c r="K35" s="281"/>
      <c r="L35" s="281"/>
      <c r="O35" s="281"/>
      <c r="P35" s="303"/>
      <c r="Q35" s="303"/>
    </row>
    <row r="36" spans="1:17" s="225" customFormat="1" ht="15.5">
      <c r="A36" s="305">
        <v>8</v>
      </c>
      <c r="B36" s="240" t="s">
        <v>132</v>
      </c>
      <c r="C36" s="296">
        <f>'[6]62_dong '!C36/1000000</f>
        <v>0</v>
      </c>
      <c r="D36" s="296">
        <f>'[6]62_dong '!D36/1000000</f>
        <v>11465</v>
      </c>
      <c r="E36" s="296">
        <f t="shared" si="5"/>
        <v>14552.778288000001</v>
      </c>
      <c r="F36" s="296">
        <f>'[6]62_dong '!Y36/1000000</f>
        <v>11065.406950000001</v>
      </c>
      <c r="G36" s="296">
        <f>'[6]62_dong '!Z36/1000000</f>
        <v>2474.2963380000001</v>
      </c>
      <c r="H36" s="296">
        <f>'[6]62_dong '!AA36/1000000</f>
        <v>1013.075</v>
      </c>
      <c r="I36" s="299">
        <f t="shared" si="1"/>
        <v>0</v>
      </c>
      <c r="J36" s="299">
        <f t="shared" si="2"/>
        <v>126.9322135891845</v>
      </c>
      <c r="K36" s="281"/>
      <c r="L36" s="281"/>
      <c r="O36" s="281"/>
      <c r="P36" s="303"/>
      <c r="Q36" s="303"/>
    </row>
    <row r="37" spans="1:17" s="225" customFormat="1" ht="15.5">
      <c r="A37" s="305">
        <v>9</v>
      </c>
      <c r="B37" s="240" t="s">
        <v>133</v>
      </c>
      <c r="C37" s="296">
        <f>'[6]62_dong '!C37/1000000</f>
        <v>72273</v>
      </c>
      <c r="D37" s="296">
        <f>'[6]62_dong '!D37/1000000</f>
        <v>82680.448999999993</v>
      </c>
      <c r="E37" s="296">
        <f t="shared" si="5"/>
        <v>87892.378062000003</v>
      </c>
      <c r="F37" s="296">
        <f>'[6]62_dong '!Y37/1000000</f>
        <v>5286.6247000000003</v>
      </c>
      <c r="G37" s="296">
        <f>'[6]62_dong '!Z37/1000000</f>
        <v>80788.009162000002</v>
      </c>
      <c r="H37" s="296">
        <f>'[6]62_dong '!AA37/1000000</f>
        <v>1817.7442000000001</v>
      </c>
      <c r="I37" s="299">
        <f t="shared" si="1"/>
        <v>121.6116365198622</v>
      </c>
      <c r="J37" s="299">
        <f t="shared" si="2"/>
        <v>106.30370193321038</v>
      </c>
      <c r="K37" s="281"/>
      <c r="L37" s="281"/>
      <c r="O37" s="281"/>
      <c r="P37" s="303"/>
      <c r="Q37" s="303"/>
    </row>
    <row r="38" spans="1:17" s="225" customFormat="1" ht="15.5">
      <c r="A38" s="305">
        <v>10</v>
      </c>
      <c r="B38" s="240" t="s">
        <v>134</v>
      </c>
      <c r="C38" s="296">
        <f>'[6]62_dong '!C38/1000000</f>
        <v>0</v>
      </c>
      <c r="D38" s="296">
        <f>'[6]62_dong '!D38/1000000</f>
        <v>530694.17299999995</v>
      </c>
      <c r="E38" s="296">
        <f>F38+G38+H38</f>
        <v>586072.5303300001</v>
      </c>
      <c r="F38" s="296">
        <f>'[6]62_dong '!Y38/1000000</f>
        <v>338025.86103299999</v>
      </c>
      <c r="G38" s="296">
        <f>'[6]62_dong '!Z38/1000000</f>
        <v>192201.465172</v>
      </c>
      <c r="H38" s="296">
        <f>'[6]62_dong '!AA38/1000000</f>
        <v>55845.204124999997</v>
      </c>
      <c r="I38" s="299">
        <f t="shared" si="1"/>
        <v>0</v>
      </c>
      <c r="J38" s="299">
        <f t="shared" si="2"/>
        <v>110.43507921275031</v>
      </c>
      <c r="K38" s="281"/>
      <c r="L38" s="281"/>
      <c r="O38" s="281"/>
      <c r="P38" s="303"/>
      <c r="Q38" s="303"/>
    </row>
    <row r="39" spans="1:17" s="225" customFormat="1" ht="31">
      <c r="A39" s="305">
        <v>11</v>
      </c>
      <c r="B39" s="240" t="s">
        <v>905</v>
      </c>
      <c r="C39" s="296">
        <f>'[6]62_dong '!C39/1000000</f>
        <v>0</v>
      </c>
      <c r="D39" s="296">
        <f>'[6]62_dong '!D39/1000000</f>
        <v>1010911.785</v>
      </c>
      <c r="E39" s="296">
        <f t="shared" si="5"/>
        <v>1062269.0816039999</v>
      </c>
      <c r="F39" s="296">
        <f>'[6]62_dong '!Y39/1000000</f>
        <v>327687.71312199999</v>
      </c>
      <c r="G39" s="296">
        <f>'[6]62_dong '!Z39/1000000</f>
        <v>350521.586014</v>
      </c>
      <c r="H39" s="296">
        <f>'[6]62_dong '!AA39/1000000</f>
        <v>384059.78246800002</v>
      </c>
      <c r="I39" s="299">
        <f t="shared" si="1"/>
        <v>0</v>
      </c>
      <c r="J39" s="299">
        <f t="shared" si="2"/>
        <v>105.08029457822572</v>
      </c>
      <c r="K39" s="281"/>
      <c r="L39" s="281"/>
      <c r="O39" s="281"/>
      <c r="P39" s="303"/>
      <c r="Q39" s="303"/>
    </row>
    <row r="40" spans="1:17" s="225" customFormat="1" ht="15.5">
      <c r="A40" s="305">
        <v>12</v>
      </c>
      <c r="B40" s="240" t="s">
        <v>136</v>
      </c>
      <c r="C40" s="296">
        <f>'[6]62_dong '!C40/1000000</f>
        <v>0</v>
      </c>
      <c r="D40" s="296">
        <f>'[6]62_dong '!D40/1000000</f>
        <v>154188</v>
      </c>
      <c r="E40" s="296">
        <f t="shared" si="5"/>
        <v>132442.179087</v>
      </c>
      <c r="F40" s="296">
        <f>'[6]62_dong '!Y40/1000000</f>
        <v>23591.148332000001</v>
      </c>
      <c r="G40" s="296">
        <f>'[6]62_dong '!Z40/1000000</f>
        <v>100731.102421</v>
      </c>
      <c r="H40" s="296">
        <f>'[6]62_dong '!AA40/1000000</f>
        <v>8119.9283340000002</v>
      </c>
      <c r="I40" s="299">
        <f t="shared" si="1"/>
        <v>0</v>
      </c>
      <c r="J40" s="299">
        <f t="shared" si="2"/>
        <v>85.896554262977659</v>
      </c>
      <c r="K40" s="281"/>
      <c r="L40" s="281"/>
      <c r="O40" s="281"/>
      <c r="P40" s="303"/>
      <c r="Q40" s="303"/>
    </row>
    <row r="41" spans="1:17" s="225" customFormat="1" ht="15.5">
      <c r="A41" s="305">
        <v>13</v>
      </c>
      <c r="B41" s="240" t="s">
        <v>912</v>
      </c>
      <c r="C41" s="296">
        <f>'[6]62_dong '!C41/1000000</f>
        <v>0</v>
      </c>
      <c r="D41" s="296">
        <f>'[6]62_dong '!D41/1000000</f>
        <v>87053</v>
      </c>
      <c r="E41" s="296">
        <f t="shared" si="5"/>
        <v>66886.38326100001</v>
      </c>
      <c r="F41" s="296">
        <f>'[6]62_dong '!Y41/1000000</f>
        <v>12789.948</v>
      </c>
      <c r="G41" s="296">
        <f>'[6]62_dong '!Z41/1000000</f>
        <v>13484.662802000001</v>
      </c>
      <c r="H41" s="296">
        <f>'[6]62_dong '!AA41/1000000</f>
        <v>40611.772459</v>
      </c>
      <c r="I41" s="299">
        <f t="shared" si="1"/>
        <v>0</v>
      </c>
      <c r="J41" s="299">
        <f t="shared" si="2"/>
        <v>76.834093323607462</v>
      </c>
      <c r="K41" s="281"/>
      <c r="L41" s="281"/>
      <c r="O41" s="281"/>
      <c r="P41" s="303"/>
      <c r="Q41" s="303"/>
    </row>
    <row r="42" spans="1:17" s="230" customFormat="1" ht="15">
      <c r="A42" s="301" t="s">
        <v>24</v>
      </c>
      <c r="B42" s="304" t="s">
        <v>913</v>
      </c>
      <c r="C42" s="290">
        <f>'[6]62_dong '!C42/1000000</f>
        <v>1000</v>
      </c>
      <c r="D42" s="290">
        <f>'[6]62_dong '!D42/1000000</f>
        <v>1000</v>
      </c>
      <c r="E42" s="290">
        <f t="shared" si="5"/>
        <v>2000</v>
      </c>
      <c r="F42" s="290">
        <f>'[6]62_dong '!Y42/1000000</f>
        <v>2000</v>
      </c>
      <c r="G42" s="290">
        <f>'[6]62_dong '!Z42/1000000</f>
        <v>0</v>
      </c>
      <c r="H42" s="290">
        <f>'[6]62_dong '!AA42/1000000</f>
        <v>0</v>
      </c>
      <c r="I42" s="306">
        <f t="shared" si="1"/>
        <v>200</v>
      </c>
      <c r="J42" s="306">
        <f t="shared" si="2"/>
        <v>200</v>
      </c>
      <c r="K42" s="225"/>
      <c r="L42" s="225"/>
      <c r="M42" s="225"/>
      <c r="N42" s="225"/>
      <c r="O42" s="225"/>
    </row>
    <row r="43" spans="1:17" s="230" customFormat="1" ht="15.5">
      <c r="A43" s="301" t="s">
        <v>26</v>
      </c>
      <c r="B43" s="304" t="s">
        <v>914</v>
      </c>
      <c r="C43" s="296">
        <f>'[6]62_dong '!C43/1000000</f>
        <v>0</v>
      </c>
      <c r="D43" s="290">
        <f>'[6]62_dong '!D43/1000000</f>
        <v>0</v>
      </c>
      <c r="E43" s="290">
        <f>F43+G43+H43</f>
        <v>2587635.338399</v>
      </c>
      <c r="F43" s="290">
        <f>'[6]62_dong '!Y43/1000000</f>
        <v>1973824.817883</v>
      </c>
      <c r="G43" s="290">
        <f>'[6]62_dong '!Z43/1000000</f>
        <v>565521.24997</v>
      </c>
      <c r="H43" s="290">
        <f>'[6]62_dong '!AA43/1000000</f>
        <v>48289.270546</v>
      </c>
      <c r="I43" s="306">
        <f t="shared" si="1"/>
        <v>0</v>
      </c>
      <c r="J43" s="306">
        <f t="shared" si="2"/>
        <v>0</v>
      </c>
      <c r="K43" s="225"/>
      <c r="L43" s="224"/>
      <c r="M43" s="225"/>
      <c r="N43" s="225"/>
      <c r="O43" s="225"/>
    </row>
    <row r="44" spans="1:17" s="230" customFormat="1" ht="30">
      <c r="A44" s="293" t="s">
        <v>119</v>
      </c>
      <c r="B44" s="237" t="s">
        <v>915</v>
      </c>
      <c r="C44" s="290">
        <f>'[6]62_dong '!C44/1000000</f>
        <v>1200</v>
      </c>
      <c r="D44" s="290">
        <f>'[6]62_dong '!D44/1000000</f>
        <v>880</v>
      </c>
      <c r="E44" s="290">
        <f t="shared" si="5"/>
        <v>88.116</v>
      </c>
      <c r="F44" s="290">
        <f>'[6]62_dong '!Y44/1000000</f>
        <v>88.116</v>
      </c>
      <c r="G44" s="290">
        <f>'[6]62_dong '!Z44/1000000</f>
        <v>0</v>
      </c>
      <c r="H44" s="290">
        <f>'[6]62_dong '!AA44/1000000</f>
        <v>0</v>
      </c>
      <c r="I44" s="306">
        <f t="shared" si="1"/>
        <v>7.343</v>
      </c>
      <c r="J44" s="306">
        <f t="shared" si="2"/>
        <v>10.013181818181819</v>
      </c>
      <c r="K44" s="225"/>
      <c r="L44" s="225"/>
      <c r="M44" s="225"/>
      <c r="N44" s="225"/>
      <c r="O44" s="225"/>
    </row>
    <row r="45" spans="1:17" s="230" customFormat="1" ht="15">
      <c r="A45" s="293" t="s">
        <v>154</v>
      </c>
      <c r="B45" s="237" t="s">
        <v>34</v>
      </c>
      <c r="C45" s="290">
        <f>'[6]62_dong '!C45/1000000</f>
        <v>100731</v>
      </c>
      <c r="D45" s="290">
        <f>'[6]62_dong '!D45/1000000</f>
        <v>102067</v>
      </c>
      <c r="E45" s="290">
        <f t="shared" si="5"/>
        <v>0</v>
      </c>
      <c r="F45" s="290">
        <f>'[6]62_dong '!Y45/1000000</f>
        <v>0</v>
      </c>
      <c r="G45" s="290">
        <f>'[6]62_dong '!Z45/1000000</f>
        <v>0</v>
      </c>
      <c r="H45" s="290">
        <f>'[6]62_dong '!AA45/1000000</f>
        <v>0</v>
      </c>
      <c r="I45" s="306">
        <f t="shared" si="1"/>
        <v>0</v>
      </c>
      <c r="J45" s="306">
        <f t="shared" si="2"/>
        <v>0</v>
      </c>
      <c r="K45" s="225"/>
      <c r="L45" s="225"/>
      <c r="M45" s="225"/>
      <c r="N45" s="225"/>
      <c r="O45" s="225"/>
    </row>
    <row r="46" spans="1:17" s="230" customFormat="1" ht="30">
      <c r="A46" s="293" t="s">
        <v>503</v>
      </c>
      <c r="B46" s="237" t="s">
        <v>916</v>
      </c>
      <c r="C46" s="296">
        <f>'[6]62_dong '!C46/1000000</f>
        <v>0</v>
      </c>
      <c r="D46" s="290">
        <f>'[6]62_dong '!D46/1000000</f>
        <v>3500</v>
      </c>
      <c r="E46" s="290">
        <f t="shared" si="5"/>
        <v>0</v>
      </c>
      <c r="F46" s="290">
        <f>'[6]62_dong '!Y46/1000000</f>
        <v>0</v>
      </c>
      <c r="G46" s="290">
        <f>'[6]62_dong '!Z46/1000000</f>
        <v>0</v>
      </c>
      <c r="H46" s="290">
        <f>'[6]62_dong '!AA46/1000000</f>
        <v>0</v>
      </c>
      <c r="I46" s="306">
        <f t="shared" si="1"/>
        <v>0</v>
      </c>
      <c r="J46" s="306">
        <f t="shared" si="2"/>
        <v>0</v>
      </c>
      <c r="K46" s="225"/>
      <c r="L46" s="225"/>
      <c r="M46" s="225"/>
      <c r="N46" s="225"/>
      <c r="O46" s="225"/>
    </row>
    <row r="47" spans="1:17" s="229" customFormat="1" ht="15.5">
      <c r="A47" s="307" t="s">
        <v>917</v>
      </c>
      <c r="B47" s="308" t="s">
        <v>918</v>
      </c>
      <c r="C47" s="296">
        <f>'[6]62_dong '!C47/1000000</f>
        <v>0</v>
      </c>
      <c r="D47" s="290">
        <f>'[6]62_dong '!D47/1000000</f>
        <v>0</v>
      </c>
      <c r="E47" s="290">
        <f t="shared" si="5"/>
        <v>30735</v>
      </c>
      <c r="F47" s="290">
        <f>'[6]62_dong '!Y47/1000000</f>
        <v>30235</v>
      </c>
      <c r="G47" s="290">
        <f>'[6]62_dong '!Z47/1000000</f>
        <v>500</v>
      </c>
      <c r="H47" s="290">
        <f>'[6]62_dong '!AA47/1000000</f>
        <v>0</v>
      </c>
      <c r="I47" s="294">
        <f t="shared" si="1"/>
        <v>0</v>
      </c>
      <c r="J47" s="294">
        <f t="shared" si="2"/>
        <v>0</v>
      </c>
      <c r="K47" s="280"/>
      <c r="L47" s="280"/>
      <c r="M47" s="280"/>
      <c r="N47" s="280"/>
      <c r="O47" s="280"/>
    </row>
    <row r="48" spans="1:17" s="230" customFormat="1" ht="15.5">
      <c r="A48" s="293" t="s">
        <v>919</v>
      </c>
      <c r="B48" s="237" t="s">
        <v>920</v>
      </c>
      <c r="C48" s="296">
        <f>'[6]62_dong '!C48/1000000</f>
        <v>0</v>
      </c>
      <c r="D48" s="290">
        <f>'[6]62_dong '!D48/1000000</f>
        <v>0</v>
      </c>
      <c r="E48" s="290">
        <f t="shared" si="5"/>
        <v>4</v>
      </c>
      <c r="F48" s="290">
        <f>'[6]62_dong '!Y48/1000000</f>
        <v>0</v>
      </c>
      <c r="G48" s="290">
        <f>'[6]62_dong '!Z48/1000000</f>
        <v>0</v>
      </c>
      <c r="H48" s="290">
        <f>'[6]62_dong '!AA48/1000000</f>
        <v>4</v>
      </c>
      <c r="I48" s="306">
        <f t="shared" si="1"/>
        <v>0</v>
      </c>
      <c r="J48" s="306">
        <f t="shared" si="2"/>
        <v>0</v>
      </c>
      <c r="K48" s="225"/>
      <c r="L48" s="225"/>
      <c r="M48" s="225"/>
      <c r="N48" s="225"/>
      <c r="O48" s="225"/>
    </row>
    <row r="49" spans="1:10" ht="15.5">
      <c r="A49" s="295">
        <v>1</v>
      </c>
      <c r="B49" s="240" t="s">
        <v>921</v>
      </c>
      <c r="C49" s="296">
        <f>'[6]62_dong '!C49/1000000</f>
        <v>0</v>
      </c>
      <c r="D49" s="296">
        <f>'[6]62_dong '!D49/1000000</f>
        <v>0</v>
      </c>
      <c r="E49" s="296">
        <f t="shared" si="5"/>
        <v>0</v>
      </c>
      <c r="F49" s="296">
        <f>'[6]62_dong '!Y49/1000000</f>
        <v>0</v>
      </c>
      <c r="G49" s="296">
        <f>'[6]62_dong '!Z49/1000000</f>
        <v>0</v>
      </c>
      <c r="H49" s="296">
        <f>'[6]62_dong '!AA49/1000000</f>
        <v>0</v>
      </c>
      <c r="I49" s="306">
        <f t="shared" si="1"/>
        <v>0</v>
      </c>
      <c r="J49" s="306">
        <f t="shared" si="2"/>
        <v>0</v>
      </c>
    </row>
    <row r="50" spans="1:10" ht="15.5">
      <c r="A50" s="295">
        <v>2</v>
      </c>
      <c r="B50" s="240" t="s">
        <v>922</v>
      </c>
      <c r="C50" s="296">
        <f>'[6]62_dong '!C50/1000000</f>
        <v>0</v>
      </c>
      <c r="D50" s="296">
        <f>'[6]62_dong '!D50/1000000</f>
        <v>0</v>
      </c>
      <c r="E50" s="296">
        <f t="shared" si="5"/>
        <v>4</v>
      </c>
      <c r="F50" s="296">
        <f>'[6]62_dong '!Y50/1000000</f>
        <v>0</v>
      </c>
      <c r="G50" s="296">
        <f>'[6]62_dong '!Z50/1000000</f>
        <v>0</v>
      </c>
      <c r="H50" s="296">
        <f>'[6]62_dong '!AA50/1000000</f>
        <v>4</v>
      </c>
      <c r="I50" s="299">
        <f t="shared" si="1"/>
        <v>0</v>
      </c>
      <c r="J50" s="306">
        <f t="shared" si="2"/>
        <v>0</v>
      </c>
    </row>
    <row r="51" spans="1:10" ht="15.5" hidden="1" outlineLevel="1">
      <c r="A51" s="295" t="s">
        <v>15</v>
      </c>
      <c r="B51" s="240" t="s">
        <v>923</v>
      </c>
      <c r="C51" s="296">
        <f>'[6]62_dong '!C51/1000000</f>
        <v>0</v>
      </c>
      <c r="D51" s="296">
        <f>'[6]62_dong '!D51/1000000</f>
        <v>0</v>
      </c>
      <c r="E51" s="296">
        <f t="shared" si="5"/>
        <v>0</v>
      </c>
      <c r="F51" s="296">
        <f>'[6]62_dong '!Y51/1000000</f>
        <v>0</v>
      </c>
      <c r="G51" s="296">
        <f>'[6]62_dong '!Z51/1000000</f>
        <v>0</v>
      </c>
      <c r="H51" s="296">
        <f>'[6]62_dong '!AA51/1000000</f>
        <v>0</v>
      </c>
      <c r="I51" s="299">
        <f t="shared" si="1"/>
        <v>0</v>
      </c>
      <c r="J51" s="306">
        <f t="shared" si="2"/>
        <v>0</v>
      </c>
    </row>
    <row r="52" spans="1:10" ht="15.5" hidden="1" outlineLevel="1">
      <c r="A52" s="295" t="s">
        <v>15</v>
      </c>
      <c r="B52" s="240" t="s">
        <v>924</v>
      </c>
      <c r="C52" s="296">
        <f>'[6]62_dong '!C52/1000000</f>
        <v>0</v>
      </c>
      <c r="D52" s="296">
        <f>'[6]62_dong '!D52/1000000</f>
        <v>0</v>
      </c>
      <c r="E52" s="296">
        <f t="shared" si="5"/>
        <v>4</v>
      </c>
      <c r="F52" s="296">
        <f>'[6]62_dong '!Y52/1000000</f>
        <v>0</v>
      </c>
      <c r="G52" s="296">
        <f>'[6]62_dong '!Z52/1000000</f>
        <v>0</v>
      </c>
      <c r="H52" s="296">
        <f>'[6]62_dong '!AA52/1000000</f>
        <v>4</v>
      </c>
      <c r="I52" s="299">
        <f t="shared" si="1"/>
        <v>0</v>
      </c>
      <c r="J52" s="306">
        <f t="shared" si="2"/>
        <v>0</v>
      </c>
    </row>
    <row r="53" spans="1:10" s="229" customFormat="1" ht="15.5" collapsed="1">
      <c r="A53" s="307" t="s">
        <v>9</v>
      </c>
      <c r="B53" s="308" t="s">
        <v>925</v>
      </c>
      <c r="C53" s="296">
        <f>'[6]62_dong '!C53/1000000</f>
        <v>0</v>
      </c>
      <c r="D53" s="290">
        <f>'[6]62_dong '!D53/1000000</f>
        <v>0</v>
      </c>
      <c r="E53" s="290">
        <f t="shared" si="5"/>
        <v>3440589.977858</v>
      </c>
      <c r="F53" s="290">
        <f>'[6]62_dong '!Y53/1000000</f>
        <v>2906304.6444999999</v>
      </c>
      <c r="G53" s="290">
        <f>'[6]62_dong '!Z53/1000000</f>
        <v>534285.33335800003</v>
      </c>
      <c r="H53" s="296">
        <f>'[6]62_dong '!AA53/1000000</f>
        <v>0</v>
      </c>
      <c r="I53" s="306">
        <f t="shared" si="1"/>
        <v>0</v>
      </c>
      <c r="J53" s="306">
        <f t="shared" si="2"/>
        <v>0</v>
      </c>
    </row>
    <row r="54" spans="1:10" ht="15.5">
      <c r="A54" s="309">
        <v>1</v>
      </c>
      <c r="B54" s="298" t="s">
        <v>926</v>
      </c>
      <c r="C54" s="296">
        <f>'[6]62_dong '!C54/1000000</f>
        <v>0</v>
      </c>
      <c r="D54" s="296">
        <f>'[6]62_dong '!D54/1000000</f>
        <v>0</v>
      </c>
      <c r="E54" s="296">
        <f t="shared" si="5"/>
        <v>2324691.4967140001</v>
      </c>
      <c r="F54" s="296">
        <f>'[6]62_dong '!Y54/1000000</f>
        <v>1913342</v>
      </c>
      <c r="G54" s="296">
        <f>'[6]62_dong '!Z54/1000000</f>
        <v>411349.49671400001</v>
      </c>
      <c r="H54" s="296">
        <f>'[6]62_dong '!AA54/1000000</f>
        <v>0</v>
      </c>
      <c r="I54" s="297">
        <f t="shared" si="1"/>
        <v>0</v>
      </c>
      <c r="J54" s="297">
        <f t="shared" si="2"/>
        <v>0</v>
      </c>
    </row>
    <row r="55" spans="1:10" ht="15.5">
      <c r="A55" s="309">
        <v>2</v>
      </c>
      <c r="B55" s="298" t="s">
        <v>164</v>
      </c>
      <c r="C55" s="296">
        <f>'[6]62_dong '!C55/1000000</f>
        <v>0</v>
      </c>
      <c r="D55" s="296">
        <f>'[6]62_dong '!D55/1000000</f>
        <v>0</v>
      </c>
      <c r="E55" s="296">
        <f t="shared" si="5"/>
        <v>1115898.4811440001</v>
      </c>
      <c r="F55" s="296">
        <f>'[6]62_dong '!Y55/1000000</f>
        <v>992962.64450000005</v>
      </c>
      <c r="G55" s="296">
        <f>'[6]62_dong '!Z55/1000000</f>
        <v>122935.836644</v>
      </c>
      <c r="H55" s="296">
        <f>'[6]62_dong '!AA55/1000000</f>
        <v>0</v>
      </c>
      <c r="I55" s="297">
        <f t="shared" si="1"/>
        <v>0</v>
      </c>
      <c r="J55" s="297">
        <f t="shared" si="2"/>
        <v>0</v>
      </c>
    </row>
    <row r="56" spans="1:10" ht="15.5">
      <c r="A56" s="310"/>
      <c r="B56" s="310" t="s">
        <v>927</v>
      </c>
      <c r="C56" s="296">
        <f>'[6]62_dong '!C56/1000000</f>
        <v>0</v>
      </c>
      <c r="D56" s="296">
        <f>'[6]62_dong '!D56/1000000</f>
        <v>0</v>
      </c>
      <c r="E56" s="296">
        <f t="shared" si="5"/>
        <v>1115898.4811440001</v>
      </c>
      <c r="F56" s="296">
        <f>'[6]62_dong '!Y56/1000000</f>
        <v>992962.64450000005</v>
      </c>
      <c r="G56" s="296">
        <f>'[6]62_dong '!Z56/1000000</f>
        <v>122935.836644</v>
      </c>
      <c r="H56" s="296">
        <f>'[6]62_dong '!AA56/1000000</f>
        <v>0</v>
      </c>
      <c r="I56" s="297">
        <f t="shared" si="1"/>
        <v>0</v>
      </c>
      <c r="J56" s="297">
        <f t="shared" si="2"/>
        <v>0</v>
      </c>
    </row>
    <row r="57" spans="1:10" ht="15.5">
      <c r="A57" s="310"/>
      <c r="B57" s="310" t="s">
        <v>928</v>
      </c>
      <c r="C57" s="296">
        <f>'[6]62_dong '!C57/1000000</f>
        <v>0</v>
      </c>
      <c r="D57" s="296">
        <f>'[6]62_dong '!D57/1000000</f>
        <v>0</v>
      </c>
      <c r="E57" s="296">
        <f t="shared" si="5"/>
        <v>0</v>
      </c>
      <c r="F57" s="296">
        <f>'[6]62_dong '!Y57/1000000</f>
        <v>0</v>
      </c>
      <c r="G57" s="296">
        <f>'[6]62_dong '!Z57/1000000</f>
        <v>0</v>
      </c>
      <c r="H57" s="296">
        <f>'[6]62_dong '!AA57/1000000</f>
        <v>0</v>
      </c>
      <c r="I57" s="297">
        <f t="shared" si="1"/>
        <v>0</v>
      </c>
      <c r="J57" s="297">
        <f t="shared" si="2"/>
        <v>0</v>
      </c>
    </row>
    <row r="58" spans="1:10" s="229" customFormat="1" ht="15">
      <c r="A58" s="311" t="s">
        <v>40</v>
      </c>
      <c r="B58" s="312" t="s">
        <v>929</v>
      </c>
      <c r="C58" s="290">
        <f>'[6]62_dong '!C58/1000000</f>
        <v>0</v>
      </c>
      <c r="D58" s="290">
        <f>'[6]62_dong '!D58/1000000</f>
        <v>0</v>
      </c>
      <c r="E58" s="290">
        <f t="shared" si="5"/>
        <v>71308.978482000006</v>
      </c>
      <c r="F58" s="290">
        <f>'[6]62_dong '!Y58/1000000</f>
        <v>21871.162321</v>
      </c>
      <c r="G58" s="290">
        <f>'[6]62_dong '!Z58/1000000</f>
        <v>45714.148101999999</v>
      </c>
      <c r="H58" s="290">
        <f>'[6]62_dong '!AA58/1000000</f>
        <v>3723.6680590000001</v>
      </c>
      <c r="I58" s="313">
        <f t="shared" si="1"/>
        <v>0</v>
      </c>
      <c r="J58" s="313">
        <f t="shared" si="2"/>
        <v>0</v>
      </c>
    </row>
    <row r="59" spans="1:10" s="229" customFormat="1" ht="15">
      <c r="A59" s="286"/>
      <c r="B59" s="286" t="s">
        <v>930</v>
      </c>
      <c r="C59" s="314">
        <f>C9+C53+C58+C48</f>
        <v>6896296</v>
      </c>
      <c r="D59" s="314">
        <f>D9+D53+D58+D48</f>
        <v>6963296</v>
      </c>
      <c r="E59" s="314">
        <f>E9+E53+E58</f>
        <v>13652422.354806</v>
      </c>
      <c r="F59" s="314">
        <f t="shared" ref="F59:H59" si="7">F9+F53+F58</f>
        <v>8617058.9104749989</v>
      </c>
      <c r="G59" s="314">
        <f t="shared" si="7"/>
        <v>4407079.9907750003</v>
      </c>
      <c r="H59" s="314">
        <f t="shared" si="7"/>
        <v>628283.45355600002</v>
      </c>
      <c r="I59" s="315">
        <f t="shared" si="1"/>
        <v>197.96746477828097</v>
      </c>
      <c r="J59" s="315">
        <f t="shared" si="2"/>
        <v>196.06264554610345</v>
      </c>
    </row>
    <row r="60" spans="1:10" ht="7.5" customHeight="1">
      <c r="A60" s="316"/>
      <c r="C60" s="317"/>
      <c r="D60" s="317"/>
      <c r="E60" s="317"/>
      <c r="F60" s="317"/>
    </row>
    <row r="61" spans="1:10" s="318" customFormat="1" ht="15.75" customHeight="1">
      <c r="A61" s="653" t="s">
        <v>931</v>
      </c>
      <c r="B61" s="653"/>
      <c r="C61" s="653" t="s">
        <v>931</v>
      </c>
      <c r="D61" s="653"/>
      <c r="E61" s="653"/>
      <c r="F61" s="653"/>
      <c r="G61" s="653" t="s">
        <v>870</v>
      </c>
      <c r="H61" s="653"/>
      <c r="I61" s="653"/>
      <c r="J61" s="653"/>
    </row>
    <row r="62" spans="1:10" s="318" customFormat="1" ht="15.75" customHeight="1">
      <c r="A62" s="652" t="s">
        <v>871</v>
      </c>
      <c r="B62" s="652"/>
      <c r="C62" s="652" t="s">
        <v>872</v>
      </c>
      <c r="D62" s="652"/>
      <c r="E62" s="652"/>
      <c r="F62" s="652"/>
      <c r="G62" s="652" t="s">
        <v>873</v>
      </c>
      <c r="H62" s="652"/>
      <c r="I62" s="652"/>
      <c r="J62" s="652"/>
    </row>
    <row r="63" spans="1:10" s="318" customFormat="1" ht="15.75" customHeight="1">
      <c r="A63" s="652" t="s">
        <v>932</v>
      </c>
      <c r="B63" s="652"/>
      <c r="C63" s="652" t="s">
        <v>933</v>
      </c>
      <c r="D63" s="652"/>
      <c r="E63" s="652"/>
      <c r="F63" s="652"/>
      <c r="G63" s="652" t="s">
        <v>876</v>
      </c>
      <c r="H63" s="652"/>
      <c r="I63" s="652"/>
      <c r="J63" s="652"/>
    </row>
    <row r="64" spans="1:10" s="318" customFormat="1" ht="16.5">
      <c r="A64" s="319"/>
      <c r="B64" s="319"/>
      <c r="D64" s="320"/>
      <c r="E64" s="321"/>
      <c r="F64" s="321"/>
      <c r="G64" s="322"/>
      <c r="H64" s="322"/>
      <c r="I64" s="319"/>
      <c r="J64" s="319"/>
    </row>
    <row r="65" spans="1:11" ht="15.5">
      <c r="A65" s="323"/>
      <c r="B65" s="323"/>
      <c r="C65" s="281"/>
      <c r="D65" s="324"/>
      <c r="E65" s="325"/>
      <c r="F65" s="325"/>
      <c r="G65" s="317"/>
      <c r="H65" s="325"/>
      <c r="I65" s="325"/>
      <c r="J65" s="325"/>
      <c r="K65" s="317"/>
    </row>
    <row r="66" spans="1:11" ht="15.5">
      <c r="A66" s="326"/>
      <c r="B66" s="326"/>
      <c r="D66" s="324"/>
      <c r="E66" s="327"/>
      <c r="F66" s="327"/>
      <c r="G66" s="328"/>
      <c r="H66" s="327"/>
      <c r="I66" s="320"/>
      <c r="J66" s="320"/>
      <c r="K66" s="317"/>
    </row>
    <row r="67" spans="1:11" ht="15.5">
      <c r="A67" s="323"/>
      <c r="B67" s="323"/>
      <c r="C67" s="317"/>
      <c r="D67" s="329"/>
      <c r="E67" s="330">
        <f>'[6]62_dong '!X59/1000000-E59</f>
        <v>0</v>
      </c>
      <c r="F67" s="330"/>
      <c r="G67" s="330"/>
      <c r="H67" s="330"/>
      <c r="I67" s="323"/>
      <c r="J67" s="323"/>
    </row>
    <row r="68" spans="1:11" ht="15.5">
      <c r="A68" s="323"/>
      <c r="B68" s="323"/>
      <c r="C68" s="281"/>
      <c r="D68" s="331"/>
      <c r="E68" s="332"/>
      <c r="F68" s="323"/>
      <c r="H68" s="323"/>
      <c r="I68" s="323"/>
      <c r="J68" s="323"/>
    </row>
    <row r="69" spans="1:11" ht="15.5">
      <c r="A69" s="323"/>
      <c r="B69" s="323"/>
      <c r="D69" s="333"/>
      <c r="E69" s="332"/>
      <c r="F69" s="323"/>
      <c r="H69" s="323"/>
      <c r="I69" s="323"/>
      <c r="J69" s="323"/>
    </row>
    <row r="70" spans="1:11" ht="15.5">
      <c r="A70" s="323"/>
      <c r="B70" s="323"/>
      <c r="D70" s="323"/>
      <c r="E70" s="325"/>
      <c r="F70" s="323"/>
      <c r="H70" s="323"/>
      <c r="I70" s="323"/>
      <c r="J70" s="323"/>
    </row>
    <row r="71" spans="1:11" ht="15.5">
      <c r="A71" s="323"/>
      <c r="B71" s="323"/>
      <c r="D71" s="323"/>
      <c r="E71" s="332"/>
      <c r="F71" s="323"/>
      <c r="H71" s="323"/>
      <c r="I71" s="323"/>
      <c r="J71" s="323"/>
    </row>
  </sheetData>
  <mergeCells count="17">
    <mergeCell ref="I1:J1"/>
    <mergeCell ref="A3:J3"/>
    <mergeCell ref="A4:J4"/>
    <mergeCell ref="A6:A7"/>
    <mergeCell ref="B6:B7"/>
    <mergeCell ref="C6:D6"/>
    <mergeCell ref="E6:H6"/>
    <mergeCell ref="I6:J6"/>
    <mergeCell ref="A63:B63"/>
    <mergeCell ref="C63:F63"/>
    <mergeCell ref="G63:J63"/>
    <mergeCell ref="A61:B61"/>
    <mergeCell ref="C61:F61"/>
    <mergeCell ref="G61:J61"/>
    <mergeCell ref="A62:B62"/>
    <mergeCell ref="C62:F62"/>
    <mergeCell ref="G62:J62"/>
  </mergeCells>
  <printOptions horizontalCentered="1"/>
  <pageMargins left="0.7" right="0.7" top="0.75" bottom="0.5" header="0.3" footer="0.3"/>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H44"/>
  <sheetViews>
    <sheetView tabSelected="1" zoomScaleNormal="100" workbookViewId="0">
      <pane ySplit="7" topLeftCell="A8" activePane="bottomLeft" state="frozen"/>
      <selection pane="bottomLeft" activeCell="H10" sqref="H10"/>
    </sheetView>
  </sheetViews>
  <sheetFormatPr defaultColWidth="9.1796875" defaultRowHeight="14"/>
  <cols>
    <col min="1" max="1" width="9.1796875" style="451"/>
    <col min="2" max="2" width="7.7265625" style="451" customWidth="1"/>
    <col min="3" max="3" width="29" style="451" customWidth="1"/>
    <col min="4" max="4" width="15" style="451" customWidth="1"/>
    <col min="5" max="5" width="15.26953125" style="451" customWidth="1"/>
    <col min="6" max="6" width="12.54296875" style="451" customWidth="1"/>
    <col min="7" max="7" width="11.81640625" style="451" customWidth="1"/>
    <col min="8" max="8" width="19.26953125" style="451" customWidth="1"/>
    <col min="9" max="16384" width="9.1796875" style="451"/>
  </cols>
  <sheetData>
    <row r="1" spans="2:8">
      <c r="B1" s="657"/>
      <c r="F1" s="658" t="s">
        <v>357</v>
      </c>
      <c r="G1" s="658"/>
    </row>
    <row r="2" spans="2:8">
      <c r="B2" s="659" t="s">
        <v>183</v>
      </c>
      <c r="C2" s="659"/>
      <c r="D2" s="659"/>
      <c r="E2" s="659"/>
      <c r="F2" s="659"/>
      <c r="G2" s="659"/>
    </row>
    <row r="3" spans="2:8">
      <c r="B3" s="660" t="s">
        <v>1112</v>
      </c>
      <c r="C3" s="660"/>
      <c r="D3" s="660"/>
      <c r="E3" s="660"/>
      <c r="F3" s="660"/>
      <c r="G3" s="660"/>
      <c r="H3" s="661"/>
    </row>
    <row r="4" spans="2:8">
      <c r="B4" s="662"/>
      <c r="F4" s="663" t="s">
        <v>53</v>
      </c>
      <c r="G4" s="663"/>
    </row>
    <row r="5" spans="2:8">
      <c r="B5" s="664" t="s">
        <v>1</v>
      </c>
      <c r="C5" s="664" t="s">
        <v>2</v>
      </c>
      <c r="D5" s="664" t="s">
        <v>3</v>
      </c>
      <c r="E5" s="664" t="s">
        <v>4</v>
      </c>
      <c r="F5" s="664" t="s">
        <v>937</v>
      </c>
      <c r="G5" s="664"/>
    </row>
    <row r="6" spans="2:8" ht="25.5" customHeight="1">
      <c r="B6" s="664"/>
      <c r="C6" s="664"/>
      <c r="D6" s="664"/>
      <c r="E6" s="664"/>
      <c r="F6" s="665" t="s">
        <v>6</v>
      </c>
      <c r="G6" s="665" t="s">
        <v>7</v>
      </c>
    </row>
    <row r="7" spans="2:8">
      <c r="B7" s="665" t="s">
        <v>8</v>
      </c>
      <c r="C7" s="665" t="s">
        <v>9</v>
      </c>
      <c r="D7" s="665">
        <v>1</v>
      </c>
      <c r="E7" s="665">
        <v>2</v>
      </c>
      <c r="F7" s="665" t="s">
        <v>10</v>
      </c>
      <c r="G7" s="665" t="s">
        <v>11</v>
      </c>
    </row>
    <row r="8" spans="2:8" ht="24.75" customHeight="1">
      <c r="B8" s="666" t="s">
        <v>8</v>
      </c>
      <c r="C8" s="667" t="s">
        <v>12</v>
      </c>
      <c r="D8" s="668">
        <f>D9+D12+D15+D16+D17+D18+D19+D20</f>
        <v>6963296</v>
      </c>
      <c r="E8" s="668">
        <f>E9+E12+E15+E16+E17+E18+E19+E20</f>
        <v>10330083.927436998</v>
      </c>
      <c r="F8" s="668">
        <f>E8-D8</f>
        <v>3366787.9274369981</v>
      </c>
      <c r="G8" s="669">
        <f>E8/D8</f>
        <v>1.4835049274706975</v>
      </c>
      <c r="H8" s="670"/>
    </row>
    <row r="9" spans="2:8" s="674" customFormat="1" ht="36.75" customHeight="1">
      <c r="B9" s="671" t="s">
        <v>13</v>
      </c>
      <c r="C9" s="672" t="s">
        <v>14</v>
      </c>
      <c r="D9" s="377">
        <f>D10+D11</f>
        <v>1986820</v>
      </c>
      <c r="E9" s="377">
        <f>E10+E11</f>
        <v>2744684.9542890005</v>
      </c>
      <c r="F9" s="377">
        <f t="shared" ref="F9:F42" si="0">E9-D9</f>
        <v>757864.95428900048</v>
      </c>
      <c r="G9" s="673">
        <f t="shared" ref="G9:G41" si="1">E9/D9</f>
        <v>1.381446207652933</v>
      </c>
    </row>
    <row r="10" spans="2:8" ht="21" customHeight="1">
      <c r="B10" s="675" t="s">
        <v>15</v>
      </c>
      <c r="C10" s="676" t="s">
        <v>16</v>
      </c>
      <c r="D10" s="63">
        <v>1064720</v>
      </c>
      <c r="E10" s="368">
        <v>1710834.3046670004</v>
      </c>
      <c r="F10" s="63">
        <f t="shared" si="0"/>
        <v>646114.30466700043</v>
      </c>
      <c r="G10" s="72">
        <f t="shared" si="1"/>
        <v>1.6068396429737399</v>
      </c>
    </row>
    <row r="11" spans="2:8" ht="33" customHeight="1">
      <c r="B11" s="675" t="s">
        <v>15</v>
      </c>
      <c r="C11" s="676" t="s">
        <v>17</v>
      </c>
      <c r="D11" s="677">
        <v>922100</v>
      </c>
      <c r="E11" s="368">
        <v>1033850.6496219999</v>
      </c>
      <c r="F11" s="677">
        <f t="shared" si="0"/>
        <v>111750.64962199994</v>
      </c>
      <c r="G11" s="678">
        <f t="shared" si="1"/>
        <v>1.1211914647239996</v>
      </c>
    </row>
    <row r="12" spans="2:8" s="674" customFormat="1" ht="30" customHeight="1">
      <c r="B12" s="671" t="s">
        <v>18</v>
      </c>
      <c r="C12" s="672" t="s">
        <v>19</v>
      </c>
      <c r="D12" s="377">
        <f>SUM(D13:D14)</f>
        <v>4976476</v>
      </c>
      <c r="E12" s="377">
        <f>SUM(E13:E14)</f>
        <v>5219435.4748049993</v>
      </c>
      <c r="F12" s="377">
        <f t="shared" si="0"/>
        <v>242959.47480499931</v>
      </c>
      <c r="G12" s="673">
        <f t="shared" si="1"/>
        <v>1.0488215907813077</v>
      </c>
    </row>
    <row r="13" spans="2:8" ht="25.5" customHeight="1">
      <c r="B13" s="675">
        <v>1</v>
      </c>
      <c r="C13" s="676" t="s">
        <v>20</v>
      </c>
      <c r="D13" s="63">
        <v>3116511</v>
      </c>
      <c r="E13" s="368">
        <v>3116511</v>
      </c>
      <c r="F13" s="63">
        <f t="shared" si="0"/>
        <v>0</v>
      </c>
      <c r="G13" s="72">
        <f t="shared" si="1"/>
        <v>1</v>
      </c>
    </row>
    <row r="14" spans="2:8" ht="21" customHeight="1">
      <c r="B14" s="675">
        <v>2</v>
      </c>
      <c r="C14" s="676" t="s">
        <v>21</v>
      </c>
      <c r="D14" s="368">
        <v>1859965</v>
      </c>
      <c r="E14" s="368">
        <v>2102924.4748049998</v>
      </c>
      <c r="F14" s="368">
        <f t="shared" si="0"/>
        <v>242959.47480499977</v>
      </c>
      <c r="G14" s="679">
        <f t="shared" si="1"/>
        <v>1.1306258315640347</v>
      </c>
    </row>
    <row r="15" spans="2:8" s="674" customFormat="1" ht="22.5" customHeight="1">
      <c r="B15" s="671" t="s">
        <v>22</v>
      </c>
      <c r="C15" s="672" t="s">
        <v>23</v>
      </c>
      <c r="D15" s="377"/>
      <c r="E15" s="377"/>
      <c r="F15" s="377">
        <f t="shared" si="0"/>
        <v>0</v>
      </c>
      <c r="G15" s="673"/>
    </row>
    <row r="16" spans="2:8" s="674" customFormat="1" ht="21.75" customHeight="1">
      <c r="B16" s="671" t="s">
        <v>24</v>
      </c>
      <c r="C16" s="672" t="s">
        <v>25</v>
      </c>
      <c r="D16" s="377"/>
      <c r="E16" s="377">
        <v>80346.576449999993</v>
      </c>
      <c r="F16" s="377">
        <f t="shared" si="0"/>
        <v>80346.576449999993</v>
      </c>
      <c r="G16" s="673"/>
    </row>
    <row r="17" spans="2:8" s="674" customFormat="1" ht="30.75" customHeight="1">
      <c r="B17" s="671" t="s">
        <v>26</v>
      </c>
      <c r="C17" s="672" t="s">
        <v>27</v>
      </c>
      <c r="D17" s="377"/>
      <c r="E17" s="377">
        <v>2207814.4703509999</v>
      </c>
      <c r="F17" s="377">
        <f t="shared" si="0"/>
        <v>2207814.4703509999</v>
      </c>
      <c r="G17" s="673"/>
    </row>
    <row r="18" spans="2:8" s="674" customFormat="1" ht="30.75" customHeight="1">
      <c r="B18" s="671" t="s">
        <v>119</v>
      </c>
      <c r="C18" s="672" t="s">
        <v>518</v>
      </c>
      <c r="D18" s="377"/>
      <c r="E18" s="377">
        <v>49437.816161000002</v>
      </c>
      <c r="F18" s="377">
        <f t="shared" si="0"/>
        <v>49437.816161000002</v>
      </c>
      <c r="G18" s="673"/>
    </row>
    <row r="19" spans="2:8" s="674" customFormat="1" ht="30.75" customHeight="1">
      <c r="B19" s="671" t="s">
        <v>154</v>
      </c>
      <c r="C19" s="672" t="s">
        <v>501</v>
      </c>
      <c r="D19" s="377"/>
      <c r="E19" s="377">
        <v>24860.635381</v>
      </c>
      <c r="F19" s="377">
        <f t="shared" si="0"/>
        <v>24860.635381</v>
      </c>
      <c r="G19" s="673"/>
    </row>
    <row r="20" spans="2:8" s="674" customFormat="1" ht="30.75" customHeight="1">
      <c r="B20" s="671" t="s">
        <v>503</v>
      </c>
      <c r="C20" s="672" t="s">
        <v>502</v>
      </c>
      <c r="D20" s="377"/>
      <c r="E20" s="377">
        <v>3504</v>
      </c>
      <c r="F20" s="377">
        <f t="shared" si="0"/>
        <v>3504</v>
      </c>
      <c r="G20" s="673"/>
    </row>
    <row r="21" spans="2:8" ht="23.25" customHeight="1">
      <c r="B21" s="671" t="s">
        <v>9</v>
      </c>
      <c r="C21" s="672" t="s">
        <v>28</v>
      </c>
      <c r="D21" s="377">
        <f>D22+D30+D33</f>
        <v>6963296</v>
      </c>
      <c r="E21" s="377">
        <f>E22+E30+E33+E34</f>
        <v>10211832.376948001</v>
      </c>
      <c r="F21" s="377">
        <f t="shared" si="0"/>
        <v>3248536.3769480009</v>
      </c>
      <c r="G21" s="673">
        <f t="shared" si="1"/>
        <v>1.4665228042794678</v>
      </c>
      <c r="H21" s="670">
        <f>E21-E8</f>
        <v>-118251.55048899725</v>
      </c>
    </row>
    <row r="22" spans="2:8" s="674" customFormat="1" ht="23.25" customHeight="1">
      <c r="B22" s="671" t="s">
        <v>13</v>
      </c>
      <c r="C22" s="672" t="s">
        <v>29</v>
      </c>
      <c r="D22" s="377">
        <v>5103331</v>
      </c>
      <c r="E22" s="377">
        <f>E23+E24+E25+E26+E27+E28+E29</f>
        <v>5694587.0832480006</v>
      </c>
      <c r="F22" s="377">
        <f t="shared" si="0"/>
        <v>591256.08324800059</v>
      </c>
      <c r="G22" s="673">
        <f t="shared" si="1"/>
        <v>1.1158568948884564</v>
      </c>
    </row>
    <row r="23" spans="2:8" ht="23.25" customHeight="1">
      <c r="B23" s="675">
        <v>1</v>
      </c>
      <c r="C23" s="676" t="s">
        <v>30</v>
      </c>
      <c r="D23" s="368">
        <v>803380</v>
      </c>
      <c r="E23" s="368">
        <f>2607121.79532-'Bieu 45_QT 2019_28-6'!Q5-E28</f>
        <v>1350729.3328710003</v>
      </c>
      <c r="F23" s="368">
        <f t="shared" si="0"/>
        <v>547349.33287100028</v>
      </c>
      <c r="G23" s="679">
        <f t="shared" si="1"/>
        <v>1.6813081392006277</v>
      </c>
    </row>
    <row r="24" spans="2:8" ht="19.5" customHeight="1">
      <c r="B24" s="675">
        <v>2</v>
      </c>
      <c r="C24" s="676" t="s">
        <v>31</v>
      </c>
      <c r="D24" s="368">
        <v>4189004</v>
      </c>
      <c r="E24" s="368">
        <f>4914678.148747-'Bieu 45_QT 2019_28-6'!R5</f>
        <v>4309439.7853769995</v>
      </c>
      <c r="F24" s="368">
        <f t="shared" si="0"/>
        <v>120435.78537699953</v>
      </c>
      <c r="G24" s="679">
        <f t="shared" si="1"/>
        <v>1.0287504584328397</v>
      </c>
      <c r="H24" s="670"/>
    </row>
    <row r="25" spans="2:8" ht="28.5" customHeight="1">
      <c r="B25" s="675">
        <v>3</v>
      </c>
      <c r="C25" s="676" t="s">
        <v>32</v>
      </c>
      <c r="D25" s="368">
        <v>880</v>
      </c>
      <c r="E25" s="368">
        <v>88.116</v>
      </c>
      <c r="F25" s="368">
        <f t="shared" si="0"/>
        <v>-791.88400000000001</v>
      </c>
      <c r="G25" s="679">
        <f t="shared" si="1"/>
        <v>0.10013181818181818</v>
      </c>
    </row>
    <row r="26" spans="2:8" ht="27" customHeight="1">
      <c r="B26" s="675">
        <v>4</v>
      </c>
      <c r="C26" s="676" t="s">
        <v>33</v>
      </c>
      <c r="D26" s="368">
        <v>1000</v>
      </c>
      <c r="E26" s="368">
        <v>2000</v>
      </c>
      <c r="F26" s="368">
        <f t="shared" si="0"/>
        <v>1000</v>
      </c>
      <c r="G26" s="679">
        <f t="shared" si="1"/>
        <v>2</v>
      </c>
    </row>
    <row r="27" spans="2:8" ht="21.75" customHeight="1">
      <c r="B27" s="675">
        <v>5</v>
      </c>
      <c r="C27" s="676" t="s">
        <v>34</v>
      </c>
      <c r="D27" s="368">
        <v>102067</v>
      </c>
      <c r="E27" s="368"/>
      <c r="F27" s="368">
        <f t="shared" si="0"/>
        <v>-102067</v>
      </c>
      <c r="G27" s="679">
        <f t="shared" si="1"/>
        <v>0</v>
      </c>
    </row>
    <row r="28" spans="2:8" ht="36" customHeight="1">
      <c r="B28" s="675">
        <v>6</v>
      </c>
      <c r="C28" s="676" t="s">
        <v>881</v>
      </c>
      <c r="D28" s="368">
        <v>7000</v>
      </c>
      <c r="E28" s="368">
        <v>3329.8490000000002</v>
      </c>
      <c r="F28" s="368">
        <f t="shared" si="0"/>
        <v>-3670.1509999999998</v>
      </c>
      <c r="G28" s="679">
        <f t="shared" si="1"/>
        <v>0.4756927142857143</v>
      </c>
    </row>
    <row r="29" spans="2:8" ht="36" customHeight="1">
      <c r="B29" s="675">
        <v>7</v>
      </c>
      <c r="C29" s="676" t="s">
        <v>882</v>
      </c>
      <c r="D29" s="368"/>
      <c r="E29" s="368">
        <v>29000</v>
      </c>
      <c r="F29" s="368"/>
      <c r="G29" s="679"/>
    </row>
    <row r="30" spans="2:8" s="674" customFormat="1" ht="27.75" customHeight="1">
      <c r="B30" s="671" t="s">
        <v>18</v>
      </c>
      <c r="C30" s="672" t="s">
        <v>36</v>
      </c>
      <c r="D30" s="377">
        <f>SUM(D31:D32)</f>
        <v>1859965</v>
      </c>
      <c r="E30" s="377">
        <f>SUM(E31:E32)</f>
        <v>1858300.9768190002</v>
      </c>
      <c r="F30" s="377">
        <f t="shared" si="0"/>
        <v>-1664.0231809997931</v>
      </c>
      <c r="G30" s="673">
        <f t="shared" si="1"/>
        <v>0.99910534704631548</v>
      </c>
    </row>
    <row r="31" spans="2:8" ht="30" customHeight="1">
      <c r="B31" s="675">
        <v>1</v>
      </c>
      <c r="C31" s="676" t="s">
        <v>37</v>
      </c>
      <c r="D31" s="368">
        <v>496403</v>
      </c>
      <c r="E31" s="368">
        <f>'Bieu 61_lay sl'!T12</f>
        <v>434534.76735700003</v>
      </c>
      <c r="F31" s="368">
        <f t="shared" si="0"/>
        <v>-61868.232642999967</v>
      </c>
      <c r="G31" s="679">
        <f t="shared" si="1"/>
        <v>0.87536692436790275</v>
      </c>
    </row>
    <row r="32" spans="2:8" ht="27.75" customHeight="1">
      <c r="B32" s="675">
        <v>2</v>
      </c>
      <c r="C32" s="676" t="s">
        <v>38</v>
      </c>
      <c r="D32" s="368">
        <v>1363562</v>
      </c>
      <c r="E32" s="368">
        <f>'Bieu 45_QT 2019_28-6'!O5</f>
        <v>1423766.2094620001</v>
      </c>
      <c r="F32" s="368">
        <f t="shared" si="0"/>
        <v>60204.209462000057</v>
      </c>
      <c r="G32" s="679">
        <f t="shared" si="1"/>
        <v>1.04415216137</v>
      </c>
    </row>
    <row r="33" spans="2:7" s="674" customFormat="1" ht="32.25" customHeight="1">
      <c r="B33" s="671" t="s">
        <v>22</v>
      </c>
      <c r="C33" s="672" t="s">
        <v>39</v>
      </c>
      <c r="D33" s="377"/>
      <c r="E33" s="377">
        <v>2587635.338399</v>
      </c>
      <c r="F33" s="377">
        <f t="shared" ref="F33:F34" si="2">E33-D33</f>
        <v>2587635.338399</v>
      </c>
      <c r="G33" s="673"/>
    </row>
    <row r="34" spans="2:7" s="674" customFormat="1" ht="32.25" customHeight="1">
      <c r="B34" s="671" t="s">
        <v>24</v>
      </c>
      <c r="C34" s="672" t="s">
        <v>883</v>
      </c>
      <c r="D34" s="377"/>
      <c r="E34" s="377">
        <v>71308.978482000006</v>
      </c>
      <c r="F34" s="377">
        <f t="shared" si="2"/>
        <v>71308.978482000006</v>
      </c>
      <c r="G34" s="673"/>
    </row>
    <row r="35" spans="2:7" ht="33.75" customHeight="1">
      <c r="B35" s="671" t="s">
        <v>40</v>
      </c>
      <c r="C35" s="672" t="s">
        <v>41</v>
      </c>
      <c r="D35" s="368"/>
      <c r="E35" s="368"/>
      <c r="F35" s="368">
        <f t="shared" si="0"/>
        <v>0</v>
      </c>
      <c r="G35" s="679"/>
    </row>
    <row r="36" spans="2:7" ht="25.5" customHeight="1">
      <c r="B36" s="671" t="s">
        <v>42</v>
      </c>
      <c r="C36" s="672" t="s">
        <v>43</v>
      </c>
      <c r="D36" s="377">
        <f>D37+D38</f>
        <v>21300</v>
      </c>
      <c r="E36" s="368"/>
      <c r="F36" s="377">
        <f t="shared" si="0"/>
        <v>-21300</v>
      </c>
      <c r="G36" s="673">
        <f t="shared" si="1"/>
        <v>0</v>
      </c>
    </row>
    <row r="37" spans="2:7" ht="19.5" customHeight="1">
      <c r="B37" s="671" t="s">
        <v>13</v>
      </c>
      <c r="C37" s="672" t="s">
        <v>44</v>
      </c>
      <c r="D37" s="368">
        <v>21300</v>
      </c>
      <c r="E37" s="368"/>
      <c r="F37" s="368">
        <f t="shared" si="0"/>
        <v>-21300</v>
      </c>
      <c r="G37" s="679">
        <f t="shared" si="1"/>
        <v>0</v>
      </c>
    </row>
    <row r="38" spans="2:7" ht="42" customHeight="1">
      <c r="B38" s="671" t="s">
        <v>18</v>
      </c>
      <c r="C38" s="672" t="s">
        <v>45</v>
      </c>
      <c r="D38" s="368"/>
      <c r="E38" s="368"/>
      <c r="F38" s="368">
        <f t="shared" si="0"/>
        <v>0</v>
      </c>
      <c r="G38" s="679"/>
    </row>
    <row r="39" spans="2:7" ht="21" customHeight="1">
      <c r="B39" s="671" t="s">
        <v>46</v>
      </c>
      <c r="C39" s="672" t="s">
        <v>47</v>
      </c>
      <c r="D39" s="377">
        <f>D41+D40</f>
        <v>21300</v>
      </c>
      <c r="E39" s="368"/>
      <c r="F39" s="377">
        <f t="shared" si="0"/>
        <v>-21300</v>
      </c>
      <c r="G39" s="673">
        <f t="shared" si="1"/>
        <v>0</v>
      </c>
    </row>
    <row r="40" spans="2:7" ht="18" customHeight="1">
      <c r="B40" s="671" t="s">
        <v>13</v>
      </c>
      <c r="C40" s="672" t="s">
        <v>48</v>
      </c>
      <c r="D40" s="368"/>
      <c r="E40" s="368"/>
      <c r="F40" s="368">
        <f t="shared" si="0"/>
        <v>0</v>
      </c>
      <c r="G40" s="679"/>
    </row>
    <row r="41" spans="2:7" ht="16.5" customHeight="1">
      <c r="B41" s="671" t="s">
        <v>18</v>
      </c>
      <c r="C41" s="672" t="s">
        <v>49</v>
      </c>
      <c r="D41" s="368">
        <v>21300</v>
      </c>
      <c r="E41" s="368"/>
      <c r="F41" s="368">
        <f t="shared" si="0"/>
        <v>-21300</v>
      </c>
      <c r="G41" s="679">
        <f t="shared" si="1"/>
        <v>0</v>
      </c>
    </row>
    <row r="42" spans="2:7" ht="33.75" customHeight="1">
      <c r="B42" s="680" t="s">
        <v>50</v>
      </c>
      <c r="C42" s="681" t="s">
        <v>51</v>
      </c>
      <c r="D42" s="682"/>
      <c r="E42" s="682"/>
      <c r="F42" s="682">
        <f t="shared" si="0"/>
        <v>0</v>
      </c>
      <c r="G42" s="683"/>
    </row>
    <row r="44" spans="2:7" ht="88.5" customHeight="1">
      <c r="B44" s="684" t="s">
        <v>938</v>
      </c>
      <c r="C44" s="684"/>
      <c r="D44" s="684"/>
      <c r="E44" s="684"/>
      <c r="F44" s="684"/>
      <c r="G44" s="684"/>
    </row>
  </sheetData>
  <mergeCells count="10">
    <mergeCell ref="F1:G1"/>
    <mergeCell ref="B44:G44"/>
    <mergeCell ref="B2:G2"/>
    <mergeCell ref="B3:G3"/>
    <mergeCell ref="F4:G4"/>
    <mergeCell ref="B5:B6"/>
    <mergeCell ref="C5:C6"/>
    <mergeCell ref="D5:D6"/>
    <mergeCell ref="E5:E6"/>
    <mergeCell ref="F5:G5"/>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J73"/>
  <sheetViews>
    <sheetView topLeftCell="B1" workbookViewId="0">
      <selection activeCell="C8" sqref="C8"/>
    </sheetView>
  </sheetViews>
  <sheetFormatPr defaultColWidth="9.1796875" defaultRowHeight="14"/>
  <cols>
    <col min="1" max="1" width="9.1796875" style="6"/>
    <col min="2" max="2" width="6.7265625" style="6" customWidth="1"/>
    <col min="3" max="3" width="46" style="6" customWidth="1"/>
    <col min="4" max="4" width="12.7265625" style="6" customWidth="1"/>
    <col min="5" max="5" width="11.7265625" style="6" customWidth="1"/>
    <col min="6" max="6" width="11.453125" style="6" customWidth="1"/>
    <col min="7" max="7" width="11.7265625" style="6" customWidth="1"/>
    <col min="8" max="9" width="11.26953125" style="6" customWidth="1"/>
    <col min="10" max="16384" width="9.1796875" style="6"/>
  </cols>
  <sheetData>
    <row r="1" spans="2:10">
      <c r="H1" s="572" t="s">
        <v>363</v>
      </c>
      <c r="I1" s="572"/>
    </row>
    <row r="2" spans="2:10" ht="26.25" customHeight="1">
      <c r="B2" s="577" t="s">
        <v>384</v>
      </c>
      <c r="C2" s="577"/>
      <c r="D2" s="577"/>
      <c r="E2" s="577"/>
      <c r="F2" s="577"/>
      <c r="G2" s="577"/>
      <c r="H2" s="577"/>
      <c r="I2" s="577"/>
    </row>
    <row r="3" spans="2:10">
      <c r="B3" s="578" t="s">
        <v>1112</v>
      </c>
      <c r="C3" s="578"/>
      <c r="D3" s="578"/>
      <c r="E3" s="578"/>
      <c r="F3" s="578"/>
      <c r="G3" s="578"/>
      <c r="H3" s="578"/>
      <c r="I3" s="578"/>
      <c r="J3" s="567"/>
    </row>
    <row r="4" spans="2:10">
      <c r="G4" s="561"/>
      <c r="H4" s="576" t="s">
        <v>53</v>
      </c>
      <c r="I4" s="576"/>
    </row>
    <row r="5" spans="2:10">
      <c r="B5" s="574" t="s">
        <v>1</v>
      </c>
      <c r="C5" s="574" t="s">
        <v>54</v>
      </c>
      <c r="D5" s="574" t="s">
        <v>3</v>
      </c>
      <c r="E5" s="574"/>
      <c r="F5" s="574" t="s">
        <v>4</v>
      </c>
      <c r="G5" s="574"/>
      <c r="H5" s="574" t="s">
        <v>55</v>
      </c>
      <c r="I5" s="574"/>
    </row>
    <row r="6" spans="2:10" ht="26">
      <c r="B6" s="574"/>
      <c r="C6" s="574"/>
      <c r="D6" s="438" t="s">
        <v>56</v>
      </c>
      <c r="E6" s="438" t="s">
        <v>57</v>
      </c>
      <c r="F6" s="438" t="s">
        <v>56</v>
      </c>
      <c r="G6" s="438" t="s">
        <v>57</v>
      </c>
      <c r="H6" s="438" t="s">
        <v>56</v>
      </c>
      <c r="I6" s="438" t="s">
        <v>57</v>
      </c>
    </row>
    <row r="7" spans="2:10">
      <c r="B7" s="438" t="s">
        <v>8</v>
      </c>
      <c r="C7" s="438" t="s">
        <v>9</v>
      </c>
      <c r="D7" s="438">
        <v>1</v>
      </c>
      <c r="E7" s="438">
        <v>2</v>
      </c>
      <c r="F7" s="438">
        <v>3</v>
      </c>
      <c r="G7" s="438">
        <v>4</v>
      </c>
      <c r="H7" s="438" t="s">
        <v>58</v>
      </c>
      <c r="I7" s="438" t="s">
        <v>59</v>
      </c>
    </row>
    <row r="8" spans="2:10" ht="27.75" customHeight="1">
      <c r="B8" s="64"/>
      <c r="C8" s="65" t="s">
        <v>60</v>
      </c>
      <c r="D8" s="427">
        <f>D9+D64+D65+D66</f>
        <v>2466700</v>
      </c>
      <c r="E8" s="427">
        <f>E9+E64+E65+E66</f>
        <v>1986820</v>
      </c>
      <c r="F8" s="427">
        <f>F9+F64+F65+F66</f>
        <v>5532795.7999999998</v>
      </c>
      <c r="G8" s="427">
        <f>G9+G64+G65+G66</f>
        <v>5036350.1999999993</v>
      </c>
      <c r="H8" s="428">
        <f>IFERROR(F8/D8,0)</f>
        <v>2.2429950135808974</v>
      </c>
      <c r="I8" s="428">
        <f>IFERROR(G8/E8,0)</f>
        <v>2.534879958929344</v>
      </c>
      <c r="J8" s="487"/>
    </row>
    <row r="9" spans="2:10" s="86" customFormat="1" ht="21" customHeight="1">
      <c r="B9" s="46" t="s">
        <v>8</v>
      </c>
      <c r="C9" s="47" t="s">
        <v>61</v>
      </c>
      <c r="D9" s="430">
        <f>D10+D56+D55+D63</f>
        <v>2466700</v>
      </c>
      <c r="E9" s="430">
        <f>E10+E56+E55+E63</f>
        <v>1986820</v>
      </c>
      <c r="F9" s="430">
        <f>F10+F56+F55+F63</f>
        <v>3244634.8</v>
      </c>
      <c r="G9" s="430">
        <f>G10+G56+G55+G63</f>
        <v>2748189.1999999997</v>
      </c>
      <c r="H9" s="429">
        <f t="shared" ref="H9:I61" si="0">IFERROR(F9/D9,0)</f>
        <v>1.315374711152552</v>
      </c>
      <c r="I9" s="429">
        <f t="shared" si="0"/>
        <v>1.3832099535941855</v>
      </c>
      <c r="J9" s="566"/>
    </row>
    <row r="10" spans="2:10" s="86" customFormat="1" ht="19.5" customHeight="1">
      <c r="B10" s="46" t="s">
        <v>13</v>
      </c>
      <c r="C10" s="47" t="s">
        <v>0</v>
      </c>
      <c r="D10" s="430">
        <f>D11+D17+D23+D26+D33+D34+D37+D38+D43+D44+D45+D46+D47+D48+D49+D50+D51+D52</f>
        <v>2232700</v>
      </c>
      <c r="E10" s="430">
        <f>E11+E17+E23+E26+E33+E34+E37+E38+E43+E44+E45+E46+E47+E48+E49+E50+E51+E52</f>
        <v>1986820</v>
      </c>
      <c r="F10" s="430">
        <f>F11+F17+F23+F26+F33+F34+F37+F38+F43+F44+F45+F46+F47+F48+F49+F50+F51+F52</f>
        <v>2984877.8</v>
      </c>
      <c r="G10" s="430">
        <f>G11+G17+G23+G26+G33+G34+G37+G38+G43+G44+G45+G46+G47+G48+G49+G50+G51+G52</f>
        <v>2744685.1999999997</v>
      </c>
      <c r="H10" s="429">
        <f>IFERROR(F10/D10,0)</f>
        <v>1.3368915662650602</v>
      </c>
      <c r="I10" s="429">
        <f t="shared" si="0"/>
        <v>1.3814463313234211</v>
      </c>
    </row>
    <row r="11" spans="2:10" ht="24" customHeight="1">
      <c r="B11" s="46">
        <v>1</v>
      </c>
      <c r="C11" s="47" t="s">
        <v>62</v>
      </c>
      <c r="D11" s="430">
        <f>D12+D13+D14</f>
        <v>675000</v>
      </c>
      <c r="E11" s="430">
        <f>E12+E13+E14</f>
        <v>675000</v>
      </c>
      <c r="F11" s="430">
        <f t="shared" ref="F11:G11" si="1">F12+F13+F14</f>
        <v>640247</v>
      </c>
      <c r="G11" s="430">
        <f t="shared" si="1"/>
        <v>640247</v>
      </c>
      <c r="H11" s="429">
        <f t="shared" si="0"/>
        <v>0.94851407407407407</v>
      </c>
      <c r="I11" s="429">
        <f t="shared" si="0"/>
        <v>0.94851407407407407</v>
      </c>
    </row>
    <row r="12" spans="2:10" ht="18" customHeight="1">
      <c r="B12" s="48" t="s">
        <v>184</v>
      </c>
      <c r="C12" s="53" t="s">
        <v>188</v>
      </c>
      <c r="D12" s="51">
        <v>324700</v>
      </c>
      <c r="E12" s="51">
        <v>324700</v>
      </c>
      <c r="F12" s="51">
        <v>287278.5</v>
      </c>
      <c r="G12" s="51">
        <v>287278.5</v>
      </c>
      <c r="H12" s="431">
        <f t="shared" si="0"/>
        <v>0.8847505389590391</v>
      </c>
      <c r="I12" s="431">
        <f t="shared" si="0"/>
        <v>0.8847505389590391</v>
      </c>
    </row>
    <row r="13" spans="2:10" ht="19.5" customHeight="1">
      <c r="B13" s="48" t="s">
        <v>185</v>
      </c>
      <c r="C13" s="53" t="s">
        <v>189</v>
      </c>
      <c r="D13" s="51">
        <v>8800</v>
      </c>
      <c r="E13" s="51">
        <v>8800</v>
      </c>
      <c r="F13" s="51">
        <v>4910.5</v>
      </c>
      <c r="G13" s="51">
        <v>4910.5</v>
      </c>
      <c r="H13" s="431">
        <f t="shared" si="0"/>
        <v>0.55801136363636361</v>
      </c>
      <c r="I13" s="431">
        <f t="shared" si="0"/>
        <v>0.55801136363636361</v>
      </c>
    </row>
    <row r="14" spans="2:10" ht="19.5" customHeight="1">
      <c r="B14" s="48" t="s">
        <v>186</v>
      </c>
      <c r="C14" s="53" t="s">
        <v>190</v>
      </c>
      <c r="D14" s="51">
        <f>D16+D15</f>
        <v>341500</v>
      </c>
      <c r="E14" s="51">
        <f>E16+E15</f>
        <v>341500</v>
      </c>
      <c r="F14" s="51">
        <v>348058</v>
      </c>
      <c r="G14" s="51">
        <v>348058</v>
      </c>
      <c r="H14" s="431">
        <f t="shared" si="0"/>
        <v>1.0192035139092239</v>
      </c>
      <c r="I14" s="431">
        <f t="shared" si="0"/>
        <v>1.0192035139092239</v>
      </c>
    </row>
    <row r="15" spans="2:10" ht="19.5" customHeight="1">
      <c r="B15" s="423" t="s">
        <v>187</v>
      </c>
      <c r="C15" s="53" t="s">
        <v>191</v>
      </c>
      <c r="D15" s="51">
        <v>341100</v>
      </c>
      <c r="E15" s="51">
        <v>341100</v>
      </c>
      <c r="F15" s="51"/>
      <c r="G15" s="51"/>
      <c r="H15" s="431"/>
      <c r="I15" s="431"/>
    </row>
    <row r="16" spans="2:10" ht="16.5" customHeight="1">
      <c r="B16" s="423" t="s">
        <v>187</v>
      </c>
      <c r="C16" s="53" t="s">
        <v>192</v>
      </c>
      <c r="D16" s="51">
        <v>400</v>
      </c>
      <c r="E16" s="51">
        <v>400</v>
      </c>
      <c r="F16" s="51"/>
      <c r="G16" s="51"/>
      <c r="H16" s="431"/>
      <c r="I16" s="431"/>
    </row>
    <row r="17" spans="2:9" ht="19.5" customHeight="1">
      <c r="B17" s="46">
        <v>2</v>
      </c>
      <c r="C17" s="47" t="s">
        <v>63</v>
      </c>
      <c r="D17" s="430">
        <f>D18+D19+D20</f>
        <v>30000</v>
      </c>
      <c r="E17" s="430">
        <f>E18+E19+E20</f>
        <v>30000</v>
      </c>
      <c r="F17" s="430">
        <f t="shared" ref="F17:G17" si="2">F18+F19+F20</f>
        <v>38666</v>
      </c>
      <c r="G17" s="430">
        <f t="shared" si="2"/>
        <v>38666</v>
      </c>
      <c r="H17" s="429">
        <f t="shared" si="0"/>
        <v>1.2888666666666666</v>
      </c>
      <c r="I17" s="429">
        <f t="shared" si="0"/>
        <v>1.2888666666666666</v>
      </c>
    </row>
    <row r="18" spans="2:9">
      <c r="B18" s="48" t="s">
        <v>193</v>
      </c>
      <c r="C18" s="53" t="s">
        <v>188</v>
      </c>
      <c r="D18" s="51">
        <v>21200</v>
      </c>
      <c r="E18" s="51">
        <v>21200</v>
      </c>
      <c r="F18" s="51">
        <v>18187</v>
      </c>
      <c r="G18" s="51">
        <v>18187</v>
      </c>
      <c r="H18" s="431">
        <f t="shared" si="0"/>
        <v>0.85787735849056601</v>
      </c>
      <c r="I18" s="431">
        <f t="shared" si="0"/>
        <v>0.85787735849056601</v>
      </c>
    </row>
    <row r="19" spans="2:9">
      <c r="B19" s="48" t="s">
        <v>194</v>
      </c>
      <c r="C19" s="53" t="s">
        <v>189</v>
      </c>
      <c r="D19" s="51">
        <v>7800</v>
      </c>
      <c r="E19" s="51">
        <v>7800</v>
      </c>
      <c r="F19" s="51">
        <v>15599</v>
      </c>
      <c r="G19" s="51">
        <v>15599</v>
      </c>
      <c r="H19" s="431">
        <f t="shared" si="0"/>
        <v>1.9998717948717948</v>
      </c>
      <c r="I19" s="431">
        <f t="shared" si="0"/>
        <v>1.9998717948717948</v>
      </c>
    </row>
    <row r="20" spans="2:9">
      <c r="B20" s="48" t="s">
        <v>195</v>
      </c>
      <c r="C20" s="53" t="s">
        <v>190</v>
      </c>
      <c r="D20" s="51">
        <f>D22+D21</f>
        <v>1000</v>
      </c>
      <c r="E20" s="51">
        <f>E22+E21</f>
        <v>1000</v>
      </c>
      <c r="F20" s="51">
        <v>4880</v>
      </c>
      <c r="G20" s="51">
        <v>4880</v>
      </c>
      <c r="H20" s="431">
        <f t="shared" si="0"/>
        <v>4.88</v>
      </c>
      <c r="I20" s="431">
        <f t="shared" si="0"/>
        <v>4.88</v>
      </c>
    </row>
    <row r="21" spans="2:9">
      <c r="B21" s="423" t="s">
        <v>187</v>
      </c>
      <c r="C21" s="53" t="s">
        <v>196</v>
      </c>
      <c r="D21" s="51">
        <v>590</v>
      </c>
      <c r="E21" s="51">
        <v>590</v>
      </c>
      <c r="F21" s="51"/>
      <c r="G21" s="51"/>
      <c r="H21" s="431"/>
      <c r="I21" s="431"/>
    </row>
    <row r="22" spans="2:9">
      <c r="B22" s="423" t="s">
        <v>187</v>
      </c>
      <c r="C22" s="53" t="s">
        <v>192</v>
      </c>
      <c r="D22" s="51">
        <v>410</v>
      </c>
      <c r="E22" s="51">
        <v>410</v>
      </c>
      <c r="F22" s="51"/>
      <c r="G22" s="51"/>
      <c r="H22" s="431"/>
      <c r="I22" s="431"/>
    </row>
    <row r="23" spans="2:9">
      <c r="B23" s="46">
        <v>3</v>
      </c>
      <c r="C23" s="47" t="s">
        <v>64</v>
      </c>
      <c r="D23" s="430">
        <f>D24+D25</f>
        <v>22800</v>
      </c>
      <c r="E23" s="430">
        <f>E24+E25</f>
        <v>22800</v>
      </c>
      <c r="F23" s="430">
        <f t="shared" ref="F23:G23" si="3">F24+F25</f>
        <v>5117</v>
      </c>
      <c r="G23" s="430">
        <f t="shared" si="3"/>
        <v>5117</v>
      </c>
      <c r="H23" s="429">
        <f t="shared" si="0"/>
        <v>0.22442982456140351</v>
      </c>
      <c r="I23" s="429">
        <f t="shared" si="0"/>
        <v>0.22442982456140351</v>
      </c>
    </row>
    <row r="24" spans="2:9">
      <c r="B24" s="48" t="s">
        <v>198</v>
      </c>
      <c r="C24" s="53" t="s">
        <v>188</v>
      </c>
      <c r="D24" s="51">
        <v>10000</v>
      </c>
      <c r="E24" s="51">
        <v>10000</v>
      </c>
      <c r="F24" s="51">
        <v>2160</v>
      </c>
      <c r="G24" s="51">
        <v>2160</v>
      </c>
      <c r="H24" s="431">
        <f t="shared" si="0"/>
        <v>0.216</v>
      </c>
      <c r="I24" s="431">
        <f t="shared" si="0"/>
        <v>0.216</v>
      </c>
    </row>
    <row r="25" spans="2:9">
      <c r="B25" s="48" t="s">
        <v>197</v>
      </c>
      <c r="C25" s="53" t="s">
        <v>189</v>
      </c>
      <c r="D25" s="51">
        <v>12800</v>
      </c>
      <c r="E25" s="51">
        <v>12800</v>
      </c>
      <c r="F25" s="51">
        <v>2957</v>
      </c>
      <c r="G25" s="51">
        <v>2957</v>
      </c>
      <c r="H25" s="431">
        <f t="shared" si="0"/>
        <v>0.231015625</v>
      </c>
      <c r="I25" s="431">
        <f t="shared" si="0"/>
        <v>0.231015625</v>
      </c>
    </row>
    <row r="26" spans="2:9">
      <c r="B26" s="46">
        <v>4</v>
      </c>
      <c r="C26" s="47" t="s">
        <v>65</v>
      </c>
      <c r="D26" s="430">
        <f>D27+D28+D29+D30</f>
        <v>575000</v>
      </c>
      <c r="E26" s="430">
        <f>E27+E28+E29+E30</f>
        <v>575000</v>
      </c>
      <c r="F26" s="430">
        <f t="shared" ref="F26:G26" si="4">F27+F28+F29+F30</f>
        <v>628864</v>
      </c>
      <c r="G26" s="430">
        <f t="shared" si="4"/>
        <v>628864</v>
      </c>
      <c r="H26" s="429">
        <f t="shared" si="0"/>
        <v>1.0936765217391304</v>
      </c>
      <c r="I26" s="429">
        <f t="shared" si="0"/>
        <v>1.0936765217391304</v>
      </c>
    </row>
    <row r="27" spans="2:9">
      <c r="B27" s="48" t="s">
        <v>199</v>
      </c>
      <c r="C27" s="53" t="s">
        <v>188</v>
      </c>
      <c r="D27" s="51">
        <v>444700</v>
      </c>
      <c r="E27" s="51">
        <v>444700</v>
      </c>
      <c r="F27" s="51">
        <v>490103.5</v>
      </c>
      <c r="G27" s="51">
        <v>490103.5</v>
      </c>
      <c r="H27" s="431">
        <f t="shared" si="0"/>
        <v>1.1020991679784125</v>
      </c>
      <c r="I27" s="431">
        <f t="shared" si="0"/>
        <v>1.1020991679784125</v>
      </c>
    </row>
    <row r="28" spans="2:9">
      <c r="B28" s="48" t="s">
        <v>200</v>
      </c>
      <c r="C28" s="53" t="s">
        <v>189</v>
      </c>
      <c r="D28" s="51">
        <v>30000</v>
      </c>
      <c r="E28" s="51">
        <v>30000</v>
      </c>
      <c r="F28" s="51">
        <v>24528.5</v>
      </c>
      <c r="G28" s="51">
        <v>24528.5</v>
      </c>
      <c r="H28" s="431">
        <f t="shared" si="0"/>
        <v>0.81761666666666666</v>
      </c>
      <c r="I28" s="431">
        <f t="shared" si="0"/>
        <v>0.81761666666666666</v>
      </c>
    </row>
    <row r="29" spans="2:9">
      <c r="B29" s="48" t="s">
        <v>201</v>
      </c>
      <c r="C29" s="53" t="s">
        <v>202</v>
      </c>
      <c r="D29" s="51">
        <v>3000</v>
      </c>
      <c r="E29" s="51">
        <v>3000</v>
      </c>
      <c r="F29" s="51">
        <v>2251</v>
      </c>
      <c r="G29" s="51">
        <v>2251</v>
      </c>
      <c r="H29" s="431">
        <f t="shared" si="0"/>
        <v>0.7503333333333333</v>
      </c>
      <c r="I29" s="431">
        <f t="shared" si="0"/>
        <v>0.7503333333333333</v>
      </c>
    </row>
    <row r="30" spans="2:9">
      <c r="B30" s="48" t="s">
        <v>203</v>
      </c>
      <c r="C30" s="53" t="s">
        <v>190</v>
      </c>
      <c r="D30" s="51">
        <f>D31+D32</f>
        <v>97300</v>
      </c>
      <c r="E30" s="51">
        <f>E31+E32</f>
        <v>97300</v>
      </c>
      <c r="F30" s="51">
        <v>111981</v>
      </c>
      <c r="G30" s="51">
        <v>111981</v>
      </c>
      <c r="H30" s="431">
        <f t="shared" si="0"/>
        <v>1.1508838643371018</v>
      </c>
      <c r="I30" s="431">
        <f t="shared" si="0"/>
        <v>1.1508838643371018</v>
      </c>
    </row>
    <row r="31" spans="2:9">
      <c r="B31" s="423" t="s">
        <v>187</v>
      </c>
      <c r="C31" s="53" t="s">
        <v>191</v>
      </c>
      <c r="D31" s="51">
        <v>86670</v>
      </c>
      <c r="E31" s="51">
        <v>86670</v>
      </c>
      <c r="F31" s="51"/>
      <c r="G31" s="51"/>
      <c r="H31" s="431"/>
      <c r="I31" s="431"/>
    </row>
    <row r="32" spans="2:9">
      <c r="B32" s="423" t="s">
        <v>187</v>
      </c>
      <c r="C32" s="53" t="s">
        <v>192</v>
      </c>
      <c r="D32" s="51">
        <v>10630</v>
      </c>
      <c r="E32" s="51">
        <v>10630</v>
      </c>
      <c r="F32" s="51"/>
      <c r="G32" s="51"/>
      <c r="H32" s="431"/>
      <c r="I32" s="431"/>
    </row>
    <row r="33" spans="2:9">
      <c r="B33" s="46">
        <v>5</v>
      </c>
      <c r="C33" s="47" t="s">
        <v>66</v>
      </c>
      <c r="D33" s="430">
        <v>105000</v>
      </c>
      <c r="E33" s="430">
        <v>105000</v>
      </c>
      <c r="F33" s="430">
        <v>95633</v>
      </c>
      <c r="G33" s="430">
        <v>95633</v>
      </c>
      <c r="H33" s="429">
        <f t="shared" si="0"/>
        <v>0.91079047619047615</v>
      </c>
      <c r="I33" s="429">
        <f t="shared" si="0"/>
        <v>0.91079047619047615</v>
      </c>
    </row>
    <row r="34" spans="2:9">
      <c r="B34" s="46">
        <v>6</v>
      </c>
      <c r="C34" s="47" t="s">
        <v>67</v>
      </c>
      <c r="D34" s="430">
        <f>D35+D36</f>
        <v>260000</v>
      </c>
      <c r="E34" s="430">
        <f>E35+E36</f>
        <v>96720</v>
      </c>
      <c r="F34" s="430">
        <f t="shared" ref="F34:G34" si="5">F35+F36</f>
        <v>242576</v>
      </c>
      <c r="G34" s="430">
        <f t="shared" si="5"/>
        <v>90241</v>
      </c>
      <c r="H34" s="429">
        <f t="shared" si="0"/>
        <v>0.93298461538461541</v>
      </c>
      <c r="I34" s="429">
        <f t="shared" si="0"/>
        <v>0.93301282051282053</v>
      </c>
    </row>
    <row r="35" spans="2:9" s="337" customFormat="1" ht="27.75" customHeight="1">
      <c r="B35" s="432" t="s">
        <v>15</v>
      </c>
      <c r="C35" s="433" t="s">
        <v>68</v>
      </c>
      <c r="D35" s="434">
        <v>96720</v>
      </c>
      <c r="E35" s="434">
        <v>96720</v>
      </c>
      <c r="F35" s="434">
        <v>90241</v>
      </c>
      <c r="G35" s="434">
        <v>90241</v>
      </c>
      <c r="H35" s="435">
        <f t="shared" si="0"/>
        <v>0.93301282051282053</v>
      </c>
      <c r="I35" s="435">
        <f t="shared" si="0"/>
        <v>0.93301282051282053</v>
      </c>
    </row>
    <row r="36" spans="2:9" s="337" customFormat="1">
      <c r="B36" s="432" t="s">
        <v>15</v>
      </c>
      <c r="C36" s="433" t="s">
        <v>69</v>
      </c>
      <c r="D36" s="434">
        <v>163280</v>
      </c>
      <c r="E36" s="434"/>
      <c r="F36" s="434">
        <v>152335</v>
      </c>
      <c r="G36" s="434"/>
      <c r="H36" s="435">
        <f t="shared" si="0"/>
        <v>0.93296790788829009</v>
      </c>
      <c r="I36" s="435"/>
    </row>
    <row r="37" spans="2:9">
      <c r="B37" s="46">
        <v>7</v>
      </c>
      <c r="C37" s="47" t="s">
        <v>70</v>
      </c>
      <c r="D37" s="430">
        <v>70000</v>
      </c>
      <c r="E37" s="430">
        <v>70000</v>
      </c>
      <c r="F37" s="430">
        <v>85247</v>
      </c>
      <c r="G37" s="430">
        <v>85247</v>
      </c>
      <c r="H37" s="429">
        <f t="shared" si="0"/>
        <v>1.2178142857142857</v>
      </c>
      <c r="I37" s="429">
        <f t="shared" si="0"/>
        <v>1.2178142857142857</v>
      </c>
    </row>
    <row r="38" spans="2:9">
      <c r="B38" s="46">
        <v>8</v>
      </c>
      <c r="C38" s="47" t="s">
        <v>71</v>
      </c>
      <c r="D38" s="430">
        <f>SUM(D39:D42)</f>
        <v>53000</v>
      </c>
      <c r="E38" s="430">
        <f>SUM(E39:E42)</f>
        <v>45000</v>
      </c>
      <c r="F38" s="430">
        <f>SUM(F39:F42)</f>
        <v>51025.8</v>
      </c>
      <c r="G38" s="430">
        <f t="shared" ref="G38" si="6">SUM(G39:G42)</f>
        <v>41913.800000000003</v>
      </c>
      <c r="H38" s="429">
        <f t="shared" si="0"/>
        <v>0.96275094339622647</v>
      </c>
      <c r="I38" s="429">
        <f t="shared" si="0"/>
        <v>0.93141777777777779</v>
      </c>
    </row>
    <row r="39" spans="2:9" s="337" customFormat="1">
      <c r="B39" s="432" t="s">
        <v>15</v>
      </c>
      <c r="C39" s="433" t="s">
        <v>72</v>
      </c>
      <c r="D39" s="434">
        <v>8000</v>
      </c>
      <c r="E39" s="434"/>
      <c r="F39" s="434">
        <v>9457.4</v>
      </c>
      <c r="G39" s="434">
        <f>99+246</f>
        <v>345</v>
      </c>
      <c r="H39" s="435">
        <f t="shared" si="0"/>
        <v>1.182175</v>
      </c>
      <c r="I39" s="435"/>
    </row>
    <row r="40" spans="2:9" s="337" customFormat="1">
      <c r="B40" s="432" t="s">
        <v>15</v>
      </c>
      <c r="C40" s="433" t="s">
        <v>73</v>
      </c>
      <c r="D40" s="434">
        <v>22390</v>
      </c>
      <c r="E40" s="434">
        <v>22390</v>
      </c>
      <c r="F40" s="434">
        <v>16760.400000000001</v>
      </c>
      <c r="G40" s="434">
        <v>16760.400000000001</v>
      </c>
      <c r="H40" s="435">
        <f t="shared" si="0"/>
        <v>0.74856632425189829</v>
      </c>
      <c r="I40" s="435">
        <f t="shared" si="0"/>
        <v>0.74856632425189829</v>
      </c>
    </row>
    <row r="41" spans="2:9" s="337" customFormat="1">
      <c r="B41" s="432" t="s">
        <v>15</v>
      </c>
      <c r="C41" s="433" t="s">
        <v>74</v>
      </c>
      <c r="D41" s="434">
        <v>22610</v>
      </c>
      <c r="E41" s="434">
        <v>22610</v>
      </c>
      <c r="F41" s="434">
        <v>12731</v>
      </c>
      <c r="G41" s="434">
        <v>12731.4</v>
      </c>
      <c r="H41" s="435">
        <f t="shared" si="0"/>
        <v>0.56306943830163647</v>
      </c>
      <c r="I41" s="435">
        <f t="shared" si="0"/>
        <v>0.56308712958867757</v>
      </c>
    </row>
    <row r="42" spans="2:9" s="337" customFormat="1">
      <c r="B42" s="432" t="s">
        <v>15</v>
      </c>
      <c r="C42" s="433" t="s">
        <v>75</v>
      </c>
      <c r="D42" s="434"/>
      <c r="E42" s="434"/>
      <c r="F42" s="434">
        <v>12077</v>
      </c>
      <c r="G42" s="434">
        <v>12077</v>
      </c>
      <c r="H42" s="435">
        <f t="shared" si="0"/>
        <v>0</v>
      </c>
      <c r="I42" s="435"/>
    </row>
    <row r="43" spans="2:9">
      <c r="B43" s="46">
        <v>9</v>
      </c>
      <c r="C43" s="47" t="s">
        <v>76</v>
      </c>
      <c r="D43" s="430">
        <v>500</v>
      </c>
      <c r="E43" s="430">
        <v>500</v>
      </c>
      <c r="F43" s="430">
        <v>325.5</v>
      </c>
      <c r="G43" s="430">
        <v>325.5</v>
      </c>
      <c r="H43" s="429">
        <f t="shared" si="0"/>
        <v>0.65100000000000002</v>
      </c>
      <c r="I43" s="429">
        <f t="shared" si="0"/>
        <v>0.65100000000000002</v>
      </c>
    </row>
    <row r="44" spans="2:9">
      <c r="B44" s="46">
        <v>10</v>
      </c>
      <c r="C44" s="47" t="s">
        <v>77</v>
      </c>
      <c r="D44" s="430">
        <v>3500</v>
      </c>
      <c r="E44" s="430">
        <v>3500</v>
      </c>
      <c r="F44" s="430">
        <v>3481.5</v>
      </c>
      <c r="G44" s="430">
        <v>3481.5</v>
      </c>
      <c r="H44" s="429">
        <f t="shared" si="0"/>
        <v>0.99471428571428566</v>
      </c>
      <c r="I44" s="429">
        <f t="shared" si="0"/>
        <v>0.99471428571428566</v>
      </c>
    </row>
    <row r="45" spans="2:9">
      <c r="B45" s="46">
        <v>11</v>
      </c>
      <c r="C45" s="47" t="s">
        <v>78</v>
      </c>
      <c r="D45" s="430">
        <v>14000</v>
      </c>
      <c r="E45" s="430">
        <v>14000</v>
      </c>
      <c r="F45" s="430">
        <v>113434</v>
      </c>
      <c r="G45" s="430">
        <v>113434.4</v>
      </c>
      <c r="H45" s="429">
        <f t="shared" si="0"/>
        <v>8.1024285714285718</v>
      </c>
      <c r="I45" s="429">
        <f t="shared" si="0"/>
        <v>8.1024571428571424</v>
      </c>
    </row>
    <row r="46" spans="2:9">
      <c r="B46" s="46">
        <v>12</v>
      </c>
      <c r="C46" s="47" t="s">
        <v>79</v>
      </c>
      <c r="D46" s="430">
        <v>200000</v>
      </c>
      <c r="E46" s="430">
        <v>200000</v>
      </c>
      <c r="F46" s="430">
        <v>799021</v>
      </c>
      <c r="G46" s="430">
        <v>799021.4</v>
      </c>
      <c r="H46" s="429">
        <f t="shared" si="0"/>
        <v>3.9951050000000001</v>
      </c>
      <c r="I46" s="429">
        <f t="shared" si="0"/>
        <v>3.995107</v>
      </c>
    </row>
    <row r="47" spans="2:9" ht="17.25" customHeight="1">
      <c r="B47" s="46">
        <v>13</v>
      </c>
      <c r="C47" s="47" t="s">
        <v>80</v>
      </c>
      <c r="D47" s="430">
        <v>200</v>
      </c>
      <c r="E47" s="430">
        <v>200</v>
      </c>
      <c r="F47" s="430">
        <v>12</v>
      </c>
      <c r="G47" s="430">
        <v>12</v>
      </c>
      <c r="H47" s="429">
        <f t="shared" si="0"/>
        <v>0.06</v>
      </c>
      <c r="I47" s="429">
        <f t="shared" si="0"/>
        <v>0.06</v>
      </c>
    </row>
    <row r="48" spans="2:9">
      <c r="B48" s="46">
        <v>14</v>
      </c>
      <c r="C48" s="47" t="s">
        <v>81</v>
      </c>
      <c r="D48" s="430">
        <v>85000</v>
      </c>
      <c r="E48" s="430">
        <v>85000</v>
      </c>
      <c r="F48" s="430">
        <v>102719</v>
      </c>
      <c r="G48" s="430">
        <v>102719</v>
      </c>
      <c r="H48" s="429">
        <f t="shared" si="0"/>
        <v>1.2084588235294118</v>
      </c>
      <c r="I48" s="429">
        <f t="shared" si="0"/>
        <v>1.2084588235294118</v>
      </c>
    </row>
    <row r="49" spans="2:9" ht="15.75" customHeight="1">
      <c r="B49" s="46">
        <v>15</v>
      </c>
      <c r="C49" s="47" t="s">
        <v>82</v>
      </c>
      <c r="D49" s="430">
        <v>85000</v>
      </c>
      <c r="E49" s="430">
        <f>(75000*0.3)+10000</f>
        <v>32500</v>
      </c>
      <c r="F49" s="430">
        <v>83973</v>
      </c>
      <c r="G49" s="430">
        <v>34592.400000000001</v>
      </c>
      <c r="H49" s="429">
        <f t="shared" si="0"/>
        <v>0.98791764705882357</v>
      </c>
      <c r="I49" s="429">
        <f t="shared" si="0"/>
        <v>1.0643815384615385</v>
      </c>
    </row>
    <row r="50" spans="2:9">
      <c r="B50" s="46">
        <v>16</v>
      </c>
      <c r="C50" s="47" t="s">
        <v>83</v>
      </c>
      <c r="D50" s="430">
        <v>52000</v>
      </c>
      <c r="E50" s="430">
        <f>52000-15000-6000-1100</f>
        <v>29900</v>
      </c>
      <c r="F50" s="430">
        <v>87645</v>
      </c>
      <c r="G50" s="430">
        <v>58278.400000000001</v>
      </c>
      <c r="H50" s="429">
        <f t="shared" si="0"/>
        <v>1.6854807692307692</v>
      </c>
      <c r="I50" s="429">
        <f t="shared" si="0"/>
        <v>1.9491103678929766</v>
      </c>
    </row>
    <row r="51" spans="2:9" ht="16.5" customHeight="1">
      <c r="B51" s="46">
        <v>17</v>
      </c>
      <c r="C51" s="47" t="s">
        <v>84</v>
      </c>
      <c r="D51" s="430">
        <v>1000</v>
      </c>
      <c r="E51" s="430">
        <v>1000</v>
      </c>
      <c r="F51" s="430">
        <v>2922</v>
      </c>
      <c r="G51" s="430">
        <v>2922.4</v>
      </c>
      <c r="H51" s="429">
        <f t="shared" si="0"/>
        <v>2.9220000000000002</v>
      </c>
      <c r="I51" s="429">
        <f t="shared" si="0"/>
        <v>2.9224000000000001</v>
      </c>
    </row>
    <row r="52" spans="2:9">
      <c r="B52" s="46">
        <v>18</v>
      </c>
      <c r="C52" s="47" t="s">
        <v>85</v>
      </c>
      <c r="D52" s="430">
        <v>700</v>
      </c>
      <c r="E52" s="430">
        <v>700</v>
      </c>
      <c r="F52" s="430">
        <v>3969</v>
      </c>
      <c r="G52" s="430">
        <v>3969.4</v>
      </c>
      <c r="H52" s="429">
        <f t="shared" si="0"/>
        <v>5.67</v>
      </c>
      <c r="I52" s="429">
        <f t="shared" si="0"/>
        <v>5.6705714285714288</v>
      </c>
    </row>
    <row r="53" spans="2:9" ht="37.5" customHeight="1">
      <c r="B53" s="46">
        <v>19</v>
      </c>
      <c r="C53" s="47" t="s">
        <v>86</v>
      </c>
      <c r="D53" s="430"/>
      <c r="E53" s="430"/>
      <c r="F53" s="430"/>
      <c r="G53" s="430"/>
      <c r="H53" s="429"/>
      <c r="I53" s="429"/>
    </row>
    <row r="54" spans="2:9" ht="20.25" customHeight="1">
      <c r="B54" s="46">
        <v>20</v>
      </c>
      <c r="C54" s="47" t="s">
        <v>87</v>
      </c>
      <c r="D54" s="430"/>
      <c r="E54" s="430"/>
      <c r="F54" s="430"/>
      <c r="G54" s="430"/>
      <c r="H54" s="429"/>
      <c r="I54" s="429"/>
    </row>
    <row r="55" spans="2:9">
      <c r="B55" s="46" t="s">
        <v>18</v>
      </c>
      <c r="C55" s="47" t="s">
        <v>88</v>
      </c>
      <c r="D55" s="51"/>
      <c r="E55" s="51"/>
      <c r="F55" s="51"/>
      <c r="G55" s="51"/>
      <c r="H55" s="429"/>
      <c r="I55" s="429"/>
    </row>
    <row r="56" spans="2:9">
      <c r="B56" s="46" t="s">
        <v>22</v>
      </c>
      <c r="C56" s="47" t="s">
        <v>89</v>
      </c>
      <c r="D56" s="430">
        <f>SUM(D57:D62)</f>
        <v>234000</v>
      </c>
      <c r="E56" s="430">
        <f t="shared" ref="E56:F56" si="7">SUM(E57:E62)</f>
        <v>0</v>
      </c>
      <c r="F56" s="430">
        <f t="shared" si="7"/>
        <v>256253</v>
      </c>
      <c r="G56" s="430"/>
      <c r="H56" s="429">
        <f t="shared" si="0"/>
        <v>1.0950982905982907</v>
      </c>
      <c r="I56" s="429"/>
    </row>
    <row r="57" spans="2:9">
      <c r="B57" s="48">
        <v>1</v>
      </c>
      <c r="C57" s="53" t="s">
        <v>90</v>
      </c>
      <c r="D57" s="51">
        <v>2200</v>
      </c>
      <c r="E57" s="51"/>
      <c r="F57" s="51">
        <v>2756</v>
      </c>
      <c r="G57" s="51"/>
      <c r="H57" s="431">
        <f t="shared" si="0"/>
        <v>1.2527272727272727</v>
      </c>
      <c r="I57" s="431"/>
    </row>
    <row r="58" spans="2:9">
      <c r="B58" s="48">
        <v>2</v>
      </c>
      <c r="C58" s="53" t="s">
        <v>91</v>
      </c>
      <c r="D58" s="51">
        <v>2800</v>
      </c>
      <c r="E58" s="51"/>
      <c r="F58" s="51">
        <v>2215</v>
      </c>
      <c r="G58" s="51"/>
      <c r="H58" s="431">
        <f t="shared" si="0"/>
        <v>0.79107142857142854</v>
      </c>
      <c r="I58" s="431"/>
    </row>
    <row r="59" spans="2:9" ht="19.5" customHeight="1">
      <c r="B59" s="48">
        <v>3</v>
      </c>
      <c r="C59" s="53" t="s">
        <v>92</v>
      </c>
      <c r="D59" s="51"/>
      <c r="E59" s="51"/>
      <c r="F59" s="51">
        <v>27</v>
      </c>
      <c r="G59" s="51"/>
      <c r="H59" s="431"/>
      <c r="I59" s="431"/>
    </row>
    <row r="60" spans="2:9" ht="14.25" customHeight="1">
      <c r="B60" s="48">
        <v>4</v>
      </c>
      <c r="C60" s="53" t="s">
        <v>93</v>
      </c>
      <c r="D60" s="51"/>
      <c r="E60" s="51"/>
      <c r="F60" s="51"/>
      <c r="G60" s="51"/>
      <c r="H60" s="431"/>
      <c r="I60" s="431"/>
    </row>
    <row r="61" spans="2:9" ht="15" customHeight="1">
      <c r="B61" s="48">
        <v>5</v>
      </c>
      <c r="C61" s="53" t="s">
        <v>94</v>
      </c>
      <c r="D61" s="51">
        <v>229000</v>
      </c>
      <c r="E61" s="51"/>
      <c r="F61" s="51">
        <v>250985</v>
      </c>
      <c r="G61" s="51"/>
      <c r="H61" s="431">
        <f t="shared" si="0"/>
        <v>1.096004366812227</v>
      </c>
      <c r="I61" s="431"/>
    </row>
    <row r="62" spans="2:9">
      <c r="B62" s="48">
        <v>6</v>
      </c>
      <c r="C62" s="53" t="s">
        <v>95</v>
      </c>
      <c r="D62" s="51"/>
      <c r="E62" s="51"/>
      <c r="F62" s="51">
        <v>270</v>
      </c>
      <c r="G62" s="51"/>
      <c r="H62" s="431"/>
      <c r="I62" s="431"/>
    </row>
    <row r="63" spans="2:9" s="86" customFormat="1">
      <c r="B63" s="46" t="s">
        <v>24</v>
      </c>
      <c r="C63" s="47" t="s">
        <v>516</v>
      </c>
      <c r="D63" s="430"/>
      <c r="E63" s="430"/>
      <c r="F63" s="430">
        <v>3504</v>
      </c>
      <c r="G63" s="430">
        <v>3504</v>
      </c>
      <c r="H63" s="429"/>
      <c r="I63" s="429"/>
    </row>
    <row r="64" spans="2:9" s="86" customFormat="1" ht="21" customHeight="1">
      <c r="B64" s="46" t="s">
        <v>9</v>
      </c>
      <c r="C64" s="47" t="s">
        <v>96</v>
      </c>
      <c r="D64" s="430"/>
      <c r="E64" s="430"/>
      <c r="F64" s="430"/>
      <c r="G64" s="430"/>
      <c r="H64" s="429"/>
      <c r="I64" s="429"/>
    </row>
    <row r="65" spans="2:9" s="86" customFormat="1">
      <c r="B65" s="46" t="s">
        <v>40</v>
      </c>
      <c r="C65" s="47" t="s">
        <v>97</v>
      </c>
      <c r="D65" s="430"/>
      <c r="E65" s="430"/>
      <c r="F65" s="430">
        <v>80347</v>
      </c>
      <c r="G65" s="430">
        <f>F65</f>
        <v>80347</v>
      </c>
      <c r="H65" s="429"/>
      <c r="I65" s="429"/>
    </row>
    <row r="66" spans="2:9" s="86" customFormat="1" ht="28.5" customHeight="1">
      <c r="B66" s="69" t="s">
        <v>42</v>
      </c>
      <c r="C66" s="70" t="s">
        <v>98</v>
      </c>
      <c r="D66" s="436"/>
      <c r="E66" s="436"/>
      <c r="F66" s="436">
        <v>2207814</v>
      </c>
      <c r="G66" s="436">
        <f>F66</f>
        <v>2207814</v>
      </c>
      <c r="H66" s="437"/>
      <c r="I66" s="437"/>
    </row>
    <row r="68" spans="2:9">
      <c r="B68" s="486" t="s">
        <v>99</v>
      </c>
    </row>
    <row r="69" spans="2:9" ht="24.75" customHeight="1">
      <c r="B69" s="575" t="s">
        <v>100</v>
      </c>
      <c r="C69" s="575"/>
      <c r="D69" s="575"/>
      <c r="E69" s="575"/>
      <c r="F69" s="575"/>
      <c r="G69" s="575"/>
      <c r="H69" s="575"/>
      <c r="I69" s="575"/>
    </row>
    <row r="70" spans="2:9" ht="24.75" customHeight="1">
      <c r="B70" s="575" t="s">
        <v>101</v>
      </c>
      <c r="C70" s="575"/>
      <c r="D70" s="575"/>
      <c r="E70" s="575"/>
      <c r="F70" s="575"/>
      <c r="G70" s="575"/>
      <c r="H70" s="575"/>
      <c r="I70" s="575"/>
    </row>
    <row r="71" spans="2:9" ht="28.5" customHeight="1">
      <c r="B71" s="575" t="s">
        <v>102</v>
      </c>
      <c r="C71" s="575"/>
      <c r="D71" s="575"/>
      <c r="E71" s="575"/>
      <c r="F71" s="575"/>
      <c r="G71" s="575"/>
      <c r="H71" s="575"/>
      <c r="I71" s="575"/>
    </row>
    <row r="72" spans="2:9" ht="29.25" customHeight="1">
      <c r="B72" s="575" t="s">
        <v>103</v>
      </c>
      <c r="C72" s="575"/>
      <c r="D72" s="575"/>
      <c r="E72" s="575"/>
      <c r="F72" s="575"/>
      <c r="G72" s="575"/>
      <c r="H72" s="575"/>
      <c r="I72" s="575"/>
    </row>
    <row r="73" spans="2:9" ht="41.25" customHeight="1">
      <c r="B73" s="575" t="s">
        <v>104</v>
      </c>
      <c r="C73" s="575"/>
      <c r="D73" s="575"/>
      <c r="E73" s="575"/>
      <c r="F73" s="575"/>
      <c r="G73" s="575"/>
      <c r="H73" s="575"/>
      <c r="I73" s="575"/>
    </row>
  </sheetData>
  <mergeCells count="14">
    <mergeCell ref="H1:I1"/>
    <mergeCell ref="B71:I71"/>
    <mergeCell ref="B72:I72"/>
    <mergeCell ref="B73:I73"/>
    <mergeCell ref="H4:I4"/>
    <mergeCell ref="B2:I2"/>
    <mergeCell ref="B3:I3"/>
    <mergeCell ref="B69:I69"/>
    <mergeCell ref="B70:I70"/>
    <mergeCell ref="B5:B6"/>
    <mergeCell ref="C5:C6"/>
    <mergeCell ref="D5:E5"/>
    <mergeCell ref="F5:G5"/>
    <mergeCell ref="H5:I5"/>
  </mergeCells>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L159"/>
  <sheetViews>
    <sheetView showZeros="0" zoomScaleNormal="100" workbookViewId="0">
      <selection activeCell="B3" sqref="B3:F3"/>
    </sheetView>
  </sheetViews>
  <sheetFormatPr defaultColWidth="9.1796875" defaultRowHeight="14"/>
  <cols>
    <col min="1" max="1" width="4.1796875" style="6" customWidth="1"/>
    <col min="2" max="2" width="7.81640625" style="6" customWidth="1"/>
    <col min="3" max="3" width="50" style="6" customWidth="1"/>
    <col min="4" max="4" width="13.453125" style="6" customWidth="1"/>
    <col min="5" max="5" width="11.26953125" style="6" customWidth="1"/>
    <col min="6" max="6" width="11.453125" style="401" customWidth="1"/>
    <col min="7" max="7" width="19.453125" style="388" customWidth="1"/>
    <col min="8" max="8" width="20.1796875" style="388" customWidth="1"/>
    <col min="9" max="12" width="9.1796875" style="388"/>
    <col min="13" max="16384" width="9.1796875" style="6"/>
  </cols>
  <sheetData>
    <row r="1" spans="2:12">
      <c r="E1" s="572" t="s">
        <v>365</v>
      </c>
      <c r="F1" s="572"/>
    </row>
    <row r="2" spans="2:12" s="5" customFormat="1" ht="23.25" customHeight="1">
      <c r="B2" s="577" t="s">
        <v>385</v>
      </c>
      <c r="C2" s="577"/>
      <c r="D2" s="577"/>
      <c r="E2" s="577"/>
      <c r="F2" s="577"/>
      <c r="G2" s="387"/>
      <c r="H2" s="387"/>
      <c r="I2" s="387"/>
      <c r="J2" s="387"/>
      <c r="K2" s="387"/>
      <c r="L2" s="387"/>
    </row>
    <row r="3" spans="2:12">
      <c r="B3" s="579" t="s">
        <v>1112</v>
      </c>
      <c r="C3" s="579"/>
      <c r="D3" s="579"/>
      <c r="E3" s="579"/>
      <c r="F3" s="579"/>
      <c r="G3" s="567" t="s">
        <v>1111</v>
      </c>
    </row>
    <row r="4" spans="2:12">
      <c r="B4" s="278"/>
      <c r="C4" s="278"/>
      <c r="D4" s="278"/>
      <c r="E4" s="576" t="s">
        <v>53</v>
      </c>
      <c r="F4" s="576"/>
    </row>
    <row r="5" spans="2:12" ht="26">
      <c r="B5" s="439" t="s">
        <v>1</v>
      </c>
      <c r="C5" s="439" t="s">
        <v>2</v>
      </c>
      <c r="D5" s="439" t="s">
        <v>3</v>
      </c>
      <c r="E5" s="439" t="s">
        <v>4</v>
      </c>
      <c r="F5" s="394" t="s">
        <v>1105</v>
      </c>
    </row>
    <row r="6" spans="2:12">
      <c r="B6" s="439" t="s">
        <v>8</v>
      </c>
      <c r="C6" s="439" t="s">
        <v>9</v>
      </c>
      <c r="D6" s="439">
        <v>1</v>
      </c>
      <c r="E6" s="439">
        <v>2</v>
      </c>
      <c r="F6" s="394" t="s">
        <v>105</v>
      </c>
    </row>
    <row r="7" spans="2:12" ht="21.75" customHeight="1">
      <c r="B7" s="354"/>
      <c r="C7" s="355" t="s">
        <v>106</v>
      </c>
      <c r="D7" s="356">
        <f>D8+D28+D156</f>
        <v>6963296.3287610002</v>
      </c>
      <c r="E7" s="356">
        <f>E8+E28+E156+E155-0.3</f>
        <v>10211832.449159998</v>
      </c>
      <c r="F7" s="395">
        <f t="shared" ref="F7:F8" si="0">IF(D7=0, ,E7/D7*100)</f>
        <v>146.65227454102933</v>
      </c>
      <c r="G7" s="389"/>
      <c r="H7" s="390"/>
    </row>
    <row r="8" spans="2:12" ht="24" customHeight="1">
      <c r="B8" s="357" t="s">
        <v>8</v>
      </c>
      <c r="C8" s="358" t="s">
        <v>107</v>
      </c>
      <c r="D8" s="68">
        <f>D9+D20+D24+D25+D26+D27</f>
        <v>5103331</v>
      </c>
      <c r="E8" s="68">
        <f>E9+E20+E24+E25+E26+E27+E19</f>
        <v>5694586.9672480002</v>
      </c>
      <c r="F8" s="396">
        <f t="shared" si="0"/>
        <v>111.5856872158204</v>
      </c>
    </row>
    <row r="9" spans="2:12" s="19" customFormat="1">
      <c r="B9" s="357" t="s">
        <v>13</v>
      </c>
      <c r="C9" s="358" t="s">
        <v>30</v>
      </c>
      <c r="D9" s="67">
        <f>D10+D17+D18</f>
        <v>803380</v>
      </c>
      <c r="E9" s="67">
        <f>E10+E17+E18</f>
        <v>1350729.3328710003</v>
      </c>
      <c r="F9" s="397">
        <f>IF(D9=0, ,E9/D9*100)</f>
        <v>168.13081392006276</v>
      </c>
      <c r="G9" s="390"/>
      <c r="H9" s="390"/>
      <c r="I9" s="390"/>
      <c r="J9" s="390"/>
      <c r="K9" s="390"/>
      <c r="L9" s="390"/>
    </row>
    <row r="10" spans="2:12" s="19" customFormat="1">
      <c r="B10" s="359">
        <v>1</v>
      </c>
      <c r="C10" s="360" t="s">
        <v>108</v>
      </c>
      <c r="D10" s="67">
        <v>803380</v>
      </c>
      <c r="E10" s="67">
        <f>'Bieu 48'!E23</f>
        <v>1350729.3328710003</v>
      </c>
      <c r="F10" s="397">
        <f t="shared" ref="F10:F74" si="1">IF(D10=0, ,E10/D10*100)</f>
        <v>168.13081392006276</v>
      </c>
      <c r="G10" s="390"/>
      <c r="H10" s="390"/>
      <c r="I10" s="390"/>
      <c r="J10" s="390"/>
      <c r="K10" s="390"/>
      <c r="L10" s="390"/>
    </row>
    <row r="11" spans="2:12" s="19" customFormat="1">
      <c r="B11" s="359"/>
      <c r="C11" s="361" t="s">
        <v>109</v>
      </c>
      <c r="D11" s="67"/>
      <c r="E11" s="67"/>
      <c r="F11" s="397"/>
      <c r="G11" s="390"/>
      <c r="H11" s="390"/>
      <c r="I11" s="390"/>
      <c r="J11" s="390"/>
      <c r="K11" s="390"/>
      <c r="L11" s="390"/>
    </row>
    <row r="12" spans="2:12" s="19" customFormat="1" ht="19.5" customHeight="1">
      <c r="B12" s="359" t="s">
        <v>15</v>
      </c>
      <c r="C12" s="361" t="s">
        <v>110</v>
      </c>
      <c r="D12" s="67">
        <v>85361.991649999982</v>
      </c>
      <c r="E12" s="67">
        <v>134672.52931800002</v>
      </c>
      <c r="F12" s="397">
        <f t="shared" si="1"/>
        <v>157.76638608689262</v>
      </c>
      <c r="G12" s="391"/>
      <c r="H12" s="390"/>
      <c r="I12" s="390"/>
      <c r="J12" s="390"/>
      <c r="K12" s="390"/>
      <c r="L12" s="390"/>
    </row>
    <row r="13" spans="2:12" s="19" customFormat="1">
      <c r="B13" s="359" t="s">
        <v>15</v>
      </c>
      <c r="C13" s="361" t="s">
        <v>111</v>
      </c>
      <c r="D13" s="67">
        <v>17934.736000000001</v>
      </c>
      <c r="E13" s="67">
        <v>17934.736000000001</v>
      </c>
      <c r="F13" s="397">
        <f t="shared" si="1"/>
        <v>100</v>
      </c>
      <c r="G13" s="391"/>
      <c r="H13" s="390"/>
      <c r="I13" s="390"/>
      <c r="J13" s="390"/>
      <c r="K13" s="390"/>
      <c r="L13" s="390"/>
    </row>
    <row r="14" spans="2:12" s="19" customFormat="1" ht="16.5" customHeight="1">
      <c r="B14" s="359"/>
      <c r="C14" s="361" t="s">
        <v>112</v>
      </c>
      <c r="D14" s="67"/>
      <c r="E14" s="67"/>
      <c r="F14" s="397"/>
      <c r="G14" s="390"/>
      <c r="H14" s="390"/>
      <c r="I14" s="390"/>
      <c r="J14" s="390"/>
      <c r="K14" s="390"/>
      <c r="L14" s="390"/>
    </row>
    <row r="15" spans="2:12" s="21" customFormat="1" ht="18.75" customHeight="1">
      <c r="B15" s="362" t="s">
        <v>15</v>
      </c>
      <c r="C15" s="363" t="s">
        <v>113</v>
      </c>
      <c r="D15" s="364">
        <v>200000</v>
      </c>
      <c r="E15" s="364">
        <f>578620.092906+13301</f>
        <v>591921.09290599998</v>
      </c>
      <c r="F15" s="397">
        <f t="shared" si="1"/>
        <v>295.96054645300001</v>
      </c>
      <c r="G15" s="390"/>
      <c r="H15" s="390"/>
      <c r="I15" s="390"/>
      <c r="J15" s="390"/>
      <c r="K15" s="390"/>
      <c r="L15" s="390"/>
    </row>
    <row r="16" spans="2:12" s="21" customFormat="1" ht="17.25" customHeight="1">
      <c r="B16" s="362" t="s">
        <v>15</v>
      </c>
      <c r="C16" s="363" t="s">
        <v>114</v>
      </c>
      <c r="D16" s="364">
        <v>85000</v>
      </c>
      <c r="E16" s="364">
        <v>69056.991882000002</v>
      </c>
      <c r="F16" s="397">
        <f t="shared" si="1"/>
        <v>81.243519861176466</v>
      </c>
      <c r="G16" s="390"/>
      <c r="H16" s="390"/>
      <c r="I16" s="390"/>
      <c r="J16" s="390"/>
      <c r="K16" s="390"/>
      <c r="L16" s="390"/>
    </row>
    <row r="17" spans="2:12" s="19" customFormat="1" ht="57" customHeight="1">
      <c r="B17" s="359">
        <v>2</v>
      </c>
      <c r="C17" s="360" t="s">
        <v>115</v>
      </c>
      <c r="D17" s="67"/>
      <c r="E17" s="67"/>
      <c r="F17" s="397"/>
      <c r="G17" s="390"/>
      <c r="H17" s="390"/>
      <c r="I17" s="390"/>
      <c r="J17" s="390"/>
      <c r="K17" s="390"/>
      <c r="L17" s="390"/>
    </row>
    <row r="18" spans="2:12" s="19" customFormat="1">
      <c r="B18" s="359">
        <v>3</v>
      </c>
      <c r="C18" s="360" t="s">
        <v>116</v>
      </c>
      <c r="D18" s="67"/>
      <c r="E18" s="67"/>
      <c r="F18" s="397"/>
      <c r="G18" s="390"/>
      <c r="H18" s="390"/>
      <c r="I18" s="390"/>
      <c r="J18" s="390"/>
      <c r="K18" s="390"/>
      <c r="L18" s="390"/>
    </row>
    <row r="19" spans="2:12" s="25" customFormat="1">
      <c r="B19" s="357" t="s">
        <v>18</v>
      </c>
      <c r="C19" s="358" t="s">
        <v>885</v>
      </c>
      <c r="D19" s="68"/>
      <c r="E19" s="68">
        <v>29000</v>
      </c>
      <c r="F19" s="396"/>
      <c r="G19" s="392"/>
      <c r="H19" s="392"/>
      <c r="I19" s="392"/>
      <c r="J19" s="392"/>
      <c r="K19" s="392"/>
      <c r="L19" s="392"/>
    </row>
    <row r="20" spans="2:12">
      <c r="B20" s="357" t="s">
        <v>22</v>
      </c>
      <c r="C20" s="358" t="s">
        <v>31</v>
      </c>
      <c r="D20" s="68">
        <f>'Bieu 48'!D24</f>
        <v>4189004</v>
      </c>
      <c r="E20" s="68">
        <f>'Bieu 48'!E24</f>
        <v>4309439.7853769995</v>
      </c>
      <c r="F20" s="396">
        <f t="shared" si="1"/>
        <v>102.87504584328397</v>
      </c>
    </row>
    <row r="21" spans="2:12">
      <c r="B21" s="359"/>
      <c r="C21" s="361" t="s">
        <v>117</v>
      </c>
      <c r="D21" s="67"/>
      <c r="E21" s="67"/>
      <c r="F21" s="397"/>
    </row>
    <row r="22" spans="2:12">
      <c r="B22" s="359">
        <v>1</v>
      </c>
      <c r="C22" s="361" t="s">
        <v>110</v>
      </c>
      <c r="D22" s="67">
        <v>1874637</v>
      </c>
      <c r="E22" s="67">
        <f>1996233.599736-E83-E86-E87-E88-E124</f>
        <v>1901431.1011359999</v>
      </c>
      <c r="F22" s="397">
        <f t="shared" si="1"/>
        <v>101.42929543885029</v>
      </c>
    </row>
    <row r="23" spans="2:12">
      <c r="B23" s="359">
        <v>2</v>
      </c>
      <c r="C23" s="361" t="s">
        <v>118</v>
      </c>
      <c r="D23" s="67">
        <v>15753</v>
      </c>
      <c r="E23" s="67">
        <v>9429.8217490000006</v>
      </c>
      <c r="F23" s="397">
        <f t="shared" si="1"/>
        <v>59.860482124039869</v>
      </c>
    </row>
    <row r="24" spans="2:12">
      <c r="B24" s="357" t="s">
        <v>24</v>
      </c>
      <c r="C24" s="358" t="s">
        <v>32</v>
      </c>
      <c r="D24" s="67">
        <v>880</v>
      </c>
      <c r="E24" s="67">
        <f>88</f>
        <v>88</v>
      </c>
      <c r="F24" s="397">
        <f t="shared" si="1"/>
        <v>10</v>
      </c>
    </row>
    <row r="25" spans="2:12">
      <c r="B25" s="357" t="s">
        <v>26</v>
      </c>
      <c r="C25" s="358" t="s">
        <v>33</v>
      </c>
      <c r="D25" s="67">
        <v>1000</v>
      </c>
      <c r="E25" s="67">
        <v>2000</v>
      </c>
      <c r="F25" s="397">
        <f t="shared" si="1"/>
        <v>200</v>
      </c>
    </row>
    <row r="26" spans="2:12">
      <c r="B26" s="357" t="s">
        <v>119</v>
      </c>
      <c r="C26" s="358" t="s">
        <v>34</v>
      </c>
      <c r="D26" s="67">
        <v>102067</v>
      </c>
      <c r="E26" s="67"/>
      <c r="F26" s="397"/>
    </row>
    <row r="27" spans="2:12" ht="19.5" customHeight="1">
      <c r="B27" s="357" t="s">
        <v>154</v>
      </c>
      <c r="C27" s="358" t="s">
        <v>884</v>
      </c>
      <c r="D27" s="67">
        <v>7000</v>
      </c>
      <c r="E27" s="67">
        <v>3329.8490000000002</v>
      </c>
      <c r="F27" s="397">
        <f t="shared" si="1"/>
        <v>47.569271428571433</v>
      </c>
    </row>
    <row r="28" spans="2:12" ht="21.75" customHeight="1">
      <c r="B28" s="357" t="s">
        <v>9</v>
      </c>
      <c r="C28" s="358" t="s">
        <v>120</v>
      </c>
      <c r="D28" s="68">
        <f>D29+D32</f>
        <v>1859965.328761</v>
      </c>
      <c r="E28" s="68">
        <f>E29+E32</f>
        <v>1858301.4650310003</v>
      </c>
      <c r="F28" s="396">
        <f t="shared" si="1"/>
        <v>99.910543293239343</v>
      </c>
    </row>
    <row r="29" spans="2:12">
      <c r="B29" s="357" t="s">
        <v>13</v>
      </c>
      <c r="C29" s="358" t="s">
        <v>37</v>
      </c>
      <c r="D29" s="68">
        <f>D30+D31</f>
        <v>496403.44900000002</v>
      </c>
      <c r="E29" s="68">
        <f>E30+E31</f>
        <v>434534.76735700003</v>
      </c>
      <c r="F29" s="396">
        <f t="shared" si="1"/>
        <v>87.536613259308766</v>
      </c>
    </row>
    <row r="30" spans="2:12" s="22" customFormat="1">
      <c r="B30" s="362">
        <v>1</v>
      </c>
      <c r="C30" s="365" t="s">
        <v>204</v>
      </c>
      <c r="D30" s="364">
        <f>'Bieu 61'!M12</f>
        <v>208100</v>
      </c>
      <c r="E30" s="364">
        <f>'Bieu 61'!AD12</f>
        <v>194380.14722700001</v>
      </c>
      <c r="F30" s="397">
        <f t="shared" si="1"/>
        <v>93.407086605958682</v>
      </c>
      <c r="G30" s="388"/>
      <c r="H30" s="388"/>
      <c r="I30" s="388"/>
      <c r="J30" s="388"/>
      <c r="K30" s="388"/>
      <c r="L30" s="388"/>
    </row>
    <row r="31" spans="2:12" s="22" customFormat="1">
      <c r="B31" s="362">
        <v>2</v>
      </c>
      <c r="C31" s="365" t="s">
        <v>205</v>
      </c>
      <c r="D31" s="364">
        <f>'Bieu 61'!F12</f>
        <v>288303.44900000002</v>
      </c>
      <c r="E31" s="364">
        <f>'Bieu 61'!W12</f>
        <v>240154.62013</v>
      </c>
      <c r="F31" s="397">
        <f t="shared" si="1"/>
        <v>83.299253256592138</v>
      </c>
      <c r="G31" s="388"/>
      <c r="H31" s="388"/>
      <c r="I31" s="388"/>
      <c r="J31" s="388"/>
      <c r="K31" s="388"/>
      <c r="L31" s="388"/>
    </row>
    <row r="32" spans="2:12">
      <c r="B32" s="357" t="s">
        <v>18</v>
      </c>
      <c r="C32" s="358" t="s">
        <v>121</v>
      </c>
      <c r="D32" s="68">
        <f>D33+D70</f>
        <v>1363561.8797609999</v>
      </c>
      <c r="E32" s="68">
        <f>E33+E70</f>
        <v>1423766.6976740002</v>
      </c>
      <c r="F32" s="396">
        <f t="shared" si="1"/>
        <v>104.41526114851148</v>
      </c>
    </row>
    <row r="33" spans="2:12">
      <c r="B33" s="357" t="s">
        <v>206</v>
      </c>
      <c r="C33" s="358" t="s">
        <v>207</v>
      </c>
      <c r="D33" s="68">
        <f>D34+D44+D48</f>
        <v>849949.87976099993</v>
      </c>
      <c r="E33" s="68">
        <f>E34+E44+E48</f>
        <v>924662.66589400009</v>
      </c>
      <c r="F33" s="396">
        <f t="shared" si="1"/>
        <v>108.79025786249994</v>
      </c>
    </row>
    <row r="34" spans="2:12" s="21" customFormat="1" ht="18.75" customHeight="1">
      <c r="B34" s="366">
        <v>1</v>
      </c>
      <c r="C34" s="367" t="s">
        <v>386</v>
      </c>
      <c r="D34" s="364">
        <f>D35+D38</f>
        <v>425799.99976099998</v>
      </c>
      <c r="E34" s="364">
        <f>E35+E38</f>
        <v>281855.91158200003</v>
      </c>
      <c r="F34" s="397">
        <f t="shared" si="1"/>
        <v>66.194436763786925</v>
      </c>
      <c r="G34" s="390"/>
      <c r="H34" s="390"/>
      <c r="I34" s="390"/>
      <c r="J34" s="390"/>
      <c r="K34" s="390"/>
      <c r="L34" s="390"/>
    </row>
    <row r="35" spans="2:12" s="21" customFormat="1">
      <c r="B35" s="366" t="s">
        <v>184</v>
      </c>
      <c r="C35" s="367" t="s">
        <v>387</v>
      </c>
      <c r="D35" s="364">
        <f>SUM(D36:D37)</f>
        <v>160591</v>
      </c>
      <c r="E35" s="364">
        <f t="shared" ref="E35" si="2">SUM(E36:E37)</f>
        <v>30151.575000000001</v>
      </c>
      <c r="F35" s="397">
        <f t="shared" si="1"/>
        <v>18.775382804764902</v>
      </c>
      <c r="G35" s="390"/>
      <c r="H35" s="390"/>
      <c r="I35" s="390"/>
      <c r="J35" s="390"/>
      <c r="K35" s="390"/>
      <c r="L35" s="390"/>
    </row>
    <row r="36" spans="2:12" s="21" customFormat="1" ht="27" customHeight="1">
      <c r="B36" s="366" t="s">
        <v>15</v>
      </c>
      <c r="C36" s="336" t="s">
        <v>388</v>
      </c>
      <c r="D36" s="364">
        <v>160591</v>
      </c>
      <c r="E36" s="364">
        <f>[1]TT85!$CC$442</f>
        <v>29283.577000000001</v>
      </c>
      <c r="F36" s="397">
        <f t="shared" si="1"/>
        <v>18.234880535023755</v>
      </c>
      <c r="G36" s="390"/>
      <c r="H36" s="390"/>
      <c r="I36" s="390"/>
      <c r="J36" s="390"/>
      <c r="K36" s="390"/>
      <c r="L36" s="390"/>
    </row>
    <row r="37" spans="2:12" s="21" customFormat="1" ht="20.25" customHeight="1">
      <c r="B37" s="366" t="s">
        <v>15</v>
      </c>
      <c r="C37" s="336" t="s">
        <v>389</v>
      </c>
      <c r="D37" s="368"/>
      <c r="E37" s="67">
        <v>867.99799999999959</v>
      </c>
      <c r="F37" s="397"/>
      <c r="G37" s="390"/>
      <c r="H37" s="390"/>
      <c r="I37" s="390"/>
      <c r="J37" s="390"/>
      <c r="K37" s="390"/>
      <c r="L37" s="390"/>
    </row>
    <row r="38" spans="2:12" s="21" customFormat="1">
      <c r="B38" s="366" t="s">
        <v>185</v>
      </c>
      <c r="C38" s="367" t="s">
        <v>390</v>
      </c>
      <c r="D38" s="364">
        <f>SUM(D39:D43)</f>
        <v>265208.99976099998</v>
      </c>
      <c r="E38" s="364">
        <f t="shared" ref="E38" si="3">SUM(E39:E43)</f>
        <v>251704.33658200002</v>
      </c>
      <c r="F38" s="397">
        <f t="shared" si="1"/>
        <v>94.907916702988942</v>
      </c>
      <c r="G38" s="390"/>
      <c r="H38" s="390"/>
      <c r="I38" s="390"/>
      <c r="J38" s="390"/>
      <c r="K38" s="390"/>
      <c r="L38" s="390"/>
    </row>
    <row r="39" spans="2:12" s="21" customFormat="1" ht="26">
      <c r="B39" s="362"/>
      <c r="C39" s="336" t="s">
        <v>391</v>
      </c>
      <c r="D39" s="364">
        <v>42259</v>
      </c>
      <c r="E39" s="364">
        <f>'[2]lam lai 16-6-20'!$CC$451+'[2]lam lai 16-6-20'!$CI$451</f>
        <v>43553.422665999999</v>
      </c>
      <c r="F39" s="397">
        <f t="shared" si="1"/>
        <v>103.0630697981495</v>
      </c>
      <c r="G39" s="390"/>
      <c r="H39" s="390"/>
      <c r="I39" s="390"/>
      <c r="J39" s="390"/>
      <c r="K39" s="390"/>
      <c r="L39" s="390"/>
    </row>
    <row r="40" spans="2:12" s="21" customFormat="1" ht="26">
      <c r="B40" s="362"/>
      <c r="C40" s="336" t="s">
        <v>392</v>
      </c>
      <c r="D40" s="364">
        <v>109999.99976099998</v>
      </c>
      <c r="E40" s="369">
        <f>'[2]lam lai 16-6-20'!$CC$540+'[2]lam lai 16-6-20'!$CI$540</f>
        <v>115260.58991100002</v>
      </c>
      <c r="F40" s="397">
        <f t="shared" si="1"/>
        <v>104.78235469220895</v>
      </c>
      <c r="G40" s="390"/>
      <c r="H40" s="390"/>
      <c r="I40" s="390"/>
      <c r="J40" s="390"/>
      <c r="K40" s="390"/>
      <c r="L40" s="390"/>
    </row>
    <row r="41" spans="2:12" s="21" customFormat="1" ht="26">
      <c r="B41" s="362"/>
      <c r="C41" s="336" t="s">
        <v>393</v>
      </c>
      <c r="D41" s="364">
        <v>11500</v>
      </c>
      <c r="E41" s="364">
        <v>581.98922000000005</v>
      </c>
      <c r="F41" s="397">
        <f t="shared" si="1"/>
        <v>5.0607758260869575</v>
      </c>
      <c r="G41" s="390"/>
      <c r="H41" s="390"/>
      <c r="I41" s="390"/>
      <c r="J41" s="390"/>
      <c r="K41" s="390"/>
      <c r="L41" s="390"/>
    </row>
    <row r="42" spans="2:12" s="21" customFormat="1">
      <c r="B42" s="362"/>
      <c r="C42" s="336" t="s">
        <v>389</v>
      </c>
      <c r="D42" s="364">
        <v>65450</v>
      </c>
      <c r="E42" s="370">
        <f>'[2]lam lai 16-6-20'!$CC$722+'[2]lam lai 16-6-20'!$CI$722</f>
        <v>92308.334784999999</v>
      </c>
      <c r="F42" s="397">
        <f t="shared" si="1"/>
        <v>141.03641678380444</v>
      </c>
      <c r="G42" s="390"/>
      <c r="H42" s="390"/>
      <c r="I42" s="390"/>
      <c r="J42" s="390"/>
      <c r="K42" s="390"/>
      <c r="L42" s="390"/>
    </row>
    <row r="43" spans="2:12" s="21" customFormat="1">
      <c r="B43" s="362"/>
      <c r="C43" s="336" t="s">
        <v>394</v>
      </c>
      <c r="D43" s="368">
        <v>36000</v>
      </c>
      <c r="E43" s="364"/>
      <c r="F43" s="397">
        <f t="shared" si="1"/>
        <v>0</v>
      </c>
      <c r="G43" s="390"/>
      <c r="H43" s="390"/>
      <c r="I43" s="390"/>
      <c r="J43" s="390"/>
      <c r="K43" s="390"/>
      <c r="L43" s="390"/>
    </row>
    <row r="44" spans="2:12" s="23" customFormat="1">
      <c r="B44" s="366" t="s">
        <v>395</v>
      </c>
      <c r="C44" s="371" t="s">
        <v>396</v>
      </c>
      <c r="D44" s="372">
        <f>SUM(D45:D47)</f>
        <v>0</v>
      </c>
      <c r="E44" s="372">
        <f>SUM(E45:E47)</f>
        <v>12890.597173999999</v>
      </c>
      <c r="F44" s="397">
        <f t="shared" si="1"/>
        <v>0</v>
      </c>
      <c r="G44" s="392"/>
      <c r="H44" s="392"/>
      <c r="I44" s="392"/>
      <c r="J44" s="392"/>
      <c r="K44" s="392"/>
      <c r="L44" s="392"/>
    </row>
    <row r="45" spans="2:12" s="21" customFormat="1">
      <c r="B45" s="362"/>
      <c r="C45" s="334" t="s">
        <v>397</v>
      </c>
      <c r="D45" s="373">
        <f>12546-12546</f>
        <v>0</v>
      </c>
      <c r="E45" s="67">
        <f>[1]TT85!$CC$731+[1]TT85!$CI$731</f>
        <v>8356.3508399999992</v>
      </c>
      <c r="F45" s="396">
        <f t="shared" si="1"/>
        <v>0</v>
      </c>
      <c r="G45" s="390"/>
      <c r="H45" s="390"/>
      <c r="I45" s="390"/>
      <c r="J45" s="390"/>
      <c r="K45" s="390"/>
      <c r="L45" s="390"/>
    </row>
    <row r="46" spans="2:12" s="21" customFormat="1" ht="26">
      <c r="B46" s="362"/>
      <c r="C46" s="335" t="s">
        <v>329</v>
      </c>
      <c r="D46" s="374">
        <f>7332-7332</f>
        <v>0</v>
      </c>
      <c r="E46" s="67"/>
      <c r="F46" s="397">
        <f t="shared" si="1"/>
        <v>0</v>
      </c>
      <c r="G46" s="390"/>
      <c r="H46" s="390"/>
      <c r="I46" s="390"/>
      <c r="J46" s="390"/>
      <c r="K46" s="390"/>
      <c r="L46" s="390"/>
    </row>
    <row r="47" spans="2:12" s="21" customFormat="1" ht="31.5" customHeight="1">
      <c r="B47" s="362"/>
      <c r="C47" s="336" t="s">
        <v>398</v>
      </c>
      <c r="D47" s="373">
        <f>5672-5672</f>
        <v>0</v>
      </c>
      <c r="E47" s="67">
        <f>[1]TT85!$CC$733+[1]TT85!$CI$733</f>
        <v>4534.2463340000004</v>
      </c>
      <c r="F47" s="397">
        <f t="shared" si="1"/>
        <v>0</v>
      </c>
      <c r="G47" s="390"/>
      <c r="H47" s="390"/>
      <c r="I47" s="390"/>
      <c r="J47" s="390"/>
      <c r="K47" s="390"/>
      <c r="L47" s="390"/>
    </row>
    <row r="48" spans="2:12" s="21" customFormat="1">
      <c r="B48" s="366" t="s">
        <v>399</v>
      </c>
      <c r="C48" s="367" t="s">
        <v>170</v>
      </c>
      <c r="D48" s="364">
        <f>D49+D66</f>
        <v>424149.88</v>
      </c>
      <c r="E48" s="364">
        <f>E49+E66</f>
        <v>629916.15713800001</v>
      </c>
      <c r="F48" s="397">
        <f t="shared" si="1"/>
        <v>148.51263358556179</v>
      </c>
      <c r="G48" s="390"/>
      <c r="H48" s="390"/>
      <c r="I48" s="390"/>
      <c r="J48" s="390"/>
      <c r="K48" s="390"/>
      <c r="L48" s="390"/>
    </row>
    <row r="49" spans="2:12" s="21" customFormat="1">
      <c r="B49" s="366" t="s">
        <v>400</v>
      </c>
      <c r="C49" s="367" t="s">
        <v>401</v>
      </c>
      <c r="D49" s="364">
        <f>SUM(D50:D64)</f>
        <v>347749.88</v>
      </c>
      <c r="E49" s="364">
        <f>SUM(E50:E65)</f>
        <v>475507.66568899999</v>
      </c>
      <c r="F49" s="397">
        <f t="shared" si="1"/>
        <v>136.73841258809347</v>
      </c>
      <c r="G49" s="390"/>
      <c r="H49" s="390"/>
      <c r="I49" s="390"/>
      <c r="J49" s="390"/>
      <c r="K49" s="390"/>
      <c r="L49" s="390"/>
    </row>
    <row r="50" spans="2:12" s="21" customFormat="1" ht="26">
      <c r="B50" s="362"/>
      <c r="C50" s="336" t="s">
        <v>402</v>
      </c>
      <c r="D50" s="364">
        <f>[1]TT85!$W$348</f>
        <v>210797</v>
      </c>
      <c r="E50" s="364">
        <v>199628.34445999999</v>
      </c>
      <c r="F50" s="397">
        <f t="shared" si="1"/>
        <v>94.701700906559381</v>
      </c>
      <c r="G50" s="390"/>
      <c r="H50" s="390"/>
      <c r="I50" s="390"/>
      <c r="J50" s="390"/>
      <c r="K50" s="390"/>
      <c r="L50" s="390"/>
    </row>
    <row r="51" spans="2:12" s="21" customFormat="1" ht="45.75" customHeight="1">
      <c r="B51" s="362"/>
      <c r="C51" s="365" t="str">
        <f>[1]TT85!$E$359</f>
        <v>TW bổ sung có MT - Chương trình mục tiêu tái cơ cấu kinh tế nông nghiệp và phòng chống giảm nhẹ thiên tai, ổn định đời sống dân cư</v>
      </c>
      <c r="D51" s="364">
        <f>[1]TT85!$W$359</f>
        <v>21745.879999999997</v>
      </c>
      <c r="E51" s="364">
        <v>20870.632000000001</v>
      </c>
      <c r="F51" s="397">
        <f t="shared" si="1"/>
        <v>95.975108848204826</v>
      </c>
      <c r="G51" s="390"/>
      <c r="H51" s="390"/>
      <c r="I51" s="390"/>
      <c r="J51" s="390"/>
      <c r="K51" s="390"/>
      <c r="L51" s="390"/>
    </row>
    <row r="52" spans="2:12" s="21" customFormat="1" ht="26">
      <c r="B52" s="362"/>
      <c r="C52" s="365" t="str">
        <f>[1]TT85!$E$364</f>
        <v xml:space="preserve">TW bổ sung có MT - Chương trình cấp điện nông thôn miền núi và hải đảo </v>
      </c>
      <c r="D52" s="364">
        <f>[1]TT85!$W$364</f>
        <v>20000</v>
      </c>
      <c r="E52" s="364">
        <v>11265.304783</v>
      </c>
      <c r="F52" s="397">
        <f t="shared" si="1"/>
        <v>56.326523914999996</v>
      </c>
      <c r="G52" s="390"/>
      <c r="H52" s="390"/>
      <c r="I52" s="390"/>
      <c r="J52" s="390"/>
      <c r="K52" s="390"/>
      <c r="L52" s="390"/>
    </row>
    <row r="53" spans="2:12" s="21" customFormat="1" ht="39">
      <c r="B53" s="362"/>
      <c r="C53" s="365" t="str">
        <f>[1]TT85!$E$368</f>
        <v>TW bổ sung có MT - Chương trình mục tiêu Đầu tư hạ tầng khu kinh tế ven biển, Khu kinh tế cửa khẩu, Khu công nghiệp, công nghệ cao, khu nông nghiệp ứng dụng công nghệ cao</v>
      </c>
      <c r="D53" s="364">
        <f>[1]TT85!$W$368</f>
        <v>48398</v>
      </c>
      <c r="E53" s="364">
        <v>48398</v>
      </c>
      <c r="F53" s="397">
        <f t="shared" si="1"/>
        <v>100</v>
      </c>
      <c r="G53" s="390"/>
      <c r="H53" s="390"/>
      <c r="I53" s="390"/>
      <c r="J53" s="390"/>
      <c r="K53" s="390"/>
      <c r="L53" s="390"/>
    </row>
    <row r="54" spans="2:12" s="21" customFormat="1" ht="26">
      <c r="B54" s="362"/>
      <c r="C54" s="365" t="str">
        <f>[1]TT85!$E$383</f>
        <v>TW bổ sung có MT - Chương trình mục tiêu QP-AN trên địa bàn trọng điểm</v>
      </c>
      <c r="D54" s="364">
        <f>[1]TT85!$W$383</f>
        <v>45600</v>
      </c>
      <c r="E54" s="364">
        <v>45155.443625</v>
      </c>
      <c r="F54" s="397">
        <f t="shared" si="1"/>
        <v>99.025095668859649</v>
      </c>
      <c r="G54" s="390"/>
      <c r="H54" s="390"/>
      <c r="I54" s="390"/>
      <c r="J54" s="390"/>
      <c r="K54" s="390"/>
      <c r="L54" s="390"/>
    </row>
    <row r="55" spans="2:12" s="21" customFormat="1">
      <c r="B55" s="362"/>
      <c r="C55" s="365" t="str">
        <f>[1]TT85!$E$387</f>
        <v>TW bổ sung có MT - Hỗ trợ đối ứng ODA các tỉnh khó khăn</v>
      </c>
      <c r="D55" s="364">
        <f>[1]TT85!$W$387</f>
        <v>1209</v>
      </c>
      <c r="E55" s="364">
        <v>1209</v>
      </c>
      <c r="F55" s="397">
        <f t="shared" si="1"/>
        <v>100</v>
      </c>
      <c r="G55" s="390"/>
      <c r="H55" s="390"/>
      <c r="I55" s="390"/>
      <c r="J55" s="390"/>
      <c r="K55" s="390"/>
      <c r="L55" s="390"/>
    </row>
    <row r="56" spans="2:12" s="21" customFormat="1" ht="27" customHeight="1">
      <c r="B56" s="362"/>
      <c r="C56" s="336" t="s">
        <v>403</v>
      </c>
      <c r="D56" s="368"/>
      <c r="E56" s="370">
        <v>8757.8186999999998</v>
      </c>
      <c r="F56" s="397">
        <f t="shared" si="1"/>
        <v>0</v>
      </c>
      <c r="G56" s="390"/>
      <c r="H56" s="390"/>
      <c r="I56" s="390"/>
      <c r="J56" s="390"/>
      <c r="K56" s="390"/>
      <c r="L56" s="390"/>
    </row>
    <row r="57" spans="2:12" s="21" customFormat="1">
      <c r="B57" s="362"/>
      <c r="C57" s="336" t="s">
        <v>404</v>
      </c>
      <c r="D57" s="368"/>
      <c r="E57" s="67">
        <v>48049.466</v>
      </c>
      <c r="F57" s="397">
        <f t="shared" si="1"/>
        <v>0</v>
      </c>
      <c r="G57" s="390"/>
      <c r="H57" s="390"/>
      <c r="I57" s="390"/>
      <c r="J57" s="390"/>
      <c r="K57" s="390"/>
      <c r="L57" s="390"/>
    </row>
    <row r="58" spans="2:12" s="21" customFormat="1" ht="24.75" customHeight="1">
      <c r="B58" s="362"/>
      <c r="C58" s="365" t="str">
        <f>[1]TT85!$E$372</f>
        <v xml:space="preserve">Nguồn dự phòng ngân sách Trung ương 2019_Dự án khẩn cấp - Dự án phòng cháy chữa cháy rừng </v>
      </c>
      <c r="D58" s="364"/>
      <c r="E58" s="364"/>
      <c r="F58" s="397">
        <f t="shared" si="1"/>
        <v>0</v>
      </c>
      <c r="G58" s="390"/>
      <c r="H58" s="390"/>
      <c r="I58" s="390"/>
      <c r="J58" s="390"/>
      <c r="K58" s="390"/>
      <c r="L58" s="390"/>
    </row>
    <row r="59" spans="2:12" s="21" customFormat="1">
      <c r="B59" s="362"/>
      <c r="C59" s="365" t="str">
        <f>[1]TT85!$E$375</f>
        <v xml:space="preserve">Nguồn dự phòng ngân sách Trung ương 2019 - các dự án cấp bách </v>
      </c>
      <c r="D59" s="364"/>
      <c r="E59" s="364"/>
      <c r="F59" s="397">
        <f t="shared" si="1"/>
        <v>0</v>
      </c>
      <c r="G59" s="390"/>
      <c r="H59" s="390"/>
      <c r="I59" s="390"/>
      <c r="J59" s="390"/>
      <c r="K59" s="390"/>
      <c r="L59" s="390"/>
    </row>
    <row r="60" spans="2:12" s="21" customFormat="1" ht="27" customHeight="1">
      <c r="B60" s="362"/>
      <c r="C60" s="365" t="str">
        <f>[1]TT85!$E$379</f>
        <v xml:space="preserve">Nguồn dự phòng ngân sách Trung ương 2019 - các dự án cấp bách </v>
      </c>
      <c r="D60" s="368"/>
      <c r="E60" s="67">
        <v>21798.662</v>
      </c>
      <c r="F60" s="397">
        <f t="shared" si="1"/>
        <v>0</v>
      </c>
      <c r="G60" s="390"/>
      <c r="H60" s="390"/>
      <c r="I60" s="390"/>
      <c r="J60" s="390"/>
      <c r="K60" s="390"/>
      <c r="L60" s="390"/>
    </row>
    <row r="61" spans="2:12" s="21" customFormat="1">
      <c r="B61" s="362"/>
      <c r="C61" s="365" t="str">
        <f>[1]TT85!$E$362</f>
        <v>TW bổ sung có MT - nguồn dự phòng ngân sách trung ương 2019</v>
      </c>
      <c r="D61" s="364"/>
      <c r="E61" s="67">
        <v>69975.876470999996</v>
      </c>
      <c r="F61" s="397">
        <f t="shared" si="1"/>
        <v>0</v>
      </c>
      <c r="G61" s="390"/>
      <c r="H61" s="390"/>
      <c r="I61" s="390"/>
      <c r="J61" s="390"/>
      <c r="K61" s="390"/>
      <c r="L61" s="390"/>
    </row>
    <row r="62" spans="2:12" s="21" customFormat="1">
      <c r="B62" s="362"/>
      <c r="C62" s="365" t="str">
        <f>[1]TT85!$E$412</f>
        <v>TW bổ sung có MT - Chương trình mục tiêu phát triển văn hóa</v>
      </c>
      <c r="D62" s="364"/>
      <c r="E62" s="364">
        <v>64.837000000000003</v>
      </c>
      <c r="F62" s="397">
        <f t="shared" si="1"/>
        <v>0</v>
      </c>
      <c r="G62" s="390"/>
      <c r="H62" s="390"/>
      <c r="I62" s="390"/>
      <c r="J62" s="390"/>
      <c r="K62" s="390"/>
      <c r="L62" s="390"/>
    </row>
    <row r="63" spans="2:12" s="21" customFormat="1">
      <c r="B63" s="362"/>
      <c r="C63" s="365" t="str">
        <f>[1]TT85!$E$418</f>
        <v>TW bổ sung có MT - Nguồn dự án trồng mới 5 triệu ha rừng</v>
      </c>
      <c r="D63" s="364"/>
      <c r="E63" s="364">
        <v>37.5</v>
      </c>
      <c r="F63" s="397">
        <f t="shared" si="1"/>
        <v>0</v>
      </c>
      <c r="G63" s="390"/>
      <c r="H63" s="390"/>
      <c r="I63" s="390"/>
      <c r="J63" s="390"/>
      <c r="K63" s="390"/>
      <c r="L63" s="390"/>
    </row>
    <row r="64" spans="2:12" s="21" customFormat="1">
      <c r="B64" s="362"/>
      <c r="C64" s="365" t="str">
        <f>[1]TT85!$E$423</f>
        <v>Dự phòng NSTW năm 2016</v>
      </c>
      <c r="D64" s="364"/>
      <c r="E64" s="364">
        <v>133.78065000000001</v>
      </c>
      <c r="F64" s="397">
        <f t="shared" si="1"/>
        <v>0</v>
      </c>
      <c r="G64" s="390"/>
      <c r="H64" s="390"/>
      <c r="I64" s="390"/>
      <c r="J64" s="390"/>
      <c r="K64" s="390"/>
      <c r="L64" s="390"/>
    </row>
    <row r="65" spans="2:12" s="21" customFormat="1" ht="26">
      <c r="B65" s="362"/>
      <c r="C65" s="365" t="s">
        <v>632</v>
      </c>
      <c r="D65" s="364"/>
      <c r="E65" s="364">
        <v>163</v>
      </c>
      <c r="F65" s="397">
        <f t="shared" si="1"/>
        <v>0</v>
      </c>
      <c r="G65" s="390"/>
      <c r="H65" s="390"/>
      <c r="I65" s="390"/>
      <c r="J65" s="390"/>
      <c r="K65" s="390"/>
      <c r="L65" s="390"/>
    </row>
    <row r="66" spans="2:12" s="21" customFormat="1">
      <c r="B66" s="366" t="s">
        <v>197</v>
      </c>
      <c r="C66" s="367" t="s">
        <v>405</v>
      </c>
      <c r="D66" s="364">
        <f>SUM(D67:D69)</f>
        <v>76400</v>
      </c>
      <c r="E66" s="364">
        <f t="shared" ref="E66" si="4">SUM(E67:E69)</f>
        <v>154408.49144899999</v>
      </c>
      <c r="F66" s="397">
        <f t="shared" si="1"/>
        <v>202.10535529973822</v>
      </c>
      <c r="G66" s="390"/>
      <c r="H66" s="390"/>
      <c r="I66" s="390"/>
      <c r="J66" s="390"/>
      <c r="K66" s="390"/>
      <c r="L66" s="390"/>
    </row>
    <row r="67" spans="2:12" s="21" customFormat="1">
      <c r="B67" s="362"/>
      <c r="C67" s="336" t="s">
        <v>406</v>
      </c>
      <c r="D67" s="374">
        <v>0</v>
      </c>
      <c r="E67" s="364">
        <v>147048.501449</v>
      </c>
      <c r="F67" s="397">
        <f t="shared" si="1"/>
        <v>0</v>
      </c>
      <c r="G67" s="390"/>
      <c r="H67" s="390"/>
      <c r="I67" s="390"/>
      <c r="J67" s="390"/>
      <c r="K67" s="390"/>
      <c r="L67" s="390"/>
    </row>
    <row r="68" spans="2:12" s="21" customFormat="1">
      <c r="B68" s="362"/>
      <c r="C68" s="365" t="s">
        <v>407</v>
      </c>
      <c r="D68" s="364">
        <v>1207</v>
      </c>
      <c r="E68" s="364">
        <v>7359.9900000000007</v>
      </c>
      <c r="F68" s="397">
        <f t="shared" si="1"/>
        <v>609.77547638773831</v>
      </c>
      <c r="G68" s="390"/>
      <c r="H68" s="390"/>
      <c r="I68" s="390"/>
      <c r="J68" s="390"/>
      <c r="K68" s="390"/>
      <c r="L68" s="390"/>
    </row>
    <row r="69" spans="2:12" s="21" customFormat="1">
      <c r="B69" s="362"/>
      <c r="C69" s="365" t="s">
        <v>408</v>
      </c>
      <c r="D69" s="364">
        <v>75193</v>
      </c>
      <c r="E69" s="364"/>
      <c r="F69" s="397">
        <f t="shared" si="1"/>
        <v>0</v>
      </c>
      <c r="G69" s="390"/>
      <c r="H69" s="390"/>
      <c r="I69" s="390"/>
      <c r="J69" s="390"/>
      <c r="K69" s="390"/>
      <c r="L69" s="390"/>
    </row>
    <row r="70" spans="2:12">
      <c r="B70" s="357" t="s">
        <v>209</v>
      </c>
      <c r="C70" s="358" t="s">
        <v>210</v>
      </c>
      <c r="D70" s="68">
        <f>D71+D81</f>
        <v>513612</v>
      </c>
      <c r="E70" s="68">
        <f>E71+E81</f>
        <v>499104.03178000002</v>
      </c>
      <c r="F70" s="396">
        <f t="shared" si="1"/>
        <v>97.175305830081854</v>
      </c>
    </row>
    <row r="71" spans="2:12">
      <c r="B71" s="357" t="s">
        <v>13</v>
      </c>
      <c r="C71" s="358" t="s">
        <v>169</v>
      </c>
      <c r="D71" s="68">
        <f>D72+D77</f>
        <v>177144</v>
      </c>
      <c r="E71" s="68">
        <f>E72+E77</f>
        <v>65840.808577999996</v>
      </c>
      <c r="F71" s="396">
        <f t="shared" si="1"/>
        <v>37.167958597525171</v>
      </c>
    </row>
    <row r="72" spans="2:12">
      <c r="B72" s="357">
        <v>1</v>
      </c>
      <c r="C72" s="358" t="s">
        <v>211</v>
      </c>
      <c r="D72" s="68">
        <f>SUM(D73:D76)</f>
        <v>143050</v>
      </c>
      <c r="E72" s="68">
        <f>SUM(E73:E76)</f>
        <v>48853.095578</v>
      </c>
      <c r="F72" s="396">
        <f t="shared" si="1"/>
        <v>34.151062969591052</v>
      </c>
    </row>
    <row r="73" spans="2:12" ht="39">
      <c r="B73" s="359" t="s">
        <v>184</v>
      </c>
      <c r="C73" s="360" t="s">
        <v>212</v>
      </c>
      <c r="D73" s="67">
        <v>14289</v>
      </c>
      <c r="E73" s="67">
        <v>11617.646943</v>
      </c>
      <c r="F73" s="397">
        <f t="shared" si="1"/>
        <v>81.304828490447207</v>
      </c>
    </row>
    <row r="74" spans="2:12" ht="39">
      <c r="B74" s="359" t="s">
        <v>185</v>
      </c>
      <c r="C74" s="360" t="s">
        <v>213</v>
      </c>
      <c r="D74" s="67">
        <v>539</v>
      </c>
      <c r="E74" s="67">
        <v>444.06</v>
      </c>
      <c r="F74" s="397">
        <f t="shared" si="1"/>
        <v>82.385899814471244</v>
      </c>
    </row>
    <row r="75" spans="2:12" ht="39">
      <c r="B75" s="359" t="s">
        <v>186</v>
      </c>
      <c r="C75" s="360" t="s">
        <v>215</v>
      </c>
      <c r="D75" s="67">
        <v>125022</v>
      </c>
      <c r="E75" s="67">
        <v>33731.278635000002</v>
      </c>
      <c r="F75" s="397">
        <f t="shared" ref="F75:F138" si="5">IF(D75=0, ,E75/D75*100)</f>
        <v>26.980274379709172</v>
      </c>
    </row>
    <row r="76" spans="2:12" ht="44.25" customHeight="1">
      <c r="B76" s="359" t="s">
        <v>214</v>
      </c>
      <c r="C76" s="360" t="s">
        <v>216</v>
      </c>
      <c r="D76" s="67">
        <v>3200</v>
      </c>
      <c r="E76" s="67">
        <v>3060.11</v>
      </c>
      <c r="F76" s="397">
        <f t="shared" si="5"/>
        <v>95.628437500000004</v>
      </c>
    </row>
    <row r="77" spans="2:12">
      <c r="B77" s="357">
        <v>2</v>
      </c>
      <c r="C77" s="358" t="s">
        <v>217</v>
      </c>
      <c r="D77" s="68">
        <f>D78+D79+D80</f>
        <v>34094</v>
      </c>
      <c r="E77" s="68">
        <f>E78+E79+E80</f>
        <v>16987.713</v>
      </c>
      <c r="F77" s="396">
        <f t="shared" si="5"/>
        <v>49.82610723294421</v>
      </c>
    </row>
    <row r="78" spans="2:12" ht="39">
      <c r="B78" s="359" t="s">
        <v>193</v>
      </c>
      <c r="C78" s="360" t="s">
        <v>212</v>
      </c>
      <c r="D78" s="67">
        <v>6094</v>
      </c>
      <c r="E78" s="67">
        <v>0</v>
      </c>
      <c r="F78" s="397">
        <f t="shared" si="5"/>
        <v>0</v>
      </c>
    </row>
    <row r="79" spans="2:12" ht="39">
      <c r="B79" s="359" t="s">
        <v>194</v>
      </c>
      <c r="C79" s="360" t="s">
        <v>218</v>
      </c>
      <c r="D79" s="67">
        <v>15000</v>
      </c>
      <c r="E79" s="67">
        <v>16987.713</v>
      </c>
      <c r="F79" s="397">
        <f t="shared" si="5"/>
        <v>113.25142</v>
      </c>
    </row>
    <row r="80" spans="2:12" ht="39">
      <c r="B80" s="359" t="s">
        <v>195</v>
      </c>
      <c r="C80" s="360" t="s">
        <v>219</v>
      </c>
      <c r="D80" s="67">
        <v>13000</v>
      </c>
      <c r="E80" s="67">
        <v>0</v>
      </c>
      <c r="F80" s="397">
        <f t="shared" si="5"/>
        <v>0</v>
      </c>
    </row>
    <row r="81" spans="2:6">
      <c r="B81" s="357" t="s">
        <v>18</v>
      </c>
      <c r="C81" s="358" t="s">
        <v>170</v>
      </c>
      <c r="D81" s="68">
        <f>D82+D83+D86+D87+D88+D94+D98+D99+D100+D105+D111+D112+D113+D114+D115+D116+D119+SUM(D144:D151)</f>
        <v>336468</v>
      </c>
      <c r="E81" s="68">
        <f>E82+E83+E86+E87+E88+E94+E98+E99+E100+E105+E111+E112+E113+E114+E115+E116+E119+SUM(E144:E154)</f>
        <v>433263.22320200002</v>
      </c>
      <c r="F81" s="396">
        <f t="shared" si="5"/>
        <v>128.76803238406029</v>
      </c>
    </row>
    <row r="82" spans="2:6">
      <c r="B82" s="357">
        <v>1</v>
      </c>
      <c r="C82" s="358" t="s">
        <v>220</v>
      </c>
      <c r="D82" s="68">
        <v>570</v>
      </c>
      <c r="E82" s="68">
        <v>570</v>
      </c>
      <c r="F82" s="396">
        <f t="shared" si="5"/>
        <v>100</v>
      </c>
    </row>
    <row r="83" spans="2:6" ht="18.75" customHeight="1">
      <c r="B83" s="375">
        <v>2</v>
      </c>
      <c r="C83" s="376" t="s">
        <v>221</v>
      </c>
      <c r="D83" s="377">
        <v>35806</v>
      </c>
      <c r="E83" s="377">
        <v>33754.275999999998</v>
      </c>
      <c r="F83" s="398">
        <f t="shared" si="5"/>
        <v>94.269887728313677</v>
      </c>
    </row>
    <row r="84" spans="2:6" hidden="1">
      <c r="B84" s="378" t="s">
        <v>193</v>
      </c>
      <c r="C84" s="379" t="s">
        <v>222</v>
      </c>
      <c r="D84" s="368">
        <v>33438</v>
      </c>
      <c r="E84" s="368"/>
      <c r="F84" s="398">
        <f t="shared" si="5"/>
        <v>0</v>
      </c>
    </row>
    <row r="85" spans="2:6" hidden="1">
      <c r="B85" s="378" t="s">
        <v>194</v>
      </c>
      <c r="C85" s="379" t="s">
        <v>223</v>
      </c>
      <c r="D85" s="368">
        <v>10437</v>
      </c>
      <c r="E85" s="368"/>
      <c r="F85" s="398">
        <f t="shared" si="5"/>
        <v>0</v>
      </c>
    </row>
    <row r="86" spans="2:6" ht="26">
      <c r="B86" s="375">
        <v>3</v>
      </c>
      <c r="C86" s="376" t="s">
        <v>224</v>
      </c>
      <c r="D86" s="377">
        <v>9550</v>
      </c>
      <c r="E86" s="377">
        <v>9605.107</v>
      </c>
      <c r="F86" s="398">
        <f t="shared" si="5"/>
        <v>100.57703664921466</v>
      </c>
    </row>
    <row r="87" spans="2:6" ht="26">
      <c r="B87" s="375">
        <v>4</v>
      </c>
      <c r="C87" s="376" t="s">
        <v>225</v>
      </c>
      <c r="D87" s="377">
        <v>1579</v>
      </c>
      <c r="E87" s="377">
        <v>1566.6120000000001</v>
      </c>
      <c r="F87" s="398">
        <f t="shared" si="5"/>
        <v>99.215452818239399</v>
      </c>
    </row>
    <row r="88" spans="2:6" ht="52">
      <c r="B88" s="375">
        <v>5</v>
      </c>
      <c r="C88" s="376" t="s">
        <v>226</v>
      </c>
      <c r="D88" s="377">
        <f>D89+D90+D91+D92+D93</f>
        <v>13988</v>
      </c>
      <c r="E88" s="377">
        <f>E89+E90+E91+E92+E93</f>
        <v>11386.5036</v>
      </c>
      <c r="F88" s="398">
        <f t="shared" si="5"/>
        <v>81.401941664283669</v>
      </c>
    </row>
    <row r="89" spans="2:6">
      <c r="B89" s="378" t="s">
        <v>227</v>
      </c>
      <c r="C89" s="379" t="s">
        <v>231</v>
      </c>
      <c r="D89" s="368">
        <v>4711</v>
      </c>
      <c r="E89" s="368">
        <v>4711</v>
      </c>
      <c r="F89" s="399">
        <f t="shared" si="5"/>
        <v>100</v>
      </c>
    </row>
    <row r="90" spans="2:6">
      <c r="B90" s="378" t="s">
        <v>228</v>
      </c>
      <c r="C90" s="379" t="s">
        <v>232</v>
      </c>
      <c r="D90" s="368">
        <v>1982</v>
      </c>
      <c r="E90" s="368">
        <v>1976.1636000000001</v>
      </c>
      <c r="F90" s="399">
        <f t="shared" si="5"/>
        <v>99.705529767911202</v>
      </c>
    </row>
    <row r="91" spans="2:6" ht="26">
      <c r="B91" s="378" t="s">
        <v>229</v>
      </c>
      <c r="C91" s="379" t="s">
        <v>233</v>
      </c>
      <c r="D91" s="368">
        <v>674</v>
      </c>
      <c r="E91" s="368">
        <v>8.34</v>
      </c>
      <c r="F91" s="399">
        <f t="shared" si="5"/>
        <v>1.2373887240356083</v>
      </c>
    </row>
    <row r="92" spans="2:6" ht="26">
      <c r="B92" s="378" t="s">
        <v>230</v>
      </c>
      <c r="C92" s="379" t="s">
        <v>234</v>
      </c>
      <c r="D92" s="368">
        <v>5942</v>
      </c>
      <c r="E92" s="368">
        <v>3896</v>
      </c>
      <c r="F92" s="399">
        <f t="shared" si="5"/>
        <v>65.567149108044433</v>
      </c>
    </row>
    <row r="93" spans="2:6">
      <c r="B93" s="378" t="s">
        <v>463</v>
      </c>
      <c r="C93" s="379" t="s">
        <v>464</v>
      </c>
      <c r="D93" s="368">
        <v>679</v>
      </c>
      <c r="E93" s="368">
        <v>795</v>
      </c>
      <c r="F93" s="399">
        <f t="shared" si="5"/>
        <v>117.08394698085421</v>
      </c>
    </row>
    <row r="94" spans="2:6" ht="39">
      <c r="B94" s="357">
        <v>6</v>
      </c>
      <c r="C94" s="358" t="s">
        <v>235</v>
      </c>
      <c r="D94" s="68">
        <f>D95+D96+D97</f>
        <v>4083</v>
      </c>
      <c r="E94" s="68">
        <f>E95+E96+E97</f>
        <v>2110.58</v>
      </c>
      <c r="F94" s="396">
        <f t="shared" si="5"/>
        <v>51.691893215772708</v>
      </c>
    </row>
    <row r="95" spans="2:6">
      <c r="B95" s="359" t="s">
        <v>236</v>
      </c>
      <c r="C95" s="360" t="s">
        <v>239</v>
      </c>
      <c r="D95" s="67">
        <v>1840</v>
      </c>
      <c r="E95" s="67">
        <v>996</v>
      </c>
      <c r="F95" s="397">
        <f t="shared" si="5"/>
        <v>54.130434782608695</v>
      </c>
    </row>
    <row r="96" spans="2:6" ht="26">
      <c r="B96" s="359" t="s">
        <v>237</v>
      </c>
      <c r="C96" s="360" t="s">
        <v>240</v>
      </c>
      <c r="D96" s="67">
        <v>1963</v>
      </c>
      <c r="E96" s="67">
        <v>834.57999999999993</v>
      </c>
      <c r="F96" s="397">
        <f t="shared" si="5"/>
        <v>42.515537442689755</v>
      </c>
    </row>
    <row r="97" spans="2:6">
      <c r="B97" s="359" t="s">
        <v>238</v>
      </c>
      <c r="C97" s="360" t="s">
        <v>241</v>
      </c>
      <c r="D97" s="67">
        <v>280</v>
      </c>
      <c r="E97" s="67">
        <v>280</v>
      </c>
      <c r="F97" s="397">
        <f t="shared" si="5"/>
        <v>100</v>
      </c>
    </row>
    <row r="98" spans="2:6" ht="39">
      <c r="B98" s="357">
        <v>7</v>
      </c>
      <c r="C98" s="358" t="s">
        <v>242</v>
      </c>
      <c r="D98" s="68">
        <v>42981</v>
      </c>
      <c r="E98" s="68">
        <v>24803</v>
      </c>
      <c r="F98" s="396">
        <f t="shared" si="5"/>
        <v>57.706893743747237</v>
      </c>
    </row>
    <row r="99" spans="2:6">
      <c r="B99" s="357">
        <v>8</v>
      </c>
      <c r="C99" s="358" t="s">
        <v>243</v>
      </c>
      <c r="D99" s="68">
        <v>16307</v>
      </c>
      <c r="E99" s="68">
        <v>16307</v>
      </c>
      <c r="F99" s="396">
        <f t="shared" si="5"/>
        <v>100</v>
      </c>
    </row>
    <row r="100" spans="2:6">
      <c r="B100" s="357">
        <v>9</v>
      </c>
      <c r="C100" s="358" t="s">
        <v>244</v>
      </c>
      <c r="D100" s="68">
        <f>D104+D103+D102+D101</f>
        <v>5683</v>
      </c>
      <c r="E100" s="68">
        <f>E104+E103+E102+E101</f>
        <v>5590.85</v>
      </c>
      <c r="F100" s="396">
        <f t="shared" si="5"/>
        <v>98.378497272567316</v>
      </c>
    </row>
    <row r="101" spans="2:6" ht="26">
      <c r="B101" s="380" t="s">
        <v>15</v>
      </c>
      <c r="C101" s="360" t="s">
        <v>245</v>
      </c>
      <c r="D101" s="67">
        <v>400</v>
      </c>
      <c r="E101" s="67">
        <v>399</v>
      </c>
      <c r="F101" s="397">
        <f t="shared" si="5"/>
        <v>99.75</v>
      </c>
    </row>
    <row r="102" spans="2:6" ht="18.75" customHeight="1">
      <c r="B102" s="380" t="s">
        <v>15</v>
      </c>
      <c r="C102" s="360" t="s">
        <v>246</v>
      </c>
      <c r="D102" s="67">
        <v>426</v>
      </c>
      <c r="E102" s="67">
        <v>334.85</v>
      </c>
      <c r="F102" s="397">
        <f t="shared" si="5"/>
        <v>78.603286384976528</v>
      </c>
    </row>
    <row r="103" spans="2:6" ht="30.75" customHeight="1">
      <c r="B103" s="380" t="s">
        <v>15</v>
      </c>
      <c r="C103" s="360" t="s">
        <v>247</v>
      </c>
      <c r="D103" s="67">
        <v>1757</v>
      </c>
      <c r="E103" s="67">
        <v>1757</v>
      </c>
      <c r="F103" s="397">
        <f t="shared" si="5"/>
        <v>100</v>
      </c>
    </row>
    <row r="104" spans="2:6" ht="26.25" customHeight="1">
      <c r="B104" s="380" t="s">
        <v>15</v>
      </c>
      <c r="C104" s="360" t="s">
        <v>248</v>
      </c>
      <c r="D104" s="67">
        <v>3100</v>
      </c>
      <c r="E104" s="67">
        <v>3100</v>
      </c>
      <c r="F104" s="397">
        <f t="shared" si="5"/>
        <v>100</v>
      </c>
    </row>
    <row r="105" spans="2:6" ht="79.5" customHeight="1">
      <c r="B105" s="381">
        <v>10</v>
      </c>
      <c r="C105" s="382" t="s">
        <v>249</v>
      </c>
      <c r="D105" s="68">
        <f>SUM(D106:D110)</f>
        <v>59862</v>
      </c>
      <c r="E105" s="68">
        <f>SUM(E106:E110)</f>
        <v>55381.900271000006</v>
      </c>
      <c r="F105" s="396">
        <f t="shared" si="5"/>
        <v>92.515953812101174</v>
      </c>
    </row>
    <row r="106" spans="2:6" ht="24.75" customHeight="1">
      <c r="B106" s="359" t="s">
        <v>250</v>
      </c>
      <c r="C106" s="360" t="s">
        <v>255</v>
      </c>
      <c r="D106" s="67">
        <v>17761</v>
      </c>
      <c r="E106" s="67">
        <v>17727.18</v>
      </c>
      <c r="F106" s="397">
        <f t="shared" si="5"/>
        <v>99.809582793761606</v>
      </c>
    </row>
    <row r="107" spans="2:6" ht="15" customHeight="1">
      <c r="B107" s="359" t="s">
        <v>251</v>
      </c>
      <c r="C107" s="360" t="s">
        <v>256</v>
      </c>
      <c r="D107" s="67">
        <v>15555</v>
      </c>
      <c r="E107" s="67">
        <v>13597.076000000001</v>
      </c>
      <c r="F107" s="397">
        <f t="shared" si="5"/>
        <v>87.412896174863391</v>
      </c>
    </row>
    <row r="108" spans="2:6" ht="29.25" customHeight="1">
      <c r="B108" s="359" t="s">
        <v>252</v>
      </c>
      <c r="C108" s="360" t="s">
        <v>257</v>
      </c>
      <c r="D108" s="67">
        <v>3149</v>
      </c>
      <c r="E108" s="67">
        <v>1549.8000000000002</v>
      </c>
      <c r="F108" s="397">
        <f t="shared" si="5"/>
        <v>49.215624007621471</v>
      </c>
    </row>
    <row r="109" spans="2:6" ht="24" customHeight="1">
      <c r="B109" s="359" t="s">
        <v>253</v>
      </c>
      <c r="C109" s="360" t="s">
        <v>258</v>
      </c>
      <c r="D109" s="67">
        <v>3397</v>
      </c>
      <c r="E109" s="67">
        <v>2507.8442709999999</v>
      </c>
      <c r="F109" s="397">
        <f t="shared" si="5"/>
        <v>73.825265557845157</v>
      </c>
    </row>
    <row r="110" spans="2:6" ht="15" customHeight="1">
      <c r="B110" s="359" t="s">
        <v>254</v>
      </c>
      <c r="C110" s="360" t="s">
        <v>259</v>
      </c>
      <c r="D110" s="67">
        <v>20000</v>
      </c>
      <c r="E110" s="67">
        <v>20000</v>
      </c>
      <c r="F110" s="397">
        <f t="shared" si="5"/>
        <v>100</v>
      </c>
    </row>
    <row r="111" spans="2:6" ht="44.25" customHeight="1">
      <c r="B111" s="381">
        <v>11</v>
      </c>
      <c r="C111" s="358" t="s">
        <v>260</v>
      </c>
      <c r="D111" s="68">
        <v>10215</v>
      </c>
      <c r="E111" s="68">
        <v>7834.0640000000003</v>
      </c>
      <c r="F111" s="396">
        <f t="shared" si="5"/>
        <v>76.691767009300051</v>
      </c>
    </row>
    <row r="112" spans="2:6" ht="15" customHeight="1">
      <c r="B112" s="381">
        <v>12</v>
      </c>
      <c r="C112" s="358" t="s">
        <v>261</v>
      </c>
      <c r="D112" s="68">
        <v>10742</v>
      </c>
      <c r="E112" s="68">
        <v>10389.541999999999</v>
      </c>
      <c r="F112" s="396">
        <f t="shared" si="5"/>
        <v>96.718879165890897</v>
      </c>
    </row>
    <row r="113" spans="2:6" ht="28.5" customHeight="1">
      <c r="B113" s="381">
        <v>13</v>
      </c>
      <c r="C113" s="358" t="s">
        <v>262</v>
      </c>
      <c r="D113" s="68">
        <v>2300</v>
      </c>
      <c r="E113" s="68">
        <v>2300</v>
      </c>
      <c r="F113" s="396">
        <f t="shared" si="5"/>
        <v>100</v>
      </c>
    </row>
    <row r="114" spans="2:6" ht="28.5" customHeight="1">
      <c r="B114" s="381">
        <v>14</v>
      </c>
      <c r="C114" s="358" t="s">
        <v>263</v>
      </c>
      <c r="D114" s="68">
        <v>9275</v>
      </c>
      <c r="E114" s="68">
        <v>8968.8723309999987</v>
      </c>
      <c r="F114" s="396">
        <f t="shared" si="5"/>
        <v>96.699432140161719</v>
      </c>
    </row>
    <row r="115" spans="2:6" ht="26">
      <c r="B115" s="381">
        <v>15</v>
      </c>
      <c r="C115" s="358" t="s">
        <v>264</v>
      </c>
      <c r="D115" s="68">
        <v>34113</v>
      </c>
      <c r="E115" s="68">
        <v>53117</v>
      </c>
      <c r="F115" s="396">
        <f t="shared" si="5"/>
        <v>155.70896725588486</v>
      </c>
    </row>
    <row r="116" spans="2:6" ht="30.75" customHeight="1">
      <c r="B116" s="381">
        <v>16</v>
      </c>
      <c r="C116" s="358" t="s">
        <v>265</v>
      </c>
      <c r="D116" s="68">
        <f>D118+D117</f>
        <v>7507</v>
      </c>
      <c r="E116" s="68">
        <f>E118+E117</f>
        <v>15956</v>
      </c>
      <c r="F116" s="396">
        <f t="shared" si="5"/>
        <v>212.54828826428667</v>
      </c>
    </row>
    <row r="117" spans="2:6" ht="27.75" customHeight="1">
      <c r="B117" s="359" t="s">
        <v>266</v>
      </c>
      <c r="C117" s="360" t="s">
        <v>268</v>
      </c>
      <c r="D117" s="67">
        <v>5090</v>
      </c>
      <c r="E117" s="67">
        <v>7848</v>
      </c>
      <c r="F117" s="397">
        <f t="shared" si="5"/>
        <v>154.18467583497053</v>
      </c>
    </row>
    <row r="118" spans="2:6" ht="25.5" customHeight="1">
      <c r="B118" s="359" t="s">
        <v>267</v>
      </c>
      <c r="C118" s="360" t="s">
        <v>269</v>
      </c>
      <c r="D118" s="67">
        <v>2417</v>
      </c>
      <c r="E118" s="67">
        <v>8108</v>
      </c>
      <c r="F118" s="397">
        <f t="shared" si="5"/>
        <v>335.45717832023166</v>
      </c>
    </row>
    <row r="119" spans="2:6" ht="15" customHeight="1">
      <c r="B119" s="381">
        <v>17</v>
      </c>
      <c r="C119" s="358" t="s">
        <v>270</v>
      </c>
      <c r="D119" s="68">
        <f>D120+D124+D125+D130+D138+D139+D140+D141+D142+D143</f>
        <v>71907</v>
      </c>
      <c r="E119" s="68">
        <f>E120+E124+E125+E130+E138+E139+E140+E141+E142+E143</f>
        <v>94535</v>
      </c>
      <c r="F119" s="396">
        <f t="shared" si="5"/>
        <v>131.46842449274757</v>
      </c>
    </row>
    <row r="120" spans="2:6" ht="27" customHeight="1">
      <c r="B120" s="359" t="s">
        <v>271</v>
      </c>
      <c r="C120" s="360" t="s">
        <v>272</v>
      </c>
      <c r="D120" s="67">
        <f>D121+D122+D123</f>
        <v>6680</v>
      </c>
      <c r="E120" s="67">
        <v>6395</v>
      </c>
      <c r="F120" s="397">
        <f t="shared" si="5"/>
        <v>95.733532934131745</v>
      </c>
    </row>
    <row r="121" spans="2:6" ht="15" hidden="1" customHeight="1">
      <c r="B121" s="359" t="s">
        <v>274</v>
      </c>
      <c r="C121" s="360" t="s">
        <v>276</v>
      </c>
      <c r="D121" s="67">
        <v>6000</v>
      </c>
      <c r="E121" s="67"/>
      <c r="F121" s="397">
        <f t="shared" si="5"/>
        <v>0</v>
      </c>
    </row>
    <row r="122" spans="2:6" ht="15" hidden="1" customHeight="1">
      <c r="B122" s="359" t="s">
        <v>275</v>
      </c>
      <c r="C122" s="360" t="s">
        <v>277</v>
      </c>
      <c r="D122" s="67">
        <v>380</v>
      </c>
      <c r="E122" s="67"/>
      <c r="F122" s="397">
        <f t="shared" si="5"/>
        <v>0</v>
      </c>
    </row>
    <row r="123" spans="2:6" ht="15" hidden="1" customHeight="1">
      <c r="B123" s="359" t="s">
        <v>278</v>
      </c>
      <c r="C123" s="360" t="s">
        <v>279</v>
      </c>
      <c r="D123" s="67">
        <v>300</v>
      </c>
      <c r="E123" s="67"/>
      <c r="F123" s="397">
        <f t="shared" si="5"/>
        <v>0</v>
      </c>
    </row>
    <row r="124" spans="2:6" ht="26.25" customHeight="1">
      <c r="B124" s="359" t="s">
        <v>273</v>
      </c>
      <c r="C124" s="360" t="s">
        <v>280</v>
      </c>
      <c r="D124" s="67">
        <v>20900</v>
      </c>
      <c r="E124" s="67">
        <v>38490</v>
      </c>
      <c r="F124" s="397">
        <f t="shared" si="5"/>
        <v>184.16267942583733</v>
      </c>
    </row>
    <row r="125" spans="2:6" ht="15" customHeight="1">
      <c r="B125" s="359" t="s">
        <v>281</v>
      </c>
      <c r="C125" s="360" t="s">
        <v>282</v>
      </c>
      <c r="D125" s="67">
        <f>D126+D127+D128+D129</f>
        <v>4361</v>
      </c>
      <c r="E125" s="67">
        <v>3849</v>
      </c>
      <c r="F125" s="397">
        <f t="shared" si="5"/>
        <v>88.259573492318282</v>
      </c>
    </row>
    <row r="126" spans="2:6" ht="28.5" hidden="1" customHeight="1">
      <c r="B126" s="359" t="s">
        <v>274</v>
      </c>
      <c r="C126" s="360" t="s">
        <v>284</v>
      </c>
      <c r="D126" s="67">
        <v>200</v>
      </c>
      <c r="E126" s="67"/>
      <c r="F126" s="397">
        <f t="shared" si="5"/>
        <v>0</v>
      </c>
    </row>
    <row r="127" spans="2:6" ht="15" hidden="1" customHeight="1">
      <c r="B127" s="359" t="s">
        <v>275</v>
      </c>
      <c r="C127" s="360" t="s">
        <v>285</v>
      </c>
      <c r="D127" s="67">
        <v>2348</v>
      </c>
      <c r="E127" s="67"/>
      <c r="F127" s="397">
        <f t="shared" si="5"/>
        <v>0</v>
      </c>
    </row>
    <row r="128" spans="2:6" ht="15" hidden="1" customHeight="1">
      <c r="B128" s="359" t="s">
        <v>278</v>
      </c>
      <c r="C128" s="360" t="s">
        <v>286</v>
      </c>
      <c r="D128" s="67">
        <v>563</v>
      </c>
      <c r="E128" s="67"/>
      <c r="F128" s="397">
        <f t="shared" si="5"/>
        <v>0</v>
      </c>
    </row>
    <row r="129" spans="2:12" ht="28.5" hidden="1" customHeight="1">
      <c r="B129" s="359" t="s">
        <v>283</v>
      </c>
      <c r="C129" s="360" t="s">
        <v>287</v>
      </c>
      <c r="D129" s="67">
        <v>1250</v>
      </c>
      <c r="E129" s="67"/>
      <c r="F129" s="397">
        <f t="shared" si="5"/>
        <v>0</v>
      </c>
    </row>
    <row r="130" spans="2:12" ht="15" customHeight="1">
      <c r="B130" s="359" t="s">
        <v>288</v>
      </c>
      <c r="C130" s="360" t="s">
        <v>289</v>
      </c>
      <c r="D130" s="67">
        <f>SUM(D131:D137)</f>
        <v>6405</v>
      </c>
      <c r="E130" s="67">
        <v>4667</v>
      </c>
      <c r="F130" s="397">
        <f t="shared" si="5"/>
        <v>72.864949258391889</v>
      </c>
    </row>
    <row r="131" spans="2:12" ht="31.5" hidden="1" customHeight="1">
      <c r="B131" s="359" t="s">
        <v>274</v>
      </c>
      <c r="C131" s="360" t="s">
        <v>292</v>
      </c>
      <c r="D131" s="67">
        <v>1030</v>
      </c>
      <c r="E131" s="67"/>
      <c r="F131" s="397">
        <f t="shared" si="5"/>
        <v>0</v>
      </c>
    </row>
    <row r="132" spans="2:12" ht="15" hidden="1" customHeight="1">
      <c r="B132" s="359" t="s">
        <v>275</v>
      </c>
      <c r="C132" s="360" t="s">
        <v>293</v>
      </c>
      <c r="D132" s="67">
        <v>25</v>
      </c>
      <c r="E132" s="67"/>
      <c r="F132" s="397">
        <f t="shared" si="5"/>
        <v>0</v>
      </c>
    </row>
    <row r="133" spans="2:12" ht="15" hidden="1" customHeight="1">
      <c r="B133" s="359" t="s">
        <v>278</v>
      </c>
      <c r="C133" s="360" t="s">
        <v>294</v>
      </c>
      <c r="D133" s="67">
        <v>2590</v>
      </c>
      <c r="E133" s="67"/>
      <c r="F133" s="397">
        <f t="shared" si="5"/>
        <v>0</v>
      </c>
    </row>
    <row r="134" spans="2:12" ht="15" hidden="1" customHeight="1">
      <c r="B134" s="359" t="s">
        <v>283</v>
      </c>
      <c r="C134" s="360" t="s">
        <v>295</v>
      </c>
      <c r="D134" s="67">
        <v>1395</v>
      </c>
      <c r="E134" s="67"/>
      <c r="F134" s="397">
        <f t="shared" si="5"/>
        <v>0</v>
      </c>
    </row>
    <row r="135" spans="2:12" ht="15" hidden="1" customHeight="1">
      <c r="B135" s="359" t="s">
        <v>297</v>
      </c>
      <c r="C135" s="360" t="s">
        <v>296</v>
      </c>
      <c r="D135" s="67">
        <v>550</v>
      </c>
      <c r="E135" s="67"/>
      <c r="F135" s="397">
        <f t="shared" si="5"/>
        <v>0</v>
      </c>
    </row>
    <row r="136" spans="2:12" ht="15" hidden="1" customHeight="1">
      <c r="B136" s="359" t="s">
        <v>290</v>
      </c>
      <c r="C136" s="360" t="s">
        <v>298</v>
      </c>
      <c r="D136" s="67">
        <v>10</v>
      </c>
      <c r="E136" s="67"/>
      <c r="F136" s="397">
        <f t="shared" si="5"/>
        <v>0</v>
      </c>
    </row>
    <row r="137" spans="2:12" ht="15" hidden="1" customHeight="1">
      <c r="B137" s="359" t="s">
        <v>291</v>
      </c>
      <c r="C137" s="360" t="s">
        <v>299</v>
      </c>
      <c r="D137" s="67">
        <v>805</v>
      </c>
      <c r="E137" s="67"/>
      <c r="F137" s="397">
        <f t="shared" si="5"/>
        <v>0</v>
      </c>
    </row>
    <row r="138" spans="2:12" ht="15" customHeight="1">
      <c r="B138" s="359" t="s">
        <v>300</v>
      </c>
      <c r="C138" s="360" t="s">
        <v>301</v>
      </c>
      <c r="D138" s="67">
        <v>2081</v>
      </c>
      <c r="E138" s="67">
        <v>2076</v>
      </c>
      <c r="F138" s="397">
        <f t="shared" si="5"/>
        <v>99.759730898606435</v>
      </c>
    </row>
    <row r="139" spans="2:12" ht="15" customHeight="1">
      <c r="B139" s="359" t="s">
        <v>302</v>
      </c>
      <c r="C139" s="360" t="s">
        <v>307</v>
      </c>
      <c r="D139" s="67">
        <v>1590</v>
      </c>
      <c r="E139" s="67">
        <v>1590</v>
      </c>
      <c r="F139" s="397">
        <f t="shared" ref="F139:F143" si="6">IF(D139=0, ,E139/D139*100)</f>
        <v>100</v>
      </c>
    </row>
    <row r="140" spans="2:12" ht="15" customHeight="1">
      <c r="B140" s="359" t="s">
        <v>303</v>
      </c>
      <c r="C140" s="360" t="s">
        <v>308</v>
      </c>
      <c r="D140" s="67">
        <v>27700</v>
      </c>
      <c r="E140" s="67">
        <v>33766</v>
      </c>
      <c r="F140" s="397">
        <f t="shared" si="6"/>
        <v>121.89891696750902</v>
      </c>
    </row>
    <row r="141" spans="2:12" ht="15" customHeight="1">
      <c r="B141" s="359" t="s">
        <v>304</v>
      </c>
      <c r="C141" s="360" t="s">
        <v>309</v>
      </c>
      <c r="D141" s="67">
        <v>290</v>
      </c>
      <c r="E141" s="67">
        <v>265</v>
      </c>
      <c r="F141" s="397">
        <f t="shared" si="6"/>
        <v>91.379310344827587</v>
      </c>
    </row>
    <row r="142" spans="2:12" ht="26.25" customHeight="1">
      <c r="B142" s="359" t="s">
        <v>305</v>
      </c>
      <c r="C142" s="360" t="s">
        <v>310</v>
      </c>
      <c r="D142" s="67">
        <v>400</v>
      </c>
      <c r="E142" s="67">
        <v>1073</v>
      </c>
      <c r="F142" s="397">
        <f t="shared" si="6"/>
        <v>268.25</v>
      </c>
    </row>
    <row r="143" spans="2:12" ht="27" customHeight="1">
      <c r="B143" s="359" t="s">
        <v>306</v>
      </c>
      <c r="C143" s="360" t="s">
        <v>311</v>
      </c>
      <c r="D143" s="67">
        <v>1500</v>
      </c>
      <c r="E143" s="67">
        <v>2364</v>
      </c>
      <c r="F143" s="397">
        <f t="shared" si="6"/>
        <v>157.6</v>
      </c>
    </row>
    <row r="144" spans="2:12" s="86" customFormat="1" ht="26">
      <c r="B144" s="381">
        <v>18</v>
      </c>
      <c r="C144" s="358" t="s">
        <v>506</v>
      </c>
      <c r="D144" s="68"/>
      <c r="E144" s="68">
        <v>9427</v>
      </c>
      <c r="F144" s="397"/>
      <c r="G144" s="393"/>
      <c r="H144" s="393"/>
      <c r="I144" s="393"/>
      <c r="J144" s="393"/>
      <c r="K144" s="393"/>
      <c r="L144" s="393"/>
    </row>
    <row r="145" spans="2:12" s="86" customFormat="1" ht="26">
      <c r="B145" s="381">
        <v>19</v>
      </c>
      <c r="C145" s="358" t="s">
        <v>507</v>
      </c>
      <c r="D145" s="68"/>
      <c r="E145" s="68">
        <v>9500</v>
      </c>
      <c r="F145" s="397"/>
      <c r="G145" s="393"/>
      <c r="H145" s="393"/>
      <c r="I145" s="393"/>
      <c r="J145" s="393"/>
      <c r="K145" s="393"/>
      <c r="L145" s="393"/>
    </row>
    <row r="146" spans="2:12" s="86" customFormat="1" ht="39">
      <c r="B146" s="381">
        <v>20</v>
      </c>
      <c r="C146" s="358" t="s">
        <v>508</v>
      </c>
      <c r="D146" s="68"/>
      <c r="E146" s="68">
        <v>11078.71</v>
      </c>
      <c r="F146" s="397"/>
      <c r="G146" s="393"/>
      <c r="H146" s="393"/>
      <c r="I146" s="393"/>
      <c r="J146" s="393"/>
      <c r="K146" s="393"/>
      <c r="L146" s="393"/>
    </row>
    <row r="147" spans="2:12" s="86" customFormat="1" ht="26">
      <c r="B147" s="381">
        <v>21</v>
      </c>
      <c r="C147" s="358" t="s">
        <v>509</v>
      </c>
      <c r="D147" s="68"/>
      <c r="E147" s="68">
        <v>3437.7889999999998</v>
      </c>
      <c r="F147" s="397"/>
      <c r="G147" s="393"/>
      <c r="H147" s="393"/>
      <c r="I147" s="393"/>
      <c r="J147" s="393"/>
      <c r="K147" s="393"/>
      <c r="L147" s="393"/>
    </row>
    <row r="148" spans="2:12" s="86" customFormat="1" ht="26">
      <c r="B148" s="381">
        <v>22</v>
      </c>
      <c r="C148" s="358" t="s">
        <v>510</v>
      </c>
      <c r="D148" s="68"/>
      <c r="E148" s="68">
        <v>2876</v>
      </c>
      <c r="F148" s="397"/>
      <c r="G148" s="393"/>
      <c r="H148" s="393"/>
      <c r="I148" s="393"/>
      <c r="J148" s="393"/>
      <c r="K148" s="393"/>
      <c r="L148" s="393"/>
    </row>
    <row r="149" spans="2:12" s="86" customFormat="1" ht="26">
      <c r="B149" s="381">
        <v>23</v>
      </c>
      <c r="C149" s="358" t="s">
        <v>511</v>
      </c>
      <c r="D149" s="68"/>
      <c r="E149" s="68">
        <v>3072</v>
      </c>
      <c r="F149" s="397"/>
      <c r="G149" s="393"/>
      <c r="H149" s="393"/>
      <c r="I149" s="393"/>
      <c r="J149" s="393"/>
      <c r="K149" s="393"/>
      <c r="L149" s="393"/>
    </row>
    <row r="150" spans="2:12" s="86" customFormat="1" ht="26">
      <c r="B150" s="381">
        <v>24</v>
      </c>
      <c r="C150" s="358" t="s">
        <v>512</v>
      </c>
      <c r="D150" s="68"/>
      <c r="E150" s="68">
        <v>6700</v>
      </c>
      <c r="F150" s="397"/>
      <c r="G150" s="393"/>
      <c r="H150" s="393"/>
      <c r="I150" s="393"/>
      <c r="J150" s="393"/>
      <c r="K150" s="393"/>
      <c r="L150" s="393"/>
    </row>
    <row r="151" spans="2:12" s="86" customFormat="1">
      <c r="B151" s="381">
        <v>25</v>
      </c>
      <c r="C151" s="358" t="s">
        <v>513</v>
      </c>
      <c r="D151" s="68"/>
      <c r="E151" s="68">
        <v>27512.502</v>
      </c>
      <c r="F151" s="397"/>
      <c r="G151" s="393"/>
      <c r="H151" s="393"/>
      <c r="I151" s="393"/>
      <c r="J151" s="393"/>
      <c r="K151" s="393"/>
      <c r="L151" s="393"/>
    </row>
    <row r="152" spans="2:12" s="86" customFormat="1">
      <c r="B152" s="381">
        <v>26</v>
      </c>
      <c r="C152" s="358" t="s">
        <v>810</v>
      </c>
      <c r="D152" s="68"/>
      <c r="E152" s="68">
        <v>1458.145</v>
      </c>
      <c r="F152" s="397"/>
      <c r="G152" s="393"/>
      <c r="H152" s="393"/>
      <c r="I152" s="393"/>
      <c r="J152" s="393"/>
      <c r="K152" s="393"/>
      <c r="L152" s="393"/>
    </row>
    <row r="153" spans="2:12" s="86" customFormat="1">
      <c r="B153" s="381">
        <v>27</v>
      </c>
      <c r="C153" s="358" t="s">
        <v>813</v>
      </c>
      <c r="D153" s="68"/>
      <c r="E153" s="68">
        <v>74.770000000000437</v>
      </c>
      <c r="F153" s="397"/>
      <c r="G153" s="393"/>
      <c r="H153" s="393"/>
      <c r="I153" s="393"/>
      <c r="J153" s="393"/>
      <c r="K153" s="393"/>
      <c r="L153" s="393"/>
    </row>
    <row r="154" spans="2:12" s="86" customFormat="1">
      <c r="B154" s="381">
        <v>28</v>
      </c>
      <c r="C154" s="358" t="s">
        <v>826</v>
      </c>
      <c r="D154" s="68"/>
      <c r="E154" s="68">
        <v>3950</v>
      </c>
      <c r="F154" s="397"/>
      <c r="G154" s="393"/>
      <c r="H154" s="393"/>
      <c r="I154" s="393"/>
      <c r="J154" s="393"/>
      <c r="K154" s="393"/>
      <c r="L154" s="393"/>
    </row>
    <row r="155" spans="2:12" s="86" customFormat="1">
      <c r="B155" s="357" t="s">
        <v>40</v>
      </c>
      <c r="C155" s="358" t="s">
        <v>122</v>
      </c>
      <c r="D155" s="67"/>
      <c r="E155" s="383">
        <f>'60'!G15</f>
        <v>2587635.338399</v>
      </c>
      <c r="F155" s="397"/>
      <c r="G155" s="393"/>
      <c r="H155" s="393"/>
      <c r="I155" s="393"/>
      <c r="J155" s="393"/>
      <c r="K155" s="393"/>
      <c r="L155" s="393"/>
    </row>
    <row r="156" spans="2:12" s="19" customFormat="1">
      <c r="B156" s="384" t="s">
        <v>42</v>
      </c>
      <c r="C156" s="385" t="s">
        <v>886</v>
      </c>
      <c r="D156" s="71"/>
      <c r="E156" s="386">
        <f>'60'!G16</f>
        <v>71308.978482000006</v>
      </c>
      <c r="F156" s="400"/>
      <c r="G156" s="390"/>
      <c r="H156" s="390"/>
      <c r="I156" s="390"/>
      <c r="J156" s="390"/>
      <c r="K156" s="390"/>
      <c r="L156" s="390"/>
    </row>
    <row r="158" spans="2:12" ht="36.75" customHeight="1">
      <c r="B158" s="580" t="s">
        <v>181</v>
      </c>
      <c r="C158" s="580"/>
      <c r="D158" s="580"/>
      <c r="E158" s="580"/>
      <c r="F158" s="580"/>
    </row>
    <row r="159" spans="2:12" ht="36.75" customHeight="1">
      <c r="B159" s="581" t="s">
        <v>1104</v>
      </c>
      <c r="C159" s="581"/>
      <c r="D159" s="581"/>
      <c r="E159" s="581"/>
      <c r="F159" s="581"/>
    </row>
  </sheetData>
  <mergeCells count="6">
    <mergeCell ref="B2:F2"/>
    <mergeCell ref="B3:F3"/>
    <mergeCell ref="B158:F158"/>
    <mergeCell ref="B159:F159"/>
    <mergeCell ref="E1:F1"/>
    <mergeCell ref="E4:F4"/>
  </mergeCells>
  <dataValidations count="3">
    <dataValidation allowBlank="1" showInputMessage="1" showErrorMessage="1" prompt="Vốn 2018 chuyển sang 1988 (chưa cộng vào dự toán)" sqref="D79" xr:uid="{00000000-0002-0000-0300-000000000000}"/>
    <dataValidation allowBlank="1" showInputMessage="1" showErrorMessage="1" prompt="Đã bao gồm 13,301 trđ thu hồi vốn ứng trước theo VB số 3418/UBND-KTTH ngày 10/9/2020" sqref="E15" xr:uid="{00000000-0002-0000-0300-000001000000}"/>
    <dataValidation allowBlank="1" showInputMessage="1" showErrorMessage="1" prompt="Bộ Tài chính điều chỉnh giảm 36 tỷ tại VB số 3863/BTC-NSNN ngày 01/4/2020" sqref="D43" xr:uid="{00000000-0002-0000-0300-000002000000}"/>
  </dataValidations>
  <pageMargins left="0.19685039370078741" right="0.19685039370078741" top="0.23622047244094491" bottom="0.23622047244094491" header="0.19685039370078741" footer="0.19685039370078741"/>
  <pageSetup paperSize="9" scale="9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M58"/>
  <sheetViews>
    <sheetView showZeros="0" workbookViewId="0">
      <pane xSplit="3" ySplit="7" topLeftCell="D26" activePane="bottomRight" state="frozen"/>
      <selection pane="topRight" activeCell="D1" sqref="D1"/>
      <selection pane="bottomLeft" activeCell="A9" sqref="A9"/>
      <selection pane="bottomRight" activeCell="D26" sqref="D26"/>
    </sheetView>
  </sheetViews>
  <sheetFormatPr defaultColWidth="9.1796875" defaultRowHeight="14"/>
  <cols>
    <col min="1" max="1" width="9.1796875" style="6"/>
    <col min="2" max="2" width="4.7265625" style="6" customWidth="1"/>
    <col min="3" max="3" width="37" style="6" customWidth="1"/>
    <col min="4" max="4" width="13" style="6" customWidth="1"/>
    <col min="5" max="5" width="10.7265625" style="6" customWidth="1"/>
    <col min="6" max="6" width="11.26953125" style="6" customWidth="1"/>
    <col min="7" max="7" width="10.81640625" style="6" customWidth="1"/>
    <col min="8" max="8" width="9.1796875" style="6"/>
    <col min="9" max="9" width="16.453125" style="6" customWidth="1"/>
    <col min="10" max="10" width="10.54296875" style="6" bestFit="1" customWidth="1"/>
    <col min="11" max="11" width="12.7265625" style="6" customWidth="1"/>
    <col min="12" max="12" width="13.81640625" style="6" customWidth="1"/>
    <col min="13" max="16384" width="9.1796875" style="6"/>
  </cols>
  <sheetData>
    <row r="1" spans="2:9">
      <c r="F1" s="572" t="s">
        <v>366</v>
      </c>
      <c r="G1" s="572"/>
    </row>
    <row r="2" spans="2:9" ht="27" customHeight="1">
      <c r="B2" s="577" t="s">
        <v>1113</v>
      </c>
      <c r="C2" s="577"/>
      <c r="D2" s="577"/>
      <c r="E2" s="577"/>
      <c r="F2" s="577"/>
      <c r="G2" s="577"/>
    </row>
    <row r="3" spans="2:9">
      <c r="B3" s="584" t="s">
        <v>1112</v>
      </c>
      <c r="C3" s="584"/>
      <c r="D3" s="584"/>
      <c r="E3" s="584"/>
      <c r="F3" s="584"/>
      <c r="G3" s="584"/>
      <c r="H3" s="567"/>
    </row>
    <row r="4" spans="2:9">
      <c r="B4" s="402"/>
      <c r="C4" s="403"/>
      <c r="D4" s="403"/>
      <c r="E4" s="404"/>
      <c r="F4" s="576" t="s">
        <v>53</v>
      </c>
      <c r="G4" s="576"/>
    </row>
    <row r="5" spans="2:9">
      <c r="B5" s="585" t="s">
        <v>1</v>
      </c>
      <c r="C5" s="585" t="s">
        <v>54</v>
      </c>
      <c r="D5" s="585" t="s">
        <v>3</v>
      </c>
      <c r="E5" s="585" t="s">
        <v>4</v>
      </c>
      <c r="F5" s="585" t="s">
        <v>5</v>
      </c>
      <c r="G5" s="585"/>
    </row>
    <row r="6" spans="2:9" ht="26">
      <c r="B6" s="585"/>
      <c r="C6" s="585"/>
      <c r="D6" s="585"/>
      <c r="E6" s="585"/>
      <c r="F6" s="439" t="s">
        <v>6</v>
      </c>
      <c r="G6" s="439" t="s">
        <v>1106</v>
      </c>
    </row>
    <row r="7" spans="2:9">
      <c r="B7" s="439" t="s">
        <v>8</v>
      </c>
      <c r="C7" s="439" t="s">
        <v>9</v>
      </c>
      <c r="D7" s="439">
        <v>1</v>
      </c>
      <c r="E7" s="439">
        <v>2</v>
      </c>
      <c r="F7" s="439" t="s">
        <v>10</v>
      </c>
      <c r="G7" s="439" t="s">
        <v>11</v>
      </c>
      <c r="I7" s="563"/>
    </row>
    <row r="8" spans="2:9" ht="18" customHeight="1">
      <c r="B8" s="405"/>
      <c r="C8" s="406" t="s">
        <v>28</v>
      </c>
      <c r="D8" s="407">
        <f>D9+D10+D48+D49</f>
        <v>5410133</v>
      </c>
      <c r="E8" s="407">
        <f>E9+E10+E48+E49</f>
        <v>7624095.9839699995</v>
      </c>
      <c r="F8" s="407">
        <f>F9+F10+F48+F49</f>
        <v>2182025.9839700004</v>
      </c>
      <c r="G8" s="416">
        <f>IF(D8=0,0,E8/D8*100)</f>
        <v>140.92252415920271</v>
      </c>
      <c r="I8" s="563"/>
    </row>
    <row r="9" spans="2:9" ht="26">
      <c r="B9" s="357" t="s">
        <v>8</v>
      </c>
      <c r="C9" s="358" t="s">
        <v>123</v>
      </c>
      <c r="D9" s="408">
        <v>1913342</v>
      </c>
      <c r="E9" s="408">
        <v>1913342</v>
      </c>
      <c r="F9" s="408">
        <f>E9-D9</f>
        <v>0</v>
      </c>
      <c r="G9" s="396">
        <f>IF(D9=0,0,E9/D9*100)</f>
        <v>100</v>
      </c>
      <c r="I9" s="562">
        <f>E9-'Bieu 54_NS_DT'!T125</f>
        <v>920379</v>
      </c>
    </row>
    <row r="10" spans="2:9" s="19" customFormat="1" ht="26">
      <c r="B10" s="357" t="s">
        <v>9</v>
      </c>
      <c r="C10" s="358" t="s">
        <v>124</v>
      </c>
      <c r="D10" s="408">
        <f>D11+D29+D43+D44+D45+D46</f>
        <v>3496791</v>
      </c>
      <c r="E10" s="408">
        <f>E11+E29+E43+E44+E45+E46+E28+E47</f>
        <v>3715058.1660869997</v>
      </c>
      <c r="F10" s="408">
        <f>F11+F29+F43+F44+F45+F46</f>
        <v>186330.16608700022</v>
      </c>
      <c r="G10" s="396">
        <f t="shared" ref="G10:G12" si="0">IF(D10=0,0,E10/D10*100)</f>
        <v>106.24192770134103</v>
      </c>
      <c r="I10" s="562"/>
    </row>
    <row r="11" spans="2:9" s="19" customFormat="1">
      <c r="B11" s="357" t="s">
        <v>13</v>
      </c>
      <c r="C11" s="358" t="s">
        <v>125</v>
      </c>
      <c r="D11" s="408">
        <f>D12+D26+D27</f>
        <v>1417277.9999999998</v>
      </c>
      <c r="E11" s="408">
        <f>E12+E26+E27</f>
        <v>1725903.1915369998</v>
      </c>
      <c r="F11" s="408">
        <f>F12+F26+F27</f>
        <v>305688.19153700006</v>
      </c>
      <c r="G11" s="396">
        <f t="shared" si="0"/>
        <v>121.77591069197433</v>
      </c>
      <c r="I11" s="562"/>
    </row>
    <row r="12" spans="2:9" s="19" customFormat="1">
      <c r="B12" s="357">
        <v>1</v>
      </c>
      <c r="C12" s="358" t="s">
        <v>126</v>
      </c>
      <c r="D12" s="408">
        <f>SUM(D13:D25)</f>
        <v>1415699.9999999998</v>
      </c>
      <c r="E12" s="408">
        <f>SUM(E13:E25)</f>
        <v>1721388.1915369998</v>
      </c>
      <c r="F12" s="408">
        <f>SUM(F13:F25)</f>
        <v>305688.19153700006</v>
      </c>
      <c r="G12" s="396">
        <f t="shared" si="0"/>
        <v>121.59272384947377</v>
      </c>
      <c r="I12" s="562">
        <v>1413776</v>
      </c>
    </row>
    <row r="13" spans="2:9" s="19" customFormat="1">
      <c r="B13" s="359" t="s">
        <v>15</v>
      </c>
      <c r="C13" s="360" t="s">
        <v>110</v>
      </c>
      <c r="D13" s="409">
        <v>41726.654000000002</v>
      </c>
      <c r="E13" s="409">
        <v>58915.729569000003</v>
      </c>
      <c r="F13" s="409">
        <f>E13-D13</f>
        <v>17189.075569000001</v>
      </c>
      <c r="G13" s="397">
        <f>IF(D13=0,0,E13/D13*100)</f>
        <v>141.19447384638127</v>
      </c>
      <c r="I13" s="562">
        <f>D11-I12</f>
        <v>3501.9999999997672</v>
      </c>
    </row>
    <row r="14" spans="2:9" s="19" customFormat="1">
      <c r="B14" s="359" t="s">
        <v>15</v>
      </c>
      <c r="C14" s="360" t="s">
        <v>118</v>
      </c>
      <c r="D14" s="409">
        <v>17609.274000000001</v>
      </c>
      <c r="E14" s="409">
        <v>17609.274000000001</v>
      </c>
      <c r="F14" s="409">
        <f t="shared" ref="F14:F24" si="1">E14-D14</f>
        <v>0</v>
      </c>
      <c r="G14" s="397">
        <f t="shared" ref="G14:G29" si="2">IF(D14=0,0,E14/D14*100)</f>
        <v>100</v>
      </c>
      <c r="I14" s="562">
        <v>3500</v>
      </c>
    </row>
    <row r="15" spans="2:9" s="19" customFormat="1">
      <c r="B15" s="359" t="s">
        <v>15</v>
      </c>
      <c r="C15" s="360" t="s">
        <v>127</v>
      </c>
      <c r="D15" s="409">
        <v>29273.994999999999</v>
      </c>
      <c r="E15" s="409">
        <v>98530.870353000006</v>
      </c>
      <c r="F15" s="409">
        <f t="shared" si="1"/>
        <v>69256.87535300001</v>
      </c>
      <c r="G15" s="397">
        <f t="shared" si="2"/>
        <v>336.58156446702952</v>
      </c>
      <c r="I15" s="562">
        <f>26104+19854+14400+12503+13841</f>
        <v>86702</v>
      </c>
    </row>
    <row r="16" spans="2:9" s="19" customFormat="1">
      <c r="B16" s="359" t="s">
        <v>15</v>
      </c>
      <c r="C16" s="360" t="s">
        <v>128</v>
      </c>
      <c r="D16" s="409">
        <v>0</v>
      </c>
      <c r="E16" s="410">
        <v>0</v>
      </c>
      <c r="F16" s="409">
        <f t="shared" si="1"/>
        <v>0</v>
      </c>
      <c r="G16" s="397">
        <f t="shared" si="2"/>
        <v>0</v>
      </c>
      <c r="I16" s="562">
        <v>455225</v>
      </c>
    </row>
    <row r="17" spans="2:9" s="19" customFormat="1">
      <c r="B17" s="359" t="s">
        <v>15</v>
      </c>
      <c r="C17" s="360" t="s">
        <v>129</v>
      </c>
      <c r="D17" s="409">
        <v>56493</v>
      </c>
      <c r="E17" s="409">
        <v>67491.035484000007</v>
      </c>
      <c r="F17" s="409">
        <f t="shared" si="1"/>
        <v>10998.035484000007</v>
      </c>
      <c r="G17" s="397">
        <f t="shared" si="2"/>
        <v>119.46796148903405</v>
      </c>
      <c r="I17" s="562">
        <v>849950</v>
      </c>
    </row>
    <row r="18" spans="2:9" s="19" customFormat="1">
      <c r="B18" s="359" t="s">
        <v>15</v>
      </c>
      <c r="C18" s="360" t="s">
        <v>130</v>
      </c>
      <c r="D18" s="409">
        <v>2060</v>
      </c>
      <c r="E18" s="409">
        <v>2724.5070000000001</v>
      </c>
      <c r="F18" s="409">
        <f t="shared" si="1"/>
        <v>664.50700000000006</v>
      </c>
      <c r="G18" s="397">
        <f t="shared" si="2"/>
        <v>132.25762135922329</v>
      </c>
      <c r="I18" s="562">
        <v>21900</v>
      </c>
    </row>
    <row r="19" spans="2:9" s="19" customFormat="1">
      <c r="B19" s="359" t="s">
        <v>15</v>
      </c>
      <c r="C19" s="360" t="s">
        <v>131</v>
      </c>
      <c r="D19" s="409">
        <v>10000</v>
      </c>
      <c r="E19" s="409">
        <v>17219.203131999999</v>
      </c>
      <c r="F19" s="409">
        <f t="shared" si="1"/>
        <v>7219.2031319999987</v>
      </c>
      <c r="G19" s="397">
        <f t="shared" si="2"/>
        <v>172.19203131999998</v>
      </c>
      <c r="I19" s="562">
        <f>SUM(I14:I18)</f>
        <v>1417277</v>
      </c>
    </row>
    <row r="20" spans="2:9" s="19" customFormat="1">
      <c r="B20" s="359" t="s">
        <v>15</v>
      </c>
      <c r="C20" s="360" t="s">
        <v>132</v>
      </c>
      <c r="D20" s="409">
        <v>11440</v>
      </c>
      <c r="E20" s="409">
        <v>1000.7888799999999</v>
      </c>
      <c r="F20" s="409">
        <f t="shared" si="1"/>
        <v>-10439.21112</v>
      </c>
      <c r="G20" s="397">
        <f t="shared" si="2"/>
        <v>8.7481545454545451</v>
      </c>
      <c r="I20" s="562">
        <f>I19-D11</f>
        <v>-0.99999999976716936</v>
      </c>
    </row>
    <row r="21" spans="2:9" s="19" customFormat="1">
      <c r="B21" s="359" t="s">
        <v>15</v>
      </c>
      <c r="C21" s="360" t="s">
        <v>133</v>
      </c>
      <c r="D21" s="409">
        <v>0</v>
      </c>
      <c r="E21" s="409">
        <v>3646.1653000000001</v>
      </c>
      <c r="F21" s="409">
        <f t="shared" si="1"/>
        <v>3646.1653000000001</v>
      </c>
      <c r="G21" s="397">
        <f t="shared" si="2"/>
        <v>0</v>
      </c>
      <c r="I21" s="562"/>
    </row>
    <row r="22" spans="2:9" s="19" customFormat="1">
      <c r="B22" s="359" t="s">
        <v>15</v>
      </c>
      <c r="C22" s="360" t="s">
        <v>134</v>
      </c>
      <c r="D22" s="409">
        <f>1185746.7502-10148</f>
        <v>1175598.7501999999</v>
      </c>
      <c r="E22" s="409">
        <v>1315790.0652389999</v>
      </c>
      <c r="F22" s="409">
        <f t="shared" si="1"/>
        <v>140191.31503900001</v>
      </c>
      <c r="G22" s="397">
        <f t="shared" si="2"/>
        <v>111.92509901998022</v>
      </c>
      <c r="I22" s="563"/>
    </row>
    <row r="23" spans="2:9" s="19" customFormat="1" ht="26">
      <c r="B23" s="359" t="s">
        <v>15</v>
      </c>
      <c r="C23" s="360" t="s">
        <v>135</v>
      </c>
      <c r="D23" s="409">
        <v>71498.326799999995</v>
      </c>
      <c r="E23" s="409">
        <v>135303.22357999999</v>
      </c>
      <c r="F23" s="409">
        <f t="shared" si="1"/>
        <v>63804.896779999995</v>
      </c>
      <c r="G23" s="397">
        <f t="shared" si="2"/>
        <v>189.23970620806193</v>
      </c>
      <c r="I23" s="563">
        <v>3496791</v>
      </c>
    </row>
    <row r="24" spans="2:9" s="19" customFormat="1">
      <c r="B24" s="359" t="s">
        <v>15</v>
      </c>
      <c r="C24" s="360" t="s">
        <v>136</v>
      </c>
      <c r="D24" s="409"/>
      <c r="E24" s="409">
        <v>3157.3290000000002</v>
      </c>
      <c r="F24" s="409">
        <f t="shared" si="1"/>
        <v>3157.3290000000002</v>
      </c>
      <c r="G24" s="397">
        <f t="shared" si="2"/>
        <v>0</v>
      </c>
      <c r="I24" s="562">
        <f>D10-I23</f>
        <v>0</v>
      </c>
    </row>
    <row r="25" spans="2:9" s="19" customFormat="1">
      <c r="B25" s="359" t="s">
        <v>15</v>
      </c>
      <c r="C25" s="360" t="s">
        <v>137</v>
      </c>
      <c r="D25" s="410">
        <v>0</v>
      </c>
      <c r="E25" s="409"/>
      <c r="F25" s="410">
        <v>0</v>
      </c>
      <c r="G25" s="397">
        <f t="shared" si="2"/>
        <v>0</v>
      </c>
      <c r="I25" s="563"/>
    </row>
    <row r="26" spans="2:9" ht="71.25" customHeight="1">
      <c r="B26" s="357">
        <v>2</v>
      </c>
      <c r="C26" s="358" t="s">
        <v>115</v>
      </c>
      <c r="D26" s="408">
        <v>1578</v>
      </c>
      <c r="E26" s="408">
        <v>4515</v>
      </c>
      <c r="F26" s="408"/>
      <c r="G26" s="397">
        <f t="shared" si="2"/>
        <v>286.12167300380224</v>
      </c>
    </row>
    <row r="27" spans="2:9">
      <c r="B27" s="357">
        <v>3</v>
      </c>
      <c r="C27" s="358" t="s">
        <v>116</v>
      </c>
      <c r="D27" s="408">
        <v>0</v>
      </c>
      <c r="E27" s="408"/>
      <c r="F27" s="408"/>
      <c r="G27" s="397">
        <f t="shared" si="2"/>
        <v>0</v>
      </c>
    </row>
    <row r="28" spans="2:9">
      <c r="B28" s="357" t="s">
        <v>18</v>
      </c>
      <c r="C28" s="358" t="s">
        <v>934</v>
      </c>
      <c r="D28" s="408"/>
      <c r="E28" s="408">
        <v>29000</v>
      </c>
      <c r="F28" s="408"/>
      <c r="G28" s="397">
        <f t="shared" si="2"/>
        <v>0</v>
      </c>
    </row>
    <row r="29" spans="2:9">
      <c r="B29" s="357" t="s">
        <v>22</v>
      </c>
      <c r="C29" s="358" t="s">
        <v>31</v>
      </c>
      <c r="D29" s="408">
        <f>SUM(D30:D42)</f>
        <v>2026471</v>
      </c>
      <c r="E29" s="408">
        <f>SUM(E30:E42)</f>
        <v>1958066.9745500002</v>
      </c>
      <c r="F29" s="408">
        <f>E29-D29</f>
        <v>-68404.025449999841</v>
      </c>
      <c r="G29" s="396">
        <f t="shared" si="2"/>
        <v>96.624475482254624</v>
      </c>
      <c r="I29" s="487"/>
    </row>
    <row r="30" spans="2:9">
      <c r="B30" s="359" t="s">
        <v>15</v>
      </c>
      <c r="C30" s="360" t="s">
        <v>110</v>
      </c>
      <c r="D30" s="409">
        <v>461354</v>
      </c>
      <c r="E30" s="409">
        <v>417048.19</v>
      </c>
      <c r="F30" s="409">
        <f t="shared" ref="F30:F46" si="3">E30-D30</f>
        <v>-44305.81</v>
      </c>
      <c r="G30" s="397">
        <f t="shared" ref="G30:G46" si="4">IF(D30=0,0,E30/D30*100)</f>
        <v>90.396569662341719</v>
      </c>
      <c r="I30" s="487"/>
    </row>
    <row r="31" spans="2:9">
      <c r="B31" s="359" t="s">
        <v>15</v>
      </c>
      <c r="C31" s="360" t="s">
        <v>138</v>
      </c>
      <c r="D31" s="409">
        <v>14253</v>
      </c>
      <c r="E31" s="409">
        <v>8179.2849999999999</v>
      </c>
      <c r="F31" s="409">
        <f t="shared" si="3"/>
        <v>-6073.7150000000001</v>
      </c>
      <c r="G31" s="397">
        <f t="shared" si="4"/>
        <v>57.386409878622047</v>
      </c>
      <c r="I31" s="487"/>
    </row>
    <row r="32" spans="2:9">
      <c r="B32" s="359" t="s">
        <v>15</v>
      </c>
      <c r="C32" s="360" t="s">
        <v>127</v>
      </c>
      <c r="D32" s="409">
        <v>38928</v>
      </c>
      <c r="E32" s="409">
        <v>52865.037550000001</v>
      </c>
      <c r="F32" s="409">
        <f t="shared" si="3"/>
        <v>13937.037550000001</v>
      </c>
      <c r="G32" s="397">
        <f t="shared" si="4"/>
        <v>135.80208988388819</v>
      </c>
      <c r="I32" s="487"/>
    </row>
    <row r="33" spans="2:9">
      <c r="B33" s="359" t="s">
        <v>15</v>
      </c>
      <c r="C33" s="360" t="s">
        <v>128</v>
      </c>
      <c r="D33" s="409">
        <v>20239</v>
      </c>
      <c r="E33" s="409">
        <v>28238</v>
      </c>
      <c r="F33" s="409">
        <f t="shared" si="3"/>
        <v>7999</v>
      </c>
      <c r="G33" s="397">
        <f t="shared" si="4"/>
        <v>139.52270369089382</v>
      </c>
      <c r="I33" s="487"/>
    </row>
    <row r="34" spans="2:9">
      <c r="B34" s="359" t="s">
        <v>15</v>
      </c>
      <c r="C34" s="360" t="s">
        <v>129</v>
      </c>
      <c r="D34" s="409">
        <v>700906</v>
      </c>
      <c r="E34" s="409">
        <v>657383.505</v>
      </c>
      <c r="F34" s="409">
        <f t="shared" si="3"/>
        <v>-43522.494999999995</v>
      </c>
      <c r="G34" s="397">
        <f t="shared" si="4"/>
        <v>93.790537532850337</v>
      </c>
      <c r="I34" s="487"/>
    </row>
    <row r="35" spans="2:9">
      <c r="B35" s="359" t="s">
        <v>15</v>
      </c>
      <c r="C35" s="360" t="s">
        <v>130</v>
      </c>
      <c r="D35" s="409">
        <v>41374</v>
      </c>
      <c r="E35" s="409">
        <v>29928.007000000001</v>
      </c>
      <c r="F35" s="409">
        <f t="shared" si="3"/>
        <v>-11445.992999999999</v>
      </c>
      <c r="G35" s="397">
        <f t="shared" si="4"/>
        <v>72.33529994682651</v>
      </c>
      <c r="I35" s="487"/>
    </row>
    <row r="36" spans="2:9">
      <c r="B36" s="359" t="s">
        <v>15</v>
      </c>
      <c r="C36" s="360" t="s">
        <v>131</v>
      </c>
      <c r="D36" s="409">
        <v>15568</v>
      </c>
      <c r="E36" s="409">
        <v>15743.25</v>
      </c>
      <c r="F36" s="409">
        <f t="shared" si="3"/>
        <v>175.25</v>
      </c>
      <c r="G36" s="397">
        <f t="shared" si="4"/>
        <v>101.12570657759508</v>
      </c>
      <c r="I36" s="487"/>
    </row>
    <row r="37" spans="2:9">
      <c r="B37" s="359" t="s">
        <v>15</v>
      </c>
      <c r="C37" s="360" t="s">
        <v>132</v>
      </c>
      <c r="D37" s="409">
        <v>8905</v>
      </c>
      <c r="E37" s="409">
        <v>11065.406999999999</v>
      </c>
      <c r="F37" s="409">
        <f t="shared" si="3"/>
        <v>2160.4069999999992</v>
      </c>
      <c r="G37" s="397">
        <f t="shared" si="4"/>
        <v>124.26060640089835</v>
      </c>
      <c r="I37" s="487"/>
    </row>
    <row r="38" spans="2:9">
      <c r="B38" s="359" t="s">
        <v>15</v>
      </c>
      <c r="C38" s="360" t="s">
        <v>133</v>
      </c>
      <c r="D38" s="409">
        <v>5150</v>
      </c>
      <c r="E38" s="409">
        <v>5286.6239999999998</v>
      </c>
      <c r="F38" s="409">
        <f t="shared" si="3"/>
        <v>136.6239999999998</v>
      </c>
      <c r="G38" s="397">
        <f t="shared" si="4"/>
        <v>102.65289320388349</v>
      </c>
      <c r="I38" s="487"/>
    </row>
    <row r="39" spans="2:9">
      <c r="B39" s="359" t="s">
        <v>15</v>
      </c>
      <c r="C39" s="360" t="s">
        <v>134</v>
      </c>
      <c r="D39" s="409">
        <v>272599</v>
      </c>
      <c r="E39" s="409">
        <v>338025.86</v>
      </c>
      <c r="F39" s="409">
        <f t="shared" si="3"/>
        <v>65426.859999999986</v>
      </c>
      <c r="G39" s="397">
        <f t="shared" si="4"/>
        <v>124.00113720153045</v>
      </c>
      <c r="I39" s="487"/>
    </row>
    <row r="40" spans="2:9" ht="26">
      <c r="B40" s="359" t="s">
        <v>15</v>
      </c>
      <c r="C40" s="360" t="s">
        <v>135</v>
      </c>
      <c r="D40" s="409">
        <v>364722</v>
      </c>
      <c r="E40" s="409">
        <v>327687.71299999999</v>
      </c>
      <c r="F40" s="409">
        <f t="shared" si="3"/>
        <v>-37034.287000000011</v>
      </c>
      <c r="G40" s="397">
        <f t="shared" si="4"/>
        <v>89.845886181804218</v>
      </c>
      <c r="I40" s="487"/>
    </row>
    <row r="41" spans="2:9">
      <c r="B41" s="359" t="s">
        <v>15</v>
      </c>
      <c r="C41" s="360" t="s">
        <v>136</v>
      </c>
      <c r="D41" s="409">
        <v>43270</v>
      </c>
      <c r="E41" s="409">
        <v>23591.148000000001</v>
      </c>
      <c r="F41" s="409">
        <f t="shared" si="3"/>
        <v>-19678.851999999999</v>
      </c>
      <c r="G41" s="397">
        <f t="shared" si="4"/>
        <v>54.520795008088754</v>
      </c>
      <c r="I41" s="487"/>
    </row>
    <row r="42" spans="2:9">
      <c r="B42" s="359" t="s">
        <v>15</v>
      </c>
      <c r="C42" s="360" t="s">
        <v>139</v>
      </c>
      <c r="D42" s="409">
        <v>39203</v>
      </c>
      <c r="E42" s="409">
        <f>12789.948+30235</f>
        <v>43024.948000000004</v>
      </c>
      <c r="F42" s="409">
        <f t="shared" si="3"/>
        <v>3821.948000000004</v>
      </c>
      <c r="G42" s="397">
        <f t="shared" si="4"/>
        <v>109.74912124072138</v>
      </c>
      <c r="I42" s="487"/>
    </row>
    <row r="43" spans="2:9" ht="26">
      <c r="B43" s="357" t="s">
        <v>22</v>
      </c>
      <c r="C43" s="358" t="s">
        <v>140</v>
      </c>
      <c r="D43" s="408">
        <v>880</v>
      </c>
      <c r="E43" s="68">
        <f>88</f>
        <v>88</v>
      </c>
      <c r="F43" s="408">
        <f t="shared" si="3"/>
        <v>-792</v>
      </c>
      <c r="G43" s="396">
        <f t="shared" si="4"/>
        <v>10</v>
      </c>
    </row>
    <row r="44" spans="2:9">
      <c r="B44" s="357" t="s">
        <v>24</v>
      </c>
      <c r="C44" s="358" t="s">
        <v>141</v>
      </c>
      <c r="D44" s="408">
        <v>1000</v>
      </c>
      <c r="E44" s="408">
        <v>2000</v>
      </c>
      <c r="F44" s="408">
        <f t="shared" si="3"/>
        <v>1000</v>
      </c>
      <c r="G44" s="396">
        <f t="shared" si="4"/>
        <v>200</v>
      </c>
    </row>
    <row r="45" spans="2:9">
      <c r="B45" s="357" t="s">
        <v>26</v>
      </c>
      <c r="C45" s="358" t="s">
        <v>34</v>
      </c>
      <c r="D45" s="408">
        <v>47662</v>
      </c>
      <c r="E45" s="411"/>
      <c r="F45" s="408">
        <f t="shared" si="3"/>
        <v>-47662</v>
      </c>
      <c r="G45" s="396">
        <f t="shared" si="4"/>
        <v>0</v>
      </c>
    </row>
    <row r="46" spans="2:9">
      <c r="B46" s="357" t="s">
        <v>119</v>
      </c>
      <c r="C46" s="358" t="s">
        <v>35</v>
      </c>
      <c r="D46" s="408">
        <v>3500</v>
      </c>
      <c r="E46" s="411"/>
      <c r="F46" s="408">
        <f t="shared" si="3"/>
        <v>-3500</v>
      </c>
      <c r="G46" s="396">
        <f t="shared" si="4"/>
        <v>0</v>
      </c>
    </row>
    <row r="47" spans="2:9">
      <c r="B47" s="357" t="s">
        <v>154</v>
      </c>
      <c r="C47" s="358" t="s">
        <v>936</v>
      </c>
      <c r="D47" s="408"/>
      <c r="E47" s="411">
        <v>0</v>
      </c>
      <c r="F47" s="408"/>
      <c r="G47" s="396"/>
    </row>
    <row r="48" spans="2:9" s="25" customFormat="1">
      <c r="B48" s="357" t="s">
        <v>40</v>
      </c>
      <c r="C48" s="358" t="s">
        <v>122</v>
      </c>
      <c r="D48" s="408">
        <v>0</v>
      </c>
      <c r="E48" s="408">
        <v>1973824.817883</v>
      </c>
      <c r="F48" s="408">
        <f>E48-D48</f>
        <v>1973824.817883</v>
      </c>
      <c r="G48" s="396">
        <f>IF(D48=0,0,E48/D48*100)</f>
        <v>0</v>
      </c>
    </row>
    <row r="49" spans="2:13">
      <c r="B49" s="384" t="s">
        <v>42</v>
      </c>
      <c r="C49" s="385" t="s">
        <v>935</v>
      </c>
      <c r="D49" s="412">
        <v>0</v>
      </c>
      <c r="E49" s="412">
        <v>21871</v>
      </c>
      <c r="F49" s="412">
        <f>E49-D49</f>
        <v>21871</v>
      </c>
      <c r="G49" s="417">
        <f>IF(D49=0,0,E49/D49*100)</f>
        <v>0</v>
      </c>
      <c r="I49" s="564"/>
      <c r="J49" s="564"/>
      <c r="K49" s="564"/>
      <c r="L49" s="564"/>
      <c r="M49" s="564"/>
    </row>
    <row r="50" spans="2:13" ht="30" customHeight="1">
      <c r="B50" s="583" t="s">
        <v>941</v>
      </c>
      <c r="C50" s="583"/>
      <c r="D50" s="583"/>
      <c r="E50" s="583"/>
      <c r="F50" s="583"/>
      <c r="G50" s="583"/>
      <c r="I50" s="564"/>
      <c r="J50" s="564"/>
      <c r="K50" s="564"/>
      <c r="L50" s="564"/>
      <c r="M50" s="564"/>
    </row>
    <row r="51" spans="2:13" ht="34.5" customHeight="1">
      <c r="B51" s="582" t="s">
        <v>142</v>
      </c>
      <c r="C51" s="582"/>
      <c r="D51" s="582"/>
      <c r="E51" s="582"/>
      <c r="F51" s="582"/>
      <c r="G51" s="582"/>
      <c r="I51" s="564"/>
      <c r="J51" s="564"/>
      <c r="K51" s="564"/>
      <c r="L51" s="564"/>
      <c r="M51" s="564"/>
    </row>
    <row r="52" spans="2:13" ht="33.75" customHeight="1">
      <c r="B52" s="582" t="s">
        <v>1107</v>
      </c>
      <c r="C52" s="582"/>
      <c r="D52" s="582"/>
      <c r="E52" s="582"/>
      <c r="F52" s="582"/>
      <c r="G52" s="582"/>
    </row>
    <row r="53" spans="2:13">
      <c r="E53" s="563"/>
    </row>
    <row r="54" spans="2:13">
      <c r="E54" s="562">
        <v>8617058.9104749989</v>
      </c>
    </row>
    <row r="55" spans="2:13">
      <c r="E55" s="562">
        <f>E54-E8</f>
        <v>992962.9265049994</v>
      </c>
    </row>
    <row r="56" spans="2:13">
      <c r="E56" s="563"/>
    </row>
    <row r="57" spans="2:13">
      <c r="E57" s="563"/>
    </row>
    <row r="58" spans="2:13">
      <c r="E58" s="563"/>
    </row>
  </sheetData>
  <mergeCells count="12">
    <mergeCell ref="F1:G1"/>
    <mergeCell ref="B52:G52"/>
    <mergeCell ref="B50:G50"/>
    <mergeCell ref="B51:G51"/>
    <mergeCell ref="B2:G2"/>
    <mergeCell ref="B3:G3"/>
    <mergeCell ref="F4:G4"/>
    <mergeCell ref="B5:B6"/>
    <mergeCell ref="C5:C6"/>
    <mergeCell ref="D5:D6"/>
    <mergeCell ref="E5:E6"/>
    <mergeCell ref="F5:G5"/>
  </mergeCells>
  <dataValidations count="1">
    <dataValidation allowBlank="1" showInputMessage="1" showErrorMessage="1" prompt="Đã bao gồm 13,301 trđ thu hồi vốn ứng trước theo VB số 3418/UBND-KTTH ngày 10/9/2020" sqref="E23" xr:uid="{00000000-0002-0000-0400-000000000000}"/>
  </dataValidations>
  <pageMargins left="0.2" right="0.2" top="0.39"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B1:O162"/>
  <sheetViews>
    <sheetView workbookViewId="0">
      <pane ySplit="6" topLeftCell="A7" activePane="bottomLeft" state="frozen"/>
      <selection pane="bottomLeft" activeCell="M9" sqref="M9"/>
    </sheetView>
  </sheetViews>
  <sheetFormatPr defaultColWidth="9.1796875" defaultRowHeight="14" outlineLevelRow="1"/>
  <cols>
    <col min="1" max="1" width="3.26953125" style="6" customWidth="1"/>
    <col min="2" max="2" width="5.26953125" style="6" customWidth="1"/>
    <col min="3" max="3" width="32.1796875" style="6" customWidth="1"/>
    <col min="4" max="4" width="11.81640625" style="6" customWidth="1"/>
    <col min="5" max="5" width="9.26953125" style="6" bestFit="1" customWidth="1"/>
    <col min="6" max="6" width="9.453125" style="6" bestFit="1" customWidth="1"/>
    <col min="7" max="7" width="11.81640625" style="6" customWidth="1"/>
    <col min="8" max="8" width="10.81640625" style="6" bestFit="1" customWidth="1"/>
    <col min="9" max="9" width="11.26953125" style="6" customWidth="1"/>
    <col min="10" max="12" width="9.26953125" style="6" bestFit="1" customWidth="1"/>
    <col min="13" max="13" width="9.1796875" style="6"/>
    <col min="14" max="14" width="13.54296875" style="6" customWidth="1"/>
    <col min="15" max="16384" width="9.1796875" style="6"/>
  </cols>
  <sheetData>
    <row r="1" spans="2:15">
      <c r="K1" s="572" t="s">
        <v>367</v>
      </c>
      <c r="L1" s="572"/>
    </row>
    <row r="2" spans="2:15" ht="33" customHeight="1">
      <c r="B2" s="586" t="s">
        <v>1114</v>
      </c>
      <c r="C2" s="586"/>
      <c r="D2" s="586"/>
      <c r="E2" s="586"/>
      <c r="F2" s="586"/>
      <c r="G2" s="586"/>
      <c r="H2" s="586"/>
      <c r="I2" s="586"/>
      <c r="J2" s="586"/>
      <c r="K2" s="586"/>
      <c r="L2" s="586"/>
    </row>
    <row r="3" spans="2:15" ht="15.75" customHeight="1">
      <c r="B3" s="587" t="s">
        <v>1112</v>
      </c>
      <c r="C3" s="587"/>
      <c r="D3" s="587"/>
      <c r="E3" s="587"/>
      <c r="F3" s="587"/>
      <c r="G3" s="587"/>
      <c r="H3" s="587"/>
      <c r="I3" s="587"/>
      <c r="J3" s="587"/>
      <c r="K3" s="587"/>
      <c r="L3" s="587"/>
      <c r="M3" s="567"/>
    </row>
    <row r="4" spans="2:15">
      <c r="B4" s="403"/>
      <c r="C4" s="403"/>
      <c r="D4" s="403"/>
      <c r="E4" s="403"/>
      <c r="F4" s="403"/>
      <c r="G4" s="403"/>
      <c r="H4" s="403"/>
      <c r="I4" s="403"/>
      <c r="J4" s="403"/>
      <c r="K4" s="576" t="s">
        <v>53</v>
      </c>
      <c r="L4" s="576"/>
    </row>
    <row r="5" spans="2:15">
      <c r="B5" s="588" t="s">
        <v>1</v>
      </c>
      <c r="C5" s="588" t="s">
        <v>2</v>
      </c>
      <c r="D5" s="588" t="s">
        <v>312</v>
      </c>
      <c r="E5" s="588" t="s">
        <v>143</v>
      </c>
      <c r="F5" s="588"/>
      <c r="G5" s="588" t="s">
        <v>4</v>
      </c>
      <c r="H5" s="588" t="s">
        <v>143</v>
      </c>
      <c r="I5" s="588"/>
      <c r="J5" s="588" t="s">
        <v>55</v>
      </c>
      <c r="K5" s="588"/>
      <c r="L5" s="588"/>
    </row>
    <row r="6" spans="2:15" ht="21">
      <c r="B6" s="588"/>
      <c r="C6" s="588"/>
      <c r="D6" s="588"/>
      <c r="E6" s="531" t="s">
        <v>1116</v>
      </c>
      <c r="F6" s="531" t="s">
        <v>1115</v>
      </c>
      <c r="G6" s="588"/>
      <c r="H6" s="531" t="s">
        <v>1116</v>
      </c>
      <c r="I6" s="531" t="s">
        <v>1115</v>
      </c>
      <c r="J6" s="531" t="s">
        <v>144</v>
      </c>
      <c r="K6" s="531" t="s">
        <v>1116</v>
      </c>
      <c r="L6" s="531" t="s">
        <v>1115</v>
      </c>
    </row>
    <row r="7" spans="2:15">
      <c r="B7" s="531" t="s">
        <v>8</v>
      </c>
      <c r="C7" s="531" t="s">
        <v>9</v>
      </c>
      <c r="D7" s="531" t="s">
        <v>145</v>
      </c>
      <c r="E7" s="531">
        <v>2</v>
      </c>
      <c r="F7" s="531">
        <v>3</v>
      </c>
      <c r="G7" s="531" t="s">
        <v>146</v>
      </c>
      <c r="H7" s="531">
        <v>5</v>
      </c>
      <c r="I7" s="531">
        <v>6</v>
      </c>
      <c r="J7" s="531" t="s">
        <v>147</v>
      </c>
      <c r="K7" s="531" t="s">
        <v>148</v>
      </c>
      <c r="L7" s="531" t="s">
        <v>149</v>
      </c>
    </row>
    <row r="8" spans="2:15">
      <c r="B8" s="532"/>
      <c r="C8" s="533" t="s">
        <v>28</v>
      </c>
      <c r="D8" s="66">
        <f>D9+D29+D160</f>
        <v>6963296.3287610002</v>
      </c>
      <c r="E8" s="66">
        <f>E9+E29+E160+0.3</f>
        <v>3496790.628761</v>
      </c>
      <c r="F8" s="66">
        <f t="shared" ref="F8:F110" si="0">D8-E8</f>
        <v>3466505.7</v>
      </c>
      <c r="G8" s="66">
        <f>H8+I8</f>
        <v>10211832.260948</v>
      </c>
      <c r="H8" s="66">
        <f>H9+H29+H160+H161</f>
        <v>5710754.1499749999</v>
      </c>
      <c r="I8" s="66">
        <f>I9+I29+I160+I161</f>
        <v>4501078.1109730005</v>
      </c>
      <c r="J8" s="413">
        <f t="shared" ref="J8:L19" si="1">IF(D8=0,0,G8/D8*100)</f>
        <v>146.6522718381141</v>
      </c>
      <c r="K8" s="413">
        <f t="shared" si="1"/>
        <v>163.31415735915712</v>
      </c>
      <c r="L8" s="413">
        <f t="shared" si="1"/>
        <v>129.84482070729035</v>
      </c>
    </row>
    <row r="9" spans="2:15">
      <c r="B9" s="534" t="s">
        <v>8</v>
      </c>
      <c r="C9" s="535" t="s">
        <v>150</v>
      </c>
      <c r="D9" s="68">
        <f>D10+D21+D25+D26+D27+D28</f>
        <v>5103331</v>
      </c>
      <c r="E9" s="68">
        <f t="shared" ref="E9:F9" si="2">E10+E21+E25+E26+E27+E28</f>
        <v>2101862</v>
      </c>
      <c r="F9" s="68">
        <f t="shared" si="2"/>
        <v>3001469</v>
      </c>
      <c r="G9" s="68">
        <f>G10+G21+G25+G26+G27+G28+G20</f>
        <v>5694586.9676450007</v>
      </c>
      <c r="H9" s="68">
        <f t="shared" ref="H9:I9" si="3">H10+H21+H25+H26+H27+H28+H20</f>
        <v>2315374.660801</v>
      </c>
      <c r="I9" s="68">
        <f t="shared" si="3"/>
        <v>3379212.3068440002</v>
      </c>
      <c r="J9" s="414">
        <f t="shared" si="1"/>
        <v>111.58568722359965</v>
      </c>
      <c r="K9" s="414">
        <f t="shared" si="1"/>
        <v>110.15826256914107</v>
      </c>
      <c r="L9" s="414">
        <f t="shared" si="1"/>
        <v>112.58528096888558</v>
      </c>
    </row>
    <row r="10" spans="2:15" s="19" customFormat="1">
      <c r="B10" s="534" t="s">
        <v>13</v>
      </c>
      <c r="C10" s="535" t="s">
        <v>30</v>
      </c>
      <c r="D10" s="68">
        <f>D11+D18+D19</f>
        <v>803380</v>
      </c>
      <c r="E10" s="68">
        <f>E11+E18+E19</f>
        <v>455225</v>
      </c>
      <c r="F10" s="68">
        <f t="shared" si="0"/>
        <v>348155</v>
      </c>
      <c r="G10" s="68">
        <f t="shared" ref="G10" si="4">H10+I10</f>
        <v>1350729.3332679998</v>
      </c>
      <c r="H10" s="383">
        <f>H11+H18+H19</f>
        <v>732866.53951499984</v>
      </c>
      <c r="I10" s="383">
        <f>I11+I18+I19</f>
        <v>617862.79375299998</v>
      </c>
      <c r="J10" s="414">
        <f t="shared" si="1"/>
        <v>168.13081396947894</v>
      </c>
      <c r="K10" s="414">
        <f t="shared" si="1"/>
        <v>160.98995870503595</v>
      </c>
      <c r="L10" s="414">
        <f t="shared" si="1"/>
        <v>177.46773527681637</v>
      </c>
    </row>
    <row r="11" spans="2:15" s="19" customFormat="1">
      <c r="B11" s="536">
        <v>1</v>
      </c>
      <c r="C11" s="537" t="s">
        <v>126</v>
      </c>
      <c r="D11" s="364">
        <v>803380</v>
      </c>
      <c r="E11" s="67">
        <v>455225</v>
      </c>
      <c r="F11" s="67">
        <f t="shared" si="0"/>
        <v>348155</v>
      </c>
      <c r="G11" s="538">
        <f>H11+I11</f>
        <v>1350729.3332679998</v>
      </c>
      <c r="H11" s="539">
        <f>'60'!H10-H28-H32-H35-H38</f>
        <v>732866.53951499984</v>
      </c>
      <c r="I11" s="539">
        <f>'60'!I10+'60'!J10-I28-I32-I35-I38</f>
        <v>617862.79375299998</v>
      </c>
      <c r="J11" s="415">
        <f t="shared" si="1"/>
        <v>168.13081396947894</v>
      </c>
      <c r="K11" s="415">
        <f t="shared" si="1"/>
        <v>160.98995870503595</v>
      </c>
      <c r="L11" s="415">
        <f t="shared" si="1"/>
        <v>177.46773527681637</v>
      </c>
    </row>
    <row r="12" spans="2:15" s="19" customFormat="1">
      <c r="B12" s="536"/>
      <c r="C12" s="540" t="s">
        <v>109</v>
      </c>
      <c r="D12" s="364"/>
      <c r="E12" s="67"/>
      <c r="F12" s="67">
        <f t="shared" si="0"/>
        <v>0</v>
      </c>
      <c r="G12" s="359"/>
      <c r="H12" s="539"/>
      <c r="I12" s="539"/>
      <c r="J12" s="415">
        <f t="shared" si="1"/>
        <v>0</v>
      </c>
      <c r="K12" s="415">
        <f t="shared" si="1"/>
        <v>0</v>
      </c>
      <c r="L12" s="415">
        <f t="shared" si="1"/>
        <v>0</v>
      </c>
      <c r="M12" s="24"/>
    </row>
    <row r="13" spans="2:15" s="19" customFormat="1">
      <c r="B13" s="536" t="s">
        <v>15</v>
      </c>
      <c r="C13" s="540" t="s">
        <v>110</v>
      </c>
      <c r="D13" s="364">
        <f>E13+F13</f>
        <v>85361.991649999982</v>
      </c>
      <c r="E13" s="67">
        <v>41726.654000000002</v>
      </c>
      <c r="F13" s="67">
        <v>43635.337649999987</v>
      </c>
      <c r="G13" s="538">
        <f>H13+I13</f>
        <v>134672.52931800002</v>
      </c>
      <c r="H13" s="539">
        <v>48418.92</v>
      </c>
      <c r="I13" s="539">
        <v>86253.609318000003</v>
      </c>
      <c r="J13" s="415">
        <f t="shared" si="1"/>
        <v>157.76638608689262</v>
      </c>
      <c r="K13" s="415">
        <f t="shared" si="1"/>
        <v>116.03834805445939</v>
      </c>
      <c r="L13" s="415">
        <f t="shared" si="1"/>
        <v>197.66916898831428</v>
      </c>
      <c r="M13" s="20"/>
      <c r="N13" s="20"/>
      <c r="O13" s="20"/>
    </row>
    <row r="14" spans="2:15" s="19" customFormat="1">
      <c r="B14" s="536" t="s">
        <v>15</v>
      </c>
      <c r="C14" s="540" t="s">
        <v>118</v>
      </c>
      <c r="D14" s="364">
        <f>E14+F14</f>
        <v>17934.736000000001</v>
      </c>
      <c r="E14" s="67">
        <v>17609.274000000001</v>
      </c>
      <c r="F14" s="67">
        <v>325.46199999999999</v>
      </c>
      <c r="G14" s="538">
        <f>H14+I14</f>
        <v>17934.736000000001</v>
      </c>
      <c r="H14" s="539">
        <v>17609.274000000001</v>
      </c>
      <c r="I14" s="539">
        <v>325.46199999999999</v>
      </c>
      <c r="J14" s="415">
        <f t="shared" si="1"/>
        <v>100</v>
      </c>
      <c r="K14" s="415">
        <f t="shared" si="1"/>
        <v>100</v>
      </c>
      <c r="L14" s="415">
        <f t="shared" si="1"/>
        <v>100</v>
      </c>
      <c r="M14" s="20"/>
      <c r="N14" s="20"/>
      <c r="O14" s="20"/>
    </row>
    <row r="15" spans="2:15" s="19" customFormat="1">
      <c r="B15" s="536"/>
      <c r="C15" s="540" t="s">
        <v>112</v>
      </c>
      <c r="D15" s="364"/>
      <c r="E15" s="67"/>
      <c r="F15" s="67">
        <f t="shared" si="0"/>
        <v>0</v>
      </c>
      <c r="G15" s="359"/>
      <c r="H15" s="539"/>
      <c r="I15" s="539"/>
      <c r="J15" s="415">
        <f t="shared" si="1"/>
        <v>0</v>
      </c>
      <c r="K15" s="415">
        <f t="shared" si="1"/>
        <v>0</v>
      </c>
      <c r="L15" s="415">
        <f t="shared" si="1"/>
        <v>0</v>
      </c>
      <c r="M15" s="20"/>
      <c r="N15" s="20"/>
      <c r="O15" s="20"/>
    </row>
    <row r="16" spans="2:15" s="19" customFormat="1">
      <c r="B16" s="536" t="s">
        <v>15</v>
      </c>
      <c r="C16" s="540" t="s">
        <v>113</v>
      </c>
      <c r="D16" s="364">
        <f>E16+F16</f>
        <v>200000</v>
      </c>
      <c r="E16" s="67">
        <v>129568</v>
      </c>
      <c r="F16" s="67">
        <v>70432</v>
      </c>
      <c r="G16" s="538">
        <f>H16+I16</f>
        <v>591921.09290599998</v>
      </c>
      <c r="H16" s="539">
        <f>346221.778504+13301</f>
        <v>359522.77850399999</v>
      </c>
      <c r="I16" s="539">
        <v>232398.31440199999</v>
      </c>
      <c r="J16" s="415">
        <f t="shared" si="1"/>
        <v>295.96054645300001</v>
      </c>
      <c r="K16" s="415">
        <f t="shared" si="1"/>
        <v>277.47806441714005</v>
      </c>
      <c r="L16" s="415">
        <f t="shared" si="1"/>
        <v>329.96125965754197</v>
      </c>
      <c r="M16" s="20"/>
      <c r="N16" s="20"/>
      <c r="O16" s="20"/>
    </row>
    <row r="17" spans="2:15" s="19" customFormat="1">
      <c r="B17" s="536" t="s">
        <v>15</v>
      </c>
      <c r="C17" s="540" t="s">
        <v>114</v>
      </c>
      <c r="D17" s="364">
        <f>E17+F17</f>
        <v>85000</v>
      </c>
      <c r="E17" s="67">
        <v>57784</v>
      </c>
      <c r="F17" s="67">
        <v>27216</v>
      </c>
      <c r="G17" s="538">
        <f>H17+I17</f>
        <v>69056.991882000002</v>
      </c>
      <c r="H17" s="539">
        <v>47273.534275999998</v>
      </c>
      <c r="I17" s="539">
        <v>21783.457606</v>
      </c>
      <c r="J17" s="415">
        <f t="shared" si="1"/>
        <v>81.243519861176466</v>
      </c>
      <c r="K17" s="415">
        <f t="shared" si="1"/>
        <v>81.810768164197697</v>
      </c>
      <c r="L17" s="415">
        <f t="shared" si="1"/>
        <v>80.039159340094059</v>
      </c>
      <c r="M17" s="20"/>
      <c r="N17" s="20"/>
      <c r="O17" s="20"/>
    </row>
    <row r="18" spans="2:15" s="19" customFormat="1" ht="57" customHeight="1">
      <c r="B18" s="536">
        <v>2</v>
      </c>
      <c r="C18" s="537" t="s">
        <v>115</v>
      </c>
      <c r="D18" s="374">
        <v>0</v>
      </c>
      <c r="E18" s="541">
        <v>0</v>
      </c>
      <c r="F18" s="541">
        <f t="shared" si="0"/>
        <v>0</v>
      </c>
      <c r="G18" s="359"/>
      <c r="H18" s="539"/>
      <c r="I18" s="539"/>
      <c r="J18" s="415">
        <f t="shared" si="1"/>
        <v>0</v>
      </c>
      <c r="K18" s="415">
        <f t="shared" si="1"/>
        <v>0</v>
      </c>
      <c r="L18" s="415">
        <f t="shared" si="1"/>
        <v>0</v>
      </c>
      <c r="M18" s="20"/>
      <c r="N18" s="20"/>
      <c r="O18" s="20"/>
    </row>
    <row r="19" spans="2:15" s="19" customFormat="1">
      <c r="B19" s="536">
        <v>3</v>
      </c>
      <c r="C19" s="537" t="s">
        <v>116</v>
      </c>
      <c r="D19" s="541">
        <v>0</v>
      </c>
      <c r="E19" s="541">
        <v>0</v>
      </c>
      <c r="F19" s="541">
        <f t="shared" si="0"/>
        <v>0</v>
      </c>
      <c r="G19" s="359"/>
      <c r="H19" s="539"/>
      <c r="I19" s="539"/>
      <c r="J19" s="415">
        <f t="shared" si="1"/>
        <v>0</v>
      </c>
      <c r="K19" s="415">
        <f t="shared" si="1"/>
        <v>0</v>
      </c>
      <c r="L19" s="415">
        <f t="shared" si="1"/>
        <v>0</v>
      </c>
    </row>
    <row r="20" spans="2:15" s="25" customFormat="1">
      <c r="B20" s="534" t="s">
        <v>18</v>
      </c>
      <c r="C20" s="535" t="s">
        <v>934</v>
      </c>
      <c r="D20" s="542"/>
      <c r="E20" s="542"/>
      <c r="F20" s="542"/>
      <c r="G20" s="543">
        <f>H20+I20</f>
        <v>29000</v>
      </c>
      <c r="H20" s="544">
        <v>29000</v>
      </c>
      <c r="I20" s="544"/>
      <c r="J20" s="414"/>
      <c r="K20" s="414"/>
      <c r="L20" s="414"/>
    </row>
    <row r="21" spans="2:15">
      <c r="B21" s="534" t="s">
        <v>22</v>
      </c>
      <c r="C21" s="535" t="s">
        <v>31</v>
      </c>
      <c r="D21" s="68">
        <v>4189004</v>
      </c>
      <c r="E21" s="68">
        <v>1590095</v>
      </c>
      <c r="F21" s="68">
        <f t="shared" si="0"/>
        <v>2598909</v>
      </c>
      <c r="G21" s="543">
        <f>H21+I21</f>
        <v>4309439.7853770005</v>
      </c>
      <c r="H21" s="544">
        <f>'60'!H12-'Bieu 45_QT 2019_28-6'!R13</f>
        <v>1548090.2722860002</v>
      </c>
      <c r="I21" s="544">
        <f>'60'!I12+'60'!J12-'Bieu 45_QT 2019_28-6'!U13</f>
        <v>2761349.5130910003</v>
      </c>
      <c r="J21" s="414">
        <f t="shared" ref="J21" si="5">IF(D21=0,0,G21/D21*100)</f>
        <v>102.875045843284</v>
      </c>
      <c r="K21" s="414">
        <f t="shared" ref="K21" si="6">IF(E21=0,0,H21/E21*100)</f>
        <v>97.358351059905232</v>
      </c>
      <c r="L21" s="414">
        <f t="shared" ref="L21" si="7">IF(F21=0,0,I21/F21*100)</f>
        <v>106.25033477859364</v>
      </c>
    </row>
    <row r="22" spans="2:15" s="337" customFormat="1">
      <c r="B22" s="545"/>
      <c r="C22" s="540" t="s">
        <v>117</v>
      </c>
      <c r="D22" s="546"/>
      <c r="E22" s="546"/>
      <c r="F22" s="546"/>
      <c r="G22" s="547">
        <f t="shared" ref="G22:G27" si="8">H22+I22</f>
        <v>0</v>
      </c>
      <c r="H22" s="548"/>
      <c r="I22" s="548"/>
      <c r="J22" s="418">
        <f t="shared" ref="J22:J27" si="9">IF(D22=0,0,G22/D22*100)</f>
        <v>0</v>
      </c>
      <c r="K22" s="418">
        <f t="shared" ref="K22:K27" si="10">IF(E22=0,0,H22/E22*100)</f>
        <v>0</v>
      </c>
      <c r="L22" s="418">
        <f t="shared" ref="L22:L27" si="11">IF(F22=0,0,I22/F22*100)</f>
        <v>0</v>
      </c>
    </row>
    <row r="23" spans="2:15" s="337" customFormat="1">
      <c r="B23" s="545">
        <v>1</v>
      </c>
      <c r="C23" s="540" t="s">
        <v>110</v>
      </c>
      <c r="D23" s="546">
        <v>1874637</v>
      </c>
      <c r="E23" s="546">
        <v>392644</v>
      </c>
      <c r="F23" s="546">
        <f t="shared" si="0"/>
        <v>1481993</v>
      </c>
      <c r="G23" s="549">
        <f>(H23+I23)</f>
        <v>1901430.8894</v>
      </c>
      <c r="H23" s="548">
        <f>417048.19-H88-H91-H92-H93-H129</f>
        <v>366886.97899999999</v>
      </c>
      <c r="I23" s="548">
        <f>1577308.384+1877.025-I88-I91-I92-I129-I93</f>
        <v>1534543.9103999999</v>
      </c>
      <c r="J23" s="418">
        <f t="shared" si="9"/>
        <v>101.42928414407697</v>
      </c>
      <c r="K23" s="418">
        <f t="shared" si="10"/>
        <v>93.440108342417048</v>
      </c>
      <c r="L23" s="418">
        <f t="shared" si="11"/>
        <v>103.54596211992903</v>
      </c>
      <c r="M23" s="338"/>
    </row>
    <row r="24" spans="2:15" s="337" customFormat="1">
      <c r="B24" s="545">
        <v>2</v>
      </c>
      <c r="C24" s="540" t="s">
        <v>118</v>
      </c>
      <c r="D24" s="546">
        <v>15753</v>
      </c>
      <c r="E24" s="546">
        <v>14253</v>
      </c>
      <c r="F24" s="546">
        <f t="shared" si="0"/>
        <v>1500</v>
      </c>
      <c r="G24" s="549">
        <f t="shared" si="8"/>
        <v>9429.8220000000001</v>
      </c>
      <c r="H24" s="548">
        <v>8179.2849999999999</v>
      </c>
      <c r="I24" s="548">
        <v>1250.537</v>
      </c>
      <c r="J24" s="418">
        <f t="shared" si="9"/>
        <v>59.860483717387169</v>
      </c>
      <c r="K24" s="418">
        <f t="shared" si="10"/>
        <v>57.386409878622047</v>
      </c>
      <c r="L24" s="418">
        <f t="shared" si="11"/>
        <v>83.369133333333338</v>
      </c>
    </row>
    <row r="25" spans="2:15" ht="21">
      <c r="B25" s="534" t="s">
        <v>24</v>
      </c>
      <c r="C25" s="535" t="s">
        <v>32</v>
      </c>
      <c r="D25" s="68">
        <v>880</v>
      </c>
      <c r="E25" s="68">
        <v>880</v>
      </c>
      <c r="F25" s="68">
        <f t="shared" si="0"/>
        <v>0</v>
      </c>
      <c r="G25" s="543">
        <f t="shared" si="8"/>
        <v>88</v>
      </c>
      <c r="H25" s="544">
        <v>88</v>
      </c>
      <c r="I25" s="544"/>
      <c r="J25" s="414">
        <f t="shared" si="9"/>
        <v>10</v>
      </c>
      <c r="K25" s="414">
        <f t="shared" si="10"/>
        <v>10</v>
      </c>
      <c r="L25" s="414">
        <f t="shared" si="11"/>
        <v>0</v>
      </c>
    </row>
    <row r="26" spans="2:15">
      <c r="B26" s="534" t="s">
        <v>26</v>
      </c>
      <c r="C26" s="535" t="s">
        <v>33</v>
      </c>
      <c r="D26" s="68">
        <v>1000</v>
      </c>
      <c r="E26" s="68">
        <v>1000</v>
      </c>
      <c r="F26" s="68">
        <f t="shared" si="0"/>
        <v>0</v>
      </c>
      <c r="G26" s="543">
        <f t="shared" si="8"/>
        <v>2000</v>
      </c>
      <c r="H26" s="544">
        <v>2000</v>
      </c>
      <c r="I26" s="544"/>
      <c r="J26" s="414">
        <f t="shared" si="9"/>
        <v>200</v>
      </c>
      <c r="K26" s="414">
        <f t="shared" si="10"/>
        <v>200</v>
      </c>
      <c r="L26" s="414">
        <f t="shared" si="11"/>
        <v>0</v>
      </c>
    </row>
    <row r="27" spans="2:15">
      <c r="B27" s="534" t="s">
        <v>119</v>
      </c>
      <c r="C27" s="535" t="s">
        <v>34</v>
      </c>
      <c r="D27" s="68">
        <v>102067</v>
      </c>
      <c r="E27" s="68">
        <v>47662</v>
      </c>
      <c r="F27" s="68">
        <f t="shared" si="0"/>
        <v>54405</v>
      </c>
      <c r="G27" s="543">
        <f t="shared" si="8"/>
        <v>0</v>
      </c>
      <c r="H27" s="544"/>
      <c r="I27" s="544"/>
      <c r="J27" s="414">
        <f t="shared" si="9"/>
        <v>0</v>
      </c>
      <c r="K27" s="414">
        <f t="shared" si="10"/>
        <v>0</v>
      </c>
      <c r="L27" s="414">
        <f t="shared" si="11"/>
        <v>0</v>
      </c>
    </row>
    <row r="28" spans="2:15" s="19" customFormat="1" ht="32.25" customHeight="1">
      <c r="B28" s="357" t="s">
        <v>154</v>
      </c>
      <c r="C28" s="358" t="s">
        <v>884</v>
      </c>
      <c r="D28" s="68">
        <v>7000</v>
      </c>
      <c r="E28" s="68">
        <v>7000</v>
      </c>
      <c r="F28" s="68">
        <f t="shared" si="0"/>
        <v>0</v>
      </c>
      <c r="G28" s="543">
        <f>H28+I28</f>
        <v>3329.8490000000002</v>
      </c>
      <c r="H28" s="544">
        <v>3329.8490000000002</v>
      </c>
      <c r="I28" s="544"/>
      <c r="J28" s="415">
        <f>IF(D28=0,0,G28/D28*100)</f>
        <v>47.569271428571433</v>
      </c>
      <c r="K28" s="415">
        <f>IF(E28=0,0,H28/E28*100)</f>
        <v>47.569271428571433</v>
      </c>
      <c r="L28" s="415">
        <f>IF(F28=0,0,I28/F28*100)</f>
        <v>0</v>
      </c>
    </row>
    <row r="29" spans="2:15" s="19" customFormat="1" ht="21.75" customHeight="1">
      <c r="B29" s="357" t="s">
        <v>9</v>
      </c>
      <c r="C29" s="358" t="s">
        <v>120</v>
      </c>
      <c r="D29" s="68">
        <f>D30+D37</f>
        <v>1859965.328761</v>
      </c>
      <c r="E29" s="377">
        <f>E30+E37</f>
        <v>1394928.328761</v>
      </c>
      <c r="F29" s="377">
        <f t="shared" si="0"/>
        <v>465037</v>
      </c>
      <c r="G29" s="383">
        <f>G30+G37</f>
        <v>1858300.9764220002</v>
      </c>
      <c r="H29" s="68">
        <f>H30+H37</f>
        <v>1399683.5089700001</v>
      </c>
      <c r="I29" s="550">
        <f>I30+I37</f>
        <v>458617.46745200001</v>
      </c>
      <c r="J29" s="415">
        <f t="shared" ref="J29:L74" si="12">IF(D29=0,0,G29/D29*100)</f>
        <v>99.910517023448577</v>
      </c>
      <c r="K29" s="415">
        <f t="shared" si="12"/>
        <v>100.34089064727962</v>
      </c>
      <c r="L29" s="415">
        <f t="shared" si="12"/>
        <v>98.619565207069542</v>
      </c>
    </row>
    <row r="30" spans="2:15" s="19" customFormat="1" ht="19.5" customHeight="1">
      <c r="B30" s="357" t="s">
        <v>13</v>
      </c>
      <c r="C30" s="358" t="s">
        <v>37</v>
      </c>
      <c r="D30" s="68">
        <f>D31+D34</f>
        <v>496403.44900000002</v>
      </c>
      <c r="E30" s="377">
        <f>E31+E34</f>
        <v>122850.44899999999</v>
      </c>
      <c r="F30" s="377">
        <f t="shared" si="0"/>
        <v>373553</v>
      </c>
      <c r="G30" s="383">
        <f>G31+G34</f>
        <v>434534.76735700003</v>
      </c>
      <c r="H30" s="68">
        <f>H31+H34</f>
        <v>77795.919204999998</v>
      </c>
      <c r="I30" s="550">
        <f>I31+I34</f>
        <v>356738.84815199999</v>
      </c>
      <c r="J30" s="415">
        <f t="shared" si="12"/>
        <v>87.536613259308766</v>
      </c>
      <c r="K30" s="415">
        <f t="shared" si="12"/>
        <v>63.325710111975255</v>
      </c>
      <c r="L30" s="415">
        <f t="shared" si="12"/>
        <v>95.49885776636782</v>
      </c>
    </row>
    <row r="31" spans="2:15" s="19" customFormat="1" ht="18" customHeight="1">
      <c r="B31" s="359">
        <v>1</v>
      </c>
      <c r="C31" s="360" t="s">
        <v>204</v>
      </c>
      <c r="D31" s="67">
        <f>D32+D33</f>
        <v>208100</v>
      </c>
      <c r="E31" s="368">
        <f>E32+E33</f>
        <v>27450</v>
      </c>
      <c r="F31" s="368">
        <f>F32+F33</f>
        <v>180650</v>
      </c>
      <c r="G31" s="551">
        <f t="shared" ref="G31:I31" si="13">G32+G33</f>
        <v>194380.14722700001</v>
      </c>
      <c r="H31" s="67">
        <f t="shared" si="13"/>
        <v>4620.2158849999996</v>
      </c>
      <c r="I31" s="552">
        <f t="shared" si="13"/>
        <v>189759.931342</v>
      </c>
      <c r="J31" s="415">
        <f t="shared" si="12"/>
        <v>93.407086605958682</v>
      </c>
      <c r="K31" s="415">
        <f t="shared" si="12"/>
        <v>16.831387559198539</v>
      </c>
      <c r="L31" s="415">
        <f t="shared" si="12"/>
        <v>105.04286263050098</v>
      </c>
    </row>
    <row r="32" spans="2:15" s="21" customFormat="1" ht="24.75" customHeight="1">
      <c r="B32" s="362"/>
      <c r="C32" s="365" t="s">
        <v>409</v>
      </c>
      <c r="D32" s="364">
        <f>E32+F32</f>
        <v>159600</v>
      </c>
      <c r="E32" s="368">
        <f>'Bieu 61'!O13</f>
        <v>21900</v>
      </c>
      <c r="F32" s="368">
        <f>'Bieu 61'!O33</f>
        <v>137700</v>
      </c>
      <c r="G32" s="419">
        <f>H32+I32</f>
        <v>148239.112525</v>
      </c>
      <c r="H32" s="553">
        <f>'Bieu 61_lay sl'!AE13</f>
        <v>66.270884999999993</v>
      </c>
      <c r="I32" s="553">
        <f>'Bieu 61_lay sl'!AE33</f>
        <v>148172.84164</v>
      </c>
      <c r="J32" s="421">
        <f t="shared" si="12"/>
        <v>92.881649451754384</v>
      </c>
      <c r="K32" s="421">
        <f t="shared" si="12"/>
        <v>0.30260678082191778</v>
      </c>
      <c r="L32" s="421">
        <f t="shared" si="12"/>
        <v>107.60554948438634</v>
      </c>
    </row>
    <row r="33" spans="2:12" s="21" customFormat="1" ht="26.25" customHeight="1">
      <c r="B33" s="362"/>
      <c r="C33" s="365" t="s">
        <v>410</v>
      </c>
      <c r="D33" s="364">
        <f>E33+F33</f>
        <v>48500</v>
      </c>
      <c r="E33" s="368">
        <f>'Bieu 61'!R13</f>
        <v>5550</v>
      </c>
      <c r="F33" s="368">
        <f>'Bieu 61'!Q33</f>
        <v>42950</v>
      </c>
      <c r="G33" s="419">
        <f>H33+I33</f>
        <v>46141.034702000004</v>
      </c>
      <c r="H33" s="419">
        <f>'Bieu 61_lay sl'!AH13</f>
        <v>4553.9449999999997</v>
      </c>
      <c r="I33" s="420">
        <f>'Bieu 61_lay sl'!AH33</f>
        <v>41587.089702000005</v>
      </c>
      <c r="J33" s="421">
        <f t="shared" si="12"/>
        <v>95.136154024742282</v>
      </c>
      <c r="K33" s="421">
        <f t="shared" si="12"/>
        <v>82.053063063063064</v>
      </c>
      <c r="L33" s="421">
        <f t="shared" si="12"/>
        <v>96.826751343422586</v>
      </c>
    </row>
    <row r="34" spans="2:12" s="19" customFormat="1" ht="28.5" customHeight="1">
      <c r="B34" s="359">
        <v>2</v>
      </c>
      <c r="C34" s="360" t="s">
        <v>205</v>
      </c>
      <c r="D34" s="67">
        <f>D35+D36</f>
        <v>288303.44900000002</v>
      </c>
      <c r="E34" s="368">
        <f t="shared" ref="E34:I34" si="14">E35+E36</f>
        <v>95400.448999999993</v>
      </c>
      <c r="F34" s="368">
        <f t="shared" si="14"/>
        <v>192903</v>
      </c>
      <c r="G34" s="551">
        <f t="shared" si="14"/>
        <v>240154.62013</v>
      </c>
      <c r="H34" s="67">
        <f t="shared" si="14"/>
        <v>73175.703320000001</v>
      </c>
      <c r="I34" s="554">
        <f t="shared" si="14"/>
        <v>166978.91681</v>
      </c>
      <c r="J34" s="415">
        <f t="shared" si="12"/>
        <v>83.299253256592138</v>
      </c>
      <c r="K34" s="415">
        <f t="shared" si="12"/>
        <v>76.703730524371011</v>
      </c>
      <c r="L34" s="415">
        <f t="shared" si="12"/>
        <v>86.561078267315693</v>
      </c>
    </row>
    <row r="35" spans="2:12" s="21" customFormat="1" ht="28.5" customHeight="1">
      <c r="B35" s="362"/>
      <c r="C35" s="365" t="s">
        <v>409</v>
      </c>
      <c r="D35" s="364">
        <f>E35+F35</f>
        <v>227162.44899999999</v>
      </c>
      <c r="E35" s="368">
        <f>'Bieu 61_lay sl'!G13</f>
        <v>86702.448999999993</v>
      </c>
      <c r="F35" s="368">
        <f>'Bieu 61_lay sl'!G33</f>
        <v>140460</v>
      </c>
      <c r="G35" s="419">
        <f>H35+I35</f>
        <v>180160.83463299999</v>
      </c>
      <c r="H35" s="419">
        <f>'Bieu 61_lay sl'!X13</f>
        <v>65140.866242999997</v>
      </c>
      <c r="I35" s="421">
        <f>'Bieu 61_lay sl'!X33</f>
        <v>115019.96838999999</v>
      </c>
      <c r="J35" s="421">
        <f t="shared" si="12"/>
        <v>79.309250021776265</v>
      </c>
      <c r="K35" s="421">
        <f t="shared" si="12"/>
        <v>75.131518191602638</v>
      </c>
      <c r="L35" s="421">
        <f t="shared" si="12"/>
        <v>81.888059511604723</v>
      </c>
    </row>
    <row r="36" spans="2:12" s="21" customFormat="1" ht="28.5" customHeight="1">
      <c r="B36" s="362"/>
      <c r="C36" s="365" t="s">
        <v>410</v>
      </c>
      <c r="D36" s="364">
        <f>E36+F36</f>
        <v>61141</v>
      </c>
      <c r="E36" s="368">
        <f>'Bieu 61_lay sl'!J13</f>
        <v>8698</v>
      </c>
      <c r="F36" s="368">
        <v>52443</v>
      </c>
      <c r="G36" s="419">
        <f>H36+I36</f>
        <v>59993.785497000004</v>
      </c>
      <c r="H36" s="419">
        <f>'Bieu 61_lay sl'!AA13</f>
        <v>8034.8370770000001</v>
      </c>
      <c r="I36" s="422">
        <f>'Bieu 61_lay sl'!AA33</f>
        <v>51958.948420000001</v>
      </c>
      <c r="J36" s="421">
        <f t="shared" si="12"/>
        <v>98.123657606188985</v>
      </c>
      <c r="K36" s="421">
        <f t="shared" si="12"/>
        <v>92.375684950563354</v>
      </c>
      <c r="L36" s="421">
        <f t="shared" si="12"/>
        <v>99.076994870621434</v>
      </c>
    </row>
    <row r="37" spans="2:12" s="25" customFormat="1" ht="30" customHeight="1">
      <c r="B37" s="357" t="s">
        <v>18</v>
      </c>
      <c r="C37" s="358" t="s">
        <v>121</v>
      </c>
      <c r="D37" s="68">
        <f>D38+D75</f>
        <v>1363561.8797609999</v>
      </c>
      <c r="E37" s="377">
        <f>E38+E75</f>
        <v>1272077.8797609999</v>
      </c>
      <c r="F37" s="377">
        <f t="shared" si="0"/>
        <v>91484</v>
      </c>
      <c r="G37" s="383">
        <f>G38+G75</f>
        <v>1423766.2090650001</v>
      </c>
      <c r="H37" s="68">
        <f t="shared" ref="H37:I37" si="15">H38+H75</f>
        <v>1321887.5897650002</v>
      </c>
      <c r="I37" s="383">
        <f t="shared" si="15"/>
        <v>101878.61930000002</v>
      </c>
      <c r="J37" s="414">
        <f t="shared" si="12"/>
        <v>104.41522531522753</v>
      </c>
      <c r="K37" s="414">
        <f t="shared" si="12"/>
        <v>103.91561796620176</v>
      </c>
      <c r="L37" s="414">
        <f t="shared" si="12"/>
        <v>111.36222650955361</v>
      </c>
    </row>
    <row r="38" spans="2:12" s="25" customFormat="1">
      <c r="B38" s="357" t="s">
        <v>206</v>
      </c>
      <c r="C38" s="358" t="s">
        <v>207</v>
      </c>
      <c r="D38" s="68">
        <f>D39+D49+D53</f>
        <v>849949.87976099993</v>
      </c>
      <c r="E38" s="377">
        <f t="shared" ref="E38:H38" si="16">E39+E49+E53</f>
        <v>849949.87976099993</v>
      </c>
      <c r="F38" s="555">
        <f t="shared" si="16"/>
        <v>0</v>
      </c>
      <c r="G38" s="383">
        <f t="shared" si="16"/>
        <v>924662.66589400009</v>
      </c>
      <c r="H38" s="68">
        <f t="shared" si="16"/>
        <v>924499.66589400009</v>
      </c>
      <c r="I38" s="383">
        <f t="shared" ref="I38" si="17">I39+I53</f>
        <v>163</v>
      </c>
      <c r="J38" s="414">
        <f t="shared" si="12"/>
        <v>108.79025786249994</v>
      </c>
      <c r="K38" s="414">
        <f t="shared" si="12"/>
        <v>108.77108026110469</v>
      </c>
      <c r="L38" s="414">
        <f t="shared" si="12"/>
        <v>0</v>
      </c>
    </row>
    <row r="39" spans="2:12" s="25" customFormat="1">
      <c r="B39" s="357">
        <v>1</v>
      </c>
      <c r="C39" s="358" t="s">
        <v>208</v>
      </c>
      <c r="D39" s="68">
        <f>D40+D43</f>
        <v>425799.99976099998</v>
      </c>
      <c r="E39" s="377">
        <f>E40+E43</f>
        <v>425799.99976099998</v>
      </c>
      <c r="F39" s="555">
        <f t="shared" ref="F39:H39" si="18">F40+F43</f>
        <v>0</v>
      </c>
      <c r="G39" s="383">
        <f t="shared" si="18"/>
        <v>281855.91158200003</v>
      </c>
      <c r="H39" s="68">
        <f t="shared" si="18"/>
        <v>281855.91158200003</v>
      </c>
      <c r="I39" s="544"/>
      <c r="J39" s="414">
        <f t="shared" si="12"/>
        <v>66.194436763786925</v>
      </c>
      <c r="K39" s="414">
        <f t="shared" si="12"/>
        <v>66.194436763786925</v>
      </c>
      <c r="L39" s="414">
        <f t="shared" si="12"/>
        <v>0</v>
      </c>
    </row>
    <row r="40" spans="2:12" s="25" customFormat="1" ht="26">
      <c r="B40" s="357" t="s">
        <v>184</v>
      </c>
      <c r="C40" s="367" t="s">
        <v>387</v>
      </c>
      <c r="D40" s="68">
        <f>SUM(D41:D42)</f>
        <v>160591</v>
      </c>
      <c r="E40" s="68">
        <f t="shared" ref="E40:I40" si="19">SUM(E41:E42)</f>
        <v>160591</v>
      </c>
      <c r="F40" s="542">
        <f t="shared" si="19"/>
        <v>0</v>
      </c>
      <c r="G40" s="383">
        <f t="shared" si="19"/>
        <v>30151.575000000001</v>
      </c>
      <c r="H40" s="383">
        <f t="shared" si="19"/>
        <v>30151.575000000001</v>
      </c>
      <c r="I40" s="383">
        <f t="shared" si="19"/>
        <v>0</v>
      </c>
      <c r="J40" s="414">
        <f t="shared" si="12"/>
        <v>18.775382804764902</v>
      </c>
      <c r="K40" s="414">
        <f t="shared" si="12"/>
        <v>18.775382804764902</v>
      </c>
      <c r="L40" s="414">
        <f t="shared" si="12"/>
        <v>0</v>
      </c>
    </row>
    <row r="41" spans="2:12" s="19" customFormat="1" ht="39">
      <c r="B41" s="380" t="s">
        <v>15</v>
      </c>
      <c r="C41" s="336" t="s">
        <v>388</v>
      </c>
      <c r="D41" s="67">
        <f>E41+F41</f>
        <v>160591</v>
      </c>
      <c r="E41" s="67">
        <v>160591</v>
      </c>
      <c r="F41" s="541"/>
      <c r="G41" s="539">
        <f>H41+I41</f>
        <v>29283.577000000001</v>
      </c>
      <c r="H41" s="539">
        <v>29283.577000000001</v>
      </c>
      <c r="I41" s="539"/>
      <c r="J41" s="415">
        <f t="shared" si="12"/>
        <v>18.234880535023755</v>
      </c>
      <c r="K41" s="415">
        <f t="shared" si="12"/>
        <v>18.234880535023755</v>
      </c>
      <c r="L41" s="415">
        <f t="shared" si="12"/>
        <v>0</v>
      </c>
    </row>
    <row r="42" spans="2:12" s="19" customFormat="1">
      <c r="B42" s="380" t="s">
        <v>15</v>
      </c>
      <c r="C42" s="336" t="s">
        <v>389</v>
      </c>
      <c r="D42" s="541">
        <f>E42+F42</f>
        <v>0</v>
      </c>
      <c r="E42" s="67"/>
      <c r="F42" s="541"/>
      <c r="G42" s="539">
        <f>H42+I42</f>
        <v>867.99799999999959</v>
      </c>
      <c r="H42" s="539">
        <v>867.99799999999959</v>
      </c>
      <c r="I42" s="539"/>
      <c r="J42" s="415">
        <f t="shared" si="12"/>
        <v>0</v>
      </c>
      <c r="K42" s="415">
        <f t="shared" si="12"/>
        <v>0</v>
      </c>
      <c r="L42" s="415">
        <f t="shared" si="12"/>
        <v>0</v>
      </c>
    </row>
    <row r="43" spans="2:12" s="25" customFormat="1">
      <c r="B43" s="357" t="s">
        <v>185</v>
      </c>
      <c r="C43" s="367" t="s">
        <v>390</v>
      </c>
      <c r="D43" s="68">
        <f>SUM(D44:D48)</f>
        <v>265208.99976099998</v>
      </c>
      <c r="E43" s="68">
        <f t="shared" ref="E43:H43" si="20">SUM(E44:E48)</f>
        <v>265208.99976099998</v>
      </c>
      <c r="F43" s="542">
        <f t="shared" si="20"/>
        <v>0</v>
      </c>
      <c r="G43" s="383">
        <f t="shared" si="20"/>
        <v>251704.33658200002</v>
      </c>
      <c r="H43" s="383">
        <f t="shared" si="20"/>
        <v>251704.33658200002</v>
      </c>
      <c r="I43" s="544"/>
      <c r="J43" s="414">
        <f t="shared" si="12"/>
        <v>94.907916702988942</v>
      </c>
      <c r="K43" s="414">
        <f t="shared" si="12"/>
        <v>94.907916702988942</v>
      </c>
      <c r="L43" s="414">
        <f t="shared" si="12"/>
        <v>0</v>
      </c>
    </row>
    <row r="44" spans="2:12" s="19" customFormat="1" ht="39">
      <c r="B44" s="380" t="s">
        <v>15</v>
      </c>
      <c r="C44" s="336" t="s">
        <v>391</v>
      </c>
      <c r="D44" s="67">
        <f>E44+F44</f>
        <v>42259</v>
      </c>
      <c r="E44" s="67">
        <v>42259</v>
      </c>
      <c r="F44" s="67"/>
      <c r="G44" s="539">
        <f>H44+I44</f>
        <v>43553.422665999999</v>
      </c>
      <c r="H44" s="539">
        <v>43553.422665999999</v>
      </c>
      <c r="I44" s="539"/>
      <c r="J44" s="415">
        <f t="shared" si="12"/>
        <v>103.0630697981495</v>
      </c>
      <c r="K44" s="415">
        <f t="shared" si="12"/>
        <v>103.0630697981495</v>
      </c>
      <c r="L44" s="415">
        <f t="shared" si="12"/>
        <v>0</v>
      </c>
    </row>
    <row r="45" spans="2:12" s="19" customFormat="1" ht="26">
      <c r="B45" s="380" t="s">
        <v>15</v>
      </c>
      <c r="C45" s="336" t="s">
        <v>392</v>
      </c>
      <c r="D45" s="67">
        <f t="shared" ref="D45:D48" si="21">E45+F45</f>
        <v>109999.99976099998</v>
      </c>
      <c r="E45" s="67">
        <v>109999.99976099998</v>
      </c>
      <c r="F45" s="67"/>
      <c r="G45" s="539">
        <f t="shared" ref="G45:G52" si="22">H45+I45</f>
        <v>115260.58991100002</v>
      </c>
      <c r="H45" s="539">
        <v>115260.58991100002</v>
      </c>
      <c r="I45" s="539"/>
      <c r="J45" s="415">
        <f t="shared" si="12"/>
        <v>104.78235469220895</v>
      </c>
      <c r="K45" s="415">
        <f t="shared" si="12"/>
        <v>104.78235469220895</v>
      </c>
      <c r="L45" s="415">
        <f t="shared" si="12"/>
        <v>0</v>
      </c>
    </row>
    <row r="46" spans="2:12" s="19" customFormat="1" ht="26">
      <c r="B46" s="380" t="s">
        <v>15</v>
      </c>
      <c r="C46" s="336" t="s">
        <v>393</v>
      </c>
      <c r="D46" s="67">
        <f t="shared" si="21"/>
        <v>11500</v>
      </c>
      <c r="E46" s="67">
        <v>11500</v>
      </c>
      <c r="F46" s="67"/>
      <c r="G46" s="539">
        <f t="shared" si="22"/>
        <v>581.98922000000005</v>
      </c>
      <c r="H46" s="539">
        <v>581.98922000000005</v>
      </c>
      <c r="I46" s="539"/>
      <c r="J46" s="415">
        <f t="shared" si="12"/>
        <v>5.0607758260869575</v>
      </c>
      <c r="K46" s="415">
        <f t="shared" si="12"/>
        <v>5.0607758260869575</v>
      </c>
      <c r="L46" s="415">
        <f t="shared" si="12"/>
        <v>0</v>
      </c>
    </row>
    <row r="47" spans="2:12" s="19" customFormat="1">
      <c r="B47" s="380" t="s">
        <v>15</v>
      </c>
      <c r="C47" s="336" t="s">
        <v>389</v>
      </c>
      <c r="D47" s="67">
        <f t="shared" si="21"/>
        <v>65450</v>
      </c>
      <c r="E47" s="67">
        <v>65450</v>
      </c>
      <c r="F47" s="67"/>
      <c r="G47" s="539">
        <f t="shared" si="22"/>
        <v>92308.334784999999</v>
      </c>
      <c r="H47" s="539">
        <v>92308.334784999999</v>
      </c>
      <c r="I47" s="539"/>
      <c r="J47" s="415">
        <f t="shared" si="12"/>
        <v>141.03641678380444</v>
      </c>
      <c r="K47" s="415">
        <f t="shared" si="12"/>
        <v>141.03641678380444</v>
      </c>
      <c r="L47" s="415">
        <f t="shared" si="12"/>
        <v>0</v>
      </c>
    </row>
    <row r="48" spans="2:12" s="19" customFormat="1">
      <c r="B48" s="380" t="s">
        <v>15</v>
      </c>
      <c r="C48" s="336" t="s">
        <v>394</v>
      </c>
      <c r="D48" s="67">
        <f t="shared" si="21"/>
        <v>36000</v>
      </c>
      <c r="E48" s="67">
        <v>36000</v>
      </c>
      <c r="F48" s="67"/>
      <c r="G48" s="539">
        <f t="shared" si="22"/>
        <v>0</v>
      </c>
      <c r="H48" s="539"/>
      <c r="I48" s="539"/>
      <c r="J48" s="415">
        <f t="shared" si="12"/>
        <v>0</v>
      </c>
      <c r="K48" s="415">
        <f t="shared" si="12"/>
        <v>0</v>
      </c>
      <c r="L48" s="415">
        <f t="shared" si="12"/>
        <v>0</v>
      </c>
    </row>
    <row r="49" spans="2:12" s="25" customFormat="1" ht="26">
      <c r="B49" s="357">
        <v>2</v>
      </c>
      <c r="C49" s="371" t="s">
        <v>396</v>
      </c>
      <c r="D49" s="542">
        <f>SUM(D50:D52)</f>
        <v>0</v>
      </c>
      <c r="E49" s="542">
        <f>SUM(E50:E52)</f>
        <v>0</v>
      </c>
      <c r="F49" s="542">
        <f t="shared" ref="F49:H49" si="23">SUM(F50:F52)</f>
        <v>0</v>
      </c>
      <c r="G49" s="383">
        <f t="shared" si="23"/>
        <v>12890.597173999999</v>
      </c>
      <c r="H49" s="383">
        <f t="shared" si="23"/>
        <v>12890.597173999999</v>
      </c>
      <c r="I49" s="544"/>
      <c r="J49" s="415">
        <f t="shared" si="12"/>
        <v>0</v>
      </c>
      <c r="K49" s="415">
        <f t="shared" si="12"/>
        <v>0</v>
      </c>
      <c r="L49" s="415">
        <f t="shared" si="12"/>
        <v>0</v>
      </c>
    </row>
    <row r="50" spans="2:12" s="19" customFormat="1">
      <c r="B50" s="380" t="s">
        <v>15</v>
      </c>
      <c r="C50" s="334" t="s">
        <v>397</v>
      </c>
      <c r="D50" s="541">
        <f>E50+F50</f>
        <v>0</v>
      </c>
      <c r="E50" s="541"/>
      <c r="F50" s="541"/>
      <c r="G50" s="539">
        <f t="shared" si="22"/>
        <v>8356.3508399999992</v>
      </c>
      <c r="H50" s="539">
        <v>8356.3508399999992</v>
      </c>
      <c r="I50" s="539"/>
      <c r="J50" s="415">
        <f t="shared" si="12"/>
        <v>0</v>
      </c>
      <c r="K50" s="415">
        <f t="shared" si="12"/>
        <v>0</v>
      </c>
      <c r="L50" s="415">
        <f t="shared" si="12"/>
        <v>0</v>
      </c>
    </row>
    <row r="51" spans="2:12" s="19" customFormat="1" ht="26" hidden="1">
      <c r="B51" s="380" t="s">
        <v>15</v>
      </c>
      <c r="C51" s="335" t="s">
        <v>329</v>
      </c>
      <c r="D51" s="541">
        <f t="shared" ref="D51:D52" si="24">E51+F51</f>
        <v>0</v>
      </c>
      <c r="E51" s="541"/>
      <c r="F51" s="541"/>
      <c r="G51" s="539">
        <f t="shared" si="22"/>
        <v>0</v>
      </c>
      <c r="H51" s="539"/>
      <c r="I51" s="539"/>
      <c r="J51" s="415">
        <f t="shared" si="12"/>
        <v>0</v>
      </c>
      <c r="K51" s="415">
        <f t="shared" si="12"/>
        <v>0</v>
      </c>
      <c r="L51" s="415">
        <f t="shared" si="12"/>
        <v>0</v>
      </c>
    </row>
    <row r="52" spans="2:12" s="19" customFormat="1" ht="26">
      <c r="B52" s="380" t="s">
        <v>15</v>
      </c>
      <c r="C52" s="336" t="s">
        <v>398</v>
      </c>
      <c r="D52" s="541">
        <f t="shared" si="24"/>
        <v>0</v>
      </c>
      <c r="E52" s="541"/>
      <c r="F52" s="541"/>
      <c r="G52" s="539">
        <f t="shared" si="22"/>
        <v>4534.2463340000004</v>
      </c>
      <c r="H52" s="539">
        <v>4534.2463340000004</v>
      </c>
      <c r="I52" s="539"/>
      <c r="J52" s="415">
        <f t="shared" si="12"/>
        <v>0</v>
      </c>
      <c r="K52" s="415">
        <f t="shared" si="12"/>
        <v>0</v>
      </c>
      <c r="L52" s="415">
        <f t="shared" si="12"/>
        <v>0</v>
      </c>
    </row>
    <row r="53" spans="2:12" s="25" customFormat="1">
      <c r="B53" s="357">
        <v>3</v>
      </c>
      <c r="C53" s="358" t="s">
        <v>170</v>
      </c>
      <c r="D53" s="68">
        <f>D54+D71</f>
        <v>424149.88</v>
      </c>
      <c r="E53" s="68">
        <f>E54+E71</f>
        <v>424149.88</v>
      </c>
      <c r="F53" s="542">
        <f t="shared" ref="F53:I53" si="25">F54+F71</f>
        <v>0</v>
      </c>
      <c r="G53" s="383">
        <f t="shared" si="25"/>
        <v>629916.15713800001</v>
      </c>
      <c r="H53" s="68">
        <f t="shared" si="25"/>
        <v>629753.15713800001</v>
      </c>
      <c r="I53" s="68">
        <f t="shared" si="25"/>
        <v>163</v>
      </c>
      <c r="J53" s="414">
        <f t="shared" si="12"/>
        <v>148.51263358556179</v>
      </c>
      <c r="K53" s="414">
        <f t="shared" si="12"/>
        <v>148.47420377391126</v>
      </c>
      <c r="L53" s="414">
        <f t="shared" si="12"/>
        <v>0</v>
      </c>
    </row>
    <row r="54" spans="2:12" s="19" customFormat="1">
      <c r="B54" s="359" t="s">
        <v>400</v>
      </c>
      <c r="C54" s="360" t="s">
        <v>401</v>
      </c>
      <c r="D54" s="67">
        <f>SUM(D55:D70)</f>
        <v>347749.88</v>
      </c>
      <c r="E54" s="67">
        <f t="shared" ref="E54:I54" si="26">SUM(E55:E70)</f>
        <v>347749.88</v>
      </c>
      <c r="F54" s="67">
        <f t="shared" si="26"/>
        <v>0</v>
      </c>
      <c r="G54" s="67">
        <f t="shared" si="26"/>
        <v>475507.66568899999</v>
      </c>
      <c r="H54" s="67">
        <f t="shared" si="26"/>
        <v>475344.66568899999</v>
      </c>
      <c r="I54" s="67">
        <f t="shared" si="26"/>
        <v>163</v>
      </c>
      <c r="J54" s="415">
        <f t="shared" si="12"/>
        <v>136.73841258809347</v>
      </c>
      <c r="K54" s="415">
        <f t="shared" si="12"/>
        <v>136.69153981850403</v>
      </c>
      <c r="L54" s="415">
        <f t="shared" si="12"/>
        <v>0</v>
      </c>
    </row>
    <row r="55" spans="2:12" s="19" customFormat="1" ht="39">
      <c r="B55" s="380" t="s">
        <v>15</v>
      </c>
      <c r="C55" s="360" t="s">
        <v>402</v>
      </c>
      <c r="D55" s="67">
        <f>E55+F55</f>
        <v>210797</v>
      </c>
      <c r="E55" s="67">
        <v>210797</v>
      </c>
      <c r="F55" s="67"/>
      <c r="G55" s="539">
        <f t="shared" ref="G55:G74" si="27">H55+I55</f>
        <v>199628.34445999999</v>
      </c>
      <c r="H55" s="539">
        <v>199628.34445999999</v>
      </c>
      <c r="I55" s="539"/>
      <c r="J55" s="415">
        <f t="shared" si="12"/>
        <v>94.701700906559381</v>
      </c>
      <c r="K55" s="415">
        <f t="shared" si="12"/>
        <v>94.701700906559381</v>
      </c>
      <c r="L55" s="415">
        <f t="shared" si="12"/>
        <v>0</v>
      </c>
    </row>
    <row r="56" spans="2:12" s="19" customFormat="1" ht="52">
      <c r="B56" s="380" t="s">
        <v>15</v>
      </c>
      <c r="C56" s="360" t="s">
        <v>411</v>
      </c>
      <c r="D56" s="67">
        <f t="shared" ref="D56:D69" si="28">E56+F56</f>
        <v>21745.879999999997</v>
      </c>
      <c r="E56" s="67">
        <v>21745.879999999997</v>
      </c>
      <c r="F56" s="67"/>
      <c r="G56" s="539">
        <f t="shared" si="27"/>
        <v>20870.632000000001</v>
      </c>
      <c r="H56" s="539">
        <v>20870.632000000001</v>
      </c>
      <c r="I56" s="539"/>
      <c r="J56" s="415">
        <f t="shared" si="12"/>
        <v>95.975108848204826</v>
      </c>
      <c r="K56" s="415">
        <f t="shared" si="12"/>
        <v>95.975108848204826</v>
      </c>
      <c r="L56" s="415">
        <f t="shared" si="12"/>
        <v>0</v>
      </c>
    </row>
    <row r="57" spans="2:12" s="19" customFormat="1" ht="26">
      <c r="B57" s="380" t="s">
        <v>15</v>
      </c>
      <c r="C57" s="360" t="s">
        <v>412</v>
      </c>
      <c r="D57" s="67">
        <f t="shared" si="28"/>
        <v>20000</v>
      </c>
      <c r="E57" s="67">
        <v>20000</v>
      </c>
      <c r="F57" s="67"/>
      <c r="G57" s="539">
        <f t="shared" si="27"/>
        <v>11265.304783</v>
      </c>
      <c r="H57" s="539">
        <v>11265.304783</v>
      </c>
      <c r="I57" s="539"/>
      <c r="J57" s="415">
        <f t="shared" si="12"/>
        <v>56.326523914999996</v>
      </c>
      <c r="K57" s="415">
        <f t="shared" si="12"/>
        <v>56.326523914999996</v>
      </c>
      <c r="L57" s="415">
        <f t="shared" si="12"/>
        <v>0</v>
      </c>
    </row>
    <row r="58" spans="2:12" s="19" customFormat="1" ht="65">
      <c r="B58" s="380" t="s">
        <v>15</v>
      </c>
      <c r="C58" s="360" t="s">
        <v>413</v>
      </c>
      <c r="D58" s="67">
        <f t="shared" si="28"/>
        <v>48398</v>
      </c>
      <c r="E58" s="67">
        <v>48398</v>
      </c>
      <c r="F58" s="67"/>
      <c r="G58" s="539">
        <f t="shared" si="27"/>
        <v>48398</v>
      </c>
      <c r="H58" s="539">
        <v>48398</v>
      </c>
      <c r="I58" s="539"/>
      <c r="J58" s="415">
        <f t="shared" si="12"/>
        <v>100</v>
      </c>
      <c r="K58" s="415">
        <f t="shared" si="12"/>
        <v>100</v>
      </c>
      <c r="L58" s="415">
        <f t="shared" si="12"/>
        <v>0</v>
      </c>
    </row>
    <row r="59" spans="2:12" s="19" customFormat="1" ht="26">
      <c r="B59" s="380" t="s">
        <v>15</v>
      </c>
      <c r="C59" s="360" t="s">
        <v>414</v>
      </c>
      <c r="D59" s="67">
        <f t="shared" si="28"/>
        <v>45600</v>
      </c>
      <c r="E59" s="67">
        <v>45600</v>
      </c>
      <c r="F59" s="67"/>
      <c r="G59" s="539">
        <f t="shared" si="27"/>
        <v>45155.443625</v>
      </c>
      <c r="H59" s="539">
        <v>45155.443625</v>
      </c>
      <c r="I59" s="539"/>
      <c r="J59" s="415">
        <f t="shared" si="12"/>
        <v>99.025095668859649</v>
      </c>
      <c r="K59" s="415">
        <f t="shared" si="12"/>
        <v>99.025095668859649</v>
      </c>
      <c r="L59" s="415">
        <f t="shared" si="12"/>
        <v>0</v>
      </c>
    </row>
    <row r="60" spans="2:12" s="19" customFormat="1" ht="26">
      <c r="B60" s="380" t="s">
        <v>15</v>
      </c>
      <c r="C60" s="360" t="s">
        <v>415</v>
      </c>
      <c r="D60" s="67">
        <f t="shared" si="28"/>
        <v>1209</v>
      </c>
      <c r="E60" s="67">
        <v>1209</v>
      </c>
      <c r="F60" s="67"/>
      <c r="G60" s="539">
        <f t="shared" si="27"/>
        <v>1209</v>
      </c>
      <c r="H60" s="539">
        <v>1209</v>
      </c>
      <c r="I60" s="539"/>
      <c r="J60" s="415">
        <f t="shared" si="12"/>
        <v>100</v>
      </c>
      <c r="K60" s="415">
        <f t="shared" si="12"/>
        <v>100</v>
      </c>
      <c r="L60" s="415">
        <f t="shared" si="12"/>
        <v>0</v>
      </c>
    </row>
    <row r="61" spans="2:12" s="19" customFormat="1" ht="26">
      <c r="B61" s="380" t="s">
        <v>15</v>
      </c>
      <c r="C61" s="360" t="s">
        <v>403</v>
      </c>
      <c r="D61" s="541">
        <f t="shared" si="28"/>
        <v>0</v>
      </c>
      <c r="E61" s="67"/>
      <c r="F61" s="67"/>
      <c r="G61" s="539">
        <f t="shared" si="27"/>
        <v>8757.8186999999998</v>
      </c>
      <c r="H61" s="539">
        <v>8757.8186999999998</v>
      </c>
      <c r="I61" s="539"/>
      <c r="J61" s="415">
        <f t="shared" si="12"/>
        <v>0</v>
      </c>
      <c r="K61" s="415">
        <f t="shared" si="12"/>
        <v>0</v>
      </c>
      <c r="L61" s="415">
        <f t="shared" si="12"/>
        <v>0</v>
      </c>
    </row>
    <row r="62" spans="2:12" s="19" customFormat="1" ht="26">
      <c r="B62" s="380" t="s">
        <v>15</v>
      </c>
      <c r="C62" s="360" t="s">
        <v>404</v>
      </c>
      <c r="D62" s="541">
        <f t="shared" si="28"/>
        <v>0</v>
      </c>
      <c r="E62" s="67"/>
      <c r="F62" s="67"/>
      <c r="G62" s="539">
        <f t="shared" si="27"/>
        <v>48049.466</v>
      </c>
      <c r="H62" s="539">
        <v>48049.466</v>
      </c>
      <c r="I62" s="539"/>
      <c r="J62" s="415">
        <f t="shared" si="12"/>
        <v>0</v>
      </c>
      <c r="K62" s="415">
        <f t="shared" si="12"/>
        <v>0</v>
      </c>
      <c r="L62" s="415">
        <f t="shared" si="12"/>
        <v>0</v>
      </c>
    </row>
    <row r="63" spans="2:12" s="19" customFormat="1" ht="39" hidden="1">
      <c r="B63" s="380" t="s">
        <v>15</v>
      </c>
      <c r="C63" s="360" t="s">
        <v>416</v>
      </c>
      <c r="D63" s="541">
        <f t="shared" si="28"/>
        <v>0</v>
      </c>
      <c r="E63" s="67"/>
      <c r="F63" s="67"/>
      <c r="G63" s="539">
        <f t="shared" si="27"/>
        <v>0</v>
      </c>
      <c r="H63" s="539"/>
      <c r="I63" s="539"/>
      <c r="J63" s="415">
        <f t="shared" si="12"/>
        <v>0</v>
      </c>
      <c r="K63" s="415">
        <f t="shared" si="12"/>
        <v>0</v>
      </c>
      <c r="L63" s="415">
        <f t="shared" si="12"/>
        <v>0</v>
      </c>
    </row>
    <row r="64" spans="2:12" s="19" customFormat="1" ht="26" hidden="1">
      <c r="B64" s="380" t="s">
        <v>15</v>
      </c>
      <c r="C64" s="360" t="s">
        <v>417</v>
      </c>
      <c r="D64" s="541">
        <f t="shared" si="28"/>
        <v>0</v>
      </c>
      <c r="E64" s="67"/>
      <c r="F64" s="67"/>
      <c r="G64" s="539">
        <f t="shared" si="27"/>
        <v>0</v>
      </c>
      <c r="H64" s="539"/>
      <c r="I64" s="539"/>
      <c r="J64" s="415">
        <f t="shared" si="12"/>
        <v>0</v>
      </c>
      <c r="K64" s="415">
        <f t="shared" si="12"/>
        <v>0</v>
      </c>
      <c r="L64" s="415">
        <f t="shared" si="12"/>
        <v>0</v>
      </c>
    </row>
    <row r="65" spans="2:12" s="19" customFormat="1" ht="26">
      <c r="B65" s="380" t="s">
        <v>15</v>
      </c>
      <c r="C65" s="360" t="s">
        <v>417</v>
      </c>
      <c r="D65" s="541">
        <f t="shared" si="28"/>
        <v>0</v>
      </c>
      <c r="E65" s="67"/>
      <c r="F65" s="67"/>
      <c r="G65" s="539">
        <f t="shared" si="27"/>
        <v>21798.662</v>
      </c>
      <c r="H65" s="539">
        <v>21798.662</v>
      </c>
      <c r="I65" s="539"/>
      <c r="J65" s="415">
        <f t="shared" si="12"/>
        <v>0</v>
      </c>
      <c r="K65" s="415">
        <f t="shared" si="12"/>
        <v>0</v>
      </c>
      <c r="L65" s="415">
        <f t="shared" si="12"/>
        <v>0</v>
      </c>
    </row>
    <row r="66" spans="2:12" s="19" customFormat="1" ht="26">
      <c r="B66" s="380" t="s">
        <v>15</v>
      </c>
      <c r="C66" s="360" t="s">
        <v>418</v>
      </c>
      <c r="D66" s="541">
        <f t="shared" si="28"/>
        <v>0</v>
      </c>
      <c r="E66" s="67"/>
      <c r="F66" s="67"/>
      <c r="G66" s="539">
        <f t="shared" si="27"/>
        <v>69975.876470999996</v>
      </c>
      <c r="H66" s="539">
        <v>69975.876470999996</v>
      </c>
      <c r="I66" s="539"/>
      <c r="J66" s="415">
        <f t="shared" si="12"/>
        <v>0</v>
      </c>
      <c r="K66" s="415">
        <f t="shared" si="12"/>
        <v>0</v>
      </c>
      <c r="L66" s="415">
        <f t="shared" si="12"/>
        <v>0</v>
      </c>
    </row>
    <row r="67" spans="2:12" s="19" customFormat="1" ht="26">
      <c r="B67" s="380" t="s">
        <v>15</v>
      </c>
      <c r="C67" s="360" t="s">
        <v>419</v>
      </c>
      <c r="D67" s="541">
        <f t="shared" si="28"/>
        <v>0</v>
      </c>
      <c r="E67" s="67"/>
      <c r="F67" s="67"/>
      <c r="G67" s="539">
        <f t="shared" si="27"/>
        <v>64.837000000000003</v>
      </c>
      <c r="H67" s="539">
        <v>64.837000000000003</v>
      </c>
      <c r="I67" s="539"/>
      <c r="J67" s="415">
        <f t="shared" si="12"/>
        <v>0</v>
      </c>
      <c r="K67" s="415">
        <f t="shared" si="12"/>
        <v>0</v>
      </c>
      <c r="L67" s="415">
        <f t="shared" si="12"/>
        <v>0</v>
      </c>
    </row>
    <row r="68" spans="2:12" s="19" customFormat="1" ht="26">
      <c r="B68" s="380" t="s">
        <v>15</v>
      </c>
      <c r="C68" s="360" t="s">
        <v>420</v>
      </c>
      <c r="D68" s="541">
        <f t="shared" si="28"/>
        <v>0</v>
      </c>
      <c r="E68" s="67"/>
      <c r="F68" s="67"/>
      <c r="G68" s="539">
        <f t="shared" si="27"/>
        <v>37.5</v>
      </c>
      <c r="H68" s="539">
        <v>37.5</v>
      </c>
      <c r="I68" s="539"/>
      <c r="J68" s="415">
        <f t="shared" si="12"/>
        <v>0</v>
      </c>
      <c r="K68" s="415">
        <f t="shared" si="12"/>
        <v>0</v>
      </c>
      <c r="L68" s="415">
        <f t="shared" si="12"/>
        <v>0</v>
      </c>
    </row>
    <row r="69" spans="2:12" s="19" customFormat="1">
      <c r="B69" s="380" t="s">
        <v>15</v>
      </c>
      <c r="C69" s="360" t="s">
        <v>421</v>
      </c>
      <c r="D69" s="541">
        <f t="shared" si="28"/>
        <v>0</v>
      </c>
      <c r="E69" s="67"/>
      <c r="F69" s="67"/>
      <c r="G69" s="539">
        <f t="shared" si="27"/>
        <v>133.78065000000001</v>
      </c>
      <c r="H69" s="539">
        <v>133.78065000000001</v>
      </c>
      <c r="I69" s="539"/>
      <c r="J69" s="415">
        <f t="shared" si="12"/>
        <v>0</v>
      </c>
      <c r="K69" s="415">
        <f t="shared" si="12"/>
        <v>0</v>
      </c>
      <c r="L69" s="415">
        <f t="shared" si="12"/>
        <v>0</v>
      </c>
    </row>
    <row r="70" spans="2:12" s="19" customFormat="1" ht="26">
      <c r="B70" s="380" t="s">
        <v>15</v>
      </c>
      <c r="C70" s="360" t="s">
        <v>632</v>
      </c>
      <c r="D70" s="541"/>
      <c r="E70" s="67"/>
      <c r="F70" s="67"/>
      <c r="G70" s="539">
        <f t="shared" si="27"/>
        <v>163</v>
      </c>
      <c r="H70" s="539"/>
      <c r="I70" s="539">
        <v>163</v>
      </c>
      <c r="J70" s="415"/>
      <c r="K70" s="415">
        <f t="shared" si="12"/>
        <v>0</v>
      </c>
      <c r="L70" s="415"/>
    </row>
    <row r="71" spans="2:12" s="19" customFormat="1">
      <c r="B71" s="359" t="s">
        <v>197</v>
      </c>
      <c r="C71" s="360" t="s">
        <v>405</v>
      </c>
      <c r="D71" s="67">
        <f>SUM(D72:D74)</f>
        <v>76400</v>
      </c>
      <c r="E71" s="67">
        <f>SUM(E72:E74)</f>
        <v>76400</v>
      </c>
      <c r="F71" s="541">
        <f t="shared" ref="F71:H71" si="29">SUM(F72:F74)</f>
        <v>0</v>
      </c>
      <c r="G71" s="551">
        <f t="shared" si="29"/>
        <v>154408.49144899999</v>
      </c>
      <c r="H71" s="67">
        <f t="shared" si="29"/>
        <v>154408.49144899999</v>
      </c>
      <c r="I71" s="539"/>
      <c r="J71" s="415">
        <f t="shared" si="12"/>
        <v>202.10535529973822</v>
      </c>
      <c r="K71" s="415">
        <f t="shared" si="12"/>
        <v>202.10535529973822</v>
      </c>
      <c r="L71" s="415">
        <f t="shared" si="12"/>
        <v>0</v>
      </c>
    </row>
    <row r="72" spans="2:12" s="19" customFormat="1">
      <c r="B72" s="380" t="s">
        <v>15</v>
      </c>
      <c r="C72" s="360" t="s">
        <v>406</v>
      </c>
      <c r="D72" s="541">
        <f>E72+F72</f>
        <v>0</v>
      </c>
      <c r="E72" s="541">
        <v>0</v>
      </c>
      <c r="F72" s="67"/>
      <c r="G72" s="539">
        <f t="shared" si="27"/>
        <v>147048.501449</v>
      </c>
      <c r="H72" s="539">
        <v>147048.501449</v>
      </c>
      <c r="I72" s="539"/>
      <c r="J72" s="415">
        <f t="shared" si="12"/>
        <v>0</v>
      </c>
      <c r="K72" s="415">
        <f t="shared" si="12"/>
        <v>0</v>
      </c>
      <c r="L72" s="415">
        <f t="shared" si="12"/>
        <v>0</v>
      </c>
    </row>
    <row r="73" spans="2:12" s="19" customFormat="1">
      <c r="B73" s="380" t="s">
        <v>15</v>
      </c>
      <c r="C73" s="360" t="s">
        <v>407</v>
      </c>
      <c r="D73" s="67">
        <f t="shared" ref="D73:D74" si="30">E73+F73</f>
        <v>1207</v>
      </c>
      <c r="E73" s="67">
        <v>1207</v>
      </c>
      <c r="F73" s="67"/>
      <c r="G73" s="539">
        <f t="shared" si="27"/>
        <v>7359.9900000000007</v>
      </c>
      <c r="H73" s="539">
        <v>7359.9900000000007</v>
      </c>
      <c r="I73" s="539"/>
      <c r="J73" s="415">
        <f t="shared" si="12"/>
        <v>609.77547638773831</v>
      </c>
      <c r="K73" s="415">
        <f t="shared" si="12"/>
        <v>609.77547638773831</v>
      </c>
      <c r="L73" s="415">
        <f t="shared" si="12"/>
        <v>0</v>
      </c>
    </row>
    <row r="74" spans="2:12" s="19" customFormat="1">
      <c r="B74" s="380" t="s">
        <v>15</v>
      </c>
      <c r="C74" s="360" t="s">
        <v>408</v>
      </c>
      <c r="D74" s="67">
        <f t="shared" si="30"/>
        <v>75193</v>
      </c>
      <c r="E74" s="67">
        <v>75193</v>
      </c>
      <c r="F74" s="67"/>
      <c r="G74" s="539">
        <f t="shared" si="27"/>
        <v>0</v>
      </c>
      <c r="H74" s="539"/>
      <c r="I74" s="539"/>
      <c r="J74" s="415">
        <f t="shared" si="12"/>
        <v>0</v>
      </c>
      <c r="K74" s="415">
        <f t="shared" si="12"/>
        <v>0</v>
      </c>
      <c r="L74" s="415">
        <f t="shared" si="12"/>
        <v>0</v>
      </c>
    </row>
    <row r="75" spans="2:12">
      <c r="B75" s="357" t="s">
        <v>209</v>
      </c>
      <c r="C75" s="358" t="s">
        <v>210</v>
      </c>
      <c r="D75" s="68">
        <f>D76+D86</f>
        <v>513612</v>
      </c>
      <c r="E75" s="68">
        <v>422128</v>
      </c>
      <c r="F75" s="68">
        <f t="shared" si="0"/>
        <v>91484</v>
      </c>
      <c r="G75" s="543">
        <f>H75+I75</f>
        <v>499103.54317100003</v>
      </c>
      <c r="H75" s="544">
        <f>H76+H86</f>
        <v>397387.92387100001</v>
      </c>
      <c r="I75" s="544">
        <f>I76+I86</f>
        <v>101715.61930000002</v>
      </c>
      <c r="J75" s="415">
        <f t="shared" ref="J75" si="31">IF(D75=0,0,G75/D75*100)</f>
        <v>97.175210698153478</v>
      </c>
      <c r="K75" s="415">
        <f t="shared" ref="K75" si="32">IF(E75=0,0,H75/E75*100)</f>
        <v>94.139200401536968</v>
      </c>
      <c r="L75" s="415">
        <f t="shared" ref="L75" si="33">IF(F75=0,0,I75/F75*100)</f>
        <v>111.18405327707579</v>
      </c>
    </row>
    <row r="76" spans="2:12">
      <c r="B76" s="357" t="s">
        <v>13</v>
      </c>
      <c r="C76" s="358" t="s">
        <v>169</v>
      </c>
      <c r="D76" s="543">
        <f t="shared" ref="D76:F76" si="34">D77+D82</f>
        <v>177144</v>
      </c>
      <c r="E76" s="543">
        <f t="shared" si="34"/>
        <v>177144</v>
      </c>
      <c r="F76" s="543">
        <f t="shared" si="34"/>
        <v>0</v>
      </c>
      <c r="G76" s="543">
        <f>G77+G82</f>
        <v>65840.808577999996</v>
      </c>
      <c r="H76" s="543">
        <f>H77+H82</f>
        <v>65840.808577999996</v>
      </c>
      <c r="I76" s="543">
        <f>I77+I82</f>
        <v>0</v>
      </c>
      <c r="J76" s="415">
        <f t="shared" ref="J76:J140" si="35">IF(D76=0,0,G76/D76*100)</f>
        <v>37.167958597525171</v>
      </c>
      <c r="K76" s="415">
        <f t="shared" ref="K76:K140" si="36">IF(E76=0,0,H76/E76*100)</f>
        <v>37.167958597525171</v>
      </c>
      <c r="L76" s="415">
        <f t="shared" ref="L76:L140" si="37">IF(F76=0,0,I76/F76*100)</f>
        <v>0</v>
      </c>
    </row>
    <row r="77" spans="2:12">
      <c r="B77" s="357">
        <v>1</v>
      </c>
      <c r="C77" s="358" t="s">
        <v>211</v>
      </c>
      <c r="D77" s="68">
        <v>143050</v>
      </c>
      <c r="E77" s="68">
        <v>143050</v>
      </c>
      <c r="F77" s="543">
        <f t="shared" si="0"/>
        <v>0</v>
      </c>
      <c r="G77" s="543">
        <f t="shared" ref="G77:I77" si="38">SUM(G78:G81)</f>
        <v>48853.095578</v>
      </c>
      <c r="H77" s="543">
        <f t="shared" si="38"/>
        <v>48853.095578</v>
      </c>
      <c r="I77" s="543">
        <f t="shared" si="38"/>
        <v>0</v>
      </c>
      <c r="J77" s="415">
        <f t="shared" si="35"/>
        <v>34.151062969591052</v>
      </c>
      <c r="K77" s="415">
        <f t="shared" si="36"/>
        <v>34.151062969591052</v>
      </c>
      <c r="L77" s="415">
        <f t="shared" si="37"/>
        <v>0</v>
      </c>
    </row>
    <row r="78" spans="2:12" ht="52">
      <c r="B78" s="359" t="s">
        <v>184</v>
      </c>
      <c r="C78" s="360" t="s">
        <v>212</v>
      </c>
      <c r="D78" s="67">
        <v>14289</v>
      </c>
      <c r="E78" s="67">
        <v>14289</v>
      </c>
      <c r="F78" s="543">
        <f t="shared" si="0"/>
        <v>0</v>
      </c>
      <c r="G78" s="538">
        <f>H78+I78</f>
        <v>11617.646943</v>
      </c>
      <c r="H78" s="539">
        <f>'Bieu 45_QT 2019_28-6'!P219</f>
        <v>11617.646943</v>
      </c>
      <c r="I78" s="539"/>
      <c r="J78" s="415">
        <f t="shared" si="35"/>
        <v>81.304828490447207</v>
      </c>
      <c r="K78" s="415">
        <f t="shared" si="36"/>
        <v>81.304828490447207</v>
      </c>
      <c r="L78" s="415">
        <f t="shared" si="37"/>
        <v>0</v>
      </c>
    </row>
    <row r="79" spans="2:12" ht="52">
      <c r="B79" s="359" t="s">
        <v>185</v>
      </c>
      <c r="C79" s="360" t="s">
        <v>213</v>
      </c>
      <c r="D79" s="67">
        <v>539</v>
      </c>
      <c r="E79" s="67">
        <v>539</v>
      </c>
      <c r="F79" s="543">
        <f t="shared" si="0"/>
        <v>0</v>
      </c>
      <c r="G79" s="538">
        <f t="shared" ref="G79:G81" si="39">H79+I79</f>
        <v>444.06</v>
      </c>
      <c r="H79" s="539">
        <f>'Bieu 45_QT 2019_28-6'!P221</f>
        <v>444.06</v>
      </c>
      <c r="I79" s="539"/>
      <c r="J79" s="415">
        <f t="shared" si="35"/>
        <v>82.385899814471244</v>
      </c>
      <c r="K79" s="415">
        <f t="shared" si="36"/>
        <v>82.385899814471244</v>
      </c>
      <c r="L79" s="415">
        <f t="shared" si="37"/>
        <v>0</v>
      </c>
    </row>
    <row r="80" spans="2:12" ht="52">
      <c r="B80" s="359" t="s">
        <v>186</v>
      </c>
      <c r="C80" s="360" t="s">
        <v>215</v>
      </c>
      <c r="D80" s="67">
        <v>125022</v>
      </c>
      <c r="E80" s="67">
        <v>125022</v>
      </c>
      <c r="F80" s="543">
        <f t="shared" si="0"/>
        <v>0</v>
      </c>
      <c r="G80" s="538">
        <f t="shared" si="39"/>
        <v>33731.278635000002</v>
      </c>
      <c r="H80" s="67">
        <f>'Bieu 45_QT 2019_28-6'!P223</f>
        <v>33731.278635000002</v>
      </c>
      <c r="I80" s="539"/>
      <c r="J80" s="415">
        <f t="shared" si="35"/>
        <v>26.980274379709172</v>
      </c>
      <c r="K80" s="415">
        <f t="shared" si="36"/>
        <v>26.980274379709172</v>
      </c>
      <c r="L80" s="415">
        <f t="shared" si="37"/>
        <v>0</v>
      </c>
    </row>
    <row r="81" spans="2:12" ht="65">
      <c r="B81" s="359" t="s">
        <v>214</v>
      </c>
      <c r="C81" s="360" t="s">
        <v>216</v>
      </c>
      <c r="D81" s="67">
        <v>3200</v>
      </c>
      <c r="E81" s="67">
        <v>3200</v>
      </c>
      <c r="F81" s="543">
        <f t="shared" si="0"/>
        <v>0</v>
      </c>
      <c r="G81" s="538">
        <f t="shared" si="39"/>
        <v>3060.11</v>
      </c>
      <c r="H81" s="67">
        <f>'Bieu 45_QT 2019_28-6'!P225</f>
        <v>3060.11</v>
      </c>
      <c r="I81" s="539"/>
      <c r="J81" s="415">
        <f t="shared" si="35"/>
        <v>95.628437500000004</v>
      </c>
      <c r="K81" s="415">
        <f t="shared" si="36"/>
        <v>95.628437500000004</v>
      </c>
      <c r="L81" s="415">
        <f t="shared" si="37"/>
        <v>0</v>
      </c>
    </row>
    <row r="82" spans="2:12">
      <c r="B82" s="357">
        <v>2</v>
      </c>
      <c r="C82" s="358" t="s">
        <v>217</v>
      </c>
      <c r="D82" s="68">
        <f>D83+D84+D85</f>
        <v>34094</v>
      </c>
      <c r="E82" s="68">
        <v>34094</v>
      </c>
      <c r="F82" s="539">
        <f t="shared" si="0"/>
        <v>0</v>
      </c>
      <c r="G82" s="68">
        <f>H82+I82</f>
        <v>16987.713</v>
      </c>
      <c r="H82" s="68">
        <f t="shared" ref="H82:I82" si="40">SUM(H83:H85)</f>
        <v>16987.713</v>
      </c>
      <c r="I82" s="539">
        <f t="shared" si="40"/>
        <v>0</v>
      </c>
      <c r="J82" s="414">
        <f t="shared" si="35"/>
        <v>49.82610723294421</v>
      </c>
      <c r="K82" s="414">
        <f t="shared" si="36"/>
        <v>49.82610723294421</v>
      </c>
      <c r="L82" s="414">
        <f t="shared" si="37"/>
        <v>0</v>
      </c>
    </row>
    <row r="83" spans="2:12" ht="52">
      <c r="B83" s="359" t="s">
        <v>193</v>
      </c>
      <c r="C83" s="360" t="s">
        <v>212</v>
      </c>
      <c r="D83" s="67">
        <v>6094</v>
      </c>
      <c r="E83" s="67">
        <v>6094</v>
      </c>
      <c r="F83" s="539">
        <f t="shared" si="0"/>
        <v>0</v>
      </c>
      <c r="G83" s="538">
        <f>H83+I83</f>
        <v>0</v>
      </c>
      <c r="H83" s="539">
        <v>0</v>
      </c>
      <c r="I83" s="539"/>
      <c r="J83" s="415">
        <f t="shared" si="35"/>
        <v>0</v>
      </c>
      <c r="K83" s="415">
        <f t="shared" si="36"/>
        <v>0</v>
      </c>
      <c r="L83" s="415">
        <f t="shared" si="37"/>
        <v>0</v>
      </c>
    </row>
    <row r="84" spans="2:12" ht="52">
      <c r="B84" s="359" t="s">
        <v>194</v>
      </c>
      <c r="C84" s="360" t="s">
        <v>218</v>
      </c>
      <c r="D84" s="67">
        <v>15000</v>
      </c>
      <c r="E84" s="67">
        <v>15000</v>
      </c>
      <c r="F84" s="539">
        <f t="shared" si="0"/>
        <v>0</v>
      </c>
      <c r="G84" s="538">
        <f t="shared" ref="G84:G85" si="41">H84+I84</f>
        <v>16987.713</v>
      </c>
      <c r="H84" s="67">
        <f>'Bieu 45_QT 2019_28-6'!P231</f>
        <v>16987.713</v>
      </c>
      <c r="I84" s="539"/>
      <c r="J84" s="415">
        <f t="shared" si="35"/>
        <v>113.25142</v>
      </c>
      <c r="K84" s="415">
        <f t="shared" si="36"/>
        <v>113.25142</v>
      </c>
      <c r="L84" s="415">
        <f t="shared" si="37"/>
        <v>0</v>
      </c>
    </row>
    <row r="85" spans="2:12" ht="65">
      <c r="B85" s="359" t="s">
        <v>195</v>
      </c>
      <c r="C85" s="360" t="s">
        <v>219</v>
      </c>
      <c r="D85" s="67">
        <v>13000</v>
      </c>
      <c r="E85" s="67">
        <v>13000</v>
      </c>
      <c r="F85" s="539">
        <f t="shared" si="0"/>
        <v>0</v>
      </c>
      <c r="G85" s="538">
        <f t="shared" si="41"/>
        <v>0</v>
      </c>
      <c r="H85" s="539">
        <v>0</v>
      </c>
      <c r="I85" s="539"/>
      <c r="J85" s="415">
        <f t="shared" si="35"/>
        <v>0</v>
      </c>
      <c r="K85" s="415">
        <f t="shared" si="36"/>
        <v>0</v>
      </c>
      <c r="L85" s="415">
        <f t="shared" si="37"/>
        <v>0</v>
      </c>
    </row>
    <row r="86" spans="2:12">
      <c r="B86" s="357" t="s">
        <v>18</v>
      </c>
      <c r="C86" s="358" t="s">
        <v>170</v>
      </c>
      <c r="D86" s="543">
        <f>D87+D88+D91+D92+D93+D99+D103+D104+D105+D110+D116+D117+D118+D119+D120+D121+D124+D149+D150+D151+D152+D153+D154+D155+D156+D157+D158+D159</f>
        <v>336468</v>
      </c>
      <c r="E86" s="543">
        <f t="shared" ref="E86:I86" si="42">E87+E88+E91+E92+E93+E99+E103+E104+E105+E110+E116+E117+E118+E119+E120+E121+E124+E149+E150+E151+E152+E153+E154+E155+E156+E157+E158+E159</f>
        <v>244984</v>
      </c>
      <c r="F86" s="543">
        <f t="shared" si="42"/>
        <v>91484</v>
      </c>
      <c r="G86" s="543">
        <f t="shared" si="42"/>
        <v>433262.73459300009</v>
      </c>
      <c r="H86" s="543">
        <f t="shared" si="42"/>
        <v>331547.11529300001</v>
      </c>
      <c r="I86" s="543">
        <f t="shared" si="42"/>
        <v>101715.61930000002</v>
      </c>
      <c r="J86" s="414">
        <f t="shared" si="35"/>
        <v>128.76788716698172</v>
      </c>
      <c r="K86" s="414">
        <f t="shared" si="36"/>
        <v>135.33419133208699</v>
      </c>
      <c r="L86" s="414">
        <f t="shared" si="37"/>
        <v>111.18405327707579</v>
      </c>
    </row>
    <row r="87" spans="2:12" ht="26">
      <c r="B87" s="357">
        <v>1</v>
      </c>
      <c r="C87" s="358" t="s">
        <v>220</v>
      </c>
      <c r="D87" s="68">
        <v>570</v>
      </c>
      <c r="E87" s="68">
        <v>570</v>
      </c>
      <c r="F87" s="68">
        <f t="shared" si="0"/>
        <v>0</v>
      </c>
      <c r="G87" s="543">
        <f>H87+I87</f>
        <v>570</v>
      </c>
      <c r="H87" s="544">
        <f>'Bieu 45_QT 2019_28-6'!P236</f>
        <v>570</v>
      </c>
      <c r="I87" s="544"/>
      <c r="J87" s="414">
        <f t="shared" si="35"/>
        <v>100</v>
      </c>
      <c r="K87" s="414">
        <f t="shared" si="36"/>
        <v>100</v>
      </c>
      <c r="L87" s="414">
        <f t="shared" si="37"/>
        <v>0</v>
      </c>
    </row>
    <row r="88" spans="2:12" ht="26">
      <c r="B88" s="357">
        <v>2</v>
      </c>
      <c r="C88" s="358" t="s">
        <v>221</v>
      </c>
      <c r="D88" s="68">
        <f>D89+D90</f>
        <v>43875</v>
      </c>
      <c r="E88" s="68">
        <v>3057</v>
      </c>
      <c r="F88" s="68">
        <f t="shared" si="0"/>
        <v>40818</v>
      </c>
      <c r="G88" s="543">
        <f t="shared" ref="G88:G151" si="43">H88+I88</f>
        <v>33754.275999999998</v>
      </c>
      <c r="H88" s="544">
        <f>'Bieu 45_QT 2019_28-6'!P290</f>
        <v>2844</v>
      </c>
      <c r="I88" s="544">
        <f>'Bieu 45_QT 2019_28-6'!S290</f>
        <v>30910.275999999998</v>
      </c>
      <c r="J88" s="414">
        <f t="shared" si="35"/>
        <v>76.93282279202279</v>
      </c>
      <c r="K88" s="414">
        <f t="shared" si="36"/>
        <v>93.0323846908734</v>
      </c>
      <c r="L88" s="414">
        <f t="shared" si="37"/>
        <v>75.727071390072993</v>
      </c>
    </row>
    <row r="89" spans="2:12" hidden="1">
      <c r="B89" s="359" t="s">
        <v>193</v>
      </c>
      <c r="C89" s="360" t="s">
        <v>222</v>
      </c>
      <c r="D89" s="67">
        <v>33438</v>
      </c>
      <c r="E89" s="67">
        <v>847</v>
      </c>
      <c r="F89" s="67">
        <f t="shared" si="0"/>
        <v>32591</v>
      </c>
      <c r="G89" s="538">
        <f t="shared" si="43"/>
        <v>0</v>
      </c>
      <c r="H89" s="539"/>
      <c r="I89" s="539"/>
      <c r="J89" s="415">
        <f t="shared" si="35"/>
        <v>0</v>
      </c>
      <c r="K89" s="415">
        <f t="shared" si="36"/>
        <v>0</v>
      </c>
      <c r="L89" s="415">
        <f t="shared" si="37"/>
        <v>0</v>
      </c>
    </row>
    <row r="90" spans="2:12" hidden="1">
      <c r="B90" s="359" t="s">
        <v>194</v>
      </c>
      <c r="C90" s="360" t="s">
        <v>223</v>
      </c>
      <c r="D90" s="67">
        <v>10437</v>
      </c>
      <c r="E90" s="67">
        <v>2210</v>
      </c>
      <c r="F90" s="67">
        <f t="shared" si="0"/>
        <v>8227</v>
      </c>
      <c r="G90" s="538">
        <f t="shared" si="43"/>
        <v>0</v>
      </c>
      <c r="H90" s="539"/>
      <c r="I90" s="539"/>
      <c r="J90" s="415">
        <f t="shared" si="35"/>
        <v>0</v>
      </c>
      <c r="K90" s="415">
        <f t="shared" si="36"/>
        <v>0</v>
      </c>
      <c r="L90" s="415">
        <f t="shared" si="37"/>
        <v>0</v>
      </c>
    </row>
    <row r="91" spans="2:12" ht="39">
      <c r="B91" s="357">
        <v>3</v>
      </c>
      <c r="C91" s="358" t="s">
        <v>224</v>
      </c>
      <c r="D91" s="68">
        <v>2289</v>
      </c>
      <c r="E91" s="544">
        <v>0</v>
      </c>
      <c r="F91" s="68">
        <f t="shared" si="0"/>
        <v>2289</v>
      </c>
      <c r="G91" s="543">
        <f t="shared" si="43"/>
        <v>9605.107</v>
      </c>
      <c r="H91" s="544">
        <v>0</v>
      </c>
      <c r="I91" s="544">
        <f>'Bieu 45_QT 2019_28-6'!S244</f>
        <v>9605.107</v>
      </c>
      <c r="J91" s="414">
        <f t="shared" si="35"/>
        <v>419.6202271734382</v>
      </c>
      <c r="K91" s="414">
        <f t="shared" si="36"/>
        <v>0</v>
      </c>
      <c r="L91" s="414">
        <f t="shared" si="37"/>
        <v>419.6202271734382</v>
      </c>
    </row>
    <row r="92" spans="2:12" ht="39">
      <c r="B92" s="357">
        <v>4</v>
      </c>
      <c r="C92" s="358" t="s">
        <v>225</v>
      </c>
      <c r="D92" s="68">
        <v>1450</v>
      </c>
      <c r="E92" s="68">
        <v>220</v>
      </c>
      <c r="F92" s="68">
        <f t="shared" si="0"/>
        <v>1230</v>
      </c>
      <c r="G92" s="543">
        <f t="shared" si="43"/>
        <v>1566.6120000000001</v>
      </c>
      <c r="H92" s="544">
        <f>'Bieu 45_QT 2019_28-6'!P317</f>
        <v>220</v>
      </c>
      <c r="I92" s="544">
        <f>'Bieu 45_QT 2019_28-6'!S317</f>
        <v>1346.6120000000001</v>
      </c>
      <c r="J92" s="414">
        <f t="shared" si="35"/>
        <v>108.04220689655173</v>
      </c>
      <c r="K92" s="414">
        <f t="shared" si="36"/>
        <v>100</v>
      </c>
      <c r="L92" s="414">
        <f t="shared" si="37"/>
        <v>109.48065040650408</v>
      </c>
    </row>
    <row r="93" spans="2:12" ht="91">
      <c r="B93" s="357">
        <v>5</v>
      </c>
      <c r="C93" s="358" t="s">
        <v>226</v>
      </c>
      <c r="D93" s="68">
        <v>13309</v>
      </c>
      <c r="E93" s="68">
        <v>11293</v>
      </c>
      <c r="F93" s="68">
        <f t="shared" si="0"/>
        <v>2016</v>
      </c>
      <c r="G93" s="543">
        <f t="shared" si="43"/>
        <v>11386.5036</v>
      </c>
      <c r="H93" s="544">
        <f>H97+H96+H95+H94+H98</f>
        <v>8607</v>
      </c>
      <c r="I93" s="544">
        <f>I97+I96+I95+I94+I98</f>
        <v>2779.5036</v>
      </c>
      <c r="J93" s="414">
        <f t="shared" si="35"/>
        <v>85.554914719362841</v>
      </c>
      <c r="K93" s="414">
        <f t="shared" si="36"/>
        <v>76.215354644470025</v>
      </c>
      <c r="L93" s="414">
        <f t="shared" si="37"/>
        <v>137.87220238095239</v>
      </c>
    </row>
    <row r="94" spans="2:12" outlineLevel="1">
      <c r="B94" s="359" t="s">
        <v>227</v>
      </c>
      <c r="C94" s="360" t="s">
        <v>231</v>
      </c>
      <c r="D94" s="67">
        <v>4711</v>
      </c>
      <c r="E94" s="67">
        <v>4711</v>
      </c>
      <c r="F94" s="539">
        <f t="shared" si="0"/>
        <v>0</v>
      </c>
      <c r="G94" s="538">
        <f t="shared" si="43"/>
        <v>4711</v>
      </c>
      <c r="H94" s="539">
        <f>'Bieu 45_QT 2019_28-6'!P273</f>
        <v>4711</v>
      </c>
      <c r="I94" s="539"/>
      <c r="J94" s="415">
        <f t="shared" si="35"/>
        <v>100</v>
      </c>
      <c r="K94" s="415">
        <f t="shared" si="36"/>
        <v>100</v>
      </c>
      <c r="L94" s="415">
        <f t="shared" si="37"/>
        <v>0</v>
      </c>
    </row>
    <row r="95" spans="2:12" ht="26" outlineLevel="1">
      <c r="B95" s="359" t="s">
        <v>228</v>
      </c>
      <c r="C95" s="360" t="s">
        <v>232</v>
      </c>
      <c r="D95" s="67">
        <v>2016</v>
      </c>
      <c r="E95" s="539">
        <v>0</v>
      </c>
      <c r="F95" s="67">
        <f t="shared" si="0"/>
        <v>2016</v>
      </c>
      <c r="G95" s="538">
        <f t="shared" si="43"/>
        <v>1976.1636000000001</v>
      </c>
      <c r="H95" s="539"/>
      <c r="I95" s="539">
        <f>'Bieu 45_QT 2019_28-6'!S259</f>
        <v>1976.1636000000001</v>
      </c>
      <c r="J95" s="415">
        <f t="shared" si="35"/>
        <v>98.023988095238096</v>
      </c>
      <c r="K95" s="415">
        <f t="shared" si="36"/>
        <v>0</v>
      </c>
      <c r="L95" s="415">
        <f t="shared" si="37"/>
        <v>98.023988095238096</v>
      </c>
    </row>
    <row r="96" spans="2:12" ht="26" outlineLevel="1">
      <c r="B96" s="359" t="s">
        <v>229</v>
      </c>
      <c r="C96" s="360" t="s">
        <v>233</v>
      </c>
      <c r="D96" s="67">
        <v>640</v>
      </c>
      <c r="E96" s="67">
        <v>640</v>
      </c>
      <c r="F96" s="539">
        <f t="shared" si="0"/>
        <v>0</v>
      </c>
      <c r="G96" s="538">
        <f t="shared" si="43"/>
        <v>8.34</v>
      </c>
      <c r="H96" s="539"/>
      <c r="I96" s="539">
        <f>'Bieu 45_QT 2019_28-6'!S312</f>
        <v>8.34</v>
      </c>
      <c r="J96" s="415">
        <f t="shared" si="35"/>
        <v>1.3031249999999999</v>
      </c>
      <c r="K96" s="415">
        <f t="shared" si="36"/>
        <v>0</v>
      </c>
      <c r="L96" s="415">
        <f t="shared" si="37"/>
        <v>0</v>
      </c>
    </row>
    <row r="97" spans="2:12" ht="26" outlineLevel="1">
      <c r="B97" s="359" t="s">
        <v>230</v>
      </c>
      <c r="C97" s="360" t="s">
        <v>234</v>
      </c>
      <c r="D97" s="67">
        <v>5942</v>
      </c>
      <c r="E97" s="67">
        <v>5942</v>
      </c>
      <c r="F97" s="539">
        <f t="shared" si="0"/>
        <v>0</v>
      </c>
      <c r="G97" s="538">
        <f t="shared" si="43"/>
        <v>3896</v>
      </c>
      <c r="H97" s="539">
        <f>'Bieu 45_QT 2019_28-6'!P307</f>
        <v>3896</v>
      </c>
      <c r="I97" s="539">
        <v>0</v>
      </c>
      <c r="J97" s="415">
        <f t="shared" si="35"/>
        <v>65.567149108044433</v>
      </c>
      <c r="K97" s="415">
        <f t="shared" si="36"/>
        <v>65.567149108044433</v>
      </c>
      <c r="L97" s="415">
        <f t="shared" si="37"/>
        <v>0</v>
      </c>
    </row>
    <row r="98" spans="2:12" ht="26" outlineLevel="1">
      <c r="B98" s="359" t="s">
        <v>463</v>
      </c>
      <c r="C98" s="360" t="s">
        <v>464</v>
      </c>
      <c r="D98" s="67">
        <v>679</v>
      </c>
      <c r="E98" s="67">
        <v>52</v>
      </c>
      <c r="F98" s="539">
        <v>627</v>
      </c>
      <c r="G98" s="538">
        <f t="shared" si="43"/>
        <v>795</v>
      </c>
      <c r="H98" s="539"/>
      <c r="I98" s="539">
        <f>'Bieu 45_QT 2019_28-6'!S276</f>
        <v>795</v>
      </c>
      <c r="J98" s="415"/>
      <c r="K98" s="415"/>
      <c r="L98" s="415"/>
    </row>
    <row r="99" spans="2:12" ht="65">
      <c r="B99" s="357">
        <v>6</v>
      </c>
      <c r="C99" s="358" t="s">
        <v>235</v>
      </c>
      <c r="D99" s="68">
        <f>D100+D101+D102</f>
        <v>4083</v>
      </c>
      <c r="E99" s="68">
        <v>4008</v>
      </c>
      <c r="F99" s="68">
        <f t="shared" si="0"/>
        <v>75</v>
      </c>
      <c r="G99" s="543">
        <f t="shared" si="43"/>
        <v>2110.58</v>
      </c>
      <c r="H99" s="544">
        <f>H100+H101+H102</f>
        <v>1992</v>
      </c>
      <c r="I99" s="544">
        <f>I100+I101+I102</f>
        <v>118.58</v>
      </c>
      <c r="J99" s="414">
        <f t="shared" si="35"/>
        <v>51.691893215772708</v>
      </c>
      <c r="K99" s="414">
        <f t="shared" si="36"/>
        <v>49.700598802395206</v>
      </c>
      <c r="L99" s="414">
        <f t="shared" si="37"/>
        <v>158.10666666666665</v>
      </c>
    </row>
    <row r="100" spans="2:12" ht="26">
      <c r="B100" s="359" t="s">
        <v>236</v>
      </c>
      <c r="C100" s="360" t="s">
        <v>239</v>
      </c>
      <c r="D100" s="67">
        <v>1840</v>
      </c>
      <c r="E100" s="67">
        <v>1840</v>
      </c>
      <c r="F100" s="67">
        <f t="shared" si="0"/>
        <v>0</v>
      </c>
      <c r="G100" s="538">
        <f t="shared" si="43"/>
        <v>996</v>
      </c>
      <c r="H100" s="539">
        <f>'Bieu 45_QT 2019_28-6'!P325</f>
        <v>996</v>
      </c>
      <c r="I100" s="539"/>
      <c r="J100" s="415">
        <f t="shared" si="35"/>
        <v>54.130434782608695</v>
      </c>
      <c r="K100" s="415">
        <f t="shared" si="36"/>
        <v>54.130434782608695</v>
      </c>
      <c r="L100" s="415">
        <f t="shared" si="37"/>
        <v>0</v>
      </c>
    </row>
    <row r="101" spans="2:12" ht="26">
      <c r="B101" s="359" t="s">
        <v>237</v>
      </c>
      <c r="C101" s="360" t="s">
        <v>240</v>
      </c>
      <c r="D101" s="67">
        <v>1963</v>
      </c>
      <c r="E101" s="67">
        <v>1888</v>
      </c>
      <c r="F101" s="67">
        <f t="shared" si="0"/>
        <v>75</v>
      </c>
      <c r="G101" s="538">
        <f t="shared" si="43"/>
        <v>834.58</v>
      </c>
      <c r="H101" s="539">
        <f>'Bieu 45_QT 2019_28-6'!P328</f>
        <v>716</v>
      </c>
      <c r="I101" s="539">
        <f>'Bieu 45_QT 2019_28-6'!S328</f>
        <v>118.58</v>
      </c>
      <c r="J101" s="415">
        <f t="shared" si="35"/>
        <v>42.515537442689762</v>
      </c>
      <c r="K101" s="415">
        <f t="shared" si="36"/>
        <v>37.923728813559322</v>
      </c>
      <c r="L101" s="415">
        <f t="shared" si="37"/>
        <v>158.10666666666665</v>
      </c>
    </row>
    <row r="102" spans="2:12" ht="26">
      <c r="B102" s="359" t="s">
        <v>238</v>
      </c>
      <c r="C102" s="360" t="s">
        <v>241</v>
      </c>
      <c r="D102" s="67">
        <v>280</v>
      </c>
      <c r="E102" s="67">
        <v>280</v>
      </c>
      <c r="F102" s="539">
        <f t="shared" si="0"/>
        <v>0</v>
      </c>
      <c r="G102" s="538">
        <f t="shared" si="43"/>
        <v>280</v>
      </c>
      <c r="H102" s="539">
        <f>'Bieu 45_QT 2019_28-6'!O535</f>
        <v>280</v>
      </c>
      <c r="I102" s="539">
        <v>0</v>
      </c>
      <c r="J102" s="415">
        <f t="shared" si="35"/>
        <v>100</v>
      </c>
      <c r="K102" s="415">
        <f t="shared" si="36"/>
        <v>100</v>
      </c>
      <c r="L102" s="415">
        <f t="shared" si="37"/>
        <v>0</v>
      </c>
    </row>
    <row r="103" spans="2:12" ht="52">
      <c r="B103" s="357">
        <v>7</v>
      </c>
      <c r="C103" s="358" t="s">
        <v>242</v>
      </c>
      <c r="D103" s="68">
        <v>42981</v>
      </c>
      <c r="E103" s="68">
        <v>42981</v>
      </c>
      <c r="F103" s="539">
        <f t="shared" si="0"/>
        <v>0</v>
      </c>
      <c r="G103" s="543">
        <f t="shared" si="43"/>
        <v>24803</v>
      </c>
      <c r="H103" s="544">
        <f>'Bieu 45_QT 2019_28-6'!P340</f>
        <v>24803</v>
      </c>
      <c r="I103" s="544">
        <v>0</v>
      </c>
      <c r="J103" s="414">
        <f t="shared" si="35"/>
        <v>57.706893743747237</v>
      </c>
      <c r="K103" s="414">
        <f t="shared" si="36"/>
        <v>57.706893743747237</v>
      </c>
      <c r="L103" s="414">
        <f t="shared" si="37"/>
        <v>0</v>
      </c>
    </row>
    <row r="104" spans="2:12" ht="26">
      <c r="B104" s="357">
        <v>8</v>
      </c>
      <c r="C104" s="358" t="s">
        <v>243</v>
      </c>
      <c r="D104" s="68">
        <v>16307</v>
      </c>
      <c r="E104" s="68">
        <v>16307</v>
      </c>
      <c r="F104" s="539">
        <f t="shared" si="0"/>
        <v>0</v>
      </c>
      <c r="G104" s="543">
        <f t="shared" si="43"/>
        <v>16307</v>
      </c>
      <c r="H104" s="544">
        <f>'Bieu 45_QT 2019_28-6'!P343</f>
        <v>16307</v>
      </c>
      <c r="I104" s="544"/>
      <c r="J104" s="414">
        <f t="shared" si="35"/>
        <v>100</v>
      </c>
      <c r="K104" s="414">
        <f t="shared" si="36"/>
        <v>100</v>
      </c>
      <c r="L104" s="414">
        <f t="shared" si="37"/>
        <v>0</v>
      </c>
    </row>
    <row r="105" spans="2:12" ht="26">
      <c r="B105" s="357">
        <v>9</v>
      </c>
      <c r="C105" s="358" t="s">
        <v>244</v>
      </c>
      <c r="D105" s="68">
        <f>D109+D108+D107+D106</f>
        <v>5683</v>
      </c>
      <c r="E105" s="68">
        <v>4957</v>
      </c>
      <c r="F105" s="68">
        <f t="shared" si="0"/>
        <v>726</v>
      </c>
      <c r="G105" s="543">
        <f t="shared" si="43"/>
        <v>5590.85</v>
      </c>
      <c r="H105" s="544">
        <f>SUM(H106:H109)</f>
        <v>4879</v>
      </c>
      <c r="I105" s="544">
        <f>SUM(I106:I109)</f>
        <v>711.85</v>
      </c>
      <c r="J105" s="414">
        <f t="shared" si="35"/>
        <v>98.378497272567316</v>
      </c>
      <c r="K105" s="414">
        <f t="shared" si="36"/>
        <v>98.426467621545285</v>
      </c>
      <c r="L105" s="414">
        <f t="shared" si="37"/>
        <v>98.050964187327821</v>
      </c>
    </row>
    <row r="106" spans="2:12" ht="39">
      <c r="B106" s="380" t="s">
        <v>15</v>
      </c>
      <c r="C106" s="360" t="s">
        <v>245</v>
      </c>
      <c r="D106" s="67">
        <v>400</v>
      </c>
      <c r="E106" s="539">
        <v>0</v>
      </c>
      <c r="F106" s="67">
        <f t="shared" si="0"/>
        <v>400</v>
      </c>
      <c r="G106" s="538">
        <f t="shared" si="43"/>
        <v>399</v>
      </c>
      <c r="H106" s="539"/>
      <c r="I106" s="539">
        <f>'Bieu 45_QT 2019_28-6'!S345</f>
        <v>399</v>
      </c>
      <c r="J106" s="415">
        <f t="shared" si="35"/>
        <v>99.75</v>
      </c>
      <c r="K106" s="415">
        <f t="shared" si="36"/>
        <v>0</v>
      </c>
      <c r="L106" s="415">
        <f t="shared" si="37"/>
        <v>99.75</v>
      </c>
    </row>
    <row r="107" spans="2:12" ht="26">
      <c r="B107" s="380" t="s">
        <v>15</v>
      </c>
      <c r="C107" s="360" t="s">
        <v>246</v>
      </c>
      <c r="D107" s="67">
        <v>426</v>
      </c>
      <c r="E107" s="67">
        <v>100</v>
      </c>
      <c r="F107" s="67">
        <f t="shared" si="0"/>
        <v>326</v>
      </c>
      <c r="G107" s="538">
        <f t="shared" si="43"/>
        <v>334.85</v>
      </c>
      <c r="H107" s="539">
        <f>'Bieu 45_QT 2019_28-6'!P355</f>
        <v>22</v>
      </c>
      <c r="I107" s="539">
        <f>'Bieu 45_QT 2019_28-6'!S355</f>
        <v>312.85000000000002</v>
      </c>
      <c r="J107" s="415">
        <f t="shared" si="35"/>
        <v>78.603286384976528</v>
      </c>
      <c r="K107" s="415">
        <f t="shared" si="36"/>
        <v>22</v>
      </c>
      <c r="L107" s="415">
        <f t="shared" si="37"/>
        <v>95.966257668711663</v>
      </c>
    </row>
    <row r="108" spans="2:12" ht="39">
      <c r="B108" s="380" t="s">
        <v>15</v>
      </c>
      <c r="C108" s="360" t="s">
        <v>247</v>
      </c>
      <c r="D108" s="67">
        <v>1757</v>
      </c>
      <c r="E108" s="67">
        <v>1757</v>
      </c>
      <c r="F108" s="539">
        <f t="shared" si="0"/>
        <v>0</v>
      </c>
      <c r="G108" s="538">
        <f t="shared" si="43"/>
        <v>1757</v>
      </c>
      <c r="H108" s="539">
        <f>'Bieu 45_QT 2019_28-6'!P368</f>
        <v>1757</v>
      </c>
      <c r="I108" s="539">
        <v>0</v>
      </c>
      <c r="J108" s="415">
        <f t="shared" si="35"/>
        <v>100</v>
      </c>
      <c r="K108" s="415">
        <f t="shared" si="36"/>
        <v>100</v>
      </c>
      <c r="L108" s="415">
        <f t="shared" si="37"/>
        <v>0</v>
      </c>
    </row>
    <row r="109" spans="2:12" ht="39">
      <c r="B109" s="380" t="s">
        <v>15</v>
      </c>
      <c r="C109" s="360" t="s">
        <v>248</v>
      </c>
      <c r="D109" s="67">
        <v>3100</v>
      </c>
      <c r="E109" s="67">
        <v>3100</v>
      </c>
      <c r="F109" s="539">
        <f t="shared" si="0"/>
        <v>0</v>
      </c>
      <c r="G109" s="538">
        <f t="shared" si="43"/>
        <v>3100</v>
      </c>
      <c r="H109" s="539">
        <f>'Bieu 45_QT 2019_28-6'!P370</f>
        <v>3100</v>
      </c>
      <c r="I109" s="539">
        <v>0</v>
      </c>
      <c r="J109" s="415">
        <f t="shared" si="35"/>
        <v>100</v>
      </c>
      <c r="K109" s="415">
        <f t="shared" si="36"/>
        <v>100</v>
      </c>
      <c r="L109" s="415">
        <f t="shared" si="37"/>
        <v>0</v>
      </c>
    </row>
    <row r="110" spans="2:12" ht="104">
      <c r="B110" s="381">
        <v>10</v>
      </c>
      <c r="C110" s="382" t="s">
        <v>249</v>
      </c>
      <c r="D110" s="68">
        <f>SUM(D111:D115)</f>
        <v>59862</v>
      </c>
      <c r="E110" s="68">
        <v>26389</v>
      </c>
      <c r="F110" s="68">
        <f t="shared" si="0"/>
        <v>33473</v>
      </c>
      <c r="G110" s="543">
        <f t="shared" si="43"/>
        <v>55381.900271000006</v>
      </c>
      <c r="H110" s="544">
        <f>SUM(H111:H115)</f>
        <v>26064.024271000002</v>
      </c>
      <c r="I110" s="544">
        <f>SUM(I111:I115)</f>
        <v>29317.876</v>
      </c>
      <c r="J110" s="414">
        <f t="shared" si="35"/>
        <v>92.515953812101174</v>
      </c>
      <c r="K110" s="414">
        <f t="shared" si="36"/>
        <v>98.768518212133856</v>
      </c>
      <c r="L110" s="414">
        <f t="shared" si="37"/>
        <v>87.586639978490126</v>
      </c>
    </row>
    <row r="111" spans="2:12" ht="26">
      <c r="B111" s="359" t="s">
        <v>250</v>
      </c>
      <c r="C111" s="360" t="s">
        <v>255</v>
      </c>
      <c r="D111" s="67">
        <v>17761</v>
      </c>
      <c r="E111" s="67">
        <v>740</v>
      </c>
      <c r="F111" s="67">
        <f t="shared" ref="F111:F147" si="44">D111-E111</f>
        <v>17021</v>
      </c>
      <c r="G111" s="538">
        <f t="shared" si="43"/>
        <v>17727.18</v>
      </c>
      <c r="H111" s="539">
        <f>'Bieu 45_QT 2019_28-6'!P372</f>
        <v>1668.1800000000003</v>
      </c>
      <c r="I111" s="539">
        <f>'Bieu 45_QT 2019_28-6'!S372</f>
        <v>16059</v>
      </c>
      <c r="J111" s="415">
        <f t="shared" si="35"/>
        <v>99.809582793761606</v>
      </c>
      <c r="K111" s="415">
        <f t="shared" si="36"/>
        <v>225.42972972972976</v>
      </c>
      <c r="L111" s="415">
        <f t="shared" si="37"/>
        <v>94.348158157570055</v>
      </c>
    </row>
    <row r="112" spans="2:12" ht="26">
      <c r="B112" s="359" t="s">
        <v>251</v>
      </c>
      <c r="C112" s="360" t="s">
        <v>256</v>
      </c>
      <c r="D112" s="67">
        <v>15555</v>
      </c>
      <c r="E112" s="67"/>
      <c r="F112" s="67">
        <f t="shared" si="44"/>
        <v>15555</v>
      </c>
      <c r="G112" s="538">
        <f t="shared" si="43"/>
        <v>13597.076000000001</v>
      </c>
      <c r="H112" s="539">
        <f>'Bieu 45_QT 2019_28-6'!P385</f>
        <v>1168</v>
      </c>
      <c r="I112" s="539">
        <f>'Bieu 45_QT 2019_28-6'!S385</f>
        <v>12429.076000000001</v>
      </c>
      <c r="J112" s="415">
        <f t="shared" si="35"/>
        <v>87.412896174863391</v>
      </c>
      <c r="K112" s="415">
        <f t="shared" si="36"/>
        <v>0</v>
      </c>
      <c r="L112" s="415">
        <f t="shared" si="37"/>
        <v>79.904056573449054</v>
      </c>
    </row>
    <row r="113" spans="2:12" ht="26">
      <c r="B113" s="359" t="s">
        <v>252</v>
      </c>
      <c r="C113" s="360" t="s">
        <v>257</v>
      </c>
      <c r="D113" s="67">
        <v>3149</v>
      </c>
      <c r="E113" s="67">
        <v>2252</v>
      </c>
      <c r="F113" s="67">
        <f t="shared" si="44"/>
        <v>897</v>
      </c>
      <c r="G113" s="538">
        <f t="shared" si="43"/>
        <v>1549.8000000000002</v>
      </c>
      <c r="H113" s="539">
        <f>'Bieu 45_QT 2019_28-6'!P408</f>
        <v>720</v>
      </c>
      <c r="I113" s="539">
        <f>'Bieu 45_QT 2019_28-6'!S408</f>
        <v>829.80000000000007</v>
      </c>
      <c r="J113" s="415">
        <f t="shared" si="35"/>
        <v>49.215624007621471</v>
      </c>
      <c r="K113" s="415">
        <f t="shared" si="36"/>
        <v>31.97158081705151</v>
      </c>
      <c r="L113" s="415">
        <f t="shared" si="37"/>
        <v>92.508361204013383</v>
      </c>
    </row>
    <row r="114" spans="2:12" ht="26">
      <c r="B114" s="359" t="s">
        <v>253</v>
      </c>
      <c r="C114" s="360" t="s">
        <v>258</v>
      </c>
      <c r="D114" s="67">
        <v>3397</v>
      </c>
      <c r="E114" s="67">
        <v>3397</v>
      </c>
      <c r="F114" s="67">
        <f t="shared" si="44"/>
        <v>0</v>
      </c>
      <c r="G114" s="538">
        <f t="shared" si="43"/>
        <v>2507.8442709999999</v>
      </c>
      <c r="H114" s="539">
        <f>'Bieu 45_QT 2019_28-6'!O421</f>
        <v>2507.8442709999999</v>
      </c>
      <c r="I114" s="539"/>
      <c r="J114" s="415">
        <f t="shared" si="35"/>
        <v>73.825265557845157</v>
      </c>
      <c r="K114" s="415">
        <f t="shared" si="36"/>
        <v>73.825265557845157</v>
      </c>
      <c r="L114" s="415">
        <f t="shared" si="37"/>
        <v>0</v>
      </c>
    </row>
    <row r="115" spans="2:12" ht="26">
      <c r="B115" s="359" t="s">
        <v>254</v>
      </c>
      <c r="C115" s="360" t="s">
        <v>259</v>
      </c>
      <c r="D115" s="67">
        <v>20000</v>
      </c>
      <c r="E115" s="67">
        <v>20000</v>
      </c>
      <c r="F115" s="67">
        <f t="shared" si="44"/>
        <v>0</v>
      </c>
      <c r="G115" s="538">
        <f t="shared" si="43"/>
        <v>20000</v>
      </c>
      <c r="H115" s="539">
        <f>'Bieu 45_QT 2019_28-6'!P537</f>
        <v>20000</v>
      </c>
      <c r="I115" s="539"/>
      <c r="J115" s="415">
        <f t="shared" si="35"/>
        <v>100</v>
      </c>
      <c r="K115" s="415">
        <f t="shared" si="36"/>
        <v>100</v>
      </c>
      <c r="L115" s="415">
        <f t="shared" si="37"/>
        <v>0</v>
      </c>
    </row>
    <row r="116" spans="2:12" ht="52">
      <c r="B116" s="381">
        <v>11</v>
      </c>
      <c r="C116" s="358" t="s">
        <v>260</v>
      </c>
      <c r="D116" s="68">
        <v>10215</v>
      </c>
      <c r="E116" s="68">
        <v>10215</v>
      </c>
      <c r="F116" s="68">
        <f t="shared" si="44"/>
        <v>0</v>
      </c>
      <c r="G116" s="543">
        <f t="shared" si="43"/>
        <v>7834.0640000000003</v>
      </c>
      <c r="H116" s="544">
        <f>'Bieu 45_QT 2019_28-6'!P431</f>
        <v>7834.0640000000003</v>
      </c>
      <c r="I116" s="544"/>
      <c r="J116" s="414">
        <f t="shared" si="35"/>
        <v>76.691767009300051</v>
      </c>
      <c r="K116" s="414">
        <f t="shared" si="36"/>
        <v>76.691767009300051</v>
      </c>
      <c r="L116" s="414">
        <f t="shared" si="37"/>
        <v>0</v>
      </c>
    </row>
    <row r="117" spans="2:12">
      <c r="B117" s="381">
        <v>12</v>
      </c>
      <c r="C117" s="358" t="s">
        <v>261</v>
      </c>
      <c r="D117" s="68">
        <v>10742</v>
      </c>
      <c r="E117" s="68">
        <v>8411</v>
      </c>
      <c r="F117" s="68">
        <f t="shared" si="44"/>
        <v>2331</v>
      </c>
      <c r="G117" s="543">
        <f t="shared" si="43"/>
        <v>10389.541999999999</v>
      </c>
      <c r="H117" s="544">
        <f>'Bieu 45_QT 2019_28-6'!P539</f>
        <v>8582</v>
      </c>
      <c r="I117" s="544">
        <f>'Bieu 45_QT 2019_28-6'!S539</f>
        <v>1807.5419999999999</v>
      </c>
      <c r="J117" s="414">
        <f t="shared" si="35"/>
        <v>96.718879165890897</v>
      </c>
      <c r="K117" s="414">
        <f t="shared" si="36"/>
        <v>102.03305195577221</v>
      </c>
      <c r="L117" s="414">
        <f t="shared" si="37"/>
        <v>77.543629343629334</v>
      </c>
    </row>
    <row r="118" spans="2:12" ht="39">
      <c r="B118" s="381">
        <v>13</v>
      </c>
      <c r="C118" s="358" t="s">
        <v>262</v>
      </c>
      <c r="D118" s="68">
        <v>2300</v>
      </c>
      <c r="E118" s="68">
        <v>2300</v>
      </c>
      <c r="F118" s="68">
        <f t="shared" si="44"/>
        <v>0</v>
      </c>
      <c r="G118" s="543">
        <f t="shared" si="43"/>
        <v>2300</v>
      </c>
      <c r="H118" s="544">
        <f>'Bieu 45_QT 2019_28-6'!P437</f>
        <v>2300</v>
      </c>
      <c r="I118" s="544"/>
      <c r="J118" s="414">
        <f t="shared" si="35"/>
        <v>100</v>
      </c>
      <c r="K118" s="414">
        <f t="shared" si="36"/>
        <v>100</v>
      </c>
      <c r="L118" s="414">
        <f t="shared" si="37"/>
        <v>0</v>
      </c>
    </row>
    <row r="119" spans="2:12" ht="26">
      <c r="B119" s="381">
        <v>14</v>
      </c>
      <c r="C119" s="358" t="s">
        <v>263</v>
      </c>
      <c r="D119" s="68">
        <v>9275</v>
      </c>
      <c r="E119" s="68">
        <v>8348</v>
      </c>
      <c r="F119" s="68">
        <f t="shared" si="44"/>
        <v>927</v>
      </c>
      <c r="G119" s="543">
        <f t="shared" si="43"/>
        <v>8968.8723309999987</v>
      </c>
      <c r="H119" s="544">
        <f>'Bieu 45_QT 2019_28-6'!P439</f>
        <v>8131.8723309999996</v>
      </c>
      <c r="I119" s="544">
        <f>'Bieu 45_QT 2019_28-6'!S439</f>
        <v>837</v>
      </c>
      <c r="J119" s="414">
        <f t="shared" si="35"/>
        <v>96.699432140161719</v>
      </c>
      <c r="K119" s="414">
        <f t="shared" si="36"/>
        <v>97.411024568758975</v>
      </c>
      <c r="L119" s="414">
        <f t="shared" si="37"/>
        <v>90.291262135922338</v>
      </c>
    </row>
    <row r="120" spans="2:12" ht="26">
      <c r="B120" s="381">
        <v>15</v>
      </c>
      <c r="C120" s="358" t="s">
        <v>264</v>
      </c>
      <c r="D120" s="68">
        <v>34113</v>
      </c>
      <c r="E120" s="68">
        <v>34113</v>
      </c>
      <c r="F120" s="68">
        <f t="shared" si="44"/>
        <v>0</v>
      </c>
      <c r="G120" s="543">
        <f t="shared" si="43"/>
        <v>53117</v>
      </c>
      <c r="H120" s="544">
        <f>'Bieu 45_QT 2019_28-6'!P552</f>
        <v>53117</v>
      </c>
      <c r="I120" s="544"/>
      <c r="J120" s="414">
        <f t="shared" si="35"/>
        <v>155.70896725588486</v>
      </c>
      <c r="K120" s="414">
        <f t="shared" si="36"/>
        <v>155.70896725588486</v>
      </c>
      <c r="L120" s="414">
        <f t="shared" si="37"/>
        <v>0</v>
      </c>
    </row>
    <row r="121" spans="2:12" ht="26">
      <c r="B121" s="381">
        <v>16</v>
      </c>
      <c r="C121" s="358" t="s">
        <v>265</v>
      </c>
      <c r="D121" s="68">
        <f>D123+D122</f>
        <v>7507</v>
      </c>
      <c r="E121" s="68">
        <v>2417</v>
      </c>
      <c r="F121" s="68">
        <f t="shared" si="44"/>
        <v>5090</v>
      </c>
      <c r="G121" s="543">
        <f t="shared" si="43"/>
        <v>15955.209699999999</v>
      </c>
      <c r="H121" s="544">
        <f>H122+H123</f>
        <v>8107.63</v>
      </c>
      <c r="I121" s="544">
        <f>I122+I123</f>
        <v>7847.5796999999993</v>
      </c>
      <c r="J121" s="414">
        <f t="shared" si="35"/>
        <v>212.53776075662714</v>
      </c>
      <c r="K121" s="414">
        <f t="shared" si="36"/>
        <v>335.44187008688453</v>
      </c>
      <c r="L121" s="414">
        <f t="shared" si="37"/>
        <v>154.17641846758349</v>
      </c>
    </row>
    <row r="122" spans="2:12" ht="39">
      <c r="B122" s="359" t="s">
        <v>266</v>
      </c>
      <c r="C122" s="360" t="s">
        <v>268</v>
      </c>
      <c r="D122" s="67">
        <v>5090</v>
      </c>
      <c r="E122" s="67"/>
      <c r="F122" s="67">
        <f t="shared" si="44"/>
        <v>5090</v>
      </c>
      <c r="G122" s="538">
        <f t="shared" si="43"/>
        <v>7847.5796999999993</v>
      </c>
      <c r="H122" s="539"/>
      <c r="I122" s="539">
        <f>'Bieu 45_QT 2019_28-6'!S557</f>
        <v>7847.5796999999993</v>
      </c>
      <c r="J122" s="415">
        <f t="shared" si="35"/>
        <v>154.17641846758349</v>
      </c>
      <c r="K122" s="415">
        <f t="shared" si="36"/>
        <v>0</v>
      </c>
      <c r="L122" s="415">
        <f t="shared" si="37"/>
        <v>154.17641846758349</v>
      </c>
    </row>
    <row r="123" spans="2:12" ht="39">
      <c r="B123" s="359" t="s">
        <v>267</v>
      </c>
      <c r="C123" s="360" t="s">
        <v>269</v>
      </c>
      <c r="D123" s="67">
        <v>2417</v>
      </c>
      <c r="E123" s="67">
        <v>2417</v>
      </c>
      <c r="F123" s="67">
        <f t="shared" si="44"/>
        <v>0</v>
      </c>
      <c r="G123" s="538">
        <f t="shared" si="43"/>
        <v>8107.63</v>
      </c>
      <c r="H123" s="539">
        <f>'Bieu 45_QT 2019_28-6'!P554</f>
        <v>8107.63</v>
      </c>
      <c r="I123" s="539"/>
      <c r="J123" s="415">
        <f t="shared" si="35"/>
        <v>335.44187008688453</v>
      </c>
      <c r="K123" s="415">
        <f t="shared" si="36"/>
        <v>335.44187008688453</v>
      </c>
      <c r="L123" s="415">
        <f t="shared" si="37"/>
        <v>0</v>
      </c>
    </row>
    <row r="124" spans="2:12" ht="26">
      <c r="B124" s="381">
        <v>17</v>
      </c>
      <c r="C124" s="358" t="s">
        <v>270</v>
      </c>
      <c r="D124" s="68">
        <f>D125+D129+D130+D135+D143+D144+D145+D146+D147+D148</f>
        <v>71907</v>
      </c>
      <c r="E124" s="68">
        <v>69398</v>
      </c>
      <c r="F124" s="68">
        <f t="shared" si="44"/>
        <v>2509</v>
      </c>
      <c r="G124" s="543">
        <f t="shared" si="43"/>
        <v>94535.301691000001</v>
      </c>
      <c r="H124" s="544">
        <f>H125+H129+H130+H135+H143+H144+H145+H146+H147+H148</f>
        <v>89818.167690999995</v>
      </c>
      <c r="I124" s="544">
        <f>I125+I129+I130+I135+I143+I144+I145+I146+I147+I148</f>
        <v>4717.134</v>
      </c>
      <c r="J124" s="414">
        <f t="shared" si="35"/>
        <v>131.46884404995342</v>
      </c>
      <c r="K124" s="414">
        <f t="shared" si="36"/>
        <v>129.42472072826305</v>
      </c>
      <c r="L124" s="414">
        <f t="shared" si="37"/>
        <v>188.00852929453967</v>
      </c>
    </row>
    <row r="125" spans="2:12" ht="26">
      <c r="B125" s="359" t="s">
        <v>271</v>
      </c>
      <c r="C125" s="360" t="s">
        <v>272</v>
      </c>
      <c r="D125" s="67">
        <f>D126+D127+D128</f>
        <v>6680</v>
      </c>
      <c r="E125" s="67">
        <v>6580</v>
      </c>
      <c r="F125" s="67">
        <f t="shared" si="44"/>
        <v>100</v>
      </c>
      <c r="G125" s="538">
        <f t="shared" si="43"/>
        <v>6395</v>
      </c>
      <c r="H125" s="539">
        <f>'Bieu 45_QT 2019_28-6'!P463</f>
        <v>6315</v>
      </c>
      <c r="I125" s="539">
        <f>'Bieu 45_QT 2019_28-6'!S463</f>
        <v>80</v>
      </c>
      <c r="J125" s="415">
        <f t="shared" si="35"/>
        <v>95.733532934131745</v>
      </c>
      <c r="K125" s="415">
        <f t="shared" si="36"/>
        <v>95.972644376899694</v>
      </c>
      <c r="L125" s="415">
        <f t="shared" si="37"/>
        <v>80</v>
      </c>
    </row>
    <row r="126" spans="2:12" ht="26" hidden="1">
      <c r="B126" s="359" t="s">
        <v>274</v>
      </c>
      <c r="C126" s="360" t="s">
        <v>276</v>
      </c>
      <c r="D126" s="67">
        <v>6000</v>
      </c>
      <c r="E126" s="67">
        <v>6000</v>
      </c>
      <c r="F126" s="67">
        <f t="shared" si="44"/>
        <v>0</v>
      </c>
      <c r="G126" s="538">
        <f t="shared" si="43"/>
        <v>0</v>
      </c>
      <c r="H126" s="539"/>
      <c r="I126" s="539"/>
      <c r="J126" s="415">
        <f t="shared" si="35"/>
        <v>0</v>
      </c>
      <c r="K126" s="415">
        <f t="shared" si="36"/>
        <v>0</v>
      </c>
      <c r="L126" s="415">
        <f t="shared" si="37"/>
        <v>0</v>
      </c>
    </row>
    <row r="127" spans="2:12" ht="26" hidden="1">
      <c r="B127" s="359" t="s">
        <v>275</v>
      </c>
      <c r="C127" s="360" t="s">
        <v>277</v>
      </c>
      <c r="D127" s="67">
        <v>380</v>
      </c>
      <c r="E127" s="67">
        <v>280</v>
      </c>
      <c r="F127" s="67">
        <f t="shared" si="44"/>
        <v>100</v>
      </c>
      <c r="G127" s="538">
        <f t="shared" si="43"/>
        <v>0</v>
      </c>
      <c r="H127" s="539"/>
      <c r="I127" s="539"/>
      <c r="J127" s="415">
        <f t="shared" si="35"/>
        <v>0</v>
      </c>
      <c r="K127" s="415">
        <f t="shared" si="36"/>
        <v>0</v>
      </c>
      <c r="L127" s="415">
        <f t="shared" si="37"/>
        <v>0</v>
      </c>
    </row>
    <row r="128" spans="2:12" ht="26" hidden="1">
      <c r="B128" s="359" t="s">
        <v>278</v>
      </c>
      <c r="C128" s="360" t="s">
        <v>279</v>
      </c>
      <c r="D128" s="67">
        <v>300</v>
      </c>
      <c r="E128" s="67">
        <v>300</v>
      </c>
      <c r="F128" s="67">
        <f t="shared" si="44"/>
        <v>0</v>
      </c>
      <c r="G128" s="538">
        <f t="shared" si="43"/>
        <v>0</v>
      </c>
      <c r="H128" s="539"/>
      <c r="I128" s="539"/>
      <c r="J128" s="415">
        <f t="shared" si="35"/>
        <v>0</v>
      </c>
      <c r="K128" s="415">
        <f t="shared" si="36"/>
        <v>0</v>
      </c>
      <c r="L128" s="415">
        <f t="shared" si="37"/>
        <v>0</v>
      </c>
    </row>
    <row r="129" spans="2:12" ht="39">
      <c r="B129" s="359" t="s">
        <v>273</v>
      </c>
      <c r="C129" s="360" t="s">
        <v>280</v>
      </c>
      <c r="D129" s="67">
        <v>20900</v>
      </c>
      <c r="E129" s="67">
        <v>20900</v>
      </c>
      <c r="F129" s="67">
        <f t="shared" si="44"/>
        <v>0</v>
      </c>
      <c r="G129" s="538">
        <f t="shared" si="43"/>
        <v>38490.210999999996</v>
      </c>
      <c r="H129" s="539">
        <f>'Bieu 45_QT 2019_28-6'!P569</f>
        <v>38490.210999999996</v>
      </c>
      <c r="I129" s="539"/>
      <c r="J129" s="415">
        <f t="shared" si="35"/>
        <v>184.1636889952153</v>
      </c>
      <c r="K129" s="415">
        <f t="shared" si="36"/>
        <v>184.1636889952153</v>
      </c>
      <c r="L129" s="415">
        <f t="shared" si="37"/>
        <v>0</v>
      </c>
    </row>
    <row r="130" spans="2:12">
      <c r="B130" s="359" t="s">
        <v>281</v>
      </c>
      <c r="C130" s="360" t="s">
        <v>282</v>
      </c>
      <c r="D130" s="67">
        <f>D131+D132+D133+D134</f>
        <v>4361</v>
      </c>
      <c r="E130" s="67">
        <v>3388</v>
      </c>
      <c r="F130" s="67">
        <f t="shared" si="44"/>
        <v>973</v>
      </c>
      <c r="G130" s="538">
        <f t="shared" si="43"/>
        <v>3849.384</v>
      </c>
      <c r="H130" s="539">
        <f>'Bieu 45_QT 2019_28-6'!P477</f>
        <v>3010</v>
      </c>
      <c r="I130" s="539">
        <f>'Bieu 45_QT 2019_28-6'!S477</f>
        <v>839.38400000000001</v>
      </c>
      <c r="J130" s="415">
        <f t="shared" si="35"/>
        <v>88.268378812199032</v>
      </c>
      <c r="K130" s="415">
        <f t="shared" si="36"/>
        <v>88.84297520661157</v>
      </c>
      <c r="L130" s="415">
        <f t="shared" si="37"/>
        <v>86.267625899280574</v>
      </c>
    </row>
    <row r="131" spans="2:12" ht="26" hidden="1">
      <c r="B131" s="359" t="s">
        <v>274</v>
      </c>
      <c r="C131" s="360" t="s">
        <v>284</v>
      </c>
      <c r="D131" s="67">
        <v>200</v>
      </c>
      <c r="E131" s="67">
        <v>200</v>
      </c>
      <c r="F131" s="67">
        <f t="shared" si="44"/>
        <v>0</v>
      </c>
      <c r="G131" s="538">
        <f t="shared" si="43"/>
        <v>0</v>
      </c>
      <c r="H131" s="539"/>
      <c r="I131" s="539"/>
      <c r="J131" s="415">
        <f t="shared" si="35"/>
        <v>0</v>
      </c>
      <c r="K131" s="415">
        <f t="shared" si="36"/>
        <v>0</v>
      </c>
      <c r="L131" s="415">
        <f t="shared" si="37"/>
        <v>0</v>
      </c>
    </row>
    <row r="132" spans="2:12" hidden="1">
      <c r="B132" s="359" t="s">
        <v>275</v>
      </c>
      <c r="C132" s="360" t="s">
        <v>285</v>
      </c>
      <c r="D132" s="67">
        <v>2348</v>
      </c>
      <c r="E132" s="67">
        <v>1835</v>
      </c>
      <c r="F132" s="67">
        <f t="shared" si="44"/>
        <v>513</v>
      </c>
      <c r="G132" s="538">
        <f t="shared" si="43"/>
        <v>0</v>
      </c>
      <c r="H132" s="539"/>
      <c r="I132" s="539"/>
      <c r="J132" s="415">
        <f t="shared" si="35"/>
        <v>0</v>
      </c>
      <c r="K132" s="415">
        <f t="shared" si="36"/>
        <v>0</v>
      </c>
      <c r="L132" s="415">
        <f t="shared" si="37"/>
        <v>0</v>
      </c>
    </row>
    <row r="133" spans="2:12" ht="26" hidden="1">
      <c r="B133" s="359" t="s">
        <v>278</v>
      </c>
      <c r="C133" s="360" t="s">
        <v>286</v>
      </c>
      <c r="D133" s="67">
        <v>563</v>
      </c>
      <c r="E133" s="67">
        <v>403</v>
      </c>
      <c r="F133" s="67">
        <f t="shared" si="44"/>
        <v>160</v>
      </c>
      <c r="G133" s="538">
        <f t="shared" si="43"/>
        <v>0</v>
      </c>
      <c r="H133" s="539"/>
      <c r="I133" s="539"/>
      <c r="J133" s="415">
        <f t="shared" si="35"/>
        <v>0</v>
      </c>
      <c r="K133" s="415">
        <f t="shared" si="36"/>
        <v>0</v>
      </c>
      <c r="L133" s="415">
        <f t="shared" si="37"/>
        <v>0</v>
      </c>
    </row>
    <row r="134" spans="2:12" ht="39" hidden="1">
      <c r="B134" s="359" t="s">
        <v>283</v>
      </c>
      <c r="C134" s="360" t="s">
        <v>287</v>
      </c>
      <c r="D134" s="67">
        <v>1250</v>
      </c>
      <c r="E134" s="67">
        <v>950</v>
      </c>
      <c r="F134" s="67">
        <f t="shared" si="44"/>
        <v>300</v>
      </c>
      <c r="G134" s="538">
        <f t="shared" si="43"/>
        <v>0</v>
      </c>
      <c r="H134" s="539"/>
      <c r="I134" s="539"/>
      <c r="J134" s="415">
        <f t="shared" si="35"/>
        <v>0</v>
      </c>
      <c r="K134" s="415">
        <f t="shared" si="36"/>
        <v>0</v>
      </c>
      <c r="L134" s="415">
        <f t="shared" si="37"/>
        <v>0</v>
      </c>
    </row>
    <row r="135" spans="2:12" ht="26">
      <c r="B135" s="359" t="s">
        <v>288</v>
      </c>
      <c r="C135" s="360" t="s">
        <v>289</v>
      </c>
      <c r="D135" s="67">
        <f>SUM(D136:D142)</f>
        <v>6405</v>
      </c>
      <c r="E135" s="67">
        <v>6405</v>
      </c>
      <c r="F135" s="67">
        <f t="shared" si="44"/>
        <v>0</v>
      </c>
      <c r="G135" s="538">
        <f t="shared" si="43"/>
        <v>4666.5253400000001</v>
      </c>
      <c r="H135" s="539">
        <f>'Bieu 45_QT 2019_28-6'!P490</f>
        <v>4666.5253400000001</v>
      </c>
      <c r="I135" s="539"/>
      <c r="J135" s="415">
        <f t="shared" si="35"/>
        <v>72.857538485558166</v>
      </c>
      <c r="K135" s="415">
        <f t="shared" si="36"/>
        <v>72.857538485558166</v>
      </c>
      <c r="L135" s="415">
        <f t="shared" si="37"/>
        <v>0</v>
      </c>
    </row>
    <row r="136" spans="2:12" ht="26" hidden="1">
      <c r="B136" s="359" t="s">
        <v>274</v>
      </c>
      <c r="C136" s="360" t="s">
        <v>292</v>
      </c>
      <c r="D136" s="67">
        <v>1030</v>
      </c>
      <c r="E136" s="67">
        <v>1030</v>
      </c>
      <c r="F136" s="67">
        <f t="shared" si="44"/>
        <v>0</v>
      </c>
      <c r="G136" s="538">
        <f t="shared" si="43"/>
        <v>0</v>
      </c>
      <c r="H136" s="539"/>
      <c r="I136" s="539"/>
      <c r="J136" s="415">
        <f t="shared" si="35"/>
        <v>0</v>
      </c>
      <c r="K136" s="415">
        <f t="shared" si="36"/>
        <v>0</v>
      </c>
      <c r="L136" s="415">
        <f t="shared" si="37"/>
        <v>0</v>
      </c>
    </row>
    <row r="137" spans="2:12" hidden="1">
      <c r="B137" s="359" t="s">
        <v>275</v>
      </c>
      <c r="C137" s="360" t="s">
        <v>293</v>
      </c>
      <c r="D137" s="67">
        <v>25</v>
      </c>
      <c r="E137" s="67">
        <v>25</v>
      </c>
      <c r="F137" s="67">
        <f t="shared" si="44"/>
        <v>0</v>
      </c>
      <c r="G137" s="538">
        <f t="shared" si="43"/>
        <v>0</v>
      </c>
      <c r="H137" s="539"/>
      <c r="I137" s="539"/>
      <c r="J137" s="415">
        <f t="shared" si="35"/>
        <v>0</v>
      </c>
      <c r="K137" s="415">
        <f t="shared" si="36"/>
        <v>0</v>
      </c>
      <c r="L137" s="415">
        <f t="shared" si="37"/>
        <v>0</v>
      </c>
    </row>
    <row r="138" spans="2:12" hidden="1">
      <c r="B138" s="359" t="s">
        <v>278</v>
      </c>
      <c r="C138" s="360" t="s">
        <v>294</v>
      </c>
      <c r="D138" s="67">
        <v>2590</v>
      </c>
      <c r="E138" s="67">
        <v>2590</v>
      </c>
      <c r="F138" s="67">
        <f t="shared" si="44"/>
        <v>0</v>
      </c>
      <c r="G138" s="538">
        <f t="shared" si="43"/>
        <v>0</v>
      </c>
      <c r="H138" s="539"/>
      <c r="I138" s="539"/>
      <c r="J138" s="415">
        <f t="shared" si="35"/>
        <v>0</v>
      </c>
      <c r="K138" s="415">
        <f t="shared" si="36"/>
        <v>0</v>
      </c>
      <c r="L138" s="415">
        <f t="shared" si="37"/>
        <v>0</v>
      </c>
    </row>
    <row r="139" spans="2:12" hidden="1">
      <c r="B139" s="359" t="s">
        <v>283</v>
      </c>
      <c r="C139" s="360" t="s">
        <v>295</v>
      </c>
      <c r="D139" s="67">
        <v>1395</v>
      </c>
      <c r="E139" s="67">
        <v>1395</v>
      </c>
      <c r="F139" s="67">
        <f t="shared" si="44"/>
        <v>0</v>
      </c>
      <c r="G139" s="538">
        <f t="shared" si="43"/>
        <v>0</v>
      </c>
      <c r="H139" s="539"/>
      <c r="I139" s="539"/>
      <c r="J139" s="415">
        <f t="shared" si="35"/>
        <v>0</v>
      </c>
      <c r="K139" s="415">
        <f t="shared" si="36"/>
        <v>0</v>
      </c>
      <c r="L139" s="415">
        <f t="shared" si="37"/>
        <v>0</v>
      </c>
    </row>
    <row r="140" spans="2:12" hidden="1">
      <c r="B140" s="359" t="s">
        <v>297</v>
      </c>
      <c r="C140" s="360" t="s">
        <v>296</v>
      </c>
      <c r="D140" s="67">
        <v>550</v>
      </c>
      <c r="E140" s="67">
        <v>550</v>
      </c>
      <c r="F140" s="67">
        <f t="shared" si="44"/>
        <v>0</v>
      </c>
      <c r="G140" s="538">
        <f t="shared" si="43"/>
        <v>0</v>
      </c>
      <c r="H140" s="539"/>
      <c r="I140" s="539"/>
      <c r="J140" s="415">
        <f t="shared" si="35"/>
        <v>0</v>
      </c>
      <c r="K140" s="415">
        <f t="shared" si="36"/>
        <v>0</v>
      </c>
      <c r="L140" s="415">
        <f t="shared" si="37"/>
        <v>0</v>
      </c>
    </row>
    <row r="141" spans="2:12" hidden="1">
      <c r="B141" s="359" t="s">
        <v>290</v>
      </c>
      <c r="C141" s="360" t="s">
        <v>298</v>
      </c>
      <c r="D141" s="67">
        <v>10</v>
      </c>
      <c r="E141" s="67">
        <v>10</v>
      </c>
      <c r="F141" s="67">
        <f t="shared" si="44"/>
        <v>0</v>
      </c>
      <c r="G141" s="538">
        <f t="shared" si="43"/>
        <v>0</v>
      </c>
      <c r="H141" s="539"/>
      <c r="I141" s="539"/>
      <c r="J141" s="415">
        <f t="shared" ref="J141:J160" si="45">IF(D141=0,0,G141/D141*100)</f>
        <v>0</v>
      </c>
      <c r="K141" s="415">
        <f t="shared" ref="K141:K160" si="46">IF(E141=0,0,H141/E141*100)</f>
        <v>0</v>
      </c>
      <c r="L141" s="415">
        <f t="shared" ref="L141:L160" si="47">IF(F141=0,0,I141/F141*100)</f>
        <v>0</v>
      </c>
    </row>
    <row r="142" spans="2:12" ht="26" hidden="1">
      <c r="B142" s="359" t="s">
        <v>291</v>
      </c>
      <c r="C142" s="360" t="s">
        <v>299</v>
      </c>
      <c r="D142" s="67">
        <v>805</v>
      </c>
      <c r="E142" s="67">
        <v>805</v>
      </c>
      <c r="F142" s="67">
        <f t="shared" si="44"/>
        <v>0</v>
      </c>
      <c r="G142" s="538">
        <f t="shared" si="43"/>
        <v>0</v>
      </c>
      <c r="H142" s="539"/>
      <c r="I142" s="539"/>
      <c r="J142" s="415">
        <f t="shared" si="45"/>
        <v>0</v>
      </c>
      <c r="K142" s="415">
        <f t="shared" si="46"/>
        <v>0</v>
      </c>
      <c r="L142" s="415">
        <f t="shared" si="47"/>
        <v>0</v>
      </c>
    </row>
    <row r="143" spans="2:12">
      <c r="B143" s="359" t="s">
        <v>300</v>
      </c>
      <c r="C143" s="360" t="s">
        <v>301</v>
      </c>
      <c r="D143" s="67">
        <v>2081</v>
      </c>
      <c r="E143" s="67">
        <v>2081</v>
      </c>
      <c r="F143" s="67">
        <f t="shared" si="44"/>
        <v>0</v>
      </c>
      <c r="G143" s="538">
        <f t="shared" si="43"/>
        <v>2076</v>
      </c>
      <c r="H143" s="539">
        <f>'Bieu 45_QT 2019_28-6'!P494</f>
        <v>2076</v>
      </c>
      <c r="I143" s="539"/>
      <c r="J143" s="415">
        <f t="shared" si="45"/>
        <v>99.759730898606435</v>
      </c>
      <c r="K143" s="415">
        <f t="shared" si="46"/>
        <v>99.759730898606435</v>
      </c>
      <c r="L143" s="415">
        <f t="shared" si="47"/>
        <v>0</v>
      </c>
    </row>
    <row r="144" spans="2:12" ht="26">
      <c r="B144" s="359" t="s">
        <v>302</v>
      </c>
      <c r="C144" s="360" t="s">
        <v>307</v>
      </c>
      <c r="D144" s="67">
        <v>1590</v>
      </c>
      <c r="E144" s="67">
        <v>1590</v>
      </c>
      <c r="F144" s="67">
        <f t="shared" si="44"/>
        <v>0</v>
      </c>
      <c r="G144" s="538">
        <f t="shared" si="43"/>
        <v>1590</v>
      </c>
      <c r="H144" s="539">
        <f>'Bieu 45_QT 2019_28-6'!P497</f>
        <v>1590</v>
      </c>
      <c r="I144" s="539"/>
      <c r="J144" s="415">
        <f t="shared" si="45"/>
        <v>100</v>
      </c>
      <c r="K144" s="415">
        <f t="shared" si="46"/>
        <v>100</v>
      </c>
      <c r="L144" s="415">
        <f t="shared" si="47"/>
        <v>0</v>
      </c>
    </row>
    <row r="145" spans="2:12" ht="26">
      <c r="B145" s="359" t="s">
        <v>303</v>
      </c>
      <c r="C145" s="360" t="s">
        <v>308</v>
      </c>
      <c r="D145" s="67">
        <v>27700</v>
      </c>
      <c r="E145" s="67">
        <v>26264</v>
      </c>
      <c r="F145" s="67">
        <f t="shared" si="44"/>
        <v>1436</v>
      </c>
      <c r="G145" s="538">
        <f>H145+I145</f>
        <v>33766.331351000001</v>
      </c>
      <c r="H145" s="539">
        <f>'Bieu 45_QT 2019_28-6'!P500</f>
        <v>32332.701351000003</v>
      </c>
      <c r="I145" s="539">
        <f>'Bieu 45_QT 2019_28-6'!S500</f>
        <v>1433.63</v>
      </c>
      <c r="J145" s="415">
        <f t="shared" si="45"/>
        <v>121.90011318050541</v>
      </c>
      <c r="K145" s="415">
        <f t="shared" si="46"/>
        <v>123.10653880216267</v>
      </c>
      <c r="L145" s="415">
        <f t="shared" si="47"/>
        <v>99.834958217270199</v>
      </c>
    </row>
    <row r="146" spans="2:12">
      <c r="B146" s="359" t="s">
        <v>304</v>
      </c>
      <c r="C146" s="360" t="s">
        <v>309</v>
      </c>
      <c r="D146" s="67">
        <v>290</v>
      </c>
      <c r="E146" s="67">
        <v>290</v>
      </c>
      <c r="F146" s="67">
        <f t="shared" si="44"/>
        <v>0</v>
      </c>
      <c r="G146" s="538">
        <f t="shared" si="43"/>
        <v>265.19</v>
      </c>
      <c r="H146" s="539">
        <f>'Bieu 45_QT 2019_28-6'!P572</f>
        <v>265.19</v>
      </c>
      <c r="I146" s="539"/>
      <c r="J146" s="415">
        <f t="shared" si="45"/>
        <v>91.444827586206898</v>
      </c>
      <c r="K146" s="415">
        <f t="shared" si="46"/>
        <v>91.444827586206898</v>
      </c>
      <c r="L146" s="415">
        <f t="shared" si="47"/>
        <v>0</v>
      </c>
    </row>
    <row r="147" spans="2:12" ht="26">
      <c r="B147" s="359" t="s">
        <v>305</v>
      </c>
      <c r="C147" s="360" t="s">
        <v>310</v>
      </c>
      <c r="D147" s="67">
        <v>400</v>
      </c>
      <c r="E147" s="67">
        <v>400</v>
      </c>
      <c r="F147" s="67">
        <f t="shared" si="44"/>
        <v>0</v>
      </c>
      <c r="G147" s="538">
        <f t="shared" si="43"/>
        <v>1072.54</v>
      </c>
      <c r="H147" s="539">
        <f>'Bieu 45_QT 2019_28-6'!P575</f>
        <v>1072.54</v>
      </c>
      <c r="I147" s="539"/>
      <c r="J147" s="415">
        <f t="shared" si="45"/>
        <v>268.13499999999999</v>
      </c>
      <c r="K147" s="415">
        <f t="shared" si="46"/>
        <v>268.13499999999999</v>
      </c>
      <c r="L147" s="415">
        <f t="shared" si="47"/>
        <v>0</v>
      </c>
    </row>
    <row r="148" spans="2:12" ht="39">
      <c r="B148" s="359" t="s">
        <v>306</v>
      </c>
      <c r="C148" s="360" t="s">
        <v>311</v>
      </c>
      <c r="D148" s="67">
        <v>1500</v>
      </c>
      <c r="E148" s="67">
        <v>1500</v>
      </c>
      <c r="F148" s="67">
        <f>D148-E148</f>
        <v>0</v>
      </c>
      <c r="G148" s="538">
        <f t="shared" si="43"/>
        <v>2364.12</v>
      </c>
      <c r="H148" s="539"/>
      <c r="I148" s="539">
        <f>'Bieu 45_QT 2019_28-6'!S530</f>
        <v>2364.12</v>
      </c>
      <c r="J148" s="415">
        <f t="shared" si="45"/>
        <v>157.608</v>
      </c>
      <c r="K148" s="415">
        <f t="shared" si="46"/>
        <v>0</v>
      </c>
      <c r="L148" s="415">
        <f t="shared" si="47"/>
        <v>0</v>
      </c>
    </row>
    <row r="149" spans="2:12" s="86" customFormat="1" ht="39">
      <c r="B149" s="357">
        <v>18</v>
      </c>
      <c r="C149" s="358" t="s">
        <v>506</v>
      </c>
      <c r="D149" s="68">
        <f>E149+F149</f>
        <v>0</v>
      </c>
      <c r="E149" s="68"/>
      <c r="F149" s="68"/>
      <c r="G149" s="543">
        <f t="shared" si="43"/>
        <v>9427</v>
      </c>
      <c r="H149" s="544">
        <f>'Bieu 45_QT 2019_28-6'!P579</f>
        <v>9226</v>
      </c>
      <c r="I149" s="544">
        <f>'Bieu 45_QT 2019_28-6'!S579</f>
        <v>201</v>
      </c>
      <c r="J149" s="414"/>
      <c r="K149" s="414"/>
      <c r="L149" s="414"/>
    </row>
    <row r="150" spans="2:12" s="86" customFormat="1" ht="39">
      <c r="B150" s="357">
        <v>19</v>
      </c>
      <c r="C150" s="358" t="s">
        <v>507</v>
      </c>
      <c r="D150" s="68">
        <f t="shared" ref="D150:D159" si="48">E150+F150</f>
        <v>0</v>
      </c>
      <c r="E150" s="68"/>
      <c r="F150" s="68"/>
      <c r="G150" s="543">
        <f t="shared" si="43"/>
        <v>9500</v>
      </c>
      <c r="H150" s="544">
        <f>'Bieu 45_QT 2019_28-6'!P591</f>
        <v>9500</v>
      </c>
      <c r="I150" s="544"/>
      <c r="J150" s="414"/>
      <c r="K150" s="414"/>
      <c r="L150" s="414"/>
    </row>
    <row r="151" spans="2:12" s="86" customFormat="1" ht="52">
      <c r="B151" s="357">
        <v>20</v>
      </c>
      <c r="C151" s="358" t="s">
        <v>508</v>
      </c>
      <c r="D151" s="68">
        <f t="shared" si="48"/>
        <v>0</v>
      </c>
      <c r="E151" s="68"/>
      <c r="F151" s="68"/>
      <c r="G151" s="543">
        <f t="shared" si="43"/>
        <v>11078.71</v>
      </c>
      <c r="H151" s="544">
        <f>'Bieu 45_QT 2019_28-6'!P593</f>
        <v>11078.71</v>
      </c>
      <c r="I151" s="544"/>
      <c r="J151" s="414"/>
      <c r="K151" s="414"/>
      <c r="L151" s="414"/>
    </row>
    <row r="152" spans="2:12" s="86" customFormat="1" ht="26">
      <c r="B152" s="357">
        <v>21</v>
      </c>
      <c r="C152" s="358" t="s">
        <v>509</v>
      </c>
      <c r="D152" s="68">
        <f t="shared" si="48"/>
        <v>0</v>
      </c>
      <c r="E152" s="68"/>
      <c r="F152" s="68"/>
      <c r="G152" s="543">
        <f t="shared" ref="G152:G159" si="49">H152+I152</f>
        <v>3437.7889999999998</v>
      </c>
      <c r="H152" s="544">
        <f>'Bieu 45_QT 2019_28-6'!P595</f>
        <v>2848</v>
      </c>
      <c r="I152" s="544">
        <f>'Bieu 45_QT 2019_28-6'!S595</f>
        <v>589.78899999999999</v>
      </c>
      <c r="J152" s="414"/>
      <c r="K152" s="414"/>
      <c r="L152" s="414"/>
    </row>
    <row r="153" spans="2:12" s="86" customFormat="1" ht="39">
      <c r="B153" s="357">
        <v>22</v>
      </c>
      <c r="C153" s="358" t="s">
        <v>510</v>
      </c>
      <c r="D153" s="68">
        <f t="shared" si="48"/>
        <v>0</v>
      </c>
      <c r="E153" s="68"/>
      <c r="F153" s="68"/>
      <c r="G153" s="543">
        <f t="shared" si="49"/>
        <v>2876</v>
      </c>
      <c r="H153" s="544">
        <f>'Bieu 45_QT 2019_28-6'!P607</f>
        <v>2876</v>
      </c>
      <c r="I153" s="544"/>
      <c r="J153" s="414"/>
      <c r="K153" s="414"/>
      <c r="L153" s="414"/>
    </row>
    <row r="154" spans="2:12" s="86" customFormat="1" ht="26">
      <c r="B154" s="357">
        <v>23</v>
      </c>
      <c r="C154" s="358" t="s">
        <v>511</v>
      </c>
      <c r="D154" s="68">
        <f t="shared" si="48"/>
        <v>0</v>
      </c>
      <c r="E154" s="68"/>
      <c r="F154" s="68"/>
      <c r="G154" s="543">
        <f t="shared" si="49"/>
        <v>3072</v>
      </c>
      <c r="H154" s="544">
        <f>'Bieu 45_QT 2019_28-6'!P612</f>
        <v>2871</v>
      </c>
      <c r="I154" s="544">
        <f>'Bieu 45_QT 2019_28-6'!S612</f>
        <v>201</v>
      </c>
      <c r="J154" s="414"/>
      <c r="K154" s="414"/>
      <c r="L154" s="414"/>
    </row>
    <row r="155" spans="2:12" s="86" customFormat="1" ht="39">
      <c r="B155" s="357">
        <v>24</v>
      </c>
      <c r="C155" s="358" t="s">
        <v>512</v>
      </c>
      <c r="D155" s="68">
        <f t="shared" si="48"/>
        <v>0</v>
      </c>
      <c r="E155" s="68"/>
      <c r="F155" s="68"/>
      <c r="G155" s="543">
        <f t="shared" si="49"/>
        <v>6700</v>
      </c>
      <c r="H155" s="544"/>
      <c r="I155" s="544">
        <f>'Bieu 45_QT 2019_28-6'!S618</f>
        <v>6700</v>
      </c>
      <c r="J155" s="414"/>
      <c r="K155" s="414"/>
      <c r="L155" s="414"/>
    </row>
    <row r="156" spans="2:12" s="86" customFormat="1" ht="26">
      <c r="B156" s="357">
        <v>25</v>
      </c>
      <c r="C156" s="358" t="s">
        <v>513</v>
      </c>
      <c r="D156" s="68">
        <f t="shared" si="48"/>
        <v>0</v>
      </c>
      <c r="E156" s="68"/>
      <c r="F156" s="68"/>
      <c r="G156" s="543">
        <f t="shared" si="49"/>
        <v>27512.502</v>
      </c>
      <c r="H156" s="544">
        <f>'Bieu 45_QT 2019_28-6'!P638</f>
        <v>27512.502</v>
      </c>
      <c r="I156" s="544"/>
      <c r="J156" s="414"/>
      <c r="K156" s="414"/>
      <c r="L156" s="414"/>
    </row>
    <row r="157" spans="2:12" s="86" customFormat="1">
      <c r="B157" s="357">
        <v>26</v>
      </c>
      <c r="C157" s="358" t="s">
        <v>810</v>
      </c>
      <c r="D157" s="68">
        <f t="shared" si="48"/>
        <v>0</v>
      </c>
      <c r="E157" s="68"/>
      <c r="F157" s="68"/>
      <c r="G157" s="543">
        <f t="shared" si="49"/>
        <v>1458.145</v>
      </c>
      <c r="H157" s="544">
        <f>'Bieu 45_QT 2019_28-6'!P647</f>
        <v>1458.145</v>
      </c>
      <c r="I157" s="544"/>
      <c r="J157" s="414"/>
      <c r="K157" s="414"/>
      <c r="L157" s="414"/>
    </row>
    <row r="158" spans="2:12" s="86" customFormat="1" ht="26">
      <c r="B158" s="357">
        <v>27</v>
      </c>
      <c r="C158" s="358" t="s">
        <v>813</v>
      </c>
      <c r="D158" s="68">
        <f t="shared" si="48"/>
        <v>0</v>
      </c>
      <c r="E158" s="68"/>
      <c r="F158" s="68"/>
      <c r="G158" s="543">
        <f t="shared" si="49"/>
        <v>74.770000000000437</v>
      </c>
      <c r="H158" s="544"/>
      <c r="I158" s="544">
        <f>'Bieu 45_QT 2019_28-6'!S653</f>
        <v>74.770000000000437</v>
      </c>
      <c r="J158" s="414"/>
      <c r="K158" s="414"/>
      <c r="L158" s="414"/>
    </row>
    <row r="159" spans="2:12" s="86" customFormat="1">
      <c r="B159" s="357">
        <v>28</v>
      </c>
      <c r="C159" s="358" t="s">
        <v>826</v>
      </c>
      <c r="D159" s="68">
        <f t="shared" si="48"/>
        <v>0</v>
      </c>
      <c r="E159" s="68"/>
      <c r="F159" s="68"/>
      <c r="G159" s="543">
        <f t="shared" si="49"/>
        <v>3950</v>
      </c>
      <c r="H159" s="544"/>
      <c r="I159" s="544">
        <f>'Bieu 45_QT 2019_28-6'!S673</f>
        <v>3950</v>
      </c>
      <c r="J159" s="414"/>
      <c r="K159" s="414"/>
      <c r="L159" s="414"/>
    </row>
    <row r="160" spans="2:12">
      <c r="B160" s="534" t="s">
        <v>40</v>
      </c>
      <c r="C160" s="535" t="s">
        <v>122</v>
      </c>
      <c r="D160" s="359"/>
      <c r="E160" s="359"/>
      <c r="F160" s="359"/>
      <c r="G160" s="543">
        <f>H160+I160</f>
        <v>2587635.338399</v>
      </c>
      <c r="H160" s="424">
        <f>'60'!H15</f>
        <v>1973824.817883</v>
      </c>
      <c r="I160" s="544">
        <f>'60'!I15+'60'!J15</f>
        <v>613810.52051599999</v>
      </c>
      <c r="J160" s="415">
        <f t="shared" si="45"/>
        <v>0</v>
      </c>
      <c r="K160" s="415">
        <f t="shared" si="46"/>
        <v>0</v>
      </c>
      <c r="L160" s="415">
        <f t="shared" si="47"/>
        <v>0</v>
      </c>
    </row>
    <row r="161" spans="2:12">
      <c r="B161" s="556" t="s">
        <v>42</v>
      </c>
      <c r="C161" s="557" t="s">
        <v>886</v>
      </c>
      <c r="D161" s="558"/>
      <c r="E161" s="558"/>
      <c r="F161" s="558"/>
      <c r="G161" s="559">
        <f>H161+I161</f>
        <v>71308.978482000006</v>
      </c>
      <c r="H161" s="425">
        <f>'60'!H16</f>
        <v>21871.162321</v>
      </c>
      <c r="I161" s="560">
        <f>'60'!I16+'60'!J16</f>
        <v>49437.816161000002</v>
      </c>
      <c r="J161" s="426">
        <f t="shared" ref="J161" si="50">IF(D161=0,0,G161/D161*100)</f>
        <v>0</v>
      </c>
      <c r="K161" s="426">
        <f t="shared" ref="K161" si="51">IF(E161=0,0,H161/E161*100)</f>
        <v>0</v>
      </c>
      <c r="L161" s="426">
        <f t="shared" ref="L161" si="52">IF(F161=0,0,I161/F161*100)</f>
        <v>0</v>
      </c>
    </row>
    <row r="162" spans="2:12" ht="27" customHeight="1">
      <c r="B162" s="583" t="s">
        <v>1103</v>
      </c>
      <c r="C162" s="583"/>
      <c r="D162" s="583"/>
      <c r="E162" s="583"/>
      <c r="F162" s="583"/>
      <c r="G162" s="583"/>
      <c r="H162" s="583"/>
      <c r="I162" s="583"/>
      <c r="J162" s="583"/>
      <c r="K162" s="583"/>
      <c r="L162" s="583"/>
    </row>
  </sheetData>
  <mergeCells count="12">
    <mergeCell ref="K1:L1"/>
    <mergeCell ref="B162:L162"/>
    <mergeCell ref="B2:L2"/>
    <mergeCell ref="B3:L3"/>
    <mergeCell ref="B5:B6"/>
    <mergeCell ref="C5:C6"/>
    <mergeCell ref="D5:D6"/>
    <mergeCell ref="E5:F5"/>
    <mergeCell ref="G5:G6"/>
    <mergeCell ref="H5:I5"/>
    <mergeCell ref="J5:L5"/>
    <mergeCell ref="K4:L4"/>
  </mergeCells>
  <dataValidations disablePrompts="1" count="3">
    <dataValidation allowBlank="1" showInputMessage="1" showErrorMessage="1" prompt="Phân bổ tại QĐ 334/QĐ-UBND ngày 12/4/2019" sqref="E32" xr:uid="{00000000-0002-0000-0500-000000000000}"/>
    <dataValidation allowBlank="1" showInputMessage="1" showErrorMessage="1" prompt="Quyết toán Kp chuyển nguồn 2018 sang 2019" sqref="H32" xr:uid="{00000000-0002-0000-0500-000001000000}"/>
    <dataValidation allowBlank="1" showInputMessage="1" showErrorMessage="1" prompt="Đã bao gồm 13,301 trđ thu hồi vốn ứng trước theo VB số 3418/UBND-KTTH ngày 10/9/2020" sqref="H16" xr:uid="{00000000-0002-0000-0500-000002000000}"/>
  </dataValidations>
  <pageMargins left="0.19685039370078741" right="0.19685039370078741" top="0.43307086614173229" bottom="0.2" header="0.31496062992125984" footer="0.2"/>
  <pageSetup paperSize="9" scale="7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A42A8-5C6F-482A-9CD2-28C4960AB59B}">
  <sheetPr>
    <tabColor rgb="FFFF0000"/>
  </sheetPr>
  <dimension ref="A1:AL133"/>
  <sheetViews>
    <sheetView showZeros="0" zoomScale="70" zoomScaleNormal="70" zoomScaleSheetLayoutView="50" workbookViewId="0">
      <selection activeCell="K17" sqref="K17"/>
    </sheetView>
  </sheetViews>
  <sheetFormatPr defaultRowHeight="15.5" outlineLevelCol="1"/>
  <cols>
    <col min="1" max="1" width="5.453125" style="27" customWidth="1"/>
    <col min="2" max="2" width="45.1796875" style="27" customWidth="1"/>
    <col min="3" max="3" width="12.7265625" style="27" customWidth="1"/>
    <col min="4" max="4" width="16.453125" style="30" customWidth="1"/>
    <col min="5" max="5" width="17.1796875" style="443" customWidth="1"/>
    <col min="6" max="8" width="17.1796875" style="443" hidden="1" customWidth="1"/>
    <col min="9" max="9" width="15.81640625" style="27" customWidth="1"/>
    <col min="10" max="10" width="12" style="27" customWidth="1"/>
    <col min="11" max="11" width="11.1796875" style="27" customWidth="1"/>
    <col min="12" max="12" width="11.81640625" style="30" customWidth="1"/>
    <col min="13" max="13" width="10.453125" style="27" customWidth="1"/>
    <col min="14" max="14" width="14.453125" style="27" customWidth="1"/>
    <col min="15" max="15" width="14.1796875" style="30" customWidth="1"/>
    <col min="16" max="16" width="12.26953125" style="27" customWidth="1"/>
    <col min="17" max="18" width="17.1796875" style="27" hidden="1" customWidth="1" outlineLevel="1"/>
    <col min="19" max="19" width="11.81640625" style="27" customWidth="1" collapsed="1"/>
    <col min="20" max="20" width="14.7265625" style="27" customWidth="1"/>
    <col min="21" max="21" width="10.453125" style="27" customWidth="1"/>
    <col min="22" max="22" width="12.54296875" style="30" customWidth="1"/>
    <col min="23" max="23" width="11.1796875" style="27" customWidth="1"/>
    <col min="24" max="24" width="15.54296875" style="27" customWidth="1"/>
    <col min="25" max="25" width="13.7265625" style="442" customWidth="1"/>
    <col min="26" max="27" width="11.7265625" style="27" customWidth="1"/>
    <col min="28" max="28" width="9.26953125" style="27" customWidth="1"/>
    <col min="29" max="29" width="10.7265625" style="27" customWidth="1"/>
    <col min="30" max="30" width="9.7265625" style="27" customWidth="1"/>
    <col min="31" max="31" width="10.7265625" style="27" customWidth="1"/>
    <col min="32" max="32" width="9.1796875" style="38"/>
    <col min="33" max="262" width="9.1796875" style="27"/>
    <col min="263" max="263" width="5.453125" style="27" customWidth="1"/>
    <col min="264" max="264" width="45.1796875" style="27" customWidth="1"/>
    <col min="265" max="266" width="12" style="27" customWidth="1"/>
    <col min="267" max="267" width="16.1796875" style="27" customWidth="1"/>
    <col min="268" max="268" width="7.7265625" style="27" customWidth="1"/>
    <col min="269" max="269" width="12" style="27" customWidth="1"/>
    <col min="270" max="271" width="9" style="27" customWidth="1"/>
    <col min="272" max="272" width="11.26953125" style="27" customWidth="1"/>
    <col min="273" max="274" width="12" style="27" customWidth="1"/>
    <col min="275" max="275" width="17.1796875" style="27" customWidth="1"/>
    <col min="276" max="276" width="9" style="27" customWidth="1"/>
    <col min="277" max="277" width="12" style="27" customWidth="1"/>
    <col min="278" max="279" width="9" style="27" customWidth="1"/>
    <col min="280" max="280" width="9.81640625" style="27" customWidth="1"/>
    <col min="281" max="281" width="10.1796875" style="27" customWidth="1"/>
    <col min="282" max="282" width="7.81640625" style="27" customWidth="1"/>
    <col min="283" max="283" width="8.54296875" style="27" customWidth="1"/>
    <col min="284" max="284" width="7.81640625" style="27" customWidth="1"/>
    <col min="285" max="285" width="8.7265625" style="27" customWidth="1"/>
    <col min="286" max="518" width="9.1796875" style="27"/>
    <col min="519" max="519" width="5.453125" style="27" customWidth="1"/>
    <col min="520" max="520" width="45.1796875" style="27" customWidth="1"/>
    <col min="521" max="522" width="12" style="27" customWidth="1"/>
    <col min="523" max="523" width="16.1796875" style="27" customWidth="1"/>
    <col min="524" max="524" width="7.7265625" style="27" customWidth="1"/>
    <col min="525" max="525" width="12" style="27" customWidth="1"/>
    <col min="526" max="527" width="9" style="27" customWidth="1"/>
    <col min="528" max="528" width="11.26953125" style="27" customWidth="1"/>
    <col min="529" max="530" width="12" style="27" customWidth="1"/>
    <col min="531" max="531" width="17.1796875" style="27" customWidth="1"/>
    <col min="532" max="532" width="9" style="27" customWidth="1"/>
    <col min="533" max="533" width="12" style="27" customWidth="1"/>
    <col min="534" max="535" width="9" style="27" customWidth="1"/>
    <col min="536" max="536" width="9.81640625" style="27" customWidth="1"/>
    <col min="537" max="537" width="10.1796875" style="27" customWidth="1"/>
    <col min="538" max="538" width="7.81640625" style="27" customWidth="1"/>
    <col min="539" max="539" width="8.54296875" style="27" customWidth="1"/>
    <col min="540" max="540" width="7.81640625" style="27" customWidth="1"/>
    <col min="541" max="541" width="8.7265625" style="27" customWidth="1"/>
    <col min="542" max="774" width="9.1796875" style="27"/>
    <col min="775" max="775" width="5.453125" style="27" customWidth="1"/>
    <col min="776" max="776" width="45.1796875" style="27" customWidth="1"/>
    <col min="777" max="778" width="12" style="27" customWidth="1"/>
    <col min="779" max="779" width="16.1796875" style="27" customWidth="1"/>
    <col min="780" max="780" width="7.7265625" style="27" customWidth="1"/>
    <col min="781" max="781" width="12" style="27" customWidth="1"/>
    <col min="782" max="783" width="9" style="27" customWidth="1"/>
    <col min="784" max="784" width="11.26953125" style="27" customWidth="1"/>
    <col min="785" max="786" width="12" style="27" customWidth="1"/>
    <col min="787" max="787" width="17.1796875" style="27" customWidth="1"/>
    <col min="788" max="788" width="9" style="27" customWidth="1"/>
    <col min="789" max="789" width="12" style="27" customWidth="1"/>
    <col min="790" max="791" width="9" style="27" customWidth="1"/>
    <col min="792" max="792" width="9.81640625" style="27" customWidth="1"/>
    <col min="793" max="793" width="10.1796875" style="27" customWidth="1"/>
    <col min="794" max="794" width="7.81640625" style="27" customWidth="1"/>
    <col min="795" max="795" width="8.54296875" style="27" customWidth="1"/>
    <col min="796" max="796" width="7.81640625" style="27" customWidth="1"/>
    <col min="797" max="797" width="8.7265625" style="27" customWidth="1"/>
    <col min="798" max="1030" width="9.1796875" style="27"/>
    <col min="1031" max="1031" width="5.453125" style="27" customWidth="1"/>
    <col min="1032" max="1032" width="45.1796875" style="27" customWidth="1"/>
    <col min="1033" max="1034" width="12" style="27" customWidth="1"/>
    <col min="1035" max="1035" width="16.1796875" style="27" customWidth="1"/>
    <col min="1036" max="1036" width="7.7265625" style="27" customWidth="1"/>
    <col min="1037" max="1037" width="12" style="27" customWidth="1"/>
    <col min="1038" max="1039" width="9" style="27" customWidth="1"/>
    <col min="1040" max="1040" width="11.26953125" style="27" customWidth="1"/>
    <col min="1041" max="1042" width="12" style="27" customWidth="1"/>
    <col min="1043" max="1043" width="17.1796875" style="27" customWidth="1"/>
    <col min="1044" max="1044" width="9" style="27" customWidth="1"/>
    <col min="1045" max="1045" width="12" style="27" customWidth="1"/>
    <col min="1046" max="1047" width="9" style="27" customWidth="1"/>
    <col min="1048" max="1048" width="9.81640625" style="27" customWidth="1"/>
    <col min="1049" max="1049" width="10.1796875" style="27" customWidth="1"/>
    <col min="1050" max="1050" width="7.81640625" style="27" customWidth="1"/>
    <col min="1051" max="1051" width="8.54296875" style="27" customWidth="1"/>
    <col min="1052" max="1052" width="7.81640625" style="27" customWidth="1"/>
    <col min="1053" max="1053" width="8.7265625" style="27" customWidth="1"/>
    <col min="1054" max="1286" width="9.1796875" style="27"/>
    <col min="1287" max="1287" width="5.453125" style="27" customWidth="1"/>
    <col min="1288" max="1288" width="45.1796875" style="27" customWidth="1"/>
    <col min="1289" max="1290" width="12" style="27" customWidth="1"/>
    <col min="1291" max="1291" width="16.1796875" style="27" customWidth="1"/>
    <col min="1292" max="1292" width="7.7265625" style="27" customWidth="1"/>
    <col min="1293" max="1293" width="12" style="27" customWidth="1"/>
    <col min="1294" max="1295" width="9" style="27" customWidth="1"/>
    <col min="1296" max="1296" width="11.26953125" style="27" customWidth="1"/>
    <col min="1297" max="1298" width="12" style="27" customWidth="1"/>
    <col min="1299" max="1299" width="17.1796875" style="27" customWidth="1"/>
    <col min="1300" max="1300" width="9" style="27" customWidth="1"/>
    <col min="1301" max="1301" width="12" style="27" customWidth="1"/>
    <col min="1302" max="1303" width="9" style="27" customWidth="1"/>
    <col min="1304" max="1304" width="9.81640625" style="27" customWidth="1"/>
    <col min="1305" max="1305" width="10.1796875" style="27" customWidth="1"/>
    <col min="1306" max="1306" width="7.81640625" style="27" customWidth="1"/>
    <col min="1307" max="1307" width="8.54296875" style="27" customWidth="1"/>
    <col min="1308" max="1308" width="7.81640625" style="27" customWidth="1"/>
    <col min="1309" max="1309" width="8.7265625" style="27" customWidth="1"/>
    <col min="1310" max="1542" width="9.1796875" style="27"/>
    <col min="1543" max="1543" width="5.453125" style="27" customWidth="1"/>
    <col min="1544" max="1544" width="45.1796875" style="27" customWidth="1"/>
    <col min="1545" max="1546" width="12" style="27" customWidth="1"/>
    <col min="1547" max="1547" width="16.1796875" style="27" customWidth="1"/>
    <col min="1548" max="1548" width="7.7265625" style="27" customWidth="1"/>
    <col min="1549" max="1549" width="12" style="27" customWidth="1"/>
    <col min="1550" max="1551" width="9" style="27" customWidth="1"/>
    <col min="1552" max="1552" width="11.26953125" style="27" customWidth="1"/>
    <col min="1553" max="1554" width="12" style="27" customWidth="1"/>
    <col min="1555" max="1555" width="17.1796875" style="27" customWidth="1"/>
    <col min="1556" max="1556" width="9" style="27" customWidth="1"/>
    <col min="1557" max="1557" width="12" style="27" customWidth="1"/>
    <col min="1558" max="1559" width="9" style="27" customWidth="1"/>
    <col min="1560" max="1560" width="9.81640625" style="27" customWidth="1"/>
    <col min="1561" max="1561" width="10.1796875" style="27" customWidth="1"/>
    <col min="1562" max="1562" width="7.81640625" style="27" customWidth="1"/>
    <col min="1563" max="1563" width="8.54296875" style="27" customWidth="1"/>
    <col min="1564" max="1564" width="7.81640625" style="27" customWidth="1"/>
    <col min="1565" max="1565" width="8.7265625" style="27" customWidth="1"/>
    <col min="1566" max="1798" width="9.1796875" style="27"/>
    <col min="1799" max="1799" width="5.453125" style="27" customWidth="1"/>
    <col min="1800" max="1800" width="45.1796875" style="27" customWidth="1"/>
    <col min="1801" max="1802" width="12" style="27" customWidth="1"/>
    <col min="1803" max="1803" width="16.1796875" style="27" customWidth="1"/>
    <col min="1804" max="1804" width="7.7265625" style="27" customWidth="1"/>
    <col min="1805" max="1805" width="12" style="27" customWidth="1"/>
    <col min="1806" max="1807" width="9" style="27" customWidth="1"/>
    <col min="1808" max="1808" width="11.26953125" style="27" customWidth="1"/>
    <col min="1809" max="1810" width="12" style="27" customWidth="1"/>
    <col min="1811" max="1811" width="17.1796875" style="27" customWidth="1"/>
    <col min="1812" max="1812" width="9" style="27" customWidth="1"/>
    <col min="1813" max="1813" width="12" style="27" customWidth="1"/>
    <col min="1814" max="1815" width="9" style="27" customWidth="1"/>
    <col min="1816" max="1816" width="9.81640625" style="27" customWidth="1"/>
    <col min="1817" max="1817" width="10.1796875" style="27" customWidth="1"/>
    <col min="1818" max="1818" width="7.81640625" style="27" customWidth="1"/>
    <col min="1819" max="1819" width="8.54296875" style="27" customWidth="1"/>
    <col min="1820" max="1820" width="7.81640625" style="27" customWidth="1"/>
    <col min="1821" max="1821" width="8.7265625" style="27" customWidth="1"/>
    <col min="1822" max="2054" width="9.1796875" style="27"/>
    <col min="2055" max="2055" width="5.453125" style="27" customWidth="1"/>
    <col min="2056" max="2056" width="45.1796875" style="27" customWidth="1"/>
    <col min="2057" max="2058" width="12" style="27" customWidth="1"/>
    <col min="2059" max="2059" width="16.1796875" style="27" customWidth="1"/>
    <col min="2060" max="2060" width="7.7265625" style="27" customWidth="1"/>
    <col min="2061" max="2061" width="12" style="27" customWidth="1"/>
    <col min="2062" max="2063" width="9" style="27" customWidth="1"/>
    <col min="2064" max="2064" width="11.26953125" style="27" customWidth="1"/>
    <col min="2065" max="2066" width="12" style="27" customWidth="1"/>
    <col min="2067" max="2067" width="17.1796875" style="27" customWidth="1"/>
    <col min="2068" max="2068" width="9" style="27" customWidth="1"/>
    <col min="2069" max="2069" width="12" style="27" customWidth="1"/>
    <col min="2070" max="2071" width="9" style="27" customWidth="1"/>
    <col min="2072" max="2072" width="9.81640625" style="27" customWidth="1"/>
    <col min="2073" max="2073" width="10.1796875" style="27" customWidth="1"/>
    <col min="2074" max="2074" width="7.81640625" style="27" customWidth="1"/>
    <col min="2075" max="2075" width="8.54296875" style="27" customWidth="1"/>
    <col min="2076" max="2076" width="7.81640625" style="27" customWidth="1"/>
    <col min="2077" max="2077" width="8.7265625" style="27" customWidth="1"/>
    <col min="2078" max="2310" width="9.1796875" style="27"/>
    <col min="2311" max="2311" width="5.453125" style="27" customWidth="1"/>
    <col min="2312" max="2312" width="45.1796875" style="27" customWidth="1"/>
    <col min="2313" max="2314" width="12" style="27" customWidth="1"/>
    <col min="2315" max="2315" width="16.1796875" style="27" customWidth="1"/>
    <col min="2316" max="2316" width="7.7265625" style="27" customWidth="1"/>
    <col min="2317" max="2317" width="12" style="27" customWidth="1"/>
    <col min="2318" max="2319" width="9" style="27" customWidth="1"/>
    <col min="2320" max="2320" width="11.26953125" style="27" customWidth="1"/>
    <col min="2321" max="2322" width="12" style="27" customWidth="1"/>
    <col min="2323" max="2323" width="17.1796875" style="27" customWidth="1"/>
    <col min="2324" max="2324" width="9" style="27" customWidth="1"/>
    <col min="2325" max="2325" width="12" style="27" customWidth="1"/>
    <col min="2326" max="2327" width="9" style="27" customWidth="1"/>
    <col min="2328" max="2328" width="9.81640625" style="27" customWidth="1"/>
    <col min="2329" max="2329" width="10.1796875" style="27" customWidth="1"/>
    <col min="2330" max="2330" width="7.81640625" style="27" customWidth="1"/>
    <col min="2331" max="2331" width="8.54296875" style="27" customWidth="1"/>
    <col min="2332" max="2332" width="7.81640625" style="27" customWidth="1"/>
    <col min="2333" max="2333" width="8.7265625" style="27" customWidth="1"/>
    <col min="2334" max="2566" width="9.1796875" style="27"/>
    <col min="2567" max="2567" width="5.453125" style="27" customWidth="1"/>
    <col min="2568" max="2568" width="45.1796875" style="27" customWidth="1"/>
    <col min="2569" max="2570" width="12" style="27" customWidth="1"/>
    <col min="2571" max="2571" width="16.1796875" style="27" customWidth="1"/>
    <col min="2572" max="2572" width="7.7265625" style="27" customWidth="1"/>
    <col min="2573" max="2573" width="12" style="27" customWidth="1"/>
    <col min="2574" max="2575" width="9" style="27" customWidth="1"/>
    <col min="2576" max="2576" width="11.26953125" style="27" customWidth="1"/>
    <col min="2577" max="2578" width="12" style="27" customWidth="1"/>
    <col min="2579" max="2579" width="17.1796875" style="27" customWidth="1"/>
    <col min="2580" max="2580" width="9" style="27" customWidth="1"/>
    <col min="2581" max="2581" width="12" style="27" customWidth="1"/>
    <col min="2582" max="2583" width="9" style="27" customWidth="1"/>
    <col min="2584" max="2584" width="9.81640625" style="27" customWidth="1"/>
    <col min="2585" max="2585" width="10.1796875" style="27" customWidth="1"/>
    <col min="2586" max="2586" width="7.81640625" style="27" customWidth="1"/>
    <col min="2587" max="2587" width="8.54296875" style="27" customWidth="1"/>
    <col min="2588" max="2588" width="7.81640625" style="27" customWidth="1"/>
    <col min="2589" max="2589" width="8.7265625" style="27" customWidth="1"/>
    <col min="2590" max="2822" width="9.1796875" style="27"/>
    <col min="2823" max="2823" width="5.453125" style="27" customWidth="1"/>
    <col min="2824" max="2824" width="45.1796875" style="27" customWidth="1"/>
    <col min="2825" max="2826" width="12" style="27" customWidth="1"/>
    <col min="2827" max="2827" width="16.1796875" style="27" customWidth="1"/>
    <col min="2828" max="2828" width="7.7265625" style="27" customWidth="1"/>
    <col min="2829" max="2829" width="12" style="27" customWidth="1"/>
    <col min="2830" max="2831" width="9" style="27" customWidth="1"/>
    <col min="2832" max="2832" width="11.26953125" style="27" customWidth="1"/>
    <col min="2833" max="2834" width="12" style="27" customWidth="1"/>
    <col min="2835" max="2835" width="17.1796875" style="27" customWidth="1"/>
    <col min="2836" max="2836" width="9" style="27" customWidth="1"/>
    <col min="2837" max="2837" width="12" style="27" customWidth="1"/>
    <col min="2838" max="2839" width="9" style="27" customWidth="1"/>
    <col min="2840" max="2840" width="9.81640625" style="27" customWidth="1"/>
    <col min="2841" max="2841" width="10.1796875" style="27" customWidth="1"/>
    <col min="2842" max="2842" width="7.81640625" style="27" customWidth="1"/>
    <col min="2843" max="2843" width="8.54296875" style="27" customWidth="1"/>
    <col min="2844" max="2844" width="7.81640625" style="27" customWidth="1"/>
    <col min="2845" max="2845" width="8.7265625" style="27" customWidth="1"/>
    <col min="2846" max="3078" width="9.1796875" style="27"/>
    <col min="3079" max="3079" width="5.453125" style="27" customWidth="1"/>
    <col min="3080" max="3080" width="45.1796875" style="27" customWidth="1"/>
    <col min="3081" max="3082" width="12" style="27" customWidth="1"/>
    <col min="3083" max="3083" width="16.1796875" style="27" customWidth="1"/>
    <col min="3084" max="3084" width="7.7265625" style="27" customWidth="1"/>
    <col min="3085" max="3085" width="12" style="27" customWidth="1"/>
    <col min="3086" max="3087" width="9" style="27" customWidth="1"/>
    <col min="3088" max="3088" width="11.26953125" style="27" customWidth="1"/>
    <col min="3089" max="3090" width="12" style="27" customWidth="1"/>
    <col min="3091" max="3091" width="17.1796875" style="27" customWidth="1"/>
    <col min="3092" max="3092" width="9" style="27" customWidth="1"/>
    <col min="3093" max="3093" width="12" style="27" customWidth="1"/>
    <col min="3094" max="3095" width="9" style="27" customWidth="1"/>
    <col min="3096" max="3096" width="9.81640625" style="27" customWidth="1"/>
    <col min="3097" max="3097" width="10.1796875" style="27" customWidth="1"/>
    <col min="3098" max="3098" width="7.81640625" style="27" customWidth="1"/>
    <col min="3099" max="3099" width="8.54296875" style="27" customWidth="1"/>
    <col min="3100" max="3100" width="7.81640625" style="27" customWidth="1"/>
    <col min="3101" max="3101" width="8.7265625" style="27" customWidth="1"/>
    <col min="3102" max="3334" width="9.1796875" style="27"/>
    <col min="3335" max="3335" width="5.453125" style="27" customWidth="1"/>
    <col min="3336" max="3336" width="45.1796875" style="27" customWidth="1"/>
    <col min="3337" max="3338" width="12" style="27" customWidth="1"/>
    <col min="3339" max="3339" width="16.1796875" style="27" customWidth="1"/>
    <col min="3340" max="3340" width="7.7265625" style="27" customWidth="1"/>
    <col min="3341" max="3341" width="12" style="27" customWidth="1"/>
    <col min="3342" max="3343" width="9" style="27" customWidth="1"/>
    <col min="3344" max="3344" width="11.26953125" style="27" customWidth="1"/>
    <col min="3345" max="3346" width="12" style="27" customWidth="1"/>
    <col min="3347" max="3347" width="17.1796875" style="27" customWidth="1"/>
    <col min="3348" max="3348" width="9" style="27" customWidth="1"/>
    <col min="3349" max="3349" width="12" style="27" customWidth="1"/>
    <col min="3350" max="3351" width="9" style="27" customWidth="1"/>
    <col min="3352" max="3352" width="9.81640625" style="27" customWidth="1"/>
    <col min="3353" max="3353" width="10.1796875" style="27" customWidth="1"/>
    <col min="3354" max="3354" width="7.81640625" style="27" customWidth="1"/>
    <col min="3355" max="3355" width="8.54296875" style="27" customWidth="1"/>
    <col min="3356" max="3356" width="7.81640625" style="27" customWidth="1"/>
    <col min="3357" max="3357" width="8.7265625" style="27" customWidth="1"/>
    <col min="3358" max="3590" width="9.1796875" style="27"/>
    <col min="3591" max="3591" width="5.453125" style="27" customWidth="1"/>
    <col min="3592" max="3592" width="45.1796875" style="27" customWidth="1"/>
    <col min="3593" max="3594" width="12" style="27" customWidth="1"/>
    <col min="3595" max="3595" width="16.1796875" style="27" customWidth="1"/>
    <col min="3596" max="3596" width="7.7265625" style="27" customWidth="1"/>
    <col min="3597" max="3597" width="12" style="27" customWidth="1"/>
    <col min="3598" max="3599" width="9" style="27" customWidth="1"/>
    <col min="3600" max="3600" width="11.26953125" style="27" customWidth="1"/>
    <col min="3601" max="3602" width="12" style="27" customWidth="1"/>
    <col min="3603" max="3603" width="17.1796875" style="27" customWidth="1"/>
    <col min="3604" max="3604" width="9" style="27" customWidth="1"/>
    <col min="3605" max="3605" width="12" style="27" customWidth="1"/>
    <col min="3606" max="3607" width="9" style="27" customWidth="1"/>
    <col min="3608" max="3608" width="9.81640625" style="27" customWidth="1"/>
    <col min="3609" max="3609" width="10.1796875" style="27" customWidth="1"/>
    <col min="3610" max="3610" width="7.81640625" style="27" customWidth="1"/>
    <col min="3611" max="3611" width="8.54296875" style="27" customWidth="1"/>
    <col min="3612" max="3612" width="7.81640625" style="27" customWidth="1"/>
    <col min="3613" max="3613" width="8.7265625" style="27" customWidth="1"/>
    <col min="3614" max="3846" width="9.1796875" style="27"/>
    <col min="3847" max="3847" width="5.453125" style="27" customWidth="1"/>
    <col min="3848" max="3848" width="45.1796875" style="27" customWidth="1"/>
    <col min="3849" max="3850" width="12" style="27" customWidth="1"/>
    <col min="3851" max="3851" width="16.1796875" style="27" customWidth="1"/>
    <col min="3852" max="3852" width="7.7265625" style="27" customWidth="1"/>
    <col min="3853" max="3853" width="12" style="27" customWidth="1"/>
    <col min="3854" max="3855" width="9" style="27" customWidth="1"/>
    <col min="3856" max="3856" width="11.26953125" style="27" customWidth="1"/>
    <col min="3857" max="3858" width="12" style="27" customWidth="1"/>
    <col min="3859" max="3859" width="17.1796875" style="27" customWidth="1"/>
    <col min="3860" max="3860" width="9" style="27" customWidth="1"/>
    <col min="3861" max="3861" width="12" style="27" customWidth="1"/>
    <col min="3862" max="3863" width="9" style="27" customWidth="1"/>
    <col min="3864" max="3864" width="9.81640625" style="27" customWidth="1"/>
    <col min="3865" max="3865" width="10.1796875" style="27" customWidth="1"/>
    <col min="3866" max="3866" width="7.81640625" style="27" customWidth="1"/>
    <col min="3867" max="3867" width="8.54296875" style="27" customWidth="1"/>
    <col min="3868" max="3868" width="7.81640625" style="27" customWidth="1"/>
    <col min="3869" max="3869" width="8.7265625" style="27" customWidth="1"/>
    <col min="3870" max="4102" width="9.1796875" style="27"/>
    <col min="4103" max="4103" width="5.453125" style="27" customWidth="1"/>
    <col min="4104" max="4104" width="45.1796875" style="27" customWidth="1"/>
    <col min="4105" max="4106" width="12" style="27" customWidth="1"/>
    <col min="4107" max="4107" width="16.1796875" style="27" customWidth="1"/>
    <col min="4108" max="4108" width="7.7265625" style="27" customWidth="1"/>
    <col min="4109" max="4109" width="12" style="27" customWidth="1"/>
    <col min="4110" max="4111" width="9" style="27" customWidth="1"/>
    <col min="4112" max="4112" width="11.26953125" style="27" customWidth="1"/>
    <col min="4113" max="4114" width="12" style="27" customWidth="1"/>
    <col min="4115" max="4115" width="17.1796875" style="27" customWidth="1"/>
    <col min="4116" max="4116" width="9" style="27" customWidth="1"/>
    <col min="4117" max="4117" width="12" style="27" customWidth="1"/>
    <col min="4118" max="4119" width="9" style="27" customWidth="1"/>
    <col min="4120" max="4120" width="9.81640625" style="27" customWidth="1"/>
    <col min="4121" max="4121" width="10.1796875" style="27" customWidth="1"/>
    <col min="4122" max="4122" width="7.81640625" style="27" customWidth="1"/>
    <col min="4123" max="4123" width="8.54296875" style="27" customWidth="1"/>
    <col min="4124" max="4124" width="7.81640625" style="27" customWidth="1"/>
    <col min="4125" max="4125" width="8.7265625" style="27" customWidth="1"/>
    <col min="4126" max="4358" width="9.1796875" style="27"/>
    <col min="4359" max="4359" width="5.453125" style="27" customWidth="1"/>
    <col min="4360" max="4360" width="45.1796875" style="27" customWidth="1"/>
    <col min="4361" max="4362" width="12" style="27" customWidth="1"/>
    <col min="4363" max="4363" width="16.1796875" style="27" customWidth="1"/>
    <col min="4364" max="4364" width="7.7265625" style="27" customWidth="1"/>
    <col min="4365" max="4365" width="12" style="27" customWidth="1"/>
    <col min="4366" max="4367" width="9" style="27" customWidth="1"/>
    <col min="4368" max="4368" width="11.26953125" style="27" customWidth="1"/>
    <col min="4369" max="4370" width="12" style="27" customWidth="1"/>
    <col min="4371" max="4371" width="17.1796875" style="27" customWidth="1"/>
    <col min="4372" max="4372" width="9" style="27" customWidth="1"/>
    <col min="4373" max="4373" width="12" style="27" customWidth="1"/>
    <col min="4374" max="4375" width="9" style="27" customWidth="1"/>
    <col min="4376" max="4376" width="9.81640625" style="27" customWidth="1"/>
    <col min="4377" max="4377" width="10.1796875" style="27" customWidth="1"/>
    <col min="4378" max="4378" width="7.81640625" style="27" customWidth="1"/>
    <col min="4379" max="4379" width="8.54296875" style="27" customWidth="1"/>
    <col min="4380" max="4380" width="7.81640625" style="27" customWidth="1"/>
    <col min="4381" max="4381" width="8.7265625" style="27" customWidth="1"/>
    <col min="4382" max="4614" width="9.1796875" style="27"/>
    <col min="4615" max="4615" width="5.453125" style="27" customWidth="1"/>
    <col min="4616" max="4616" width="45.1796875" style="27" customWidth="1"/>
    <col min="4617" max="4618" width="12" style="27" customWidth="1"/>
    <col min="4619" max="4619" width="16.1796875" style="27" customWidth="1"/>
    <col min="4620" max="4620" width="7.7265625" style="27" customWidth="1"/>
    <col min="4621" max="4621" width="12" style="27" customWidth="1"/>
    <col min="4622" max="4623" width="9" style="27" customWidth="1"/>
    <col min="4624" max="4624" width="11.26953125" style="27" customWidth="1"/>
    <col min="4625" max="4626" width="12" style="27" customWidth="1"/>
    <col min="4627" max="4627" width="17.1796875" style="27" customWidth="1"/>
    <col min="4628" max="4628" width="9" style="27" customWidth="1"/>
    <col min="4629" max="4629" width="12" style="27" customWidth="1"/>
    <col min="4630" max="4631" width="9" style="27" customWidth="1"/>
    <col min="4632" max="4632" width="9.81640625" style="27" customWidth="1"/>
    <col min="4633" max="4633" width="10.1796875" style="27" customWidth="1"/>
    <col min="4634" max="4634" width="7.81640625" style="27" customWidth="1"/>
    <col min="4635" max="4635" width="8.54296875" style="27" customWidth="1"/>
    <col min="4636" max="4636" width="7.81640625" style="27" customWidth="1"/>
    <col min="4637" max="4637" width="8.7265625" style="27" customWidth="1"/>
    <col min="4638" max="4870" width="9.1796875" style="27"/>
    <col min="4871" max="4871" width="5.453125" style="27" customWidth="1"/>
    <col min="4872" max="4872" width="45.1796875" style="27" customWidth="1"/>
    <col min="4873" max="4874" width="12" style="27" customWidth="1"/>
    <col min="4875" max="4875" width="16.1796875" style="27" customWidth="1"/>
    <col min="4876" max="4876" width="7.7265625" style="27" customWidth="1"/>
    <col min="4877" max="4877" width="12" style="27" customWidth="1"/>
    <col min="4878" max="4879" width="9" style="27" customWidth="1"/>
    <col min="4880" max="4880" width="11.26953125" style="27" customWidth="1"/>
    <col min="4881" max="4882" width="12" style="27" customWidth="1"/>
    <col min="4883" max="4883" width="17.1796875" style="27" customWidth="1"/>
    <col min="4884" max="4884" width="9" style="27" customWidth="1"/>
    <col min="4885" max="4885" width="12" style="27" customWidth="1"/>
    <col min="4886" max="4887" width="9" style="27" customWidth="1"/>
    <col min="4888" max="4888" width="9.81640625" style="27" customWidth="1"/>
    <col min="4889" max="4889" width="10.1796875" style="27" customWidth="1"/>
    <col min="4890" max="4890" width="7.81640625" style="27" customWidth="1"/>
    <col min="4891" max="4891" width="8.54296875" style="27" customWidth="1"/>
    <col min="4892" max="4892" width="7.81640625" style="27" customWidth="1"/>
    <col min="4893" max="4893" width="8.7265625" style="27" customWidth="1"/>
    <col min="4894" max="5126" width="9.1796875" style="27"/>
    <col min="5127" max="5127" width="5.453125" style="27" customWidth="1"/>
    <col min="5128" max="5128" width="45.1796875" style="27" customWidth="1"/>
    <col min="5129" max="5130" width="12" style="27" customWidth="1"/>
    <col min="5131" max="5131" width="16.1796875" style="27" customWidth="1"/>
    <col min="5132" max="5132" width="7.7265625" style="27" customWidth="1"/>
    <col min="5133" max="5133" width="12" style="27" customWidth="1"/>
    <col min="5134" max="5135" width="9" style="27" customWidth="1"/>
    <col min="5136" max="5136" width="11.26953125" style="27" customWidth="1"/>
    <col min="5137" max="5138" width="12" style="27" customWidth="1"/>
    <col min="5139" max="5139" width="17.1796875" style="27" customWidth="1"/>
    <col min="5140" max="5140" width="9" style="27" customWidth="1"/>
    <col min="5141" max="5141" width="12" style="27" customWidth="1"/>
    <col min="5142" max="5143" width="9" style="27" customWidth="1"/>
    <col min="5144" max="5144" width="9.81640625" style="27" customWidth="1"/>
    <col min="5145" max="5145" width="10.1796875" style="27" customWidth="1"/>
    <col min="5146" max="5146" width="7.81640625" style="27" customWidth="1"/>
    <col min="5147" max="5147" width="8.54296875" style="27" customWidth="1"/>
    <col min="5148" max="5148" width="7.81640625" style="27" customWidth="1"/>
    <col min="5149" max="5149" width="8.7265625" style="27" customWidth="1"/>
    <col min="5150" max="5382" width="9.1796875" style="27"/>
    <col min="5383" max="5383" width="5.453125" style="27" customWidth="1"/>
    <col min="5384" max="5384" width="45.1796875" style="27" customWidth="1"/>
    <col min="5385" max="5386" width="12" style="27" customWidth="1"/>
    <col min="5387" max="5387" width="16.1796875" style="27" customWidth="1"/>
    <col min="5388" max="5388" width="7.7265625" style="27" customWidth="1"/>
    <col min="5389" max="5389" width="12" style="27" customWidth="1"/>
    <col min="5390" max="5391" width="9" style="27" customWidth="1"/>
    <col min="5392" max="5392" width="11.26953125" style="27" customWidth="1"/>
    <col min="5393" max="5394" width="12" style="27" customWidth="1"/>
    <col min="5395" max="5395" width="17.1796875" style="27" customWidth="1"/>
    <col min="5396" max="5396" width="9" style="27" customWidth="1"/>
    <col min="5397" max="5397" width="12" style="27" customWidth="1"/>
    <col min="5398" max="5399" width="9" style="27" customWidth="1"/>
    <col min="5400" max="5400" width="9.81640625" style="27" customWidth="1"/>
    <col min="5401" max="5401" width="10.1796875" style="27" customWidth="1"/>
    <col min="5402" max="5402" width="7.81640625" style="27" customWidth="1"/>
    <col min="5403" max="5403" width="8.54296875" style="27" customWidth="1"/>
    <col min="5404" max="5404" width="7.81640625" style="27" customWidth="1"/>
    <col min="5405" max="5405" width="8.7265625" style="27" customWidth="1"/>
    <col min="5406" max="5638" width="9.1796875" style="27"/>
    <col min="5639" max="5639" width="5.453125" style="27" customWidth="1"/>
    <col min="5640" max="5640" width="45.1796875" style="27" customWidth="1"/>
    <col min="5641" max="5642" width="12" style="27" customWidth="1"/>
    <col min="5643" max="5643" width="16.1796875" style="27" customWidth="1"/>
    <col min="5644" max="5644" width="7.7265625" style="27" customWidth="1"/>
    <col min="5645" max="5645" width="12" style="27" customWidth="1"/>
    <col min="5646" max="5647" width="9" style="27" customWidth="1"/>
    <col min="5648" max="5648" width="11.26953125" style="27" customWidth="1"/>
    <col min="5649" max="5650" width="12" style="27" customWidth="1"/>
    <col min="5651" max="5651" width="17.1796875" style="27" customWidth="1"/>
    <col min="5652" max="5652" width="9" style="27" customWidth="1"/>
    <col min="5653" max="5653" width="12" style="27" customWidth="1"/>
    <col min="5654" max="5655" width="9" style="27" customWidth="1"/>
    <col min="5656" max="5656" width="9.81640625" style="27" customWidth="1"/>
    <col min="5657" max="5657" width="10.1796875" style="27" customWidth="1"/>
    <col min="5658" max="5658" width="7.81640625" style="27" customWidth="1"/>
    <col min="5659" max="5659" width="8.54296875" style="27" customWidth="1"/>
    <col min="5660" max="5660" width="7.81640625" style="27" customWidth="1"/>
    <col min="5661" max="5661" width="8.7265625" style="27" customWidth="1"/>
    <col min="5662" max="5894" width="9.1796875" style="27"/>
    <col min="5895" max="5895" width="5.453125" style="27" customWidth="1"/>
    <col min="5896" max="5896" width="45.1796875" style="27" customWidth="1"/>
    <col min="5897" max="5898" width="12" style="27" customWidth="1"/>
    <col min="5899" max="5899" width="16.1796875" style="27" customWidth="1"/>
    <col min="5900" max="5900" width="7.7265625" style="27" customWidth="1"/>
    <col min="5901" max="5901" width="12" style="27" customWidth="1"/>
    <col min="5902" max="5903" width="9" style="27" customWidth="1"/>
    <col min="5904" max="5904" width="11.26953125" style="27" customWidth="1"/>
    <col min="5905" max="5906" width="12" style="27" customWidth="1"/>
    <col min="5907" max="5907" width="17.1796875" style="27" customWidth="1"/>
    <col min="5908" max="5908" width="9" style="27" customWidth="1"/>
    <col min="5909" max="5909" width="12" style="27" customWidth="1"/>
    <col min="5910" max="5911" width="9" style="27" customWidth="1"/>
    <col min="5912" max="5912" width="9.81640625" style="27" customWidth="1"/>
    <col min="5913" max="5913" width="10.1796875" style="27" customWidth="1"/>
    <col min="5914" max="5914" width="7.81640625" style="27" customWidth="1"/>
    <col min="5915" max="5915" width="8.54296875" style="27" customWidth="1"/>
    <col min="5916" max="5916" width="7.81640625" style="27" customWidth="1"/>
    <col min="5917" max="5917" width="8.7265625" style="27" customWidth="1"/>
    <col min="5918" max="6150" width="9.1796875" style="27"/>
    <col min="6151" max="6151" width="5.453125" style="27" customWidth="1"/>
    <col min="6152" max="6152" width="45.1796875" style="27" customWidth="1"/>
    <col min="6153" max="6154" width="12" style="27" customWidth="1"/>
    <col min="6155" max="6155" width="16.1796875" style="27" customWidth="1"/>
    <col min="6156" max="6156" width="7.7265625" style="27" customWidth="1"/>
    <col min="6157" max="6157" width="12" style="27" customWidth="1"/>
    <col min="6158" max="6159" width="9" style="27" customWidth="1"/>
    <col min="6160" max="6160" width="11.26953125" style="27" customWidth="1"/>
    <col min="6161" max="6162" width="12" style="27" customWidth="1"/>
    <col min="6163" max="6163" width="17.1796875" style="27" customWidth="1"/>
    <col min="6164" max="6164" width="9" style="27" customWidth="1"/>
    <col min="6165" max="6165" width="12" style="27" customWidth="1"/>
    <col min="6166" max="6167" width="9" style="27" customWidth="1"/>
    <col min="6168" max="6168" width="9.81640625" style="27" customWidth="1"/>
    <col min="6169" max="6169" width="10.1796875" style="27" customWidth="1"/>
    <col min="6170" max="6170" width="7.81640625" style="27" customWidth="1"/>
    <col min="6171" max="6171" width="8.54296875" style="27" customWidth="1"/>
    <col min="6172" max="6172" width="7.81640625" style="27" customWidth="1"/>
    <col min="6173" max="6173" width="8.7265625" style="27" customWidth="1"/>
    <col min="6174" max="6406" width="9.1796875" style="27"/>
    <col min="6407" max="6407" width="5.453125" style="27" customWidth="1"/>
    <col min="6408" max="6408" width="45.1796875" style="27" customWidth="1"/>
    <col min="6409" max="6410" width="12" style="27" customWidth="1"/>
    <col min="6411" max="6411" width="16.1796875" style="27" customWidth="1"/>
    <col min="6412" max="6412" width="7.7265625" style="27" customWidth="1"/>
    <col min="6413" max="6413" width="12" style="27" customWidth="1"/>
    <col min="6414" max="6415" width="9" style="27" customWidth="1"/>
    <col min="6416" max="6416" width="11.26953125" style="27" customWidth="1"/>
    <col min="6417" max="6418" width="12" style="27" customWidth="1"/>
    <col min="6419" max="6419" width="17.1796875" style="27" customWidth="1"/>
    <col min="6420" max="6420" width="9" style="27" customWidth="1"/>
    <col min="6421" max="6421" width="12" style="27" customWidth="1"/>
    <col min="6422" max="6423" width="9" style="27" customWidth="1"/>
    <col min="6424" max="6424" width="9.81640625" style="27" customWidth="1"/>
    <col min="6425" max="6425" width="10.1796875" style="27" customWidth="1"/>
    <col min="6426" max="6426" width="7.81640625" style="27" customWidth="1"/>
    <col min="6427" max="6427" width="8.54296875" style="27" customWidth="1"/>
    <col min="6428" max="6428" width="7.81640625" style="27" customWidth="1"/>
    <col min="6429" max="6429" width="8.7265625" style="27" customWidth="1"/>
    <col min="6430" max="6662" width="9.1796875" style="27"/>
    <col min="6663" max="6663" width="5.453125" style="27" customWidth="1"/>
    <col min="6664" max="6664" width="45.1796875" style="27" customWidth="1"/>
    <col min="6665" max="6666" width="12" style="27" customWidth="1"/>
    <col min="6667" max="6667" width="16.1796875" style="27" customWidth="1"/>
    <col min="6668" max="6668" width="7.7265625" style="27" customWidth="1"/>
    <col min="6669" max="6669" width="12" style="27" customWidth="1"/>
    <col min="6670" max="6671" width="9" style="27" customWidth="1"/>
    <col min="6672" max="6672" width="11.26953125" style="27" customWidth="1"/>
    <col min="6673" max="6674" width="12" style="27" customWidth="1"/>
    <col min="6675" max="6675" width="17.1796875" style="27" customWidth="1"/>
    <col min="6676" max="6676" width="9" style="27" customWidth="1"/>
    <col min="6677" max="6677" width="12" style="27" customWidth="1"/>
    <col min="6678" max="6679" width="9" style="27" customWidth="1"/>
    <col min="6680" max="6680" width="9.81640625" style="27" customWidth="1"/>
    <col min="6681" max="6681" width="10.1796875" style="27" customWidth="1"/>
    <col min="6682" max="6682" width="7.81640625" style="27" customWidth="1"/>
    <col min="6683" max="6683" width="8.54296875" style="27" customWidth="1"/>
    <col min="6684" max="6684" width="7.81640625" style="27" customWidth="1"/>
    <col min="6685" max="6685" width="8.7265625" style="27" customWidth="1"/>
    <col min="6686" max="6918" width="9.1796875" style="27"/>
    <col min="6919" max="6919" width="5.453125" style="27" customWidth="1"/>
    <col min="6920" max="6920" width="45.1796875" style="27" customWidth="1"/>
    <col min="6921" max="6922" width="12" style="27" customWidth="1"/>
    <col min="6923" max="6923" width="16.1796875" style="27" customWidth="1"/>
    <col min="6924" max="6924" width="7.7265625" style="27" customWidth="1"/>
    <col min="6925" max="6925" width="12" style="27" customWidth="1"/>
    <col min="6926" max="6927" width="9" style="27" customWidth="1"/>
    <col min="6928" max="6928" width="11.26953125" style="27" customWidth="1"/>
    <col min="6929" max="6930" width="12" style="27" customWidth="1"/>
    <col min="6931" max="6931" width="17.1796875" style="27" customWidth="1"/>
    <col min="6932" max="6932" width="9" style="27" customWidth="1"/>
    <col min="6933" max="6933" width="12" style="27" customWidth="1"/>
    <col min="6934" max="6935" width="9" style="27" customWidth="1"/>
    <col min="6936" max="6936" width="9.81640625" style="27" customWidth="1"/>
    <col min="6937" max="6937" width="10.1796875" style="27" customWidth="1"/>
    <col min="6938" max="6938" width="7.81640625" style="27" customWidth="1"/>
    <col min="6939" max="6939" width="8.54296875" style="27" customWidth="1"/>
    <col min="6940" max="6940" width="7.81640625" style="27" customWidth="1"/>
    <col min="6941" max="6941" width="8.7265625" style="27" customWidth="1"/>
    <col min="6942" max="7174" width="9.1796875" style="27"/>
    <col min="7175" max="7175" width="5.453125" style="27" customWidth="1"/>
    <col min="7176" max="7176" width="45.1796875" style="27" customWidth="1"/>
    <col min="7177" max="7178" width="12" style="27" customWidth="1"/>
    <col min="7179" max="7179" width="16.1796875" style="27" customWidth="1"/>
    <col min="7180" max="7180" width="7.7265625" style="27" customWidth="1"/>
    <col min="7181" max="7181" width="12" style="27" customWidth="1"/>
    <col min="7182" max="7183" width="9" style="27" customWidth="1"/>
    <col min="7184" max="7184" width="11.26953125" style="27" customWidth="1"/>
    <col min="7185" max="7186" width="12" style="27" customWidth="1"/>
    <col min="7187" max="7187" width="17.1796875" style="27" customWidth="1"/>
    <col min="7188" max="7188" width="9" style="27" customWidth="1"/>
    <col min="7189" max="7189" width="12" style="27" customWidth="1"/>
    <col min="7190" max="7191" width="9" style="27" customWidth="1"/>
    <col min="7192" max="7192" width="9.81640625" style="27" customWidth="1"/>
    <col min="7193" max="7193" width="10.1796875" style="27" customWidth="1"/>
    <col min="7194" max="7194" width="7.81640625" style="27" customWidth="1"/>
    <col min="7195" max="7195" width="8.54296875" style="27" customWidth="1"/>
    <col min="7196" max="7196" width="7.81640625" style="27" customWidth="1"/>
    <col min="7197" max="7197" width="8.7265625" style="27" customWidth="1"/>
    <col min="7198" max="7430" width="9.1796875" style="27"/>
    <col min="7431" max="7431" width="5.453125" style="27" customWidth="1"/>
    <col min="7432" max="7432" width="45.1796875" style="27" customWidth="1"/>
    <col min="7433" max="7434" width="12" style="27" customWidth="1"/>
    <col min="7435" max="7435" width="16.1796875" style="27" customWidth="1"/>
    <col min="7436" max="7436" width="7.7265625" style="27" customWidth="1"/>
    <col min="7437" max="7437" width="12" style="27" customWidth="1"/>
    <col min="7438" max="7439" width="9" style="27" customWidth="1"/>
    <col min="7440" max="7440" width="11.26953125" style="27" customWidth="1"/>
    <col min="7441" max="7442" width="12" style="27" customWidth="1"/>
    <col min="7443" max="7443" width="17.1796875" style="27" customWidth="1"/>
    <col min="7444" max="7444" width="9" style="27" customWidth="1"/>
    <col min="7445" max="7445" width="12" style="27" customWidth="1"/>
    <col min="7446" max="7447" width="9" style="27" customWidth="1"/>
    <col min="7448" max="7448" width="9.81640625" style="27" customWidth="1"/>
    <col min="7449" max="7449" width="10.1796875" style="27" customWidth="1"/>
    <col min="7450" max="7450" width="7.81640625" style="27" customWidth="1"/>
    <col min="7451" max="7451" width="8.54296875" style="27" customWidth="1"/>
    <col min="7452" max="7452" width="7.81640625" style="27" customWidth="1"/>
    <col min="7453" max="7453" width="8.7265625" style="27" customWidth="1"/>
    <col min="7454" max="7686" width="9.1796875" style="27"/>
    <col min="7687" max="7687" width="5.453125" style="27" customWidth="1"/>
    <col min="7688" max="7688" width="45.1796875" style="27" customWidth="1"/>
    <col min="7689" max="7690" width="12" style="27" customWidth="1"/>
    <col min="7691" max="7691" width="16.1796875" style="27" customWidth="1"/>
    <col min="7692" max="7692" width="7.7265625" style="27" customWidth="1"/>
    <col min="7693" max="7693" width="12" style="27" customWidth="1"/>
    <col min="7694" max="7695" width="9" style="27" customWidth="1"/>
    <col min="7696" max="7696" width="11.26953125" style="27" customWidth="1"/>
    <col min="7697" max="7698" width="12" style="27" customWidth="1"/>
    <col min="7699" max="7699" width="17.1796875" style="27" customWidth="1"/>
    <col min="7700" max="7700" width="9" style="27" customWidth="1"/>
    <col min="7701" max="7701" width="12" style="27" customWidth="1"/>
    <col min="7702" max="7703" width="9" style="27" customWidth="1"/>
    <col min="7704" max="7704" width="9.81640625" style="27" customWidth="1"/>
    <col min="7705" max="7705" width="10.1796875" style="27" customWidth="1"/>
    <col min="7706" max="7706" width="7.81640625" style="27" customWidth="1"/>
    <col min="7707" max="7707" width="8.54296875" style="27" customWidth="1"/>
    <col min="7708" max="7708" width="7.81640625" style="27" customWidth="1"/>
    <col min="7709" max="7709" width="8.7265625" style="27" customWidth="1"/>
    <col min="7710" max="7942" width="9.1796875" style="27"/>
    <col min="7943" max="7943" width="5.453125" style="27" customWidth="1"/>
    <col min="7944" max="7944" width="45.1796875" style="27" customWidth="1"/>
    <col min="7945" max="7946" width="12" style="27" customWidth="1"/>
    <col min="7947" max="7947" width="16.1796875" style="27" customWidth="1"/>
    <col min="7948" max="7948" width="7.7265625" style="27" customWidth="1"/>
    <col min="7949" max="7949" width="12" style="27" customWidth="1"/>
    <col min="7950" max="7951" width="9" style="27" customWidth="1"/>
    <col min="7952" max="7952" width="11.26953125" style="27" customWidth="1"/>
    <col min="7953" max="7954" width="12" style="27" customWidth="1"/>
    <col min="7955" max="7955" width="17.1796875" style="27" customWidth="1"/>
    <col min="7956" max="7956" width="9" style="27" customWidth="1"/>
    <col min="7957" max="7957" width="12" style="27" customWidth="1"/>
    <col min="7958" max="7959" width="9" style="27" customWidth="1"/>
    <col min="7960" max="7960" width="9.81640625" style="27" customWidth="1"/>
    <col min="7961" max="7961" width="10.1796875" style="27" customWidth="1"/>
    <col min="7962" max="7962" width="7.81640625" style="27" customWidth="1"/>
    <col min="7963" max="7963" width="8.54296875" style="27" customWidth="1"/>
    <col min="7964" max="7964" width="7.81640625" style="27" customWidth="1"/>
    <col min="7965" max="7965" width="8.7265625" style="27" customWidth="1"/>
    <col min="7966" max="8198" width="9.1796875" style="27"/>
    <col min="8199" max="8199" width="5.453125" style="27" customWidth="1"/>
    <col min="8200" max="8200" width="45.1796875" style="27" customWidth="1"/>
    <col min="8201" max="8202" width="12" style="27" customWidth="1"/>
    <col min="8203" max="8203" width="16.1796875" style="27" customWidth="1"/>
    <col min="8204" max="8204" width="7.7265625" style="27" customWidth="1"/>
    <col min="8205" max="8205" width="12" style="27" customWidth="1"/>
    <col min="8206" max="8207" width="9" style="27" customWidth="1"/>
    <col min="8208" max="8208" width="11.26953125" style="27" customWidth="1"/>
    <col min="8209" max="8210" width="12" style="27" customWidth="1"/>
    <col min="8211" max="8211" width="17.1796875" style="27" customWidth="1"/>
    <col min="8212" max="8212" width="9" style="27" customWidth="1"/>
    <col min="8213" max="8213" width="12" style="27" customWidth="1"/>
    <col min="8214" max="8215" width="9" style="27" customWidth="1"/>
    <col min="8216" max="8216" width="9.81640625" style="27" customWidth="1"/>
    <col min="8217" max="8217" width="10.1796875" style="27" customWidth="1"/>
    <col min="8218" max="8218" width="7.81640625" style="27" customWidth="1"/>
    <col min="8219" max="8219" width="8.54296875" style="27" customWidth="1"/>
    <col min="8220" max="8220" width="7.81640625" style="27" customWidth="1"/>
    <col min="8221" max="8221" width="8.7265625" style="27" customWidth="1"/>
    <col min="8222" max="8454" width="9.1796875" style="27"/>
    <col min="8455" max="8455" width="5.453125" style="27" customWidth="1"/>
    <col min="8456" max="8456" width="45.1796875" style="27" customWidth="1"/>
    <col min="8457" max="8458" width="12" style="27" customWidth="1"/>
    <col min="8459" max="8459" width="16.1796875" style="27" customWidth="1"/>
    <col min="8460" max="8460" width="7.7265625" style="27" customWidth="1"/>
    <col min="8461" max="8461" width="12" style="27" customWidth="1"/>
    <col min="8462" max="8463" width="9" style="27" customWidth="1"/>
    <col min="8464" max="8464" width="11.26953125" style="27" customWidth="1"/>
    <col min="8465" max="8466" width="12" style="27" customWidth="1"/>
    <col min="8467" max="8467" width="17.1796875" style="27" customWidth="1"/>
    <col min="8468" max="8468" width="9" style="27" customWidth="1"/>
    <col min="8469" max="8469" width="12" style="27" customWidth="1"/>
    <col min="8470" max="8471" width="9" style="27" customWidth="1"/>
    <col min="8472" max="8472" width="9.81640625" style="27" customWidth="1"/>
    <col min="8473" max="8473" width="10.1796875" style="27" customWidth="1"/>
    <col min="8474" max="8474" width="7.81640625" style="27" customWidth="1"/>
    <col min="8475" max="8475" width="8.54296875" style="27" customWidth="1"/>
    <col min="8476" max="8476" width="7.81640625" style="27" customWidth="1"/>
    <col min="8477" max="8477" width="8.7265625" style="27" customWidth="1"/>
    <col min="8478" max="8710" width="9.1796875" style="27"/>
    <col min="8711" max="8711" width="5.453125" style="27" customWidth="1"/>
    <col min="8712" max="8712" width="45.1796875" style="27" customWidth="1"/>
    <col min="8713" max="8714" width="12" style="27" customWidth="1"/>
    <col min="8715" max="8715" width="16.1796875" style="27" customWidth="1"/>
    <col min="8716" max="8716" width="7.7265625" style="27" customWidth="1"/>
    <col min="8717" max="8717" width="12" style="27" customWidth="1"/>
    <col min="8718" max="8719" width="9" style="27" customWidth="1"/>
    <col min="8720" max="8720" width="11.26953125" style="27" customWidth="1"/>
    <col min="8721" max="8722" width="12" style="27" customWidth="1"/>
    <col min="8723" max="8723" width="17.1796875" style="27" customWidth="1"/>
    <col min="8724" max="8724" width="9" style="27" customWidth="1"/>
    <col min="8725" max="8725" width="12" style="27" customWidth="1"/>
    <col min="8726" max="8727" width="9" style="27" customWidth="1"/>
    <col min="8728" max="8728" width="9.81640625" style="27" customWidth="1"/>
    <col min="8729" max="8729" width="10.1796875" style="27" customWidth="1"/>
    <col min="8730" max="8730" width="7.81640625" style="27" customWidth="1"/>
    <col min="8731" max="8731" width="8.54296875" style="27" customWidth="1"/>
    <col min="8732" max="8732" width="7.81640625" style="27" customWidth="1"/>
    <col min="8733" max="8733" width="8.7265625" style="27" customWidth="1"/>
    <col min="8734" max="8966" width="9.1796875" style="27"/>
    <col min="8967" max="8967" width="5.453125" style="27" customWidth="1"/>
    <col min="8968" max="8968" width="45.1796875" style="27" customWidth="1"/>
    <col min="8969" max="8970" width="12" style="27" customWidth="1"/>
    <col min="8971" max="8971" width="16.1796875" style="27" customWidth="1"/>
    <col min="8972" max="8972" width="7.7265625" style="27" customWidth="1"/>
    <col min="8973" max="8973" width="12" style="27" customWidth="1"/>
    <col min="8974" max="8975" width="9" style="27" customWidth="1"/>
    <col min="8976" max="8976" width="11.26953125" style="27" customWidth="1"/>
    <col min="8977" max="8978" width="12" style="27" customWidth="1"/>
    <col min="8979" max="8979" width="17.1796875" style="27" customWidth="1"/>
    <col min="8980" max="8980" width="9" style="27" customWidth="1"/>
    <col min="8981" max="8981" width="12" style="27" customWidth="1"/>
    <col min="8982" max="8983" width="9" style="27" customWidth="1"/>
    <col min="8984" max="8984" width="9.81640625" style="27" customWidth="1"/>
    <col min="8985" max="8985" width="10.1796875" style="27" customWidth="1"/>
    <col min="8986" max="8986" width="7.81640625" style="27" customWidth="1"/>
    <col min="8987" max="8987" width="8.54296875" style="27" customWidth="1"/>
    <col min="8988" max="8988" width="7.81640625" style="27" customWidth="1"/>
    <col min="8989" max="8989" width="8.7265625" style="27" customWidth="1"/>
    <col min="8990" max="9222" width="9.1796875" style="27"/>
    <col min="9223" max="9223" width="5.453125" style="27" customWidth="1"/>
    <col min="9224" max="9224" width="45.1796875" style="27" customWidth="1"/>
    <col min="9225" max="9226" width="12" style="27" customWidth="1"/>
    <col min="9227" max="9227" width="16.1796875" style="27" customWidth="1"/>
    <col min="9228" max="9228" width="7.7265625" style="27" customWidth="1"/>
    <col min="9229" max="9229" width="12" style="27" customWidth="1"/>
    <col min="9230" max="9231" width="9" style="27" customWidth="1"/>
    <col min="9232" max="9232" width="11.26953125" style="27" customWidth="1"/>
    <col min="9233" max="9234" width="12" style="27" customWidth="1"/>
    <col min="9235" max="9235" width="17.1796875" style="27" customWidth="1"/>
    <col min="9236" max="9236" width="9" style="27" customWidth="1"/>
    <col min="9237" max="9237" width="12" style="27" customWidth="1"/>
    <col min="9238" max="9239" width="9" style="27" customWidth="1"/>
    <col min="9240" max="9240" width="9.81640625" style="27" customWidth="1"/>
    <col min="9241" max="9241" width="10.1796875" style="27" customWidth="1"/>
    <col min="9242" max="9242" width="7.81640625" style="27" customWidth="1"/>
    <col min="9243" max="9243" width="8.54296875" style="27" customWidth="1"/>
    <col min="9244" max="9244" width="7.81640625" style="27" customWidth="1"/>
    <col min="9245" max="9245" width="8.7265625" style="27" customWidth="1"/>
    <col min="9246" max="9478" width="9.1796875" style="27"/>
    <col min="9479" max="9479" width="5.453125" style="27" customWidth="1"/>
    <col min="9480" max="9480" width="45.1796875" style="27" customWidth="1"/>
    <col min="9481" max="9482" width="12" style="27" customWidth="1"/>
    <col min="9483" max="9483" width="16.1796875" style="27" customWidth="1"/>
    <col min="9484" max="9484" width="7.7265625" style="27" customWidth="1"/>
    <col min="9485" max="9485" width="12" style="27" customWidth="1"/>
    <col min="9486" max="9487" width="9" style="27" customWidth="1"/>
    <col min="9488" max="9488" width="11.26953125" style="27" customWidth="1"/>
    <col min="9489" max="9490" width="12" style="27" customWidth="1"/>
    <col min="9491" max="9491" width="17.1796875" style="27" customWidth="1"/>
    <col min="9492" max="9492" width="9" style="27" customWidth="1"/>
    <col min="9493" max="9493" width="12" style="27" customWidth="1"/>
    <col min="9494" max="9495" width="9" style="27" customWidth="1"/>
    <col min="9496" max="9496" width="9.81640625" style="27" customWidth="1"/>
    <col min="9497" max="9497" width="10.1796875" style="27" customWidth="1"/>
    <col min="9498" max="9498" width="7.81640625" style="27" customWidth="1"/>
    <col min="9499" max="9499" width="8.54296875" style="27" customWidth="1"/>
    <col min="9500" max="9500" width="7.81640625" style="27" customWidth="1"/>
    <col min="9501" max="9501" width="8.7265625" style="27" customWidth="1"/>
    <col min="9502" max="9734" width="9.1796875" style="27"/>
    <col min="9735" max="9735" width="5.453125" style="27" customWidth="1"/>
    <col min="9736" max="9736" width="45.1796875" style="27" customWidth="1"/>
    <col min="9737" max="9738" width="12" style="27" customWidth="1"/>
    <col min="9739" max="9739" width="16.1796875" style="27" customWidth="1"/>
    <col min="9740" max="9740" width="7.7265625" style="27" customWidth="1"/>
    <col min="9741" max="9741" width="12" style="27" customWidth="1"/>
    <col min="9742" max="9743" width="9" style="27" customWidth="1"/>
    <col min="9744" max="9744" width="11.26953125" style="27" customWidth="1"/>
    <col min="9745" max="9746" width="12" style="27" customWidth="1"/>
    <col min="9747" max="9747" width="17.1796875" style="27" customWidth="1"/>
    <col min="9748" max="9748" width="9" style="27" customWidth="1"/>
    <col min="9749" max="9749" width="12" style="27" customWidth="1"/>
    <col min="9750" max="9751" width="9" style="27" customWidth="1"/>
    <col min="9752" max="9752" width="9.81640625" style="27" customWidth="1"/>
    <col min="9753" max="9753" width="10.1796875" style="27" customWidth="1"/>
    <col min="9754" max="9754" width="7.81640625" style="27" customWidth="1"/>
    <col min="9755" max="9755" width="8.54296875" style="27" customWidth="1"/>
    <col min="9756" max="9756" width="7.81640625" style="27" customWidth="1"/>
    <col min="9757" max="9757" width="8.7265625" style="27" customWidth="1"/>
    <col min="9758" max="9990" width="9.1796875" style="27"/>
    <col min="9991" max="9991" width="5.453125" style="27" customWidth="1"/>
    <col min="9992" max="9992" width="45.1796875" style="27" customWidth="1"/>
    <col min="9993" max="9994" width="12" style="27" customWidth="1"/>
    <col min="9995" max="9995" width="16.1796875" style="27" customWidth="1"/>
    <col min="9996" max="9996" width="7.7265625" style="27" customWidth="1"/>
    <col min="9997" max="9997" width="12" style="27" customWidth="1"/>
    <col min="9998" max="9999" width="9" style="27" customWidth="1"/>
    <col min="10000" max="10000" width="11.26953125" style="27" customWidth="1"/>
    <col min="10001" max="10002" width="12" style="27" customWidth="1"/>
    <col min="10003" max="10003" width="17.1796875" style="27" customWidth="1"/>
    <col min="10004" max="10004" width="9" style="27" customWidth="1"/>
    <col min="10005" max="10005" width="12" style="27" customWidth="1"/>
    <col min="10006" max="10007" width="9" style="27" customWidth="1"/>
    <col min="10008" max="10008" width="9.81640625" style="27" customWidth="1"/>
    <col min="10009" max="10009" width="10.1796875" style="27" customWidth="1"/>
    <col min="10010" max="10010" width="7.81640625" style="27" customWidth="1"/>
    <col min="10011" max="10011" width="8.54296875" style="27" customWidth="1"/>
    <col min="10012" max="10012" width="7.81640625" style="27" customWidth="1"/>
    <col min="10013" max="10013" width="8.7265625" style="27" customWidth="1"/>
    <col min="10014" max="10246" width="9.1796875" style="27"/>
    <col min="10247" max="10247" width="5.453125" style="27" customWidth="1"/>
    <col min="10248" max="10248" width="45.1796875" style="27" customWidth="1"/>
    <col min="10249" max="10250" width="12" style="27" customWidth="1"/>
    <col min="10251" max="10251" width="16.1796875" style="27" customWidth="1"/>
    <col min="10252" max="10252" width="7.7265625" style="27" customWidth="1"/>
    <col min="10253" max="10253" width="12" style="27" customWidth="1"/>
    <col min="10254" max="10255" width="9" style="27" customWidth="1"/>
    <col min="10256" max="10256" width="11.26953125" style="27" customWidth="1"/>
    <col min="10257" max="10258" width="12" style="27" customWidth="1"/>
    <col min="10259" max="10259" width="17.1796875" style="27" customWidth="1"/>
    <col min="10260" max="10260" width="9" style="27" customWidth="1"/>
    <col min="10261" max="10261" width="12" style="27" customWidth="1"/>
    <col min="10262" max="10263" width="9" style="27" customWidth="1"/>
    <col min="10264" max="10264" width="9.81640625" style="27" customWidth="1"/>
    <col min="10265" max="10265" width="10.1796875" style="27" customWidth="1"/>
    <col min="10266" max="10266" width="7.81640625" style="27" customWidth="1"/>
    <col min="10267" max="10267" width="8.54296875" style="27" customWidth="1"/>
    <col min="10268" max="10268" width="7.81640625" style="27" customWidth="1"/>
    <col min="10269" max="10269" width="8.7265625" style="27" customWidth="1"/>
    <col min="10270" max="10502" width="9.1796875" style="27"/>
    <col min="10503" max="10503" width="5.453125" style="27" customWidth="1"/>
    <col min="10504" max="10504" width="45.1796875" style="27" customWidth="1"/>
    <col min="10505" max="10506" width="12" style="27" customWidth="1"/>
    <col min="10507" max="10507" width="16.1796875" style="27" customWidth="1"/>
    <col min="10508" max="10508" width="7.7265625" style="27" customWidth="1"/>
    <col min="10509" max="10509" width="12" style="27" customWidth="1"/>
    <col min="10510" max="10511" width="9" style="27" customWidth="1"/>
    <col min="10512" max="10512" width="11.26953125" style="27" customWidth="1"/>
    <col min="10513" max="10514" width="12" style="27" customWidth="1"/>
    <col min="10515" max="10515" width="17.1796875" style="27" customWidth="1"/>
    <col min="10516" max="10516" width="9" style="27" customWidth="1"/>
    <col min="10517" max="10517" width="12" style="27" customWidth="1"/>
    <col min="10518" max="10519" width="9" style="27" customWidth="1"/>
    <col min="10520" max="10520" width="9.81640625" style="27" customWidth="1"/>
    <col min="10521" max="10521" width="10.1796875" style="27" customWidth="1"/>
    <col min="10522" max="10522" width="7.81640625" style="27" customWidth="1"/>
    <col min="10523" max="10523" width="8.54296875" style="27" customWidth="1"/>
    <col min="10524" max="10524" width="7.81640625" style="27" customWidth="1"/>
    <col min="10525" max="10525" width="8.7265625" style="27" customWidth="1"/>
    <col min="10526" max="10758" width="9.1796875" style="27"/>
    <col min="10759" max="10759" width="5.453125" style="27" customWidth="1"/>
    <col min="10760" max="10760" width="45.1796875" style="27" customWidth="1"/>
    <col min="10761" max="10762" width="12" style="27" customWidth="1"/>
    <col min="10763" max="10763" width="16.1796875" style="27" customWidth="1"/>
    <col min="10764" max="10764" width="7.7265625" style="27" customWidth="1"/>
    <col min="10765" max="10765" width="12" style="27" customWidth="1"/>
    <col min="10766" max="10767" width="9" style="27" customWidth="1"/>
    <col min="10768" max="10768" width="11.26953125" style="27" customWidth="1"/>
    <col min="10769" max="10770" width="12" style="27" customWidth="1"/>
    <col min="10771" max="10771" width="17.1796875" style="27" customWidth="1"/>
    <col min="10772" max="10772" width="9" style="27" customWidth="1"/>
    <col min="10773" max="10773" width="12" style="27" customWidth="1"/>
    <col min="10774" max="10775" width="9" style="27" customWidth="1"/>
    <col min="10776" max="10776" width="9.81640625" style="27" customWidth="1"/>
    <col min="10777" max="10777" width="10.1796875" style="27" customWidth="1"/>
    <col min="10778" max="10778" width="7.81640625" style="27" customWidth="1"/>
    <col min="10779" max="10779" width="8.54296875" style="27" customWidth="1"/>
    <col min="10780" max="10780" width="7.81640625" style="27" customWidth="1"/>
    <col min="10781" max="10781" width="8.7265625" style="27" customWidth="1"/>
    <col min="10782" max="11014" width="9.1796875" style="27"/>
    <col min="11015" max="11015" width="5.453125" style="27" customWidth="1"/>
    <col min="11016" max="11016" width="45.1796875" style="27" customWidth="1"/>
    <col min="11017" max="11018" width="12" style="27" customWidth="1"/>
    <col min="11019" max="11019" width="16.1796875" style="27" customWidth="1"/>
    <col min="11020" max="11020" width="7.7265625" style="27" customWidth="1"/>
    <col min="11021" max="11021" width="12" style="27" customWidth="1"/>
    <col min="11022" max="11023" width="9" style="27" customWidth="1"/>
    <col min="11024" max="11024" width="11.26953125" style="27" customWidth="1"/>
    <col min="11025" max="11026" width="12" style="27" customWidth="1"/>
    <col min="11027" max="11027" width="17.1796875" style="27" customWidth="1"/>
    <col min="11028" max="11028" width="9" style="27" customWidth="1"/>
    <col min="11029" max="11029" width="12" style="27" customWidth="1"/>
    <col min="11030" max="11031" width="9" style="27" customWidth="1"/>
    <col min="11032" max="11032" width="9.81640625" style="27" customWidth="1"/>
    <col min="11033" max="11033" width="10.1796875" style="27" customWidth="1"/>
    <col min="11034" max="11034" width="7.81640625" style="27" customWidth="1"/>
    <col min="11035" max="11035" width="8.54296875" style="27" customWidth="1"/>
    <col min="11036" max="11036" width="7.81640625" style="27" customWidth="1"/>
    <col min="11037" max="11037" width="8.7265625" style="27" customWidth="1"/>
    <col min="11038" max="11270" width="9.1796875" style="27"/>
    <col min="11271" max="11271" width="5.453125" style="27" customWidth="1"/>
    <col min="11272" max="11272" width="45.1796875" style="27" customWidth="1"/>
    <col min="11273" max="11274" width="12" style="27" customWidth="1"/>
    <col min="11275" max="11275" width="16.1796875" style="27" customWidth="1"/>
    <col min="11276" max="11276" width="7.7265625" style="27" customWidth="1"/>
    <col min="11277" max="11277" width="12" style="27" customWidth="1"/>
    <col min="11278" max="11279" width="9" style="27" customWidth="1"/>
    <col min="11280" max="11280" width="11.26953125" style="27" customWidth="1"/>
    <col min="11281" max="11282" width="12" style="27" customWidth="1"/>
    <col min="11283" max="11283" width="17.1796875" style="27" customWidth="1"/>
    <col min="11284" max="11284" width="9" style="27" customWidth="1"/>
    <col min="11285" max="11285" width="12" style="27" customWidth="1"/>
    <col min="11286" max="11287" width="9" style="27" customWidth="1"/>
    <col min="11288" max="11288" width="9.81640625" style="27" customWidth="1"/>
    <col min="11289" max="11289" width="10.1796875" style="27" customWidth="1"/>
    <col min="11290" max="11290" width="7.81640625" style="27" customWidth="1"/>
    <col min="11291" max="11291" width="8.54296875" style="27" customWidth="1"/>
    <col min="11292" max="11292" width="7.81640625" style="27" customWidth="1"/>
    <col min="11293" max="11293" width="8.7265625" style="27" customWidth="1"/>
    <col min="11294" max="11526" width="9.1796875" style="27"/>
    <col min="11527" max="11527" width="5.453125" style="27" customWidth="1"/>
    <col min="11528" max="11528" width="45.1796875" style="27" customWidth="1"/>
    <col min="11529" max="11530" width="12" style="27" customWidth="1"/>
    <col min="11531" max="11531" width="16.1796875" style="27" customWidth="1"/>
    <col min="11532" max="11532" width="7.7265625" style="27" customWidth="1"/>
    <col min="11533" max="11533" width="12" style="27" customWidth="1"/>
    <col min="11534" max="11535" width="9" style="27" customWidth="1"/>
    <col min="11536" max="11536" width="11.26953125" style="27" customWidth="1"/>
    <col min="11537" max="11538" width="12" style="27" customWidth="1"/>
    <col min="11539" max="11539" width="17.1796875" style="27" customWidth="1"/>
    <col min="11540" max="11540" width="9" style="27" customWidth="1"/>
    <col min="11541" max="11541" width="12" style="27" customWidth="1"/>
    <col min="11542" max="11543" width="9" style="27" customWidth="1"/>
    <col min="11544" max="11544" width="9.81640625" style="27" customWidth="1"/>
    <col min="11545" max="11545" width="10.1796875" style="27" customWidth="1"/>
    <col min="11546" max="11546" width="7.81640625" style="27" customWidth="1"/>
    <col min="11547" max="11547" width="8.54296875" style="27" customWidth="1"/>
    <col min="11548" max="11548" width="7.81640625" style="27" customWidth="1"/>
    <col min="11549" max="11549" width="8.7265625" style="27" customWidth="1"/>
    <col min="11550" max="11782" width="9.1796875" style="27"/>
    <col min="11783" max="11783" width="5.453125" style="27" customWidth="1"/>
    <col min="11784" max="11784" width="45.1796875" style="27" customWidth="1"/>
    <col min="11785" max="11786" width="12" style="27" customWidth="1"/>
    <col min="11787" max="11787" width="16.1796875" style="27" customWidth="1"/>
    <col min="11788" max="11788" width="7.7265625" style="27" customWidth="1"/>
    <col min="11789" max="11789" width="12" style="27" customWidth="1"/>
    <col min="11790" max="11791" width="9" style="27" customWidth="1"/>
    <col min="11792" max="11792" width="11.26953125" style="27" customWidth="1"/>
    <col min="11793" max="11794" width="12" style="27" customWidth="1"/>
    <col min="11795" max="11795" width="17.1796875" style="27" customWidth="1"/>
    <col min="11796" max="11796" width="9" style="27" customWidth="1"/>
    <col min="11797" max="11797" width="12" style="27" customWidth="1"/>
    <col min="11798" max="11799" width="9" style="27" customWidth="1"/>
    <col min="11800" max="11800" width="9.81640625" style="27" customWidth="1"/>
    <col min="11801" max="11801" width="10.1796875" style="27" customWidth="1"/>
    <col min="11802" max="11802" width="7.81640625" style="27" customWidth="1"/>
    <col min="11803" max="11803" width="8.54296875" style="27" customWidth="1"/>
    <col min="11804" max="11804" width="7.81640625" style="27" customWidth="1"/>
    <col min="11805" max="11805" width="8.7265625" style="27" customWidth="1"/>
    <col min="11806" max="12038" width="9.1796875" style="27"/>
    <col min="12039" max="12039" width="5.453125" style="27" customWidth="1"/>
    <col min="12040" max="12040" width="45.1796875" style="27" customWidth="1"/>
    <col min="12041" max="12042" width="12" style="27" customWidth="1"/>
    <col min="12043" max="12043" width="16.1796875" style="27" customWidth="1"/>
    <col min="12044" max="12044" width="7.7265625" style="27" customWidth="1"/>
    <col min="12045" max="12045" width="12" style="27" customWidth="1"/>
    <col min="12046" max="12047" width="9" style="27" customWidth="1"/>
    <col min="12048" max="12048" width="11.26953125" style="27" customWidth="1"/>
    <col min="12049" max="12050" width="12" style="27" customWidth="1"/>
    <col min="12051" max="12051" width="17.1796875" style="27" customWidth="1"/>
    <col min="12052" max="12052" width="9" style="27" customWidth="1"/>
    <col min="12053" max="12053" width="12" style="27" customWidth="1"/>
    <col min="12054" max="12055" width="9" style="27" customWidth="1"/>
    <col min="12056" max="12056" width="9.81640625" style="27" customWidth="1"/>
    <col min="12057" max="12057" width="10.1796875" style="27" customWidth="1"/>
    <col min="12058" max="12058" width="7.81640625" style="27" customWidth="1"/>
    <col min="12059" max="12059" width="8.54296875" style="27" customWidth="1"/>
    <col min="12060" max="12060" width="7.81640625" style="27" customWidth="1"/>
    <col min="12061" max="12061" width="8.7265625" style="27" customWidth="1"/>
    <col min="12062" max="12294" width="9.1796875" style="27"/>
    <col min="12295" max="12295" width="5.453125" style="27" customWidth="1"/>
    <col min="12296" max="12296" width="45.1796875" style="27" customWidth="1"/>
    <col min="12297" max="12298" width="12" style="27" customWidth="1"/>
    <col min="12299" max="12299" width="16.1796875" style="27" customWidth="1"/>
    <col min="12300" max="12300" width="7.7265625" style="27" customWidth="1"/>
    <col min="12301" max="12301" width="12" style="27" customWidth="1"/>
    <col min="12302" max="12303" width="9" style="27" customWidth="1"/>
    <col min="12304" max="12304" width="11.26953125" style="27" customWidth="1"/>
    <col min="12305" max="12306" width="12" style="27" customWidth="1"/>
    <col min="12307" max="12307" width="17.1796875" style="27" customWidth="1"/>
    <col min="12308" max="12308" width="9" style="27" customWidth="1"/>
    <col min="12309" max="12309" width="12" style="27" customWidth="1"/>
    <col min="12310" max="12311" width="9" style="27" customWidth="1"/>
    <col min="12312" max="12312" width="9.81640625" style="27" customWidth="1"/>
    <col min="12313" max="12313" width="10.1796875" style="27" customWidth="1"/>
    <col min="12314" max="12314" width="7.81640625" style="27" customWidth="1"/>
    <col min="12315" max="12315" width="8.54296875" style="27" customWidth="1"/>
    <col min="12316" max="12316" width="7.81640625" style="27" customWidth="1"/>
    <col min="12317" max="12317" width="8.7265625" style="27" customWidth="1"/>
    <col min="12318" max="12550" width="9.1796875" style="27"/>
    <col min="12551" max="12551" width="5.453125" style="27" customWidth="1"/>
    <col min="12552" max="12552" width="45.1796875" style="27" customWidth="1"/>
    <col min="12553" max="12554" width="12" style="27" customWidth="1"/>
    <col min="12555" max="12555" width="16.1796875" style="27" customWidth="1"/>
    <col min="12556" max="12556" width="7.7265625" style="27" customWidth="1"/>
    <col min="12557" max="12557" width="12" style="27" customWidth="1"/>
    <col min="12558" max="12559" width="9" style="27" customWidth="1"/>
    <col min="12560" max="12560" width="11.26953125" style="27" customWidth="1"/>
    <col min="12561" max="12562" width="12" style="27" customWidth="1"/>
    <col min="12563" max="12563" width="17.1796875" style="27" customWidth="1"/>
    <col min="12564" max="12564" width="9" style="27" customWidth="1"/>
    <col min="12565" max="12565" width="12" style="27" customWidth="1"/>
    <col min="12566" max="12567" width="9" style="27" customWidth="1"/>
    <col min="12568" max="12568" width="9.81640625" style="27" customWidth="1"/>
    <col min="12569" max="12569" width="10.1796875" style="27" customWidth="1"/>
    <col min="12570" max="12570" width="7.81640625" style="27" customWidth="1"/>
    <col min="12571" max="12571" width="8.54296875" style="27" customWidth="1"/>
    <col min="12572" max="12572" width="7.81640625" style="27" customWidth="1"/>
    <col min="12573" max="12573" width="8.7265625" style="27" customWidth="1"/>
    <col min="12574" max="12806" width="9.1796875" style="27"/>
    <col min="12807" max="12807" width="5.453125" style="27" customWidth="1"/>
    <col min="12808" max="12808" width="45.1796875" style="27" customWidth="1"/>
    <col min="12809" max="12810" width="12" style="27" customWidth="1"/>
    <col min="12811" max="12811" width="16.1796875" style="27" customWidth="1"/>
    <col min="12812" max="12812" width="7.7265625" style="27" customWidth="1"/>
    <col min="12813" max="12813" width="12" style="27" customWidth="1"/>
    <col min="12814" max="12815" width="9" style="27" customWidth="1"/>
    <col min="12816" max="12816" width="11.26953125" style="27" customWidth="1"/>
    <col min="12817" max="12818" width="12" style="27" customWidth="1"/>
    <col min="12819" max="12819" width="17.1796875" style="27" customWidth="1"/>
    <col min="12820" max="12820" width="9" style="27" customWidth="1"/>
    <col min="12821" max="12821" width="12" style="27" customWidth="1"/>
    <col min="12822" max="12823" width="9" style="27" customWidth="1"/>
    <col min="12824" max="12824" width="9.81640625" style="27" customWidth="1"/>
    <col min="12825" max="12825" width="10.1796875" style="27" customWidth="1"/>
    <col min="12826" max="12826" width="7.81640625" style="27" customWidth="1"/>
    <col min="12827" max="12827" width="8.54296875" style="27" customWidth="1"/>
    <col min="12828" max="12828" width="7.81640625" style="27" customWidth="1"/>
    <col min="12829" max="12829" width="8.7265625" style="27" customWidth="1"/>
    <col min="12830" max="13062" width="9.1796875" style="27"/>
    <col min="13063" max="13063" width="5.453125" style="27" customWidth="1"/>
    <col min="13064" max="13064" width="45.1796875" style="27" customWidth="1"/>
    <col min="13065" max="13066" width="12" style="27" customWidth="1"/>
    <col min="13067" max="13067" width="16.1796875" style="27" customWidth="1"/>
    <col min="13068" max="13068" width="7.7265625" style="27" customWidth="1"/>
    <col min="13069" max="13069" width="12" style="27" customWidth="1"/>
    <col min="13070" max="13071" width="9" style="27" customWidth="1"/>
    <col min="13072" max="13072" width="11.26953125" style="27" customWidth="1"/>
    <col min="13073" max="13074" width="12" style="27" customWidth="1"/>
    <col min="13075" max="13075" width="17.1796875" style="27" customWidth="1"/>
    <col min="13076" max="13076" width="9" style="27" customWidth="1"/>
    <col min="13077" max="13077" width="12" style="27" customWidth="1"/>
    <col min="13078" max="13079" width="9" style="27" customWidth="1"/>
    <col min="13080" max="13080" width="9.81640625" style="27" customWidth="1"/>
    <col min="13081" max="13081" width="10.1796875" style="27" customWidth="1"/>
    <col min="13082" max="13082" width="7.81640625" style="27" customWidth="1"/>
    <col min="13083" max="13083" width="8.54296875" style="27" customWidth="1"/>
    <col min="13084" max="13084" width="7.81640625" style="27" customWidth="1"/>
    <col min="13085" max="13085" width="8.7265625" style="27" customWidth="1"/>
    <col min="13086" max="13318" width="9.1796875" style="27"/>
    <col min="13319" max="13319" width="5.453125" style="27" customWidth="1"/>
    <col min="13320" max="13320" width="45.1796875" style="27" customWidth="1"/>
    <col min="13321" max="13322" width="12" style="27" customWidth="1"/>
    <col min="13323" max="13323" width="16.1796875" style="27" customWidth="1"/>
    <col min="13324" max="13324" width="7.7265625" style="27" customWidth="1"/>
    <col min="13325" max="13325" width="12" style="27" customWidth="1"/>
    <col min="13326" max="13327" width="9" style="27" customWidth="1"/>
    <col min="13328" max="13328" width="11.26953125" style="27" customWidth="1"/>
    <col min="13329" max="13330" width="12" style="27" customWidth="1"/>
    <col min="13331" max="13331" width="17.1796875" style="27" customWidth="1"/>
    <col min="13332" max="13332" width="9" style="27" customWidth="1"/>
    <col min="13333" max="13333" width="12" style="27" customWidth="1"/>
    <col min="13334" max="13335" width="9" style="27" customWidth="1"/>
    <col min="13336" max="13336" width="9.81640625" style="27" customWidth="1"/>
    <col min="13337" max="13337" width="10.1796875" style="27" customWidth="1"/>
    <col min="13338" max="13338" width="7.81640625" style="27" customWidth="1"/>
    <col min="13339" max="13339" width="8.54296875" style="27" customWidth="1"/>
    <col min="13340" max="13340" width="7.81640625" style="27" customWidth="1"/>
    <col min="13341" max="13341" width="8.7265625" style="27" customWidth="1"/>
    <col min="13342" max="13574" width="9.1796875" style="27"/>
    <col min="13575" max="13575" width="5.453125" style="27" customWidth="1"/>
    <col min="13576" max="13576" width="45.1796875" style="27" customWidth="1"/>
    <col min="13577" max="13578" width="12" style="27" customWidth="1"/>
    <col min="13579" max="13579" width="16.1796875" style="27" customWidth="1"/>
    <col min="13580" max="13580" width="7.7265625" style="27" customWidth="1"/>
    <col min="13581" max="13581" width="12" style="27" customWidth="1"/>
    <col min="13582" max="13583" width="9" style="27" customWidth="1"/>
    <col min="13584" max="13584" width="11.26953125" style="27" customWidth="1"/>
    <col min="13585" max="13586" width="12" style="27" customWidth="1"/>
    <col min="13587" max="13587" width="17.1796875" style="27" customWidth="1"/>
    <col min="13588" max="13588" width="9" style="27" customWidth="1"/>
    <col min="13589" max="13589" width="12" style="27" customWidth="1"/>
    <col min="13590" max="13591" width="9" style="27" customWidth="1"/>
    <col min="13592" max="13592" width="9.81640625" style="27" customWidth="1"/>
    <col min="13593" max="13593" width="10.1796875" style="27" customWidth="1"/>
    <col min="13594" max="13594" width="7.81640625" style="27" customWidth="1"/>
    <col min="13595" max="13595" width="8.54296875" style="27" customWidth="1"/>
    <col min="13596" max="13596" width="7.81640625" style="27" customWidth="1"/>
    <col min="13597" max="13597" width="8.7265625" style="27" customWidth="1"/>
    <col min="13598" max="13830" width="9.1796875" style="27"/>
    <col min="13831" max="13831" width="5.453125" style="27" customWidth="1"/>
    <col min="13832" max="13832" width="45.1796875" style="27" customWidth="1"/>
    <col min="13833" max="13834" width="12" style="27" customWidth="1"/>
    <col min="13835" max="13835" width="16.1796875" style="27" customWidth="1"/>
    <col min="13836" max="13836" width="7.7265625" style="27" customWidth="1"/>
    <col min="13837" max="13837" width="12" style="27" customWidth="1"/>
    <col min="13838" max="13839" width="9" style="27" customWidth="1"/>
    <col min="13840" max="13840" width="11.26953125" style="27" customWidth="1"/>
    <col min="13841" max="13842" width="12" style="27" customWidth="1"/>
    <col min="13843" max="13843" width="17.1796875" style="27" customWidth="1"/>
    <col min="13844" max="13844" width="9" style="27" customWidth="1"/>
    <col min="13845" max="13845" width="12" style="27" customWidth="1"/>
    <col min="13846" max="13847" width="9" style="27" customWidth="1"/>
    <col min="13848" max="13848" width="9.81640625" style="27" customWidth="1"/>
    <col min="13849" max="13849" width="10.1796875" style="27" customWidth="1"/>
    <col min="13850" max="13850" width="7.81640625" style="27" customWidth="1"/>
    <col min="13851" max="13851" width="8.54296875" style="27" customWidth="1"/>
    <col min="13852" max="13852" width="7.81640625" style="27" customWidth="1"/>
    <col min="13853" max="13853" width="8.7265625" style="27" customWidth="1"/>
    <col min="13854" max="14086" width="9.1796875" style="27"/>
    <col min="14087" max="14087" width="5.453125" style="27" customWidth="1"/>
    <col min="14088" max="14088" width="45.1796875" style="27" customWidth="1"/>
    <col min="14089" max="14090" width="12" style="27" customWidth="1"/>
    <col min="14091" max="14091" width="16.1796875" style="27" customWidth="1"/>
    <col min="14092" max="14092" width="7.7265625" style="27" customWidth="1"/>
    <col min="14093" max="14093" width="12" style="27" customWidth="1"/>
    <col min="14094" max="14095" width="9" style="27" customWidth="1"/>
    <col min="14096" max="14096" width="11.26953125" style="27" customWidth="1"/>
    <col min="14097" max="14098" width="12" style="27" customWidth="1"/>
    <col min="14099" max="14099" width="17.1796875" style="27" customWidth="1"/>
    <col min="14100" max="14100" width="9" style="27" customWidth="1"/>
    <col min="14101" max="14101" width="12" style="27" customWidth="1"/>
    <col min="14102" max="14103" width="9" style="27" customWidth="1"/>
    <col min="14104" max="14104" width="9.81640625" style="27" customWidth="1"/>
    <col min="14105" max="14105" width="10.1796875" style="27" customWidth="1"/>
    <col min="14106" max="14106" width="7.81640625" style="27" customWidth="1"/>
    <col min="14107" max="14107" width="8.54296875" style="27" customWidth="1"/>
    <col min="14108" max="14108" width="7.81640625" style="27" customWidth="1"/>
    <col min="14109" max="14109" width="8.7265625" style="27" customWidth="1"/>
    <col min="14110" max="14342" width="9.1796875" style="27"/>
    <col min="14343" max="14343" width="5.453125" style="27" customWidth="1"/>
    <col min="14344" max="14344" width="45.1796875" style="27" customWidth="1"/>
    <col min="14345" max="14346" width="12" style="27" customWidth="1"/>
    <col min="14347" max="14347" width="16.1796875" style="27" customWidth="1"/>
    <col min="14348" max="14348" width="7.7265625" style="27" customWidth="1"/>
    <col min="14349" max="14349" width="12" style="27" customWidth="1"/>
    <col min="14350" max="14351" width="9" style="27" customWidth="1"/>
    <col min="14352" max="14352" width="11.26953125" style="27" customWidth="1"/>
    <col min="14353" max="14354" width="12" style="27" customWidth="1"/>
    <col min="14355" max="14355" width="17.1796875" style="27" customWidth="1"/>
    <col min="14356" max="14356" width="9" style="27" customWidth="1"/>
    <col min="14357" max="14357" width="12" style="27" customWidth="1"/>
    <col min="14358" max="14359" width="9" style="27" customWidth="1"/>
    <col min="14360" max="14360" width="9.81640625" style="27" customWidth="1"/>
    <col min="14361" max="14361" width="10.1796875" style="27" customWidth="1"/>
    <col min="14362" max="14362" width="7.81640625" style="27" customWidth="1"/>
    <col min="14363" max="14363" width="8.54296875" style="27" customWidth="1"/>
    <col min="14364" max="14364" width="7.81640625" style="27" customWidth="1"/>
    <col min="14365" max="14365" width="8.7265625" style="27" customWidth="1"/>
    <col min="14366" max="14598" width="9.1796875" style="27"/>
    <col min="14599" max="14599" width="5.453125" style="27" customWidth="1"/>
    <col min="14600" max="14600" width="45.1796875" style="27" customWidth="1"/>
    <col min="14601" max="14602" width="12" style="27" customWidth="1"/>
    <col min="14603" max="14603" width="16.1796875" style="27" customWidth="1"/>
    <col min="14604" max="14604" width="7.7265625" style="27" customWidth="1"/>
    <col min="14605" max="14605" width="12" style="27" customWidth="1"/>
    <col min="14606" max="14607" width="9" style="27" customWidth="1"/>
    <col min="14608" max="14608" width="11.26953125" style="27" customWidth="1"/>
    <col min="14609" max="14610" width="12" style="27" customWidth="1"/>
    <col min="14611" max="14611" width="17.1796875" style="27" customWidth="1"/>
    <col min="14612" max="14612" width="9" style="27" customWidth="1"/>
    <col min="14613" max="14613" width="12" style="27" customWidth="1"/>
    <col min="14614" max="14615" width="9" style="27" customWidth="1"/>
    <col min="14616" max="14616" width="9.81640625" style="27" customWidth="1"/>
    <col min="14617" max="14617" width="10.1796875" style="27" customWidth="1"/>
    <col min="14618" max="14618" width="7.81640625" style="27" customWidth="1"/>
    <col min="14619" max="14619" width="8.54296875" style="27" customWidth="1"/>
    <col min="14620" max="14620" width="7.81640625" style="27" customWidth="1"/>
    <col min="14621" max="14621" width="8.7265625" style="27" customWidth="1"/>
    <col min="14622" max="14854" width="9.1796875" style="27"/>
    <col min="14855" max="14855" width="5.453125" style="27" customWidth="1"/>
    <col min="14856" max="14856" width="45.1796875" style="27" customWidth="1"/>
    <col min="14857" max="14858" width="12" style="27" customWidth="1"/>
    <col min="14859" max="14859" width="16.1796875" style="27" customWidth="1"/>
    <col min="14860" max="14860" width="7.7265625" style="27" customWidth="1"/>
    <col min="14861" max="14861" width="12" style="27" customWidth="1"/>
    <col min="14862" max="14863" width="9" style="27" customWidth="1"/>
    <col min="14864" max="14864" width="11.26953125" style="27" customWidth="1"/>
    <col min="14865" max="14866" width="12" style="27" customWidth="1"/>
    <col min="14867" max="14867" width="17.1796875" style="27" customWidth="1"/>
    <col min="14868" max="14868" width="9" style="27" customWidth="1"/>
    <col min="14869" max="14869" width="12" style="27" customWidth="1"/>
    <col min="14870" max="14871" width="9" style="27" customWidth="1"/>
    <col min="14872" max="14872" width="9.81640625" style="27" customWidth="1"/>
    <col min="14873" max="14873" width="10.1796875" style="27" customWidth="1"/>
    <col min="14874" max="14874" width="7.81640625" style="27" customWidth="1"/>
    <col min="14875" max="14875" width="8.54296875" style="27" customWidth="1"/>
    <col min="14876" max="14876" width="7.81640625" style="27" customWidth="1"/>
    <col min="14877" max="14877" width="8.7265625" style="27" customWidth="1"/>
    <col min="14878" max="15110" width="9.1796875" style="27"/>
    <col min="15111" max="15111" width="5.453125" style="27" customWidth="1"/>
    <col min="15112" max="15112" width="45.1796875" style="27" customWidth="1"/>
    <col min="15113" max="15114" width="12" style="27" customWidth="1"/>
    <col min="15115" max="15115" width="16.1796875" style="27" customWidth="1"/>
    <col min="15116" max="15116" width="7.7265625" style="27" customWidth="1"/>
    <col min="15117" max="15117" width="12" style="27" customWidth="1"/>
    <col min="15118" max="15119" width="9" style="27" customWidth="1"/>
    <col min="15120" max="15120" width="11.26953125" style="27" customWidth="1"/>
    <col min="15121" max="15122" width="12" style="27" customWidth="1"/>
    <col min="15123" max="15123" width="17.1796875" style="27" customWidth="1"/>
    <col min="15124" max="15124" width="9" style="27" customWidth="1"/>
    <col min="15125" max="15125" width="12" style="27" customWidth="1"/>
    <col min="15126" max="15127" width="9" style="27" customWidth="1"/>
    <col min="15128" max="15128" width="9.81640625" style="27" customWidth="1"/>
    <col min="15129" max="15129" width="10.1796875" style="27" customWidth="1"/>
    <col min="15130" max="15130" width="7.81640625" style="27" customWidth="1"/>
    <col min="15131" max="15131" width="8.54296875" style="27" customWidth="1"/>
    <col min="15132" max="15132" width="7.81640625" style="27" customWidth="1"/>
    <col min="15133" max="15133" width="8.7265625" style="27" customWidth="1"/>
    <col min="15134" max="15366" width="9.1796875" style="27"/>
    <col min="15367" max="15367" width="5.453125" style="27" customWidth="1"/>
    <col min="15368" max="15368" width="45.1796875" style="27" customWidth="1"/>
    <col min="15369" max="15370" width="12" style="27" customWidth="1"/>
    <col min="15371" max="15371" width="16.1796875" style="27" customWidth="1"/>
    <col min="15372" max="15372" width="7.7265625" style="27" customWidth="1"/>
    <col min="15373" max="15373" width="12" style="27" customWidth="1"/>
    <col min="15374" max="15375" width="9" style="27" customWidth="1"/>
    <col min="15376" max="15376" width="11.26953125" style="27" customWidth="1"/>
    <col min="15377" max="15378" width="12" style="27" customWidth="1"/>
    <col min="15379" max="15379" width="17.1796875" style="27" customWidth="1"/>
    <col min="15380" max="15380" width="9" style="27" customWidth="1"/>
    <col min="15381" max="15381" width="12" style="27" customWidth="1"/>
    <col min="15382" max="15383" width="9" style="27" customWidth="1"/>
    <col min="15384" max="15384" width="9.81640625" style="27" customWidth="1"/>
    <col min="15385" max="15385" width="10.1796875" style="27" customWidth="1"/>
    <col min="15386" max="15386" width="7.81640625" style="27" customWidth="1"/>
    <col min="15387" max="15387" width="8.54296875" style="27" customWidth="1"/>
    <col min="15388" max="15388" width="7.81640625" style="27" customWidth="1"/>
    <col min="15389" max="15389" width="8.7265625" style="27" customWidth="1"/>
    <col min="15390" max="15622" width="9.1796875" style="27"/>
    <col min="15623" max="15623" width="5.453125" style="27" customWidth="1"/>
    <col min="15624" max="15624" width="45.1796875" style="27" customWidth="1"/>
    <col min="15625" max="15626" width="12" style="27" customWidth="1"/>
    <col min="15627" max="15627" width="16.1796875" style="27" customWidth="1"/>
    <col min="15628" max="15628" width="7.7265625" style="27" customWidth="1"/>
    <col min="15629" max="15629" width="12" style="27" customWidth="1"/>
    <col min="15630" max="15631" width="9" style="27" customWidth="1"/>
    <col min="15632" max="15632" width="11.26953125" style="27" customWidth="1"/>
    <col min="15633" max="15634" width="12" style="27" customWidth="1"/>
    <col min="15635" max="15635" width="17.1796875" style="27" customWidth="1"/>
    <col min="15636" max="15636" width="9" style="27" customWidth="1"/>
    <col min="15637" max="15637" width="12" style="27" customWidth="1"/>
    <col min="15638" max="15639" width="9" style="27" customWidth="1"/>
    <col min="15640" max="15640" width="9.81640625" style="27" customWidth="1"/>
    <col min="15641" max="15641" width="10.1796875" style="27" customWidth="1"/>
    <col min="15642" max="15642" width="7.81640625" style="27" customWidth="1"/>
    <col min="15643" max="15643" width="8.54296875" style="27" customWidth="1"/>
    <col min="15644" max="15644" width="7.81640625" style="27" customWidth="1"/>
    <col min="15645" max="15645" width="8.7265625" style="27" customWidth="1"/>
    <col min="15646" max="15878" width="9.1796875" style="27"/>
    <col min="15879" max="15879" width="5.453125" style="27" customWidth="1"/>
    <col min="15880" max="15880" width="45.1796875" style="27" customWidth="1"/>
    <col min="15881" max="15882" width="12" style="27" customWidth="1"/>
    <col min="15883" max="15883" width="16.1796875" style="27" customWidth="1"/>
    <col min="15884" max="15884" width="7.7265625" style="27" customWidth="1"/>
    <col min="15885" max="15885" width="12" style="27" customWidth="1"/>
    <col min="15886" max="15887" width="9" style="27" customWidth="1"/>
    <col min="15888" max="15888" width="11.26953125" style="27" customWidth="1"/>
    <col min="15889" max="15890" width="12" style="27" customWidth="1"/>
    <col min="15891" max="15891" width="17.1796875" style="27" customWidth="1"/>
    <col min="15892" max="15892" width="9" style="27" customWidth="1"/>
    <col min="15893" max="15893" width="12" style="27" customWidth="1"/>
    <col min="15894" max="15895" width="9" style="27" customWidth="1"/>
    <col min="15896" max="15896" width="9.81640625" style="27" customWidth="1"/>
    <col min="15897" max="15897" width="10.1796875" style="27" customWidth="1"/>
    <col min="15898" max="15898" width="7.81640625" style="27" customWidth="1"/>
    <col min="15899" max="15899" width="8.54296875" style="27" customWidth="1"/>
    <col min="15900" max="15900" width="7.81640625" style="27" customWidth="1"/>
    <col min="15901" max="15901" width="8.7265625" style="27" customWidth="1"/>
    <col min="15902" max="16134" width="9.1796875" style="27"/>
    <col min="16135" max="16135" width="5.453125" style="27" customWidth="1"/>
    <col min="16136" max="16136" width="45.1796875" style="27" customWidth="1"/>
    <col min="16137" max="16138" width="12" style="27" customWidth="1"/>
    <col min="16139" max="16139" width="16.1796875" style="27" customWidth="1"/>
    <col min="16140" max="16140" width="7.7265625" style="27" customWidth="1"/>
    <col min="16141" max="16141" width="12" style="27" customWidth="1"/>
    <col min="16142" max="16143" width="9" style="27" customWidth="1"/>
    <col min="16144" max="16144" width="11.26953125" style="27" customWidth="1"/>
    <col min="16145" max="16146" width="12" style="27" customWidth="1"/>
    <col min="16147" max="16147" width="17.1796875" style="27" customWidth="1"/>
    <col min="16148" max="16148" width="9" style="27" customWidth="1"/>
    <col min="16149" max="16149" width="12" style="27" customWidth="1"/>
    <col min="16150" max="16151" width="9" style="27" customWidth="1"/>
    <col min="16152" max="16152" width="9.81640625" style="27" customWidth="1"/>
    <col min="16153" max="16153" width="10.1796875" style="27" customWidth="1"/>
    <col min="16154" max="16154" width="7.81640625" style="27" customWidth="1"/>
    <col min="16155" max="16155" width="8.54296875" style="27" customWidth="1"/>
    <col min="16156" max="16156" width="7.81640625" style="27" customWidth="1"/>
    <col min="16157" max="16157" width="8.7265625" style="27" customWidth="1"/>
    <col min="16158" max="16384" width="9.1796875" style="27"/>
  </cols>
  <sheetData>
    <row r="1" spans="1:32" ht="16.5">
      <c r="A1" s="26"/>
      <c r="D1" s="28"/>
      <c r="E1" s="441"/>
      <c r="F1" s="441"/>
      <c r="G1" s="441"/>
      <c r="H1" s="441"/>
      <c r="O1" s="28"/>
      <c r="P1" s="29"/>
      <c r="Q1" s="29"/>
      <c r="R1" s="29"/>
      <c r="AB1" s="31"/>
      <c r="AC1" s="572" t="s">
        <v>368</v>
      </c>
      <c r="AD1" s="572"/>
      <c r="AF1" s="27"/>
    </row>
    <row r="2" spans="1:32">
      <c r="A2" s="32"/>
      <c r="C2" s="29"/>
      <c r="D2" s="28"/>
      <c r="O2" s="28"/>
      <c r="AB2" s="29"/>
      <c r="AF2" s="27"/>
    </row>
    <row r="3" spans="1:32" ht="21.75" customHeight="1">
      <c r="A3" s="594" t="s">
        <v>422</v>
      </c>
      <c r="B3" s="594"/>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67"/>
    </row>
    <row r="4" spans="1:32" ht="21.75" customHeight="1">
      <c r="A4" s="593" t="s">
        <v>1112</v>
      </c>
      <c r="B4" s="593"/>
      <c r="C4" s="593"/>
      <c r="D4" s="593"/>
      <c r="E4" s="593"/>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67"/>
    </row>
    <row r="5" spans="1:32">
      <c r="A5" s="504"/>
      <c r="B5" s="505"/>
      <c r="C5" s="506"/>
      <c r="D5" s="506"/>
      <c r="E5" s="506"/>
      <c r="F5" s="506"/>
      <c r="G5" s="506"/>
      <c r="H5" s="506"/>
      <c r="I5" s="506"/>
      <c r="J5" s="506"/>
      <c r="K5" s="504"/>
      <c r="L5" s="504"/>
      <c r="M5" s="507"/>
      <c r="N5" s="506"/>
      <c r="O5" s="508"/>
      <c r="P5" s="506"/>
      <c r="Q5" s="506"/>
      <c r="R5" s="506"/>
      <c r="S5" s="506"/>
      <c r="T5" s="506"/>
      <c r="U5" s="506"/>
      <c r="V5" s="504"/>
      <c r="W5" s="508"/>
      <c r="X5" s="506"/>
      <c r="Y5" s="506"/>
      <c r="Z5" s="506"/>
      <c r="AA5" s="506"/>
      <c r="AB5" s="573"/>
      <c r="AC5" s="573"/>
      <c r="AD5" s="576" t="s">
        <v>53</v>
      </c>
      <c r="AE5" s="576"/>
      <c r="AF5" s="27"/>
    </row>
    <row r="6" spans="1:32" s="33" customFormat="1" ht="15.75" customHeight="1">
      <c r="A6" s="589" t="s">
        <v>1</v>
      </c>
      <c r="B6" s="589" t="s">
        <v>423</v>
      </c>
      <c r="C6" s="590" t="s">
        <v>346</v>
      </c>
      <c r="D6" s="591"/>
      <c r="E6" s="591"/>
      <c r="F6" s="591"/>
      <c r="G6" s="591"/>
      <c r="H6" s="591"/>
      <c r="I6" s="591"/>
      <c r="J6" s="591"/>
      <c r="K6" s="591"/>
      <c r="L6" s="591"/>
      <c r="M6" s="592"/>
      <c r="N6" s="590" t="s">
        <v>347</v>
      </c>
      <c r="O6" s="591"/>
      <c r="P6" s="591"/>
      <c r="Q6" s="591"/>
      <c r="R6" s="591"/>
      <c r="S6" s="591"/>
      <c r="T6" s="591"/>
      <c r="U6" s="591"/>
      <c r="V6" s="591"/>
      <c r="W6" s="591"/>
      <c r="X6" s="591"/>
      <c r="Y6" s="509"/>
      <c r="Z6" s="509"/>
      <c r="AA6" s="509"/>
      <c r="AB6" s="589" t="s">
        <v>348</v>
      </c>
      <c r="AC6" s="589"/>
      <c r="AD6" s="589"/>
      <c r="AE6" s="589"/>
    </row>
    <row r="7" spans="1:32" s="33" customFormat="1" ht="25.5" customHeight="1">
      <c r="A7" s="589"/>
      <c r="B7" s="589"/>
      <c r="C7" s="589" t="s">
        <v>152</v>
      </c>
      <c r="D7" s="589" t="s">
        <v>424</v>
      </c>
      <c r="E7" s="589" t="s">
        <v>425</v>
      </c>
      <c r="F7" s="589" t="s">
        <v>943</v>
      </c>
      <c r="G7" s="590" t="s">
        <v>944</v>
      </c>
      <c r="H7" s="592"/>
      <c r="I7" s="589" t="s">
        <v>426</v>
      </c>
      <c r="J7" s="589" t="s">
        <v>427</v>
      </c>
      <c r="K7" s="589" t="s">
        <v>428</v>
      </c>
      <c r="L7" s="589"/>
      <c r="M7" s="589"/>
      <c r="N7" s="589" t="s">
        <v>152</v>
      </c>
      <c r="O7" s="589" t="s">
        <v>424</v>
      </c>
      <c r="P7" s="589" t="s">
        <v>425</v>
      </c>
      <c r="Q7" s="596" t="s">
        <v>157</v>
      </c>
      <c r="R7" s="597"/>
      <c r="S7" s="589" t="s">
        <v>426</v>
      </c>
      <c r="T7" s="589" t="s">
        <v>429</v>
      </c>
      <c r="U7" s="589" t="s">
        <v>428</v>
      </c>
      <c r="V7" s="589"/>
      <c r="W7" s="589"/>
      <c r="X7" s="589" t="s">
        <v>430</v>
      </c>
      <c r="Y7" s="590" t="s">
        <v>157</v>
      </c>
      <c r="Z7" s="592"/>
      <c r="AA7" s="589" t="s">
        <v>886</v>
      </c>
      <c r="AB7" s="589" t="s">
        <v>152</v>
      </c>
      <c r="AC7" s="595" t="s">
        <v>424</v>
      </c>
      <c r="AD7" s="595" t="s">
        <v>425</v>
      </c>
      <c r="AE7" s="595" t="s">
        <v>428</v>
      </c>
    </row>
    <row r="8" spans="1:32" s="34" customFormat="1" ht="90" customHeight="1">
      <c r="A8" s="589"/>
      <c r="B8" s="589"/>
      <c r="C8" s="589"/>
      <c r="D8" s="589"/>
      <c r="E8" s="589"/>
      <c r="F8" s="589"/>
      <c r="G8" s="510" t="s">
        <v>170</v>
      </c>
      <c r="H8" s="510" t="s">
        <v>169</v>
      </c>
      <c r="I8" s="589"/>
      <c r="J8" s="589"/>
      <c r="K8" s="511" t="s">
        <v>152</v>
      </c>
      <c r="L8" s="511" t="s">
        <v>433</v>
      </c>
      <c r="M8" s="511" t="s">
        <v>434</v>
      </c>
      <c r="N8" s="589"/>
      <c r="O8" s="589"/>
      <c r="P8" s="589"/>
      <c r="Q8" s="512" t="s">
        <v>431</v>
      </c>
      <c r="R8" s="512" t="s">
        <v>432</v>
      </c>
      <c r="S8" s="589"/>
      <c r="T8" s="589"/>
      <c r="U8" s="511" t="s">
        <v>152</v>
      </c>
      <c r="V8" s="511" t="s">
        <v>433</v>
      </c>
      <c r="W8" s="511" t="s">
        <v>434</v>
      </c>
      <c r="X8" s="589"/>
      <c r="Y8" s="510" t="s">
        <v>435</v>
      </c>
      <c r="Z8" s="510" t="s">
        <v>436</v>
      </c>
      <c r="AA8" s="589"/>
      <c r="AB8" s="589"/>
      <c r="AC8" s="595"/>
      <c r="AD8" s="595"/>
      <c r="AE8" s="595"/>
    </row>
    <row r="9" spans="1:32" s="35" customFormat="1" ht="18.75" customHeight="1">
      <c r="A9" s="513" t="s">
        <v>8</v>
      </c>
      <c r="B9" s="513" t="s">
        <v>9</v>
      </c>
      <c r="C9" s="513" t="s">
        <v>437</v>
      </c>
      <c r="D9" s="513">
        <v>2</v>
      </c>
      <c r="E9" s="513">
        <v>3</v>
      </c>
      <c r="F9" s="513"/>
      <c r="G9" s="513"/>
      <c r="H9" s="513"/>
      <c r="I9" s="513">
        <v>4</v>
      </c>
      <c r="J9" s="513">
        <v>5</v>
      </c>
      <c r="K9" s="513" t="s">
        <v>438</v>
      </c>
      <c r="L9" s="513">
        <v>7</v>
      </c>
      <c r="M9" s="513">
        <v>8</v>
      </c>
      <c r="N9" s="514" t="s">
        <v>439</v>
      </c>
      <c r="O9" s="513">
        <v>10</v>
      </c>
      <c r="P9" s="513">
        <v>11</v>
      </c>
      <c r="Q9" s="513"/>
      <c r="R9" s="513"/>
      <c r="S9" s="513">
        <v>12</v>
      </c>
      <c r="T9" s="513">
        <v>13</v>
      </c>
      <c r="U9" s="513" t="s">
        <v>440</v>
      </c>
      <c r="V9" s="513">
        <v>15</v>
      </c>
      <c r="W9" s="513">
        <v>16</v>
      </c>
      <c r="X9" s="513" t="s">
        <v>441</v>
      </c>
      <c r="Y9" s="513">
        <v>18</v>
      </c>
      <c r="Z9" s="513">
        <v>19</v>
      </c>
      <c r="AA9" s="513">
        <v>20</v>
      </c>
      <c r="AB9" s="513" t="s">
        <v>442</v>
      </c>
      <c r="AC9" s="513" t="s">
        <v>443</v>
      </c>
      <c r="AD9" s="513" t="s">
        <v>444</v>
      </c>
      <c r="AE9" s="513" t="s">
        <v>445</v>
      </c>
    </row>
    <row r="10" spans="1:32" s="36" customFormat="1" ht="18.75" customHeight="1">
      <c r="A10" s="490"/>
      <c r="B10" s="490" t="s">
        <v>152</v>
      </c>
      <c r="C10" s="490">
        <f t="shared" ref="C10:H10" si="0">C11+C121+C122+C123+C124+C125+C126+C113</f>
        <v>4242911.4505555555</v>
      </c>
      <c r="D10" s="490">
        <f t="shared" si="0"/>
        <v>1308676.4950000001</v>
      </c>
      <c r="E10" s="490">
        <f t="shared" si="0"/>
        <v>2015722.9555555554</v>
      </c>
      <c r="F10" s="490">
        <f t="shared" si="0"/>
        <v>1628053.9555555554</v>
      </c>
      <c r="G10" s="490">
        <f t="shared" si="0"/>
        <v>244984</v>
      </c>
      <c r="H10" s="490">
        <f t="shared" si="0"/>
        <v>177144</v>
      </c>
      <c r="I10" s="490">
        <f>I11+I121+I122+I123+I124+I125+I126</f>
        <v>880</v>
      </c>
      <c r="J10" s="490">
        <f>J11+J121+J122+J123+J124+J125+J126</f>
        <v>794782</v>
      </c>
      <c r="K10" s="490">
        <f>K11+K121+K122+K123+K124+K125+K126</f>
        <v>122850</v>
      </c>
      <c r="L10" s="490">
        <f>L11+L121+L122+L123+L124+L125+L126</f>
        <v>108602</v>
      </c>
      <c r="M10" s="490">
        <f>M11+M121+M122+M123+M124+M125+M126</f>
        <v>14248</v>
      </c>
      <c r="N10" s="490">
        <f>N11+N121+N122+N123+N124+N125+N126+N127</f>
        <v>6703717.0509059997</v>
      </c>
      <c r="O10" s="490">
        <f t="shared" ref="O10:AA10" si="1">O11+O121+O122+O123+O124+O125+O126+O127</f>
        <v>1660762.601704</v>
      </c>
      <c r="P10" s="490">
        <f t="shared" si="1"/>
        <v>1952335.6027549999</v>
      </c>
      <c r="Q10" s="490">
        <f t="shared" si="1"/>
        <v>1510401.9047549996</v>
      </c>
      <c r="R10" s="490">
        <f t="shared" si="1"/>
        <v>441933.69799999997</v>
      </c>
      <c r="S10" s="490">
        <f t="shared" si="1"/>
        <v>29000</v>
      </c>
      <c r="T10" s="490">
        <f t="shared" si="1"/>
        <v>994963</v>
      </c>
      <c r="U10" s="490">
        <f t="shared" si="1"/>
        <v>70959.866242999997</v>
      </c>
      <c r="V10" s="490">
        <f t="shared" si="1"/>
        <v>65140.866242999997</v>
      </c>
      <c r="W10" s="490">
        <f t="shared" si="1"/>
        <v>5819</v>
      </c>
      <c r="X10" s="490">
        <f t="shared" si="1"/>
        <v>1973824.817883</v>
      </c>
      <c r="Y10" s="490">
        <f t="shared" si="1"/>
        <v>1299088.0111660003</v>
      </c>
      <c r="Z10" s="490">
        <f t="shared" si="1"/>
        <v>674736.58229999989</v>
      </c>
      <c r="AA10" s="490">
        <f t="shared" si="1"/>
        <v>21871.162321</v>
      </c>
      <c r="AB10" s="493">
        <f t="shared" ref="AB10:AD25" si="2">N10/C10%</f>
        <v>157.99804283043034</v>
      </c>
      <c r="AC10" s="493">
        <f t="shared" si="2"/>
        <v>126.90398337933011</v>
      </c>
      <c r="AD10" s="493">
        <f t="shared" si="2"/>
        <v>96.855353925208178</v>
      </c>
      <c r="AE10" s="493">
        <f>U10/K10%</f>
        <v>57.761388883190882</v>
      </c>
    </row>
    <row r="11" spans="1:32" s="444" customFormat="1" ht="24.75" customHeight="1">
      <c r="A11" s="491" t="s">
        <v>13</v>
      </c>
      <c r="B11" s="492" t="s">
        <v>153</v>
      </c>
      <c r="C11" s="491">
        <f>C12+C101+177144</f>
        <v>3304564.4505555555</v>
      </c>
      <c r="D11" s="491">
        <f>D12+D101</f>
        <v>1308676.4950000001</v>
      </c>
      <c r="E11" s="491">
        <f>E12+E101+177144</f>
        <v>1873037.9555555554</v>
      </c>
      <c r="F11" s="491">
        <f>F12+F101+177144</f>
        <v>1628053.9555555554</v>
      </c>
      <c r="G11" s="491">
        <f>G12+G101</f>
        <v>244984</v>
      </c>
      <c r="H11" s="491">
        <v>177144</v>
      </c>
      <c r="I11" s="491">
        <f t="shared" ref="I11:Z11" si="3">I12+I101</f>
        <v>0</v>
      </c>
      <c r="J11" s="491">
        <f t="shared" si="3"/>
        <v>0</v>
      </c>
      <c r="K11" s="491">
        <f t="shared" si="3"/>
        <v>122850</v>
      </c>
      <c r="L11" s="491">
        <f t="shared" si="3"/>
        <v>108602</v>
      </c>
      <c r="M11" s="491">
        <f t="shared" si="3"/>
        <v>14248</v>
      </c>
      <c r="N11" s="491">
        <f t="shared" si="3"/>
        <v>3683970.0707019996</v>
      </c>
      <c r="O11" s="491">
        <f t="shared" si="3"/>
        <v>1660762.601704</v>
      </c>
      <c r="P11" s="491">
        <f t="shared" si="3"/>
        <v>1952247.6027549999</v>
      </c>
      <c r="Q11" s="491">
        <f t="shared" si="3"/>
        <v>1510401.9047549996</v>
      </c>
      <c r="R11" s="491">
        <f t="shared" si="3"/>
        <v>441845.69799999997</v>
      </c>
      <c r="S11" s="491">
        <f t="shared" si="3"/>
        <v>0</v>
      </c>
      <c r="T11" s="491">
        <f t="shared" si="3"/>
        <v>0</v>
      </c>
      <c r="U11" s="491">
        <f t="shared" si="3"/>
        <v>70959.866242999997</v>
      </c>
      <c r="V11" s="491">
        <f t="shared" si="3"/>
        <v>65140.866242999997</v>
      </c>
      <c r="W11" s="491">
        <f t="shared" si="3"/>
        <v>5819</v>
      </c>
      <c r="X11" s="491">
        <f t="shared" si="3"/>
        <v>0</v>
      </c>
      <c r="Y11" s="491">
        <f t="shared" si="3"/>
        <v>0</v>
      </c>
      <c r="Z11" s="491">
        <f t="shared" si="3"/>
        <v>0</v>
      </c>
      <c r="AA11" s="491"/>
      <c r="AB11" s="493">
        <f t="shared" si="2"/>
        <v>111.48125950706331</v>
      </c>
      <c r="AC11" s="493">
        <f t="shared" si="2"/>
        <v>126.90398337933011</v>
      </c>
      <c r="AD11" s="493">
        <f t="shared" si="2"/>
        <v>104.22893978013117</v>
      </c>
      <c r="AE11" s="493">
        <f>U11/K11%</f>
        <v>57.761388883190882</v>
      </c>
    </row>
    <row r="12" spans="1:32" s="444" customFormat="1" ht="33.75" customHeight="1">
      <c r="A12" s="491" t="s">
        <v>446</v>
      </c>
      <c r="B12" s="492" t="s">
        <v>447</v>
      </c>
      <c r="C12" s="491">
        <f>SUM(C13:C100)</f>
        <v>2702215.9555555554</v>
      </c>
      <c r="D12" s="491">
        <f>SUM(D13:D100)</f>
        <v>992074</v>
      </c>
      <c r="E12" s="491">
        <f>SUM(E13:E100)</f>
        <v>1695893.9555555554</v>
      </c>
      <c r="F12" s="491">
        <f>SUM(F13:F100)</f>
        <v>1450909.9555555554</v>
      </c>
      <c r="G12" s="491">
        <f>SUM(G13:G100)</f>
        <v>244984</v>
      </c>
      <c r="H12" s="491"/>
      <c r="I12" s="491">
        <f t="shared" ref="I12:Z12" si="4">SUM(I13:I100)</f>
        <v>0</v>
      </c>
      <c r="J12" s="491">
        <f t="shared" si="4"/>
        <v>0</v>
      </c>
      <c r="K12" s="491">
        <f t="shared" si="4"/>
        <v>14248</v>
      </c>
      <c r="L12" s="491">
        <f t="shared" si="4"/>
        <v>0</v>
      </c>
      <c r="M12" s="491">
        <f t="shared" si="4"/>
        <v>14248</v>
      </c>
      <c r="N12" s="491">
        <f t="shared" si="4"/>
        <v>3242743.6858889996</v>
      </c>
      <c r="O12" s="491">
        <f t="shared" si="4"/>
        <v>1284677.083134</v>
      </c>
      <c r="P12" s="491">
        <f t="shared" si="4"/>
        <v>1952247.6027549999</v>
      </c>
      <c r="Q12" s="491">
        <f t="shared" si="4"/>
        <v>1510401.9047549996</v>
      </c>
      <c r="R12" s="491">
        <f t="shared" si="4"/>
        <v>441845.69799999997</v>
      </c>
      <c r="S12" s="491">
        <f t="shared" si="4"/>
        <v>0</v>
      </c>
      <c r="T12" s="491">
        <f t="shared" si="4"/>
        <v>0</v>
      </c>
      <c r="U12" s="491">
        <f t="shared" si="4"/>
        <v>5819</v>
      </c>
      <c r="V12" s="491">
        <f t="shared" si="4"/>
        <v>0</v>
      </c>
      <c r="W12" s="491">
        <f t="shared" si="4"/>
        <v>5819</v>
      </c>
      <c r="X12" s="491">
        <f t="shared" si="4"/>
        <v>0</v>
      </c>
      <c r="Y12" s="491">
        <f t="shared" si="4"/>
        <v>0</v>
      </c>
      <c r="Z12" s="491">
        <f t="shared" si="4"/>
        <v>0</v>
      </c>
      <c r="AA12" s="491"/>
      <c r="AB12" s="493">
        <f t="shared" si="2"/>
        <v>120.00312851466069</v>
      </c>
      <c r="AC12" s="493">
        <f t="shared" si="2"/>
        <v>129.49407837862901</v>
      </c>
      <c r="AD12" s="493">
        <f t="shared" si="2"/>
        <v>115.11613661689513</v>
      </c>
      <c r="AE12" s="493">
        <f>U12/K12%</f>
        <v>40.840819764177432</v>
      </c>
    </row>
    <row r="13" spans="1:32" s="447" customFormat="1" ht="24.75" customHeight="1">
      <c r="A13" s="445" t="s">
        <v>318</v>
      </c>
      <c r="B13" s="446" t="s">
        <v>945</v>
      </c>
      <c r="C13" s="494">
        <f t="shared" ref="C13:C76" si="5">D13+E13+I13+J13+K13</f>
        <v>156223</v>
      </c>
      <c r="D13" s="494">
        <v>4000</v>
      </c>
      <c r="E13" s="494">
        <v>149273</v>
      </c>
      <c r="F13" s="494">
        <v>147773</v>
      </c>
      <c r="G13" s="494">
        <v>1500</v>
      </c>
      <c r="H13" s="494"/>
      <c r="I13" s="494"/>
      <c r="J13" s="494"/>
      <c r="K13" s="494">
        <f t="shared" ref="K13:K76" si="6">L13+M13</f>
        <v>2950</v>
      </c>
      <c r="L13" s="494"/>
      <c r="M13" s="494">
        <f>1950+1000</f>
        <v>2950</v>
      </c>
      <c r="N13" s="494">
        <f>O13+P13+S13+T13+U13</f>
        <v>212499.52100000001</v>
      </c>
      <c r="O13" s="494">
        <v>42952</v>
      </c>
      <c r="P13" s="495">
        <f>Q13+R13</f>
        <v>168606.52100000001</v>
      </c>
      <c r="Q13" s="494">
        <f>169547.521-941</f>
        <v>168606.52100000001</v>
      </c>
      <c r="R13" s="494"/>
      <c r="S13" s="494"/>
      <c r="T13" s="494"/>
      <c r="U13" s="494">
        <f t="shared" ref="U13:U33" si="7">V13+W13</f>
        <v>941</v>
      </c>
      <c r="V13" s="494"/>
      <c r="W13" s="494">
        <v>941</v>
      </c>
      <c r="X13" s="494">
        <f t="shared" ref="X13:X59" si="8">Y13+Z13</f>
        <v>0</v>
      </c>
      <c r="Y13" s="494"/>
      <c r="Z13" s="494"/>
      <c r="AA13" s="494"/>
      <c r="AB13" s="496">
        <f>N13/C13%</f>
        <v>136.02319824865737</v>
      </c>
      <c r="AC13" s="496">
        <f>O13/D13%</f>
        <v>1073.8</v>
      </c>
      <c r="AD13" s="496">
        <f>P13/E13%</f>
        <v>112.95178699429904</v>
      </c>
      <c r="AE13" s="496">
        <f>U13/K13%</f>
        <v>31.898305084745761</v>
      </c>
    </row>
    <row r="14" spans="1:32" s="447" customFormat="1" ht="24.75" customHeight="1">
      <c r="A14" s="448" t="s">
        <v>319</v>
      </c>
      <c r="B14" s="515" t="s">
        <v>946</v>
      </c>
      <c r="C14" s="494">
        <f t="shared" si="5"/>
        <v>23713</v>
      </c>
      <c r="D14" s="494"/>
      <c r="E14" s="494">
        <v>23713</v>
      </c>
      <c r="F14" s="494">
        <v>23250</v>
      </c>
      <c r="G14" s="494">
        <v>463</v>
      </c>
      <c r="H14" s="494"/>
      <c r="I14" s="494"/>
      <c r="J14" s="494"/>
      <c r="K14" s="494">
        <f t="shared" si="6"/>
        <v>0</v>
      </c>
      <c r="L14" s="494"/>
      <c r="M14" s="494"/>
      <c r="N14" s="494">
        <f t="shared" ref="N14:N77" si="9">O14+P14+S14+T14+U14</f>
        <v>40293.805999999997</v>
      </c>
      <c r="O14" s="494">
        <v>1753</v>
      </c>
      <c r="P14" s="495">
        <f t="shared" ref="P14:P78" si="10">Q14+R14</f>
        <v>38540.805999999997</v>
      </c>
      <c r="Q14" s="494">
        <v>38540.805999999997</v>
      </c>
      <c r="R14" s="494"/>
      <c r="S14" s="494"/>
      <c r="T14" s="494"/>
      <c r="U14" s="494">
        <f t="shared" si="7"/>
        <v>0</v>
      </c>
      <c r="V14" s="494"/>
      <c r="W14" s="494"/>
      <c r="X14" s="494">
        <f t="shared" si="8"/>
        <v>0</v>
      </c>
      <c r="Y14" s="494"/>
      <c r="Z14" s="494"/>
      <c r="AA14" s="494"/>
      <c r="AB14" s="496">
        <f t="shared" si="2"/>
        <v>169.92285244380719</v>
      </c>
      <c r="AC14" s="496"/>
      <c r="AD14" s="496">
        <f t="shared" ref="AD14:AD65" si="11">P14/E14%</f>
        <v>162.53028296714882</v>
      </c>
      <c r="AE14" s="496"/>
    </row>
    <row r="15" spans="1:32" s="447" customFormat="1" ht="24.75" customHeight="1">
      <c r="A15" s="445" t="s">
        <v>320</v>
      </c>
      <c r="B15" s="449" t="s">
        <v>947</v>
      </c>
      <c r="C15" s="494">
        <f t="shared" si="5"/>
        <v>4908</v>
      </c>
      <c r="D15" s="494"/>
      <c r="E15" s="494">
        <v>4908</v>
      </c>
      <c r="F15" s="494">
        <v>4908</v>
      </c>
      <c r="G15" s="494"/>
      <c r="H15" s="494"/>
      <c r="I15" s="494"/>
      <c r="J15" s="494"/>
      <c r="K15" s="494">
        <f t="shared" si="6"/>
        <v>0</v>
      </c>
      <c r="L15" s="494"/>
      <c r="M15" s="494"/>
      <c r="N15" s="494">
        <f t="shared" si="9"/>
        <v>5402.4269999999997</v>
      </c>
      <c r="O15" s="494"/>
      <c r="P15" s="495">
        <f t="shared" si="10"/>
        <v>5402.4269999999997</v>
      </c>
      <c r="Q15" s="494">
        <v>5402.4269999999997</v>
      </c>
      <c r="R15" s="494"/>
      <c r="S15" s="494"/>
      <c r="T15" s="494"/>
      <c r="U15" s="494">
        <f t="shared" si="7"/>
        <v>0</v>
      </c>
      <c r="V15" s="494"/>
      <c r="W15" s="494"/>
      <c r="X15" s="494">
        <f t="shared" si="8"/>
        <v>0</v>
      </c>
      <c r="Y15" s="494"/>
      <c r="Z15" s="494"/>
      <c r="AA15" s="494"/>
      <c r="AB15" s="496">
        <f t="shared" si="2"/>
        <v>110.07389975550122</v>
      </c>
      <c r="AC15" s="496"/>
      <c r="AD15" s="496">
        <f t="shared" si="11"/>
        <v>110.07389975550122</v>
      </c>
      <c r="AE15" s="496"/>
    </row>
    <row r="16" spans="1:32" s="447" customFormat="1" ht="24.75" customHeight="1">
      <c r="A16" s="448" t="s">
        <v>321</v>
      </c>
      <c r="B16" s="449" t="s">
        <v>948</v>
      </c>
      <c r="C16" s="494">
        <f t="shared" si="5"/>
        <v>28927</v>
      </c>
      <c r="D16" s="497"/>
      <c r="E16" s="494">
        <v>28927</v>
      </c>
      <c r="F16" s="494">
        <v>28527</v>
      </c>
      <c r="G16" s="494">
        <v>400</v>
      </c>
      <c r="H16" s="494"/>
      <c r="I16" s="494"/>
      <c r="J16" s="494"/>
      <c r="K16" s="494">
        <f t="shared" si="6"/>
        <v>0</v>
      </c>
      <c r="L16" s="494"/>
      <c r="M16" s="494"/>
      <c r="N16" s="494">
        <f t="shared" si="9"/>
        <v>63369.523000000001</v>
      </c>
      <c r="O16" s="494"/>
      <c r="P16" s="495">
        <f t="shared" si="10"/>
        <v>63369.523000000001</v>
      </c>
      <c r="Q16" s="494">
        <v>63369.523000000001</v>
      </c>
      <c r="R16" s="494"/>
      <c r="S16" s="494"/>
      <c r="T16" s="494"/>
      <c r="U16" s="494">
        <f t="shared" si="7"/>
        <v>0</v>
      </c>
      <c r="V16" s="494"/>
      <c r="W16" s="494"/>
      <c r="X16" s="494">
        <f t="shared" si="8"/>
        <v>0</v>
      </c>
      <c r="Y16" s="494"/>
      <c r="Z16" s="494"/>
      <c r="AA16" s="494"/>
      <c r="AB16" s="496">
        <f t="shared" si="2"/>
        <v>219.06704117260693</v>
      </c>
      <c r="AC16" s="496"/>
      <c r="AD16" s="496">
        <f t="shared" si="11"/>
        <v>219.06704117260693</v>
      </c>
      <c r="AE16" s="496"/>
    </row>
    <row r="17" spans="1:31" s="447" customFormat="1" ht="24.75" customHeight="1">
      <c r="A17" s="445" t="s">
        <v>322</v>
      </c>
      <c r="B17" s="446" t="s">
        <v>949</v>
      </c>
      <c r="C17" s="494">
        <f t="shared" si="5"/>
        <v>27896</v>
      </c>
      <c r="D17" s="494">
        <v>20000</v>
      </c>
      <c r="E17" s="494">
        <v>7896</v>
      </c>
      <c r="F17" s="494">
        <v>7896</v>
      </c>
      <c r="G17" s="494"/>
      <c r="H17" s="494"/>
      <c r="I17" s="494"/>
      <c r="J17" s="494"/>
      <c r="K17" s="494">
        <f t="shared" si="6"/>
        <v>0</v>
      </c>
      <c r="L17" s="494"/>
      <c r="M17" s="494"/>
      <c r="N17" s="494">
        <f t="shared" si="9"/>
        <v>18787.940994000001</v>
      </c>
      <c r="O17" s="494">
        <v>11265.304</v>
      </c>
      <c r="P17" s="495">
        <f t="shared" si="10"/>
        <v>7522.6369940000004</v>
      </c>
      <c r="Q17" s="495">
        <v>7522.6369940000004</v>
      </c>
      <c r="R17" s="494"/>
      <c r="S17" s="494"/>
      <c r="T17" s="494"/>
      <c r="U17" s="494">
        <f t="shared" si="7"/>
        <v>0</v>
      </c>
      <c r="V17" s="494"/>
      <c r="W17" s="494"/>
      <c r="X17" s="494">
        <f t="shared" si="8"/>
        <v>0</v>
      </c>
      <c r="Y17" s="494"/>
      <c r="Z17" s="494"/>
      <c r="AA17" s="494"/>
      <c r="AB17" s="496">
        <f t="shared" si="2"/>
        <v>67.34994620734156</v>
      </c>
      <c r="AC17" s="496">
        <f t="shared" si="2"/>
        <v>56.326520000000002</v>
      </c>
      <c r="AD17" s="496">
        <f t="shared" si="11"/>
        <v>95.27149181864236</v>
      </c>
      <c r="AE17" s="496"/>
    </row>
    <row r="18" spans="1:31" s="447" customFormat="1" ht="24.75" customHeight="1">
      <c r="A18" s="448" t="s">
        <v>323</v>
      </c>
      <c r="B18" s="449" t="s">
        <v>950</v>
      </c>
      <c r="C18" s="494">
        <f t="shared" si="5"/>
        <v>415656</v>
      </c>
      <c r="D18" s="494">
        <v>37585</v>
      </c>
      <c r="E18" s="494">
        <v>378071</v>
      </c>
      <c r="F18" s="494">
        <v>350939</v>
      </c>
      <c r="G18" s="494">
        <v>27132</v>
      </c>
      <c r="H18" s="494"/>
      <c r="I18" s="494"/>
      <c r="J18" s="494"/>
      <c r="K18" s="494">
        <f t="shared" si="6"/>
        <v>0</v>
      </c>
      <c r="L18" s="494"/>
      <c r="M18" s="494"/>
      <c r="N18" s="494">
        <f t="shared" si="9"/>
        <v>423586.52100000001</v>
      </c>
      <c r="O18" s="494">
        <v>56392</v>
      </c>
      <c r="P18" s="495">
        <f t="shared" si="10"/>
        <v>367194.52100000001</v>
      </c>
      <c r="Q18" s="498">
        <v>367194.52100000001</v>
      </c>
      <c r="R18" s="494"/>
      <c r="S18" s="494"/>
      <c r="T18" s="494"/>
      <c r="U18" s="494">
        <f t="shared" si="7"/>
        <v>0</v>
      </c>
      <c r="V18" s="494"/>
      <c r="W18" s="494"/>
      <c r="X18" s="494">
        <f t="shared" si="8"/>
        <v>0</v>
      </c>
      <c r="Y18" s="494"/>
      <c r="Z18" s="494"/>
      <c r="AA18" s="494"/>
      <c r="AB18" s="496">
        <f t="shared" si="2"/>
        <v>101.90795297072579</v>
      </c>
      <c r="AC18" s="496">
        <f t="shared" si="2"/>
        <v>150.03857922043366</v>
      </c>
      <c r="AD18" s="496">
        <f t="shared" si="11"/>
        <v>97.123164961078743</v>
      </c>
      <c r="AE18" s="496"/>
    </row>
    <row r="19" spans="1:31" s="447" customFormat="1" ht="24.75" customHeight="1">
      <c r="A19" s="445" t="s">
        <v>324</v>
      </c>
      <c r="B19" s="449" t="s">
        <v>313</v>
      </c>
      <c r="C19" s="494">
        <f t="shared" si="5"/>
        <v>333612</v>
      </c>
      <c r="D19" s="494">
        <v>21240</v>
      </c>
      <c r="E19" s="494">
        <v>312372</v>
      </c>
      <c r="F19" s="494">
        <v>305967</v>
      </c>
      <c r="G19" s="494">
        <v>6405</v>
      </c>
      <c r="H19" s="494"/>
      <c r="I19" s="494"/>
      <c r="J19" s="494"/>
      <c r="K19" s="494">
        <f t="shared" si="6"/>
        <v>0</v>
      </c>
      <c r="L19" s="494"/>
      <c r="M19" s="494"/>
      <c r="N19" s="494">
        <f t="shared" si="9"/>
        <v>455343.44451999996</v>
      </c>
      <c r="O19" s="494">
        <v>26677.29552</v>
      </c>
      <c r="P19" s="495">
        <f t="shared" si="10"/>
        <v>428666.14899999998</v>
      </c>
      <c r="Q19" s="494">
        <v>393753.14899999998</v>
      </c>
      <c r="R19" s="494">
        <v>34913</v>
      </c>
      <c r="S19" s="494"/>
      <c r="T19" s="494"/>
      <c r="U19" s="494">
        <f t="shared" si="7"/>
        <v>0</v>
      </c>
      <c r="V19" s="494"/>
      <c r="W19" s="494"/>
      <c r="X19" s="494">
        <f t="shared" si="8"/>
        <v>0</v>
      </c>
      <c r="Y19" s="494"/>
      <c r="Z19" s="494"/>
      <c r="AA19" s="494"/>
      <c r="AB19" s="496">
        <f t="shared" si="2"/>
        <v>136.48892861168062</v>
      </c>
      <c r="AC19" s="496">
        <f t="shared" si="2"/>
        <v>125.59931977401129</v>
      </c>
      <c r="AD19" s="496">
        <f t="shared" si="11"/>
        <v>137.22937683275069</v>
      </c>
      <c r="AE19" s="496"/>
    </row>
    <row r="20" spans="1:31" s="447" customFormat="1" ht="24.75" customHeight="1">
      <c r="A20" s="448" t="s">
        <v>325</v>
      </c>
      <c r="B20" s="449" t="s">
        <v>951</v>
      </c>
      <c r="C20" s="494">
        <f t="shared" si="5"/>
        <v>50549.555555555555</v>
      </c>
      <c r="D20" s="494">
        <v>12000</v>
      </c>
      <c r="E20" s="494">
        <v>38549.555555555555</v>
      </c>
      <c r="F20" s="494">
        <v>36428.555555555555</v>
      </c>
      <c r="G20" s="494">
        <v>2121</v>
      </c>
      <c r="H20" s="494"/>
      <c r="I20" s="494"/>
      <c r="J20" s="494"/>
      <c r="K20" s="494">
        <f t="shared" si="6"/>
        <v>0</v>
      </c>
      <c r="L20" s="494"/>
      <c r="M20" s="494"/>
      <c r="N20" s="494">
        <f t="shared" si="9"/>
        <v>42236.046999999999</v>
      </c>
      <c r="O20" s="494">
        <v>1459.4359999999999</v>
      </c>
      <c r="P20" s="495">
        <f t="shared" si="10"/>
        <v>40776.610999999997</v>
      </c>
      <c r="Q20" s="494">
        <v>40776.610999999997</v>
      </c>
      <c r="R20" s="494"/>
      <c r="S20" s="494"/>
      <c r="T20" s="494"/>
      <c r="U20" s="494">
        <f t="shared" si="7"/>
        <v>0</v>
      </c>
      <c r="V20" s="494"/>
      <c r="W20" s="494"/>
      <c r="X20" s="494">
        <f t="shared" si="8"/>
        <v>0</v>
      </c>
      <c r="Y20" s="494"/>
      <c r="Z20" s="494"/>
      <c r="AA20" s="494"/>
      <c r="AB20" s="496">
        <f t="shared" si="2"/>
        <v>83.553745499465876</v>
      </c>
      <c r="AC20" s="496">
        <f t="shared" si="2"/>
        <v>12.161966666666666</v>
      </c>
      <c r="AD20" s="496">
        <f t="shared" si="11"/>
        <v>105.77712352931003</v>
      </c>
      <c r="AE20" s="496"/>
    </row>
    <row r="21" spans="1:31" s="447" customFormat="1" ht="24.75" customHeight="1">
      <c r="A21" s="445" t="s">
        <v>326</v>
      </c>
      <c r="B21" s="449" t="s">
        <v>952</v>
      </c>
      <c r="C21" s="494">
        <f t="shared" si="5"/>
        <v>195690</v>
      </c>
      <c r="D21" s="494"/>
      <c r="E21" s="494">
        <v>194762</v>
      </c>
      <c r="F21" s="494">
        <v>189954</v>
      </c>
      <c r="G21" s="494">
        <v>4808</v>
      </c>
      <c r="H21" s="494"/>
      <c r="I21" s="494"/>
      <c r="J21" s="494"/>
      <c r="K21" s="494">
        <f t="shared" si="6"/>
        <v>928</v>
      </c>
      <c r="L21" s="494"/>
      <c r="M21" s="494">
        <v>928</v>
      </c>
      <c r="N21" s="494">
        <f t="shared" si="9"/>
        <v>72035.076000000001</v>
      </c>
      <c r="O21" s="494">
        <v>2784</v>
      </c>
      <c r="P21" s="495">
        <f t="shared" si="10"/>
        <v>68757.076000000001</v>
      </c>
      <c r="Q21" s="494">
        <f>69222.676-W21</f>
        <v>68728.676000000007</v>
      </c>
      <c r="R21" s="494">
        <v>28.4</v>
      </c>
      <c r="S21" s="494"/>
      <c r="T21" s="494"/>
      <c r="U21" s="494">
        <f t="shared" si="7"/>
        <v>494</v>
      </c>
      <c r="V21" s="494"/>
      <c r="W21" s="494">
        <v>494</v>
      </c>
      <c r="X21" s="494">
        <f t="shared" si="8"/>
        <v>0</v>
      </c>
      <c r="Y21" s="494"/>
      <c r="Z21" s="494"/>
      <c r="AA21" s="494"/>
      <c r="AB21" s="496">
        <f t="shared" si="2"/>
        <v>36.810810976544531</v>
      </c>
      <c r="AC21" s="496"/>
      <c r="AD21" s="496">
        <f t="shared" si="11"/>
        <v>35.303126893336483</v>
      </c>
      <c r="AE21" s="496">
        <f t="shared" ref="AE21:AE56" si="12">U21/K21%</f>
        <v>53.232758620689658</v>
      </c>
    </row>
    <row r="22" spans="1:31" s="447" customFormat="1" ht="24.75" customHeight="1">
      <c r="A22" s="448" t="s">
        <v>327</v>
      </c>
      <c r="B22" s="449" t="s">
        <v>953</v>
      </c>
      <c r="C22" s="494">
        <f t="shared" si="5"/>
        <v>7616</v>
      </c>
      <c r="D22" s="494"/>
      <c r="E22" s="494">
        <v>7616</v>
      </c>
      <c r="F22" s="494">
        <v>7576</v>
      </c>
      <c r="G22" s="494">
        <v>40</v>
      </c>
      <c r="H22" s="494"/>
      <c r="I22" s="494"/>
      <c r="J22" s="494"/>
      <c r="K22" s="494">
        <f t="shared" si="6"/>
        <v>0</v>
      </c>
      <c r="L22" s="494"/>
      <c r="M22" s="494"/>
      <c r="N22" s="494">
        <f t="shared" si="9"/>
        <v>7828.3419999999996</v>
      </c>
      <c r="O22" s="494"/>
      <c r="P22" s="495">
        <f t="shared" si="10"/>
        <v>7828.3419999999996</v>
      </c>
      <c r="Q22" s="494">
        <v>7828.3419999999996</v>
      </c>
      <c r="R22" s="494"/>
      <c r="S22" s="494"/>
      <c r="T22" s="494"/>
      <c r="U22" s="494">
        <f t="shared" si="7"/>
        <v>0</v>
      </c>
      <c r="V22" s="494"/>
      <c r="W22" s="494"/>
      <c r="X22" s="494">
        <f t="shared" si="8"/>
        <v>0</v>
      </c>
      <c r="Y22" s="494"/>
      <c r="Z22" s="494"/>
      <c r="AA22" s="494"/>
      <c r="AB22" s="496">
        <f t="shared" si="2"/>
        <v>102.78810399159664</v>
      </c>
      <c r="AC22" s="496"/>
      <c r="AD22" s="496">
        <f t="shared" si="11"/>
        <v>102.78810399159664</v>
      </c>
      <c r="AE22" s="496"/>
    </row>
    <row r="23" spans="1:31" s="447" customFormat="1" ht="34.5" customHeight="1">
      <c r="A23" s="445" t="s">
        <v>954</v>
      </c>
      <c r="B23" s="449" t="s">
        <v>955</v>
      </c>
      <c r="C23" s="494">
        <f t="shared" si="5"/>
        <v>63638</v>
      </c>
      <c r="D23" s="494">
        <v>370</v>
      </c>
      <c r="E23" s="494">
        <v>63268</v>
      </c>
      <c r="F23" s="494">
        <v>63268</v>
      </c>
      <c r="G23" s="494"/>
      <c r="H23" s="494"/>
      <c r="I23" s="494"/>
      <c r="J23" s="494"/>
      <c r="K23" s="494">
        <f t="shared" si="6"/>
        <v>0</v>
      </c>
      <c r="L23" s="494"/>
      <c r="M23" s="494"/>
      <c r="N23" s="494">
        <f t="shared" si="9"/>
        <v>74696.228700000007</v>
      </c>
      <c r="O23" s="494">
        <v>910</v>
      </c>
      <c r="P23" s="495">
        <f t="shared" si="10"/>
        <v>73786.228700000007</v>
      </c>
      <c r="Q23" s="494">
        <v>8815.2286999999997</v>
      </c>
      <c r="R23" s="494">
        <v>64971</v>
      </c>
      <c r="S23" s="494"/>
      <c r="T23" s="494"/>
      <c r="U23" s="494">
        <f t="shared" si="7"/>
        <v>0</v>
      </c>
      <c r="V23" s="494"/>
      <c r="W23" s="494"/>
      <c r="X23" s="494">
        <f t="shared" si="8"/>
        <v>0</v>
      </c>
      <c r="Y23" s="494"/>
      <c r="Z23" s="494"/>
      <c r="AA23" s="494"/>
      <c r="AB23" s="496">
        <f t="shared" si="2"/>
        <v>117.37676969735065</v>
      </c>
      <c r="AC23" s="496">
        <f t="shared" si="2"/>
        <v>245.94594594594594</v>
      </c>
      <c r="AD23" s="496">
        <f t="shared" si="11"/>
        <v>116.62487940190935</v>
      </c>
      <c r="AE23" s="496"/>
    </row>
    <row r="24" spans="1:31" s="447" customFormat="1" ht="24.75" customHeight="1">
      <c r="A24" s="448" t="s">
        <v>956</v>
      </c>
      <c r="B24" s="449" t="s">
        <v>957</v>
      </c>
      <c r="C24" s="494">
        <f t="shared" si="5"/>
        <v>20913</v>
      </c>
      <c r="D24" s="494">
        <v>2609</v>
      </c>
      <c r="E24" s="494">
        <v>18304</v>
      </c>
      <c r="F24" s="494">
        <v>18304</v>
      </c>
      <c r="G24" s="494"/>
      <c r="H24" s="494"/>
      <c r="I24" s="494"/>
      <c r="J24" s="494"/>
      <c r="K24" s="494">
        <f t="shared" si="6"/>
        <v>0</v>
      </c>
      <c r="L24" s="494"/>
      <c r="M24" s="494"/>
      <c r="N24" s="494">
        <f t="shared" si="9"/>
        <v>15213.908799999999</v>
      </c>
      <c r="O24" s="494">
        <v>2609.2739999999999</v>
      </c>
      <c r="P24" s="495">
        <f t="shared" si="10"/>
        <v>12604.6348</v>
      </c>
      <c r="Q24" s="494">
        <v>12104.6348</v>
      </c>
      <c r="R24" s="494">
        <v>500</v>
      </c>
      <c r="S24" s="494"/>
      <c r="T24" s="494"/>
      <c r="U24" s="494">
        <f t="shared" si="7"/>
        <v>0</v>
      </c>
      <c r="V24" s="494"/>
      <c r="W24" s="494"/>
      <c r="X24" s="494">
        <f t="shared" si="8"/>
        <v>0</v>
      </c>
      <c r="Y24" s="494"/>
      <c r="Z24" s="494"/>
      <c r="AA24" s="494"/>
      <c r="AB24" s="496">
        <f t="shared" si="2"/>
        <v>72.748571701812267</v>
      </c>
      <c r="AC24" s="496">
        <f t="shared" si="2"/>
        <v>100.01050210808738</v>
      </c>
      <c r="AD24" s="496">
        <f t="shared" si="11"/>
        <v>68.862733828671324</v>
      </c>
      <c r="AE24" s="496"/>
    </row>
    <row r="25" spans="1:31" s="447" customFormat="1" ht="24.75" customHeight="1">
      <c r="A25" s="445" t="s">
        <v>958</v>
      </c>
      <c r="B25" s="449" t="s">
        <v>959</v>
      </c>
      <c r="C25" s="494">
        <f t="shared" si="5"/>
        <v>10032</v>
      </c>
      <c r="D25" s="494"/>
      <c r="E25" s="494">
        <v>9732</v>
      </c>
      <c r="F25" s="494">
        <v>9606</v>
      </c>
      <c r="G25" s="494">
        <v>126</v>
      </c>
      <c r="H25" s="494"/>
      <c r="I25" s="494"/>
      <c r="J25" s="494"/>
      <c r="K25" s="494">
        <f t="shared" si="6"/>
        <v>300</v>
      </c>
      <c r="L25" s="494"/>
      <c r="M25" s="494">
        <v>300</v>
      </c>
      <c r="N25" s="494">
        <f t="shared" si="9"/>
        <v>9990.5</v>
      </c>
      <c r="O25" s="494"/>
      <c r="P25" s="495">
        <f t="shared" si="10"/>
        <v>9690.5</v>
      </c>
      <c r="Q25" s="494">
        <f>9990.5-W25</f>
        <v>9690.5</v>
      </c>
      <c r="R25" s="494"/>
      <c r="S25" s="494"/>
      <c r="T25" s="494"/>
      <c r="U25" s="494">
        <f t="shared" si="7"/>
        <v>300</v>
      </c>
      <c r="V25" s="494"/>
      <c r="W25" s="494">
        <v>300</v>
      </c>
      <c r="X25" s="494">
        <f t="shared" si="8"/>
        <v>0</v>
      </c>
      <c r="Y25" s="494"/>
      <c r="Z25" s="494"/>
      <c r="AA25" s="494"/>
      <c r="AB25" s="496">
        <f t="shared" si="2"/>
        <v>99.586323763955349</v>
      </c>
      <c r="AC25" s="496"/>
      <c r="AD25" s="496">
        <f t="shared" si="11"/>
        <v>99.57357172215373</v>
      </c>
      <c r="AE25" s="496">
        <f t="shared" si="12"/>
        <v>100</v>
      </c>
    </row>
    <row r="26" spans="1:31" s="447" customFormat="1" ht="24.75" customHeight="1">
      <c r="A26" s="448" t="s">
        <v>960</v>
      </c>
      <c r="B26" s="449" t="s">
        <v>593</v>
      </c>
      <c r="C26" s="494">
        <f t="shared" si="5"/>
        <v>9505</v>
      </c>
      <c r="D26" s="494"/>
      <c r="E26" s="494">
        <v>6371</v>
      </c>
      <c r="F26" s="494">
        <v>6041</v>
      </c>
      <c r="G26" s="494">
        <v>330</v>
      </c>
      <c r="H26" s="494"/>
      <c r="I26" s="494"/>
      <c r="J26" s="494"/>
      <c r="K26" s="494">
        <f t="shared" si="6"/>
        <v>3134</v>
      </c>
      <c r="L26" s="494"/>
      <c r="M26" s="494">
        <v>3134</v>
      </c>
      <c r="N26" s="494">
        <f t="shared" si="9"/>
        <v>8337</v>
      </c>
      <c r="O26" s="494"/>
      <c r="P26" s="495">
        <f t="shared" si="10"/>
        <v>5352</v>
      </c>
      <c r="Q26" s="494">
        <f>8337-W26</f>
        <v>5352</v>
      </c>
      <c r="R26" s="494"/>
      <c r="S26" s="494"/>
      <c r="T26" s="494"/>
      <c r="U26" s="494">
        <f t="shared" si="7"/>
        <v>2985</v>
      </c>
      <c r="V26" s="494"/>
      <c r="W26" s="494">
        <v>2985</v>
      </c>
      <c r="X26" s="494">
        <f t="shared" si="8"/>
        <v>0</v>
      </c>
      <c r="Y26" s="494"/>
      <c r="Z26" s="494"/>
      <c r="AA26" s="494"/>
      <c r="AB26" s="496">
        <f t="shared" ref="AB26:AC35" si="13">N26/C26%</f>
        <v>87.711730668069436</v>
      </c>
      <c r="AC26" s="496"/>
      <c r="AD26" s="496">
        <f t="shared" si="11"/>
        <v>84.00565060430074</v>
      </c>
      <c r="AE26" s="496">
        <f t="shared" si="12"/>
        <v>95.245692405871097</v>
      </c>
    </row>
    <row r="27" spans="1:31" s="447" customFormat="1" ht="24.75" customHeight="1">
      <c r="A27" s="445" t="s">
        <v>961</v>
      </c>
      <c r="B27" s="449" t="s">
        <v>962</v>
      </c>
      <c r="C27" s="494">
        <f t="shared" si="5"/>
        <v>73054</v>
      </c>
      <c r="D27" s="494">
        <v>59078</v>
      </c>
      <c r="E27" s="494">
        <v>13976</v>
      </c>
      <c r="F27" s="494">
        <v>13976</v>
      </c>
      <c r="G27" s="494"/>
      <c r="H27" s="494"/>
      <c r="I27" s="494"/>
      <c r="J27" s="494"/>
      <c r="K27" s="494">
        <f t="shared" si="6"/>
        <v>0</v>
      </c>
      <c r="L27" s="494"/>
      <c r="M27" s="494"/>
      <c r="N27" s="494">
        <f t="shared" si="9"/>
        <v>87673.729825000002</v>
      </c>
      <c r="O27" s="494">
        <v>68554</v>
      </c>
      <c r="P27" s="495">
        <f t="shared" si="10"/>
        <v>19119.729824999999</v>
      </c>
      <c r="Q27" s="494">
        <v>19119.729824999999</v>
      </c>
      <c r="R27" s="494"/>
      <c r="S27" s="494"/>
      <c r="T27" s="494"/>
      <c r="U27" s="494">
        <f t="shared" si="7"/>
        <v>0</v>
      </c>
      <c r="V27" s="494"/>
      <c r="W27" s="494"/>
      <c r="X27" s="494">
        <f t="shared" si="8"/>
        <v>0</v>
      </c>
      <c r="Y27" s="494"/>
      <c r="Z27" s="494"/>
      <c r="AA27" s="494"/>
      <c r="AB27" s="496">
        <f t="shared" si="13"/>
        <v>120.01222359487504</v>
      </c>
      <c r="AC27" s="496">
        <f t="shared" si="13"/>
        <v>116.03981177426454</v>
      </c>
      <c r="AD27" s="496">
        <f t="shared" si="11"/>
        <v>136.80401992701775</v>
      </c>
      <c r="AE27" s="496"/>
    </row>
    <row r="28" spans="1:31" s="447" customFormat="1" ht="24.75" customHeight="1">
      <c r="A28" s="448" t="s">
        <v>963</v>
      </c>
      <c r="B28" s="449" t="s">
        <v>316</v>
      </c>
      <c r="C28" s="494">
        <f t="shared" si="5"/>
        <v>16972</v>
      </c>
      <c r="D28" s="494"/>
      <c r="E28" s="494">
        <v>16972</v>
      </c>
      <c r="F28" s="494">
        <v>12784</v>
      </c>
      <c r="G28" s="494">
        <v>4188</v>
      </c>
      <c r="H28" s="494"/>
      <c r="I28" s="494"/>
      <c r="J28" s="494"/>
      <c r="K28" s="494">
        <f t="shared" si="6"/>
        <v>0</v>
      </c>
      <c r="L28" s="494"/>
      <c r="M28" s="494"/>
      <c r="N28" s="494">
        <f t="shared" si="9"/>
        <v>21283.163666</v>
      </c>
      <c r="O28" s="494"/>
      <c r="P28" s="495">
        <f t="shared" si="10"/>
        <v>21283.163666</v>
      </c>
      <c r="Q28" s="495">
        <v>21283.163666</v>
      </c>
      <c r="R28" s="494"/>
      <c r="S28" s="494"/>
      <c r="T28" s="494"/>
      <c r="U28" s="494">
        <f t="shared" si="7"/>
        <v>0</v>
      </c>
      <c r="V28" s="494"/>
      <c r="W28" s="494"/>
      <c r="X28" s="494">
        <f t="shared" si="8"/>
        <v>0</v>
      </c>
      <c r="Y28" s="494"/>
      <c r="Z28" s="494"/>
      <c r="AA28" s="494"/>
      <c r="AB28" s="496">
        <f t="shared" si="13"/>
        <v>125.40162423992459</v>
      </c>
      <c r="AC28" s="496"/>
      <c r="AD28" s="496">
        <f t="shared" si="11"/>
        <v>125.40162423992459</v>
      </c>
      <c r="AE28" s="496"/>
    </row>
    <row r="29" spans="1:31" s="447" customFormat="1" ht="24.75" customHeight="1">
      <c r="A29" s="445" t="s">
        <v>964</v>
      </c>
      <c r="B29" s="449" t="s">
        <v>965</v>
      </c>
      <c r="C29" s="494">
        <f t="shared" si="5"/>
        <v>25618</v>
      </c>
      <c r="D29" s="494">
        <v>10000</v>
      </c>
      <c r="E29" s="494">
        <v>15618</v>
      </c>
      <c r="F29" s="494">
        <v>15568</v>
      </c>
      <c r="G29" s="494">
        <v>50</v>
      </c>
      <c r="H29" s="494"/>
      <c r="I29" s="494"/>
      <c r="J29" s="494"/>
      <c r="K29" s="494">
        <f t="shared" si="6"/>
        <v>0</v>
      </c>
      <c r="L29" s="494"/>
      <c r="M29" s="494"/>
      <c r="N29" s="494">
        <f t="shared" si="9"/>
        <v>32962.453131999995</v>
      </c>
      <c r="O29" s="494">
        <v>17219.203131999999</v>
      </c>
      <c r="P29" s="495">
        <f t="shared" si="10"/>
        <v>15743.25</v>
      </c>
      <c r="Q29" s="494">
        <v>15743.25</v>
      </c>
      <c r="R29" s="494"/>
      <c r="S29" s="494"/>
      <c r="T29" s="494"/>
      <c r="U29" s="494">
        <f t="shared" si="7"/>
        <v>0</v>
      </c>
      <c r="V29" s="494"/>
      <c r="W29" s="494"/>
      <c r="X29" s="494">
        <f t="shared" si="8"/>
        <v>0</v>
      </c>
      <c r="Y29" s="494"/>
      <c r="Z29" s="494"/>
      <c r="AA29" s="494"/>
      <c r="AB29" s="496">
        <f t="shared" si="13"/>
        <v>128.66911207744553</v>
      </c>
      <c r="AC29" s="496">
        <f t="shared" si="13"/>
        <v>172.19203131999998</v>
      </c>
      <c r="AD29" s="496">
        <f t="shared" si="11"/>
        <v>100.80195927775642</v>
      </c>
      <c r="AE29" s="496"/>
    </row>
    <row r="30" spans="1:31" s="447" customFormat="1" ht="24.75" customHeight="1">
      <c r="A30" s="448" t="s">
        <v>966</v>
      </c>
      <c r="B30" s="449" t="s">
        <v>498</v>
      </c>
      <c r="C30" s="494">
        <f t="shared" si="5"/>
        <v>12258.4</v>
      </c>
      <c r="D30" s="494"/>
      <c r="E30" s="494">
        <v>9559.4</v>
      </c>
      <c r="F30" s="494">
        <v>6301.4</v>
      </c>
      <c r="G30" s="494">
        <v>3258</v>
      </c>
      <c r="H30" s="494"/>
      <c r="I30" s="494"/>
      <c r="J30" s="494"/>
      <c r="K30" s="494">
        <f t="shared" si="6"/>
        <v>2699</v>
      </c>
      <c r="L30" s="494"/>
      <c r="M30" s="494">
        <v>2699</v>
      </c>
      <c r="N30" s="494">
        <f t="shared" si="9"/>
        <v>19991.63</v>
      </c>
      <c r="O30" s="494">
        <v>860</v>
      </c>
      <c r="P30" s="495">
        <f t="shared" si="10"/>
        <v>19131.63</v>
      </c>
      <c r="Q30" s="494">
        <v>19131.63</v>
      </c>
      <c r="R30" s="494"/>
      <c r="S30" s="494"/>
      <c r="T30" s="494"/>
      <c r="U30" s="494">
        <f t="shared" si="7"/>
        <v>0</v>
      </c>
      <c r="V30" s="494"/>
      <c r="W30" s="494"/>
      <c r="X30" s="494">
        <f t="shared" si="8"/>
        <v>0</v>
      </c>
      <c r="Y30" s="494"/>
      <c r="Z30" s="494"/>
      <c r="AA30" s="494"/>
      <c r="AB30" s="496">
        <f t="shared" si="13"/>
        <v>163.08514977484828</v>
      </c>
      <c r="AC30" s="496"/>
      <c r="AD30" s="496">
        <f t="shared" si="11"/>
        <v>200.13421344435847</v>
      </c>
      <c r="AE30" s="496">
        <f t="shared" si="12"/>
        <v>0</v>
      </c>
    </row>
    <row r="31" spans="1:31" s="447" customFormat="1" ht="24.75" customHeight="1">
      <c r="A31" s="445" t="s">
        <v>967</v>
      </c>
      <c r="B31" s="449" t="s">
        <v>968</v>
      </c>
      <c r="C31" s="494">
        <f t="shared" si="5"/>
        <v>7645</v>
      </c>
      <c r="D31" s="494"/>
      <c r="E31" s="494">
        <v>7645</v>
      </c>
      <c r="F31" s="494">
        <v>7645</v>
      </c>
      <c r="G31" s="494"/>
      <c r="H31" s="494"/>
      <c r="I31" s="494"/>
      <c r="J31" s="494"/>
      <c r="K31" s="494">
        <f t="shared" si="6"/>
        <v>0</v>
      </c>
      <c r="L31" s="494"/>
      <c r="M31" s="494"/>
      <c r="N31" s="494">
        <f t="shared" si="9"/>
        <v>40153.558774999998</v>
      </c>
      <c r="O31" s="494">
        <v>21799</v>
      </c>
      <c r="P31" s="495">
        <f t="shared" si="10"/>
        <v>18354.558775000001</v>
      </c>
      <c r="Q31" s="494">
        <v>18354.558775000001</v>
      </c>
      <c r="R31" s="494"/>
      <c r="S31" s="494"/>
      <c r="T31" s="494"/>
      <c r="U31" s="494">
        <f t="shared" si="7"/>
        <v>0</v>
      </c>
      <c r="V31" s="494"/>
      <c r="W31" s="494"/>
      <c r="X31" s="494">
        <f t="shared" si="8"/>
        <v>0</v>
      </c>
      <c r="Y31" s="494"/>
      <c r="Z31" s="494"/>
      <c r="AA31" s="494"/>
      <c r="AB31" s="496">
        <f t="shared" si="13"/>
        <v>525.22640647482012</v>
      </c>
      <c r="AC31" s="496"/>
      <c r="AD31" s="496">
        <f t="shared" si="11"/>
        <v>240.0857916939176</v>
      </c>
      <c r="AE31" s="496"/>
    </row>
    <row r="32" spans="1:31" s="447" customFormat="1" ht="24.75" customHeight="1">
      <c r="A32" s="448" t="s">
        <v>969</v>
      </c>
      <c r="B32" s="449" t="s">
        <v>970</v>
      </c>
      <c r="C32" s="494">
        <f t="shared" si="5"/>
        <v>6258</v>
      </c>
      <c r="D32" s="494"/>
      <c r="E32" s="494">
        <v>6258</v>
      </c>
      <c r="F32" s="494">
        <v>6258</v>
      </c>
      <c r="G32" s="494"/>
      <c r="H32" s="494"/>
      <c r="I32" s="494"/>
      <c r="J32" s="494"/>
      <c r="K32" s="494">
        <f t="shared" si="6"/>
        <v>0</v>
      </c>
      <c r="L32" s="494"/>
      <c r="M32" s="494"/>
      <c r="N32" s="494">
        <f t="shared" si="9"/>
        <v>6686.8714520000003</v>
      </c>
      <c r="O32" s="494"/>
      <c r="P32" s="495">
        <f t="shared" si="10"/>
        <v>6686.8714520000003</v>
      </c>
      <c r="Q32" s="494">
        <v>6686.8714520000003</v>
      </c>
      <c r="R32" s="494"/>
      <c r="S32" s="494"/>
      <c r="T32" s="494"/>
      <c r="U32" s="494">
        <f t="shared" si="7"/>
        <v>0</v>
      </c>
      <c r="V32" s="494"/>
      <c r="W32" s="494"/>
      <c r="X32" s="494">
        <f t="shared" si="8"/>
        <v>0</v>
      </c>
      <c r="Y32" s="494"/>
      <c r="Z32" s="494"/>
      <c r="AA32" s="494"/>
      <c r="AB32" s="496">
        <f t="shared" si="13"/>
        <v>106.8531711728987</v>
      </c>
      <c r="AC32" s="496"/>
      <c r="AD32" s="496">
        <f t="shared" si="11"/>
        <v>106.8531711728987</v>
      </c>
      <c r="AE32" s="496"/>
    </row>
    <row r="33" spans="1:31" s="447" customFormat="1" ht="24.75" customHeight="1">
      <c r="A33" s="445" t="s">
        <v>971</v>
      </c>
      <c r="B33" s="449" t="s">
        <v>972</v>
      </c>
      <c r="C33" s="494">
        <f t="shared" si="5"/>
        <v>12414</v>
      </c>
      <c r="D33" s="494"/>
      <c r="E33" s="494">
        <v>12414</v>
      </c>
      <c r="F33" s="494">
        <v>12414</v>
      </c>
      <c r="G33" s="494"/>
      <c r="H33" s="494"/>
      <c r="I33" s="494"/>
      <c r="J33" s="494"/>
      <c r="K33" s="494">
        <f t="shared" si="6"/>
        <v>0</v>
      </c>
      <c r="L33" s="494"/>
      <c r="M33" s="494"/>
      <c r="N33" s="494">
        <f t="shared" si="9"/>
        <v>11400.219959</v>
      </c>
      <c r="O33" s="494"/>
      <c r="P33" s="495">
        <f t="shared" si="10"/>
        <v>11400.219959</v>
      </c>
      <c r="Q33" s="494">
        <v>11400.219959</v>
      </c>
      <c r="R33" s="494"/>
      <c r="S33" s="494"/>
      <c r="T33" s="494"/>
      <c r="U33" s="494">
        <f t="shared" si="7"/>
        <v>0</v>
      </c>
      <c r="V33" s="494"/>
      <c r="W33" s="494"/>
      <c r="X33" s="494">
        <f t="shared" si="8"/>
        <v>0</v>
      </c>
      <c r="Y33" s="494"/>
      <c r="Z33" s="494"/>
      <c r="AA33" s="494"/>
      <c r="AB33" s="496">
        <f t="shared" si="13"/>
        <v>91.833574665700013</v>
      </c>
      <c r="AC33" s="496"/>
      <c r="AD33" s="496">
        <f t="shared" si="11"/>
        <v>91.833574665700013</v>
      </c>
      <c r="AE33" s="496"/>
    </row>
    <row r="34" spans="1:31" s="447" customFormat="1" ht="24.75" customHeight="1">
      <c r="A34" s="448" t="s">
        <v>973</v>
      </c>
      <c r="B34" s="449" t="s">
        <v>974</v>
      </c>
      <c r="C34" s="494">
        <f t="shared" si="5"/>
        <v>300</v>
      </c>
      <c r="D34" s="494"/>
      <c r="E34" s="494">
        <v>300</v>
      </c>
      <c r="F34" s="494">
        <v>300</v>
      </c>
      <c r="G34" s="494"/>
      <c r="H34" s="494"/>
      <c r="I34" s="494"/>
      <c r="J34" s="494"/>
      <c r="K34" s="494">
        <f t="shared" si="6"/>
        <v>0</v>
      </c>
      <c r="L34" s="494"/>
      <c r="M34" s="494"/>
      <c r="N34" s="494">
        <f t="shared" si="9"/>
        <v>270</v>
      </c>
      <c r="O34" s="494"/>
      <c r="P34" s="495">
        <f t="shared" si="10"/>
        <v>270</v>
      </c>
      <c r="Q34" s="494">
        <v>270</v>
      </c>
      <c r="R34" s="494"/>
      <c r="S34" s="494"/>
      <c r="T34" s="494"/>
      <c r="U34" s="494"/>
      <c r="V34" s="494"/>
      <c r="W34" s="494"/>
      <c r="X34" s="494">
        <f t="shared" si="8"/>
        <v>0</v>
      </c>
      <c r="Y34" s="494"/>
      <c r="Z34" s="494"/>
      <c r="AA34" s="494"/>
      <c r="AB34" s="496"/>
      <c r="AC34" s="496"/>
      <c r="AD34" s="496">
        <f t="shared" si="11"/>
        <v>90</v>
      </c>
      <c r="AE34" s="496"/>
    </row>
    <row r="35" spans="1:31" s="447" customFormat="1" ht="24.75" customHeight="1">
      <c r="A35" s="445" t="s">
        <v>975</v>
      </c>
      <c r="B35" s="449" t="s">
        <v>976</v>
      </c>
      <c r="C35" s="494">
        <f t="shared" si="5"/>
        <v>32696</v>
      </c>
      <c r="D35" s="494">
        <v>22332</v>
      </c>
      <c r="E35" s="494">
        <v>10364</v>
      </c>
      <c r="F35" s="494">
        <v>10364</v>
      </c>
      <c r="G35" s="494"/>
      <c r="H35" s="494"/>
      <c r="I35" s="494"/>
      <c r="J35" s="494"/>
      <c r="K35" s="494">
        <f t="shared" si="6"/>
        <v>0</v>
      </c>
      <c r="L35" s="494"/>
      <c r="M35" s="494"/>
      <c r="N35" s="494">
        <f t="shared" si="9"/>
        <v>23365.228241000001</v>
      </c>
      <c r="O35" s="494">
        <v>10943</v>
      </c>
      <c r="P35" s="495">
        <f t="shared" si="10"/>
        <v>12422.228241000001</v>
      </c>
      <c r="Q35" s="494">
        <v>12422.228241000001</v>
      </c>
      <c r="R35" s="494"/>
      <c r="S35" s="494"/>
      <c r="T35" s="494"/>
      <c r="U35" s="494"/>
      <c r="V35" s="494"/>
      <c r="W35" s="494"/>
      <c r="X35" s="494">
        <f t="shared" si="8"/>
        <v>0</v>
      </c>
      <c r="Y35" s="494"/>
      <c r="Z35" s="494"/>
      <c r="AA35" s="494"/>
      <c r="AB35" s="496">
        <f>N35/C35%</f>
        <v>71.462038906899934</v>
      </c>
      <c r="AC35" s="496">
        <f t="shared" si="13"/>
        <v>49.001432921368441</v>
      </c>
      <c r="AD35" s="496">
        <f t="shared" si="11"/>
        <v>119.85940024121962</v>
      </c>
      <c r="AE35" s="496"/>
    </row>
    <row r="36" spans="1:31" s="447" customFormat="1" ht="24.75" customHeight="1">
      <c r="A36" s="448" t="s">
        <v>977</v>
      </c>
      <c r="B36" s="449" t="s">
        <v>978</v>
      </c>
      <c r="C36" s="494">
        <f t="shared" si="5"/>
        <v>9428</v>
      </c>
      <c r="D36" s="494"/>
      <c r="E36" s="494">
        <v>9428</v>
      </c>
      <c r="F36" s="494">
        <v>9428</v>
      </c>
      <c r="G36" s="494"/>
      <c r="H36" s="494"/>
      <c r="I36" s="494"/>
      <c r="J36" s="494"/>
      <c r="K36" s="494">
        <f t="shared" si="6"/>
        <v>0</v>
      </c>
      <c r="L36" s="494"/>
      <c r="M36" s="494"/>
      <c r="N36" s="494">
        <f t="shared" si="9"/>
        <v>9532.3168000000005</v>
      </c>
      <c r="O36" s="494"/>
      <c r="P36" s="495">
        <f t="shared" si="10"/>
        <v>9532.3168000000005</v>
      </c>
      <c r="Q36" s="494">
        <v>9532.3168000000005</v>
      </c>
      <c r="R36" s="494"/>
      <c r="S36" s="494"/>
      <c r="T36" s="494"/>
      <c r="U36" s="494">
        <f>V36+W36</f>
        <v>0</v>
      </c>
      <c r="V36" s="494"/>
      <c r="W36" s="494"/>
      <c r="X36" s="494">
        <f t="shared" si="8"/>
        <v>0</v>
      </c>
      <c r="Y36" s="494"/>
      <c r="Z36" s="494"/>
      <c r="AA36" s="494"/>
      <c r="AB36" s="496"/>
      <c r="AC36" s="496"/>
      <c r="AD36" s="496">
        <f t="shared" si="11"/>
        <v>101.10645736105219</v>
      </c>
      <c r="AE36" s="496"/>
    </row>
    <row r="37" spans="1:31" s="447" customFormat="1" ht="24.75" customHeight="1">
      <c r="A37" s="445" t="s">
        <v>979</v>
      </c>
      <c r="B37" s="449" t="s">
        <v>980</v>
      </c>
      <c r="C37" s="494">
        <f t="shared" si="5"/>
        <v>19586</v>
      </c>
      <c r="D37" s="494"/>
      <c r="E37" s="494">
        <v>19586</v>
      </c>
      <c r="F37" s="494">
        <v>19586</v>
      </c>
      <c r="G37" s="494"/>
      <c r="H37" s="494"/>
      <c r="I37" s="494"/>
      <c r="J37" s="494"/>
      <c r="K37" s="494">
        <f t="shared" si="6"/>
        <v>0</v>
      </c>
      <c r="L37" s="494"/>
      <c r="M37" s="494"/>
      <c r="N37" s="494">
        <f t="shared" si="9"/>
        <v>23600.477058</v>
      </c>
      <c r="O37" s="494"/>
      <c r="P37" s="495">
        <f t="shared" si="10"/>
        <v>23600.477058</v>
      </c>
      <c r="Q37" s="494">
        <v>23600.477058</v>
      </c>
      <c r="R37" s="494"/>
      <c r="S37" s="494"/>
      <c r="T37" s="494"/>
      <c r="U37" s="494">
        <f>V37+W37</f>
        <v>0</v>
      </c>
      <c r="V37" s="494"/>
      <c r="W37" s="494"/>
      <c r="X37" s="494">
        <f t="shared" si="8"/>
        <v>0</v>
      </c>
      <c r="Y37" s="494"/>
      <c r="Z37" s="494"/>
      <c r="AA37" s="494"/>
      <c r="AB37" s="496">
        <f>N37/C37%</f>
        <v>120.49666628203818</v>
      </c>
      <c r="AC37" s="496"/>
      <c r="AD37" s="496">
        <f t="shared" si="11"/>
        <v>120.49666628203818</v>
      </c>
      <c r="AE37" s="496"/>
    </row>
    <row r="38" spans="1:31" s="447" customFormat="1" ht="24.75" customHeight="1">
      <c r="A38" s="448" t="s">
        <v>981</v>
      </c>
      <c r="B38" s="449" t="s">
        <v>982</v>
      </c>
      <c r="C38" s="494">
        <f t="shared" si="5"/>
        <v>3160</v>
      </c>
      <c r="D38" s="494"/>
      <c r="E38" s="494">
        <v>3160</v>
      </c>
      <c r="F38" s="494">
        <v>3160</v>
      </c>
      <c r="G38" s="494"/>
      <c r="H38" s="494"/>
      <c r="I38" s="494"/>
      <c r="J38" s="494"/>
      <c r="K38" s="494">
        <f t="shared" si="6"/>
        <v>0</v>
      </c>
      <c r="L38" s="494"/>
      <c r="M38" s="494"/>
      <c r="N38" s="494">
        <f t="shared" si="9"/>
        <v>2988.4180000000001</v>
      </c>
      <c r="O38" s="494"/>
      <c r="P38" s="495">
        <f t="shared" si="10"/>
        <v>2988.4180000000001</v>
      </c>
      <c r="Q38" s="494">
        <v>2988.4180000000001</v>
      </c>
      <c r="R38" s="494"/>
      <c r="S38" s="494"/>
      <c r="T38" s="494"/>
      <c r="U38" s="494">
        <f>V38+W38</f>
        <v>0</v>
      </c>
      <c r="V38" s="494"/>
      <c r="W38" s="494"/>
      <c r="X38" s="494">
        <f t="shared" si="8"/>
        <v>0</v>
      </c>
      <c r="Y38" s="494"/>
      <c r="Z38" s="494"/>
      <c r="AA38" s="494"/>
      <c r="AB38" s="496">
        <f>N38/C38%</f>
        <v>94.570189873417718</v>
      </c>
      <c r="AC38" s="496"/>
      <c r="AD38" s="496">
        <f t="shared" si="11"/>
        <v>94.570189873417718</v>
      </c>
      <c r="AE38" s="496"/>
    </row>
    <row r="39" spans="1:31" s="447" customFormat="1" ht="24.75" customHeight="1">
      <c r="A39" s="445" t="s">
        <v>983</v>
      </c>
      <c r="B39" s="449" t="s">
        <v>984</v>
      </c>
      <c r="C39" s="494">
        <f t="shared" si="5"/>
        <v>4220</v>
      </c>
      <c r="D39" s="494"/>
      <c r="E39" s="494">
        <v>3920</v>
      </c>
      <c r="F39" s="494">
        <v>3920</v>
      </c>
      <c r="G39" s="494"/>
      <c r="H39" s="494"/>
      <c r="I39" s="494"/>
      <c r="J39" s="494"/>
      <c r="K39" s="494">
        <f t="shared" si="6"/>
        <v>300</v>
      </c>
      <c r="L39" s="494"/>
      <c r="M39" s="494">
        <v>300</v>
      </c>
      <c r="N39" s="494">
        <f t="shared" si="9"/>
        <v>5303.5667999999996</v>
      </c>
      <c r="O39" s="494"/>
      <c r="P39" s="495">
        <f t="shared" si="10"/>
        <v>5004.5667999999996</v>
      </c>
      <c r="Q39" s="494">
        <f>4303.5668-W39</f>
        <v>4004.5667999999996</v>
      </c>
      <c r="R39" s="494">
        <v>1000</v>
      </c>
      <c r="S39" s="494"/>
      <c r="T39" s="494"/>
      <c r="U39" s="494">
        <f t="shared" ref="U39:U100" si="14">V39+W39</f>
        <v>299</v>
      </c>
      <c r="V39" s="494"/>
      <c r="W39" s="494">
        <v>299</v>
      </c>
      <c r="X39" s="494">
        <f t="shared" si="8"/>
        <v>0</v>
      </c>
      <c r="Y39" s="494"/>
      <c r="Z39" s="494"/>
      <c r="AA39" s="494"/>
      <c r="AB39" s="496"/>
      <c r="AC39" s="496"/>
      <c r="AD39" s="496">
        <f t="shared" si="11"/>
        <v>127.66752040816324</v>
      </c>
      <c r="AE39" s="496">
        <f t="shared" si="12"/>
        <v>99.666666666666671</v>
      </c>
    </row>
    <row r="40" spans="1:31" s="447" customFormat="1" ht="24.75" customHeight="1">
      <c r="A40" s="448" t="s">
        <v>985</v>
      </c>
      <c r="B40" s="449" t="s">
        <v>986</v>
      </c>
      <c r="C40" s="494">
        <f t="shared" si="5"/>
        <v>8155</v>
      </c>
      <c r="D40" s="494"/>
      <c r="E40" s="494">
        <v>7955</v>
      </c>
      <c r="F40" s="494">
        <v>7865</v>
      </c>
      <c r="G40" s="494">
        <v>90</v>
      </c>
      <c r="H40" s="494"/>
      <c r="I40" s="494"/>
      <c r="J40" s="494"/>
      <c r="K40" s="494">
        <f t="shared" si="6"/>
        <v>200</v>
      </c>
      <c r="L40" s="494"/>
      <c r="M40" s="494">
        <v>200</v>
      </c>
      <c r="N40" s="494">
        <f t="shared" si="9"/>
        <v>8349.2469999999994</v>
      </c>
      <c r="O40" s="494"/>
      <c r="P40" s="495">
        <f t="shared" si="10"/>
        <v>8149.2469999999994</v>
      </c>
      <c r="Q40" s="494">
        <f>8349.247-U40</f>
        <v>8149.2469999999994</v>
      </c>
      <c r="R40" s="494"/>
      <c r="S40" s="494"/>
      <c r="T40" s="494"/>
      <c r="U40" s="494">
        <f t="shared" si="14"/>
        <v>200</v>
      </c>
      <c r="V40" s="494"/>
      <c r="W40" s="494">
        <v>200</v>
      </c>
      <c r="X40" s="494">
        <f t="shared" si="8"/>
        <v>0</v>
      </c>
      <c r="Y40" s="494"/>
      <c r="Z40" s="494"/>
      <c r="AA40" s="494"/>
      <c r="AB40" s="496">
        <f>N40/C40%</f>
        <v>102.38193746167995</v>
      </c>
      <c r="AC40" s="496"/>
      <c r="AD40" s="496">
        <f t="shared" si="11"/>
        <v>102.44182275298554</v>
      </c>
      <c r="AE40" s="496">
        <f t="shared" si="12"/>
        <v>100</v>
      </c>
    </row>
    <row r="41" spans="1:31" s="447" customFormat="1" ht="24.75" customHeight="1">
      <c r="A41" s="445" t="s">
        <v>987</v>
      </c>
      <c r="B41" s="449" t="s">
        <v>988</v>
      </c>
      <c r="C41" s="494">
        <f t="shared" si="5"/>
        <v>5674</v>
      </c>
      <c r="D41" s="494"/>
      <c r="E41" s="494">
        <v>5374</v>
      </c>
      <c r="F41" s="494">
        <v>5374</v>
      </c>
      <c r="G41" s="494"/>
      <c r="H41" s="494"/>
      <c r="I41" s="494"/>
      <c r="J41" s="494"/>
      <c r="K41" s="494">
        <f t="shared" si="6"/>
        <v>300</v>
      </c>
      <c r="L41" s="494"/>
      <c r="M41" s="494">
        <v>300</v>
      </c>
      <c r="N41" s="494">
        <f t="shared" si="9"/>
        <v>5881</v>
      </c>
      <c r="O41" s="494"/>
      <c r="P41" s="495">
        <f t="shared" si="10"/>
        <v>5581</v>
      </c>
      <c r="Q41" s="494">
        <f>5881-W41</f>
        <v>5581</v>
      </c>
      <c r="R41" s="494"/>
      <c r="S41" s="494"/>
      <c r="T41" s="494"/>
      <c r="U41" s="494">
        <f t="shared" si="14"/>
        <v>300</v>
      </c>
      <c r="V41" s="494"/>
      <c r="W41" s="494">
        <v>300</v>
      </c>
      <c r="X41" s="494">
        <f t="shared" si="8"/>
        <v>0</v>
      </c>
      <c r="Y41" s="494"/>
      <c r="Z41" s="494"/>
      <c r="AA41" s="494"/>
      <c r="AB41" s="496">
        <f>N41/C41%</f>
        <v>103.64821995065209</v>
      </c>
      <c r="AC41" s="496"/>
      <c r="AD41" s="496">
        <f t="shared" si="11"/>
        <v>103.85187941942687</v>
      </c>
      <c r="AE41" s="496">
        <f t="shared" si="12"/>
        <v>100</v>
      </c>
    </row>
    <row r="42" spans="1:31" s="447" customFormat="1" ht="24.75" customHeight="1">
      <c r="A42" s="448" t="s">
        <v>989</v>
      </c>
      <c r="B42" s="449" t="s">
        <v>745</v>
      </c>
      <c r="C42" s="494">
        <f t="shared" si="5"/>
        <v>20189</v>
      </c>
      <c r="D42" s="494"/>
      <c r="E42" s="494">
        <v>20189</v>
      </c>
      <c r="F42" s="494">
        <v>12157</v>
      </c>
      <c r="G42" s="494">
        <v>8032</v>
      </c>
      <c r="H42" s="494"/>
      <c r="I42" s="494"/>
      <c r="J42" s="494"/>
      <c r="K42" s="494">
        <f t="shared" si="6"/>
        <v>0</v>
      </c>
      <c r="L42" s="494"/>
      <c r="M42" s="494"/>
      <c r="N42" s="494">
        <f t="shared" si="9"/>
        <v>27938</v>
      </c>
      <c r="O42" s="494"/>
      <c r="P42" s="495">
        <f t="shared" si="10"/>
        <v>27938</v>
      </c>
      <c r="Q42" s="494">
        <v>27938</v>
      </c>
      <c r="R42" s="494"/>
      <c r="S42" s="494"/>
      <c r="T42" s="494"/>
      <c r="U42" s="494">
        <f t="shared" si="14"/>
        <v>0</v>
      </c>
      <c r="V42" s="494"/>
      <c r="W42" s="494"/>
      <c r="X42" s="494">
        <f t="shared" si="8"/>
        <v>0</v>
      </c>
      <c r="Y42" s="494"/>
      <c r="Z42" s="494"/>
      <c r="AA42" s="494"/>
      <c r="AB42" s="496">
        <f>N42/C42%</f>
        <v>138.38228738421913</v>
      </c>
      <c r="AC42" s="496"/>
      <c r="AD42" s="496">
        <f t="shared" si="11"/>
        <v>138.38228738421913</v>
      </c>
      <c r="AE42" s="496"/>
    </row>
    <row r="43" spans="1:31" s="447" customFormat="1" ht="24.75" customHeight="1">
      <c r="A43" s="445" t="s">
        <v>990</v>
      </c>
      <c r="B43" s="449" t="s">
        <v>317</v>
      </c>
      <c r="C43" s="494">
        <f t="shared" si="5"/>
        <v>57579</v>
      </c>
      <c r="D43" s="494">
        <v>29274</v>
      </c>
      <c r="E43" s="494">
        <v>28305</v>
      </c>
      <c r="F43" s="494">
        <v>27269</v>
      </c>
      <c r="G43" s="494">
        <v>1036</v>
      </c>
      <c r="H43" s="494"/>
      <c r="I43" s="494"/>
      <c r="J43" s="494"/>
      <c r="K43" s="494">
        <f t="shared" si="6"/>
        <v>0</v>
      </c>
      <c r="L43" s="494"/>
      <c r="M43" s="494"/>
      <c r="N43" s="494">
        <f t="shared" si="9"/>
        <v>82599.038</v>
      </c>
      <c r="O43" s="494">
        <v>28683</v>
      </c>
      <c r="P43" s="495">
        <f t="shared" si="10"/>
        <v>53916.038</v>
      </c>
      <c r="Q43" s="494">
        <v>53916.038</v>
      </c>
      <c r="R43" s="494"/>
      <c r="S43" s="494"/>
      <c r="T43" s="494"/>
      <c r="U43" s="494">
        <f t="shared" si="14"/>
        <v>0</v>
      </c>
      <c r="V43" s="494"/>
      <c r="W43" s="494"/>
      <c r="X43" s="494">
        <f t="shared" si="8"/>
        <v>0</v>
      </c>
      <c r="Y43" s="494"/>
      <c r="Z43" s="494"/>
      <c r="AA43" s="494"/>
      <c r="AB43" s="496">
        <f>N43/C43%</f>
        <v>143.45340836068706</v>
      </c>
      <c r="AC43" s="496">
        <f t="shared" ref="AC43:AC106" si="15">O43/D43%</f>
        <v>97.981143676982981</v>
      </c>
      <c r="AD43" s="496">
        <f t="shared" si="11"/>
        <v>190.48238120473414</v>
      </c>
      <c r="AE43" s="496"/>
    </row>
    <row r="44" spans="1:31" s="447" customFormat="1" ht="24.75" customHeight="1">
      <c r="A44" s="448" t="s">
        <v>991</v>
      </c>
      <c r="B44" s="449" t="s">
        <v>992</v>
      </c>
      <c r="C44" s="494">
        <f t="shared" si="5"/>
        <v>11619</v>
      </c>
      <c r="D44" s="494"/>
      <c r="E44" s="494">
        <v>11619</v>
      </c>
      <c r="F44" s="494">
        <v>11619</v>
      </c>
      <c r="G44" s="494"/>
      <c r="H44" s="494"/>
      <c r="I44" s="494"/>
      <c r="J44" s="494"/>
      <c r="K44" s="494">
        <f t="shared" si="6"/>
        <v>0</v>
      </c>
      <c r="L44" s="494"/>
      <c r="M44" s="494"/>
      <c r="N44" s="494">
        <f t="shared" si="9"/>
        <v>48049</v>
      </c>
      <c r="O44" s="494">
        <v>48049</v>
      </c>
      <c r="P44" s="495">
        <f t="shared" si="10"/>
        <v>0</v>
      </c>
      <c r="Q44" s="494"/>
      <c r="R44" s="494"/>
      <c r="S44" s="494"/>
      <c r="T44" s="494"/>
      <c r="U44" s="494">
        <f t="shared" si="14"/>
        <v>0</v>
      </c>
      <c r="V44" s="494"/>
      <c r="W44" s="494"/>
      <c r="X44" s="494">
        <f t="shared" si="8"/>
        <v>0</v>
      </c>
      <c r="Y44" s="494"/>
      <c r="Z44" s="494"/>
      <c r="AA44" s="494"/>
      <c r="AB44" s="496"/>
      <c r="AC44" s="496"/>
      <c r="AD44" s="496">
        <f t="shared" si="11"/>
        <v>0</v>
      </c>
      <c r="AE44" s="496"/>
    </row>
    <row r="45" spans="1:31" s="447" customFormat="1" ht="24.75" customHeight="1">
      <c r="A45" s="445" t="s">
        <v>993</v>
      </c>
      <c r="B45" s="449" t="s">
        <v>994</v>
      </c>
      <c r="C45" s="494">
        <f t="shared" si="5"/>
        <v>688</v>
      </c>
      <c r="D45" s="494"/>
      <c r="E45" s="494">
        <v>688</v>
      </c>
      <c r="F45" s="494">
        <v>688</v>
      </c>
      <c r="G45" s="494"/>
      <c r="H45" s="494"/>
      <c r="I45" s="494"/>
      <c r="J45" s="494"/>
      <c r="K45" s="494">
        <f t="shared" si="6"/>
        <v>0</v>
      </c>
      <c r="L45" s="494"/>
      <c r="M45" s="494"/>
      <c r="N45" s="494">
        <f t="shared" si="9"/>
        <v>723</v>
      </c>
      <c r="O45" s="494"/>
      <c r="P45" s="495">
        <f t="shared" si="10"/>
        <v>723</v>
      </c>
      <c r="Q45" s="494">
        <v>723</v>
      </c>
      <c r="R45" s="494"/>
      <c r="S45" s="494"/>
      <c r="T45" s="494"/>
      <c r="U45" s="494">
        <f t="shared" si="14"/>
        <v>0</v>
      </c>
      <c r="V45" s="494"/>
      <c r="W45" s="494"/>
      <c r="X45" s="494">
        <f t="shared" si="8"/>
        <v>0</v>
      </c>
      <c r="Y45" s="494"/>
      <c r="Z45" s="494"/>
      <c r="AA45" s="494"/>
      <c r="AB45" s="496"/>
      <c r="AC45" s="496"/>
      <c r="AD45" s="496">
        <f t="shared" si="11"/>
        <v>105.08720930232559</v>
      </c>
      <c r="AE45" s="496"/>
    </row>
    <row r="46" spans="1:31" s="447" customFormat="1" ht="33.75" customHeight="1">
      <c r="A46" s="448" t="s">
        <v>995</v>
      </c>
      <c r="B46" s="449" t="s">
        <v>996</v>
      </c>
      <c r="C46" s="494">
        <f t="shared" si="5"/>
        <v>405</v>
      </c>
      <c r="D46" s="494"/>
      <c r="E46" s="494">
        <v>405</v>
      </c>
      <c r="F46" s="494">
        <v>405</v>
      </c>
      <c r="G46" s="494"/>
      <c r="H46" s="494"/>
      <c r="I46" s="494"/>
      <c r="J46" s="494"/>
      <c r="K46" s="494">
        <f t="shared" si="6"/>
        <v>0</v>
      </c>
      <c r="L46" s="494"/>
      <c r="M46" s="494"/>
      <c r="N46" s="494">
        <f t="shared" si="9"/>
        <v>414</v>
      </c>
      <c r="O46" s="494"/>
      <c r="P46" s="495">
        <f t="shared" si="10"/>
        <v>414</v>
      </c>
      <c r="Q46" s="494">
        <v>414</v>
      </c>
      <c r="R46" s="494"/>
      <c r="S46" s="494"/>
      <c r="T46" s="494"/>
      <c r="U46" s="494">
        <f t="shared" si="14"/>
        <v>0</v>
      </c>
      <c r="V46" s="494"/>
      <c r="W46" s="494"/>
      <c r="X46" s="494">
        <f t="shared" si="8"/>
        <v>0</v>
      </c>
      <c r="Y46" s="494"/>
      <c r="Z46" s="494"/>
      <c r="AA46" s="494"/>
      <c r="AB46" s="496">
        <f t="shared" ref="AB46:AB51" si="16">N46/C46%</f>
        <v>102.22222222222223</v>
      </c>
      <c r="AC46" s="496"/>
      <c r="AD46" s="496">
        <f t="shared" si="11"/>
        <v>102.22222222222223</v>
      </c>
      <c r="AE46" s="496"/>
    </row>
    <row r="47" spans="1:31" s="447" customFormat="1" ht="24.75" customHeight="1">
      <c r="A47" s="445" t="s">
        <v>997</v>
      </c>
      <c r="B47" s="449" t="s">
        <v>998</v>
      </c>
      <c r="C47" s="494">
        <f t="shared" si="5"/>
        <v>419</v>
      </c>
      <c r="D47" s="494"/>
      <c r="E47" s="494">
        <v>419</v>
      </c>
      <c r="F47" s="494">
        <v>419</v>
      </c>
      <c r="G47" s="494"/>
      <c r="H47" s="494"/>
      <c r="I47" s="494"/>
      <c r="J47" s="494"/>
      <c r="K47" s="494">
        <f t="shared" si="6"/>
        <v>0</v>
      </c>
      <c r="L47" s="494"/>
      <c r="M47" s="494"/>
      <c r="N47" s="494">
        <f t="shared" si="9"/>
        <v>428</v>
      </c>
      <c r="O47" s="494"/>
      <c r="P47" s="495">
        <f t="shared" si="10"/>
        <v>428</v>
      </c>
      <c r="Q47" s="494">
        <v>428</v>
      </c>
      <c r="R47" s="494"/>
      <c r="S47" s="494"/>
      <c r="T47" s="494"/>
      <c r="U47" s="494">
        <f t="shared" si="14"/>
        <v>0</v>
      </c>
      <c r="V47" s="494"/>
      <c r="W47" s="494"/>
      <c r="X47" s="494">
        <f t="shared" si="8"/>
        <v>0</v>
      </c>
      <c r="Y47" s="494"/>
      <c r="Z47" s="494"/>
      <c r="AA47" s="494"/>
      <c r="AB47" s="496">
        <f t="shared" si="16"/>
        <v>102.14797136038185</v>
      </c>
      <c r="AC47" s="496"/>
      <c r="AD47" s="496">
        <f t="shared" si="11"/>
        <v>102.14797136038185</v>
      </c>
      <c r="AE47" s="496"/>
    </row>
    <row r="48" spans="1:31" s="447" customFormat="1" ht="24.75" customHeight="1">
      <c r="A48" s="448" t="s">
        <v>999</v>
      </c>
      <c r="B48" s="449" t="s">
        <v>1000</v>
      </c>
      <c r="C48" s="494">
        <f t="shared" si="5"/>
        <v>264</v>
      </c>
      <c r="D48" s="494"/>
      <c r="E48" s="494">
        <v>264</v>
      </c>
      <c r="F48" s="494">
        <v>264</v>
      </c>
      <c r="G48" s="494"/>
      <c r="H48" s="494"/>
      <c r="I48" s="494"/>
      <c r="J48" s="494"/>
      <c r="K48" s="494">
        <f t="shared" si="6"/>
        <v>0</v>
      </c>
      <c r="L48" s="494"/>
      <c r="M48" s="494"/>
      <c r="N48" s="494">
        <f t="shared" si="9"/>
        <v>273</v>
      </c>
      <c r="O48" s="494"/>
      <c r="P48" s="495">
        <f t="shared" si="10"/>
        <v>273</v>
      </c>
      <c r="Q48" s="494">
        <v>273</v>
      </c>
      <c r="R48" s="494"/>
      <c r="S48" s="494"/>
      <c r="T48" s="494"/>
      <c r="U48" s="494">
        <f t="shared" si="14"/>
        <v>0</v>
      </c>
      <c r="V48" s="494"/>
      <c r="W48" s="494"/>
      <c r="X48" s="494">
        <f t="shared" si="8"/>
        <v>0</v>
      </c>
      <c r="Y48" s="494"/>
      <c r="Z48" s="494"/>
      <c r="AA48" s="494"/>
      <c r="AB48" s="496">
        <f t="shared" si="16"/>
        <v>103.40909090909091</v>
      </c>
      <c r="AC48" s="496"/>
      <c r="AD48" s="496">
        <f t="shared" si="11"/>
        <v>103.40909090909091</v>
      </c>
      <c r="AE48" s="496"/>
    </row>
    <row r="49" spans="1:31" s="447" customFormat="1" ht="24.75" customHeight="1">
      <c r="A49" s="445" t="s">
        <v>1001</v>
      </c>
      <c r="B49" s="449" t="s">
        <v>1002</v>
      </c>
      <c r="C49" s="494">
        <f t="shared" si="5"/>
        <v>160</v>
      </c>
      <c r="D49" s="494"/>
      <c r="E49" s="494">
        <v>160</v>
      </c>
      <c r="F49" s="494">
        <v>160</v>
      </c>
      <c r="G49" s="494"/>
      <c r="H49" s="494"/>
      <c r="I49" s="494"/>
      <c r="J49" s="494"/>
      <c r="K49" s="494">
        <f t="shared" si="6"/>
        <v>0</v>
      </c>
      <c r="L49" s="494"/>
      <c r="M49" s="494"/>
      <c r="N49" s="494">
        <f t="shared" si="9"/>
        <v>160</v>
      </c>
      <c r="O49" s="494"/>
      <c r="P49" s="495">
        <f t="shared" si="10"/>
        <v>160</v>
      </c>
      <c r="Q49" s="494">
        <v>160</v>
      </c>
      <c r="R49" s="494"/>
      <c r="S49" s="494"/>
      <c r="T49" s="494"/>
      <c r="U49" s="494">
        <f t="shared" si="14"/>
        <v>0</v>
      </c>
      <c r="V49" s="494"/>
      <c r="W49" s="494"/>
      <c r="X49" s="494">
        <f t="shared" si="8"/>
        <v>0</v>
      </c>
      <c r="Y49" s="494"/>
      <c r="Z49" s="494"/>
      <c r="AA49" s="494"/>
      <c r="AB49" s="496">
        <f t="shared" si="16"/>
        <v>100</v>
      </c>
      <c r="AC49" s="496"/>
      <c r="AD49" s="496">
        <f t="shared" si="11"/>
        <v>100</v>
      </c>
      <c r="AE49" s="496"/>
    </row>
    <row r="50" spans="1:31" s="447" customFormat="1" ht="24.75" customHeight="1">
      <c r="A50" s="448" t="s">
        <v>1003</v>
      </c>
      <c r="B50" s="449" t="s">
        <v>1004</v>
      </c>
      <c r="C50" s="494">
        <f t="shared" si="5"/>
        <v>1000</v>
      </c>
      <c r="D50" s="494"/>
      <c r="E50" s="494">
        <v>1000</v>
      </c>
      <c r="F50" s="494">
        <v>905</v>
      </c>
      <c r="G50" s="494">
        <v>95</v>
      </c>
      <c r="H50" s="494"/>
      <c r="I50" s="494"/>
      <c r="J50" s="494"/>
      <c r="K50" s="494">
        <f t="shared" si="6"/>
        <v>0</v>
      </c>
      <c r="L50" s="494"/>
      <c r="M50" s="494"/>
      <c r="N50" s="494">
        <f t="shared" si="9"/>
        <v>833.61683000000005</v>
      </c>
      <c r="O50" s="494"/>
      <c r="P50" s="495">
        <f t="shared" si="10"/>
        <v>833.61683000000005</v>
      </c>
      <c r="Q50" s="494">
        <v>833.61683000000005</v>
      </c>
      <c r="R50" s="494"/>
      <c r="S50" s="494"/>
      <c r="T50" s="494"/>
      <c r="U50" s="494">
        <f t="shared" si="14"/>
        <v>0</v>
      </c>
      <c r="V50" s="494"/>
      <c r="W50" s="494"/>
      <c r="X50" s="494">
        <f t="shared" si="8"/>
        <v>0</v>
      </c>
      <c r="Y50" s="494"/>
      <c r="Z50" s="494"/>
      <c r="AA50" s="494"/>
      <c r="AB50" s="496">
        <f t="shared" si="16"/>
        <v>83.361682999999999</v>
      </c>
      <c r="AC50" s="496"/>
      <c r="AD50" s="496">
        <f t="shared" si="11"/>
        <v>83.361682999999999</v>
      </c>
      <c r="AE50" s="496"/>
    </row>
    <row r="51" spans="1:31" s="447" customFormat="1" ht="45.75" customHeight="1">
      <c r="A51" s="445" t="s">
        <v>1005</v>
      </c>
      <c r="B51" s="449" t="s">
        <v>1006</v>
      </c>
      <c r="C51" s="494">
        <f t="shared" si="5"/>
        <v>1610</v>
      </c>
      <c r="D51" s="494"/>
      <c r="E51" s="494">
        <v>1610</v>
      </c>
      <c r="F51" s="494">
        <v>1610</v>
      </c>
      <c r="G51" s="494"/>
      <c r="H51" s="494"/>
      <c r="I51" s="494"/>
      <c r="J51" s="494"/>
      <c r="K51" s="494">
        <f t="shared" si="6"/>
        <v>0</v>
      </c>
      <c r="L51" s="494"/>
      <c r="M51" s="494"/>
      <c r="N51" s="494">
        <f t="shared" si="9"/>
        <v>1941.615</v>
      </c>
      <c r="O51" s="494"/>
      <c r="P51" s="495">
        <f t="shared" si="10"/>
        <v>1941.615</v>
      </c>
      <c r="Q51" s="494">
        <v>1941.615</v>
      </c>
      <c r="R51" s="494"/>
      <c r="S51" s="494"/>
      <c r="T51" s="494"/>
      <c r="U51" s="494">
        <f t="shared" si="14"/>
        <v>0</v>
      </c>
      <c r="V51" s="494"/>
      <c r="W51" s="494"/>
      <c r="X51" s="494">
        <f t="shared" si="8"/>
        <v>0</v>
      </c>
      <c r="Y51" s="494"/>
      <c r="Z51" s="494"/>
      <c r="AA51" s="494"/>
      <c r="AB51" s="496">
        <f t="shared" si="16"/>
        <v>120.59720496894408</v>
      </c>
      <c r="AC51" s="496"/>
      <c r="AD51" s="496">
        <f t="shared" si="11"/>
        <v>120.59720496894408</v>
      </c>
      <c r="AE51" s="496"/>
    </row>
    <row r="52" spans="1:31" s="447" customFormat="1" ht="24.75" customHeight="1">
      <c r="A52" s="448" t="s">
        <v>1007</v>
      </c>
      <c r="B52" s="449" t="s">
        <v>1008</v>
      </c>
      <c r="C52" s="494">
        <f t="shared" si="5"/>
        <v>478</v>
      </c>
      <c r="D52" s="494"/>
      <c r="E52" s="494">
        <v>478</v>
      </c>
      <c r="F52" s="494">
        <v>478</v>
      </c>
      <c r="G52" s="494"/>
      <c r="H52" s="494"/>
      <c r="I52" s="494"/>
      <c r="J52" s="494"/>
      <c r="K52" s="494">
        <f t="shared" si="6"/>
        <v>0</v>
      </c>
      <c r="L52" s="494"/>
      <c r="M52" s="494"/>
      <c r="N52" s="494">
        <f t="shared" si="9"/>
        <v>477</v>
      </c>
      <c r="O52" s="494"/>
      <c r="P52" s="495">
        <f t="shared" si="10"/>
        <v>477</v>
      </c>
      <c r="Q52" s="494">
        <v>477</v>
      </c>
      <c r="R52" s="494"/>
      <c r="S52" s="494"/>
      <c r="T52" s="494"/>
      <c r="U52" s="494">
        <f t="shared" si="14"/>
        <v>0</v>
      </c>
      <c r="V52" s="494"/>
      <c r="W52" s="494"/>
      <c r="X52" s="494">
        <f t="shared" si="8"/>
        <v>0</v>
      </c>
      <c r="Y52" s="494"/>
      <c r="Z52" s="494"/>
      <c r="AA52" s="494"/>
      <c r="AB52" s="496"/>
      <c r="AC52" s="496"/>
      <c r="AD52" s="496">
        <f t="shared" si="11"/>
        <v>99.790794979079493</v>
      </c>
      <c r="AE52" s="496"/>
    </row>
    <row r="53" spans="1:31" s="447" customFormat="1" ht="24.75" customHeight="1">
      <c r="A53" s="445" t="s">
        <v>1009</v>
      </c>
      <c r="B53" s="449" t="s">
        <v>1010</v>
      </c>
      <c r="C53" s="494">
        <f t="shared" si="5"/>
        <v>1148</v>
      </c>
      <c r="D53" s="494"/>
      <c r="E53" s="494">
        <v>1148</v>
      </c>
      <c r="F53" s="494">
        <v>673</v>
      </c>
      <c r="G53" s="494">
        <v>475</v>
      </c>
      <c r="H53" s="494"/>
      <c r="I53" s="494"/>
      <c r="J53" s="494"/>
      <c r="K53" s="494">
        <f t="shared" si="6"/>
        <v>0</v>
      </c>
      <c r="L53" s="494"/>
      <c r="M53" s="494"/>
      <c r="N53" s="494">
        <f t="shared" si="9"/>
        <v>1196.9000000000001</v>
      </c>
      <c r="O53" s="494"/>
      <c r="P53" s="495">
        <f t="shared" si="10"/>
        <v>1196.9000000000001</v>
      </c>
      <c r="Q53" s="494">
        <v>1196.9000000000001</v>
      </c>
      <c r="R53" s="494"/>
      <c r="S53" s="494"/>
      <c r="T53" s="494"/>
      <c r="U53" s="494">
        <f t="shared" si="14"/>
        <v>0</v>
      </c>
      <c r="V53" s="494"/>
      <c r="W53" s="494"/>
      <c r="X53" s="494">
        <f t="shared" si="8"/>
        <v>0</v>
      </c>
      <c r="Y53" s="494"/>
      <c r="Z53" s="494"/>
      <c r="AA53" s="494"/>
      <c r="AB53" s="496">
        <f>N53/C53%</f>
        <v>104.25958188153311</v>
      </c>
      <c r="AC53" s="496"/>
      <c r="AD53" s="496">
        <f t="shared" si="11"/>
        <v>104.25958188153311</v>
      </c>
      <c r="AE53" s="496"/>
    </row>
    <row r="54" spans="1:31" s="447" customFormat="1" ht="24.75" customHeight="1">
      <c r="A54" s="448" t="s">
        <v>1011</v>
      </c>
      <c r="B54" s="449" t="s">
        <v>1012</v>
      </c>
      <c r="C54" s="494">
        <f t="shared" si="5"/>
        <v>493</v>
      </c>
      <c r="D54" s="494"/>
      <c r="E54" s="494">
        <v>493</v>
      </c>
      <c r="F54" s="494">
        <v>493</v>
      </c>
      <c r="G54" s="494"/>
      <c r="H54" s="494"/>
      <c r="I54" s="494"/>
      <c r="J54" s="494"/>
      <c r="K54" s="494">
        <f t="shared" si="6"/>
        <v>0</v>
      </c>
      <c r="L54" s="494"/>
      <c r="M54" s="494"/>
      <c r="N54" s="494">
        <f t="shared" si="9"/>
        <v>544</v>
      </c>
      <c r="O54" s="494"/>
      <c r="P54" s="495">
        <f t="shared" si="10"/>
        <v>544</v>
      </c>
      <c r="Q54" s="494">
        <v>544</v>
      </c>
      <c r="R54" s="494"/>
      <c r="S54" s="494"/>
      <c r="T54" s="494"/>
      <c r="U54" s="494">
        <f t="shared" si="14"/>
        <v>0</v>
      </c>
      <c r="V54" s="494"/>
      <c r="W54" s="494"/>
      <c r="X54" s="494">
        <f t="shared" si="8"/>
        <v>0</v>
      </c>
      <c r="Y54" s="494"/>
      <c r="Z54" s="494"/>
      <c r="AA54" s="494"/>
      <c r="AB54" s="496"/>
      <c r="AC54" s="496"/>
      <c r="AD54" s="496">
        <f t="shared" si="11"/>
        <v>110.3448275862069</v>
      </c>
      <c r="AE54" s="496"/>
    </row>
    <row r="55" spans="1:31" s="447" customFormat="1" ht="24.75" customHeight="1">
      <c r="A55" s="445" t="s">
        <v>1013</v>
      </c>
      <c r="B55" s="446" t="s">
        <v>1014</v>
      </c>
      <c r="C55" s="494">
        <f t="shared" si="5"/>
        <v>1866</v>
      </c>
      <c r="D55" s="494"/>
      <c r="E55" s="494">
        <v>1866</v>
      </c>
      <c r="F55" s="494">
        <v>1866</v>
      </c>
      <c r="G55" s="494"/>
      <c r="H55" s="494"/>
      <c r="I55" s="494"/>
      <c r="J55" s="494"/>
      <c r="K55" s="494">
        <f t="shared" si="6"/>
        <v>0</v>
      </c>
      <c r="L55" s="494"/>
      <c r="M55" s="494"/>
      <c r="N55" s="494">
        <f t="shared" si="9"/>
        <v>1780</v>
      </c>
      <c r="O55" s="494"/>
      <c r="P55" s="495">
        <f t="shared" si="10"/>
        <v>1780</v>
      </c>
      <c r="Q55" s="494">
        <v>1780</v>
      </c>
      <c r="R55" s="494"/>
      <c r="S55" s="494"/>
      <c r="T55" s="494"/>
      <c r="U55" s="494">
        <f t="shared" si="14"/>
        <v>0</v>
      </c>
      <c r="V55" s="494"/>
      <c r="W55" s="494"/>
      <c r="X55" s="494">
        <f t="shared" si="8"/>
        <v>0</v>
      </c>
      <c r="Y55" s="494"/>
      <c r="Z55" s="494"/>
      <c r="AA55" s="494"/>
      <c r="AB55" s="496">
        <f>N55/C55%</f>
        <v>95.39121114683816</v>
      </c>
      <c r="AC55" s="496"/>
      <c r="AD55" s="496">
        <f t="shared" si="11"/>
        <v>95.39121114683816</v>
      </c>
      <c r="AE55" s="496"/>
    </row>
    <row r="56" spans="1:31" s="447" customFormat="1" ht="24.75" customHeight="1">
      <c r="A56" s="448" t="s">
        <v>1015</v>
      </c>
      <c r="B56" s="446" t="s">
        <v>1016</v>
      </c>
      <c r="C56" s="494">
        <f t="shared" si="5"/>
        <v>3185</v>
      </c>
      <c r="D56" s="494">
        <v>1000</v>
      </c>
      <c r="E56" s="494">
        <v>1885</v>
      </c>
      <c r="F56" s="494">
        <v>1885</v>
      </c>
      <c r="G56" s="494"/>
      <c r="H56" s="494"/>
      <c r="I56" s="494"/>
      <c r="J56" s="494"/>
      <c r="K56" s="494">
        <f t="shared" si="6"/>
        <v>300</v>
      </c>
      <c r="L56" s="494"/>
      <c r="M56" s="494">
        <v>300</v>
      </c>
      <c r="N56" s="494">
        <f t="shared" si="9"/>
        <v>2884.2205300000001</v>
      </c>
      <c r="O56" s="494">
        <v>1000</v>
      </c>
      <c r="P56" s="495">
        <f t="shared" si="10"/>
        <v>1584.2205300000001</v>
      </c>
      <c r="Q56" s="494">
        <f>1884.22053-W56</f>
        <v>1584.2205300000001</v>
      </c>
      <c r="R56" s="494"/>
      <c r="S56" s="494"/>
      <c r="T56" s="494"/>
      <c r="U56" s="494">
        <f t="shared" si="14"/>
        <v>300</v>
      </c>
      <c r="V56" s="494"/>
      <c r="W56" s="494">
        <v>300</v>
      </c>
      <c r="X56" s="494">
        <f t="shared" si="8"/>
        <v>0</v>
      </c>
      <c r="Y56" s="494"/>
      <c r="Z56" s="494"/>
      <c r="AA56" s="494"/>
      <c r="AB56" s="496">
        <f>N56/C56%</f>
        <v>90.556374568288845</v>
      </c>
      <c r="AC56" s="496">
        <f t="shared" si="15"/>
        <v>100</v>
      </c>
      <c r="AD56" s="496">
        <f t="shared" si="11"/>
        <v>84.043529442970822</v>
      </c>
      <c r="AE56" s="496">
        <f t="shared" si="12"/>
        <v>100</v>
      </c>
    </row>
    <row r="57" spans="1:31" s="447" customFormat="1" ht="24.75" customHeight="1">
      <c r="A57" s="445" t="s">
        <v>1017</v>
      </c>
      <c r="B57" s="449" t="s">
        <v>1018</v>
      </c>
      <c r="C57" s="494">
        <f t="shared" si="5"/>
        <v>20</v>
      </c>
      <c r="D57" s="494"/>
      <c r="E57" s="494">
        <v>20</v>
      </c>
      <c r="F57" s="494">
        <v>20</v>
      </c>
      <c r="G57" s="494"/>
      <c r="H57" s="494"/>
      <c r="I57" s="494"/>
      <c r="J57" s="494"/>
      <c r="K57" s="494">
        <f t="shared" si="6"/>
        <v>0</v>
      </c>
      <c r="L57" s="494"/>
      <c r="M57" s="494"/>
      <c r="N57" s="494">
        <f t="shared" si="9"/>
        <v>31.6</v>
      </c>
      <c r="O57" s="494"/>
      <c r="P57" s="495">
        <f t="shared" si="10"/>
        <v>31.6</v>
      </c>
      <c r="Q57" s="494">
        <v>31.6</v>
      </c>
      <c r="R57" s="494"/>
      <c r="S57" s="494"/>
      <c r="T57" s="494"/>
      <c r="U57" s="494">
        <f t="shared" si="14"/>
        <v>0</v>
      </c>
      <c r="V57" s="494"/>
      <c r="W57" s="494"/>
      <c r="X57" s="494">
        <f t="shared" si="8"/>
        <v>0</v>
      </c>
      <c r="Y57" s="494"/>
      <c r="Z57" s="494"/>
      <c r="AA57" s="494"/>
      <c r="AB57" s="496"/>
      <c r="AC57" s="496"/>
      <c r="AD57" s="496">
        <f t="shared" si="11"/>
        <v>158</v>
      </c>
      <c r="AE57" s="496"/>
    </row>
    <row r="58" spans="1:31" s="447" customFormat="1" ht="24.75" customHeight="1">
      <c r="A58" s="448" t="s">
        <v>1019</v>
      </c>
      <c r="B58" s="449" t="s">
        <v>1020</v>
      </c>
      <c r="C58" s="494">
        <f t="shared" si="5"/>
        <v>20</v>
      </c>
      <c r="D58" s="494"/>
      <c r="E58" s="494">
        <v>20</v>
      </c>
      <c r="F58" s="494">
        <v>20</v>
      </c>
      <c r="G58" s="494"/>
      <c r="H58" s="494"/>
      <c r="I58" s="494"/>
      <c r="J58" s="494"/>
      <c r="K58" s="494">
        <f t="shared" si="6"/>
        <v>0</v>
      </c>
      <c r="L58" s="494"/>
      <c r="M58" s="494"/>
      <c r="N58" s="494">
        <f t="shared" si="9"/>
        <v>20</v>
      </c>
      <c r="O58" s="494"/>
      <c r="P58" s="495">
        <f t="shared" si="10"/>
        <v>20</v>
      </c>
      <c r="Q58" s="494">
        <v>20</v>
      </c>
      <c r="R58" s="494"/>
      <c r="S58" s="494"/>
      <c r="T58" s="494"/>
      <c r="U58" s="494">
        <f t="shared" si="14"/>
        <v>0</v>
      </c>
      <c r="V58" s="494"/>
      <c r="W58" s="494"/>
      <c r="X58" s="494">
        <f t="shared" si="8"/>
        <v>0</v>
      </c>
      <c r="Y58" s="494"/>
      <c r="Z58" s="494"/>
      <c r="AA58" s="494"/>
      <c r="AB58" s="496">
        <f>N58/C58%</f>
        <v>100</v>
      </c>
      <c r="AC58" s="496"/>
      <c r="AD58" s="496">
        <f t="shared" si="11"/>
        <v>100</v>
      </c>
      <c r="AE58" s="496"/>
    </row>
    <row r="59" spans="1:31" s="447" customFormat="1" ht="24.75" customHeight="1">
      <c r="A59" s="445" t="s">
        <v>1021</v>
      </c>
      <c r="B59" s="449" t="s">
        <v>1022</v>
      </c>
      <c r="C59" s="494">
        <f t="shared" si="5"/>
        <v>20</v>
      </c>
      <c r="D59" s="494"/>
      <c r="E59" s="494">
        <v>20</v>
      </c>
      <c r="F59" s="494">
        <v>20</v>
      </c>
      <c r="G59" s="494"/>
      <c r="H59" s="494"/>
      <c r="I59" s="494"/>
      <c r="J59" s="494"/>
      <c r="K59" s="494">
        <f t="shared" si="6"/>
        <v>0</v>
      </c>
      <c r="L59" s="494"/>
      <c r="M59" s="494"/>
      <c r="N59" s="494">
        <f t="shared" si="9"/>
        <v>19.98</v>
      </c>
      <c r="O59" s="494"/>
      <c r="P59" s="495">
        <f t="shared" si="10"/>
        <v>19.98</v>
      </c>
      <c r="Q59" s="494">
        <v>19.98</v>
      </c>
      <c r="R59" s="494"/>
      <c r="S59" s="494"/>
      <c r="T59" s="494"/>
      <c r="U59" s="494">
        <f t="shared" si="14"/>
        <v>0</v>
      </c>
      <c r="V59" s="494"/>
      <c r="W59" s="494"/>
      <c r="X59" s="494">
        <f t="shared" si="8"/>
        <v>0</v>
      </c>
      <c r="Y59" s="494"/>
      <c r="Z59" s="494"/>
      <c r="AA59" s="494"/>
      <c r="AB59" s="496">
        <f>N59/C59%</f>
        <v>99.899999999999991</v>
      </c>
      <c r="AC59" s="496"/>
      <c r="AD59" s="496">
        <f t="shared" si="11"/>
        <v>99.899999999999991</v>
      </c>
      <c r="AE59" s="496"/>
    </row>
    <row r="60" spans="1:31" s="447" customFormat="1" ht="24.75" customHeight="1">
      <c r="A60" s="448" t="s">
        <v>1023</v>
      </c>
      <c r="B60" s="449" t="s">
        <v>1024</v>
      </c>
      <c r="C60" s="494">
        <f t="shared" si="5"/>
        <v>90</v>
      </c>
      <c r="D60" s="494"/>
      <c r="E60" s="494">
        <v>90</v>
      </c>
      <c r="F60" s="494">
        <v>90</v>
      </c>
      <c r="G60" s="494"/>
      <c r="H60" s="494"/>
      <c r="I60" s="494"/>
      <c r="J60" s="494"/>
      <c r="K60" s="494">
        <f t="shared" si="6"/>
        <v>0</v>
      </c>
      <c r="L60" s="494"/>
      <c r="M60" s="494"/>
      <c r="N60" s="494">
        <f t="shared" si="9"/>
        <v>110</v>
      </c>
      <c r="O60" s="494"/>
      <c r="P60" s="495">
        <f t="shared" si="10"/>
        <v>110</v>
      </c>
      <c r="Q60" s="494">
        <v>110</v>
      </c>
      <c r="R60" s="494"/>
      <c r="S60" s="494"/>
      <c r="T60" s="494"/>
      <c r="U60" s="494">
        <f t="shared" si="14"/>
        <v>0</v>
      </c>
      <c r="V60" s="494"/>
      <c r="W60" s="494"/>
      <c r="X60" s="494"/>
      <c r="Y60" s="494"/>
      <c r="Z60" s="494"/>
      <c r="AA60" s="494"/>
      <c r="AB60" s="496"/>
      <c r="AC60" s="496"/>
      <c r="AD60" s="496">
        <f t="shared" si="11"/>
        <v>122.22222222222221</v>
      </c>
      <c r="AE60" s="496"/>
    </row>
    <row r="61" spans="1:31" s="447" customFormat="1" ht="24.75" customHeight="1">
      <c r="A61" s="445" t="s">
        <v>1025</v>
      </c>
      <c r="B61" s="449" t="s">
        <v>1026</v>
      </c>
      <c r="C61" s="494">
        <f t="shared" si="5"/>
        <v>56998</v>
      </c>
      <c r="D61" s="494"/>
      <c r="E61" s="494">
        <v>56998</v>
      </c>
      <c r="F61" s="494">
        <v>54488</v>
      </c>
      <c r="G61" s="494">
        <f>1481+1029</f>
        <v>2510</v>
      </c>
      <c r="H61" s="494"/>
      <c r="I61" s="494"/>
      <c r="J61" s="494"/>
      <c r="K61" s="494">
        <f t="shared" si="6"/>
        <v>0</v>
      </c>
      <c r="L61" s="494"/>
      <c r="M61" s="494"/>
      <c r="N61" s="494">
        <f t="shared" si="9"/>
        <v>47156.978325000004</v>
      </c>
      <c r="O61" s="494"/>
      <c r="P61" s="495">
        <f t="shared" si="10"/>
        <v>47156.978325000004</v>
      </c>
      <c r="Q61" s="450">
        <f>41306.244+641.436325+20+90</f>
        <v>42057.680325000001</v>
      </c>
      <c r="R61" s="494">
        <f>3330.298+1769</f>
        <v>5099.2979999999998</v>
      </c>
      <c r="S61" s="494"/>
      <c r="T61" s="494"/>
      <c r="U61" s="494">
        <f t="shared" si="14"/>
        <v>0</v>
      </c>
      <c r="V61" s="494"/>
      <c r="W61" s="494"/>
      <c r="X61" s="494">
        <f t="shared" ref="X61:X100" si="17">Y61+Z61</f>
        <v>0</v>
      </c>
      <c r="Y61" s="494"/>
      <c r="Z61" s="494"/>
      <c r="AA61" s="494"/>
      <c r="AB61" s="496"/>
      <c r="AC61" s="496"/>
      <c r="AD61" s="496">
        <f t="shared" si="11"/>
        <v>82.734443883995937</v>
      </c>
      <c r="AE61" s="496"/>
    </row>
    <row r="62" spans="1:31" s="447" customFormat="1" ht="24.75" customHeight="1">
      <c r="A62" s="448" t="s">
        <v>1027</v>
      </c>
      <c r="B62" s="516" t="s">
        <v>314</v>
      </c>
      <c r="C62" s="494">
        <f t="shared" si="5"/>
        <v>286177</v>
      </c>
      <c r="D62" s="494">
        <v>286177</v>
      </c>
      <c r="E62" s="494">
        <v>0</v>
      </c>
      <c r="F62" s="494"/>
      <c r="G62" s="494"/>
      <c r="H62" s="494"/>
      <c r="I62" s="494"/>
      <c r="J62" s="494"/>
      <c r="K62" s="494">
        <f t="shared" si="6"/>
        <v>0</v>
      </c>
      <c r="L62" s="494"/>
      <c r="M62" s="494"/>
      <c r="N62" s="494">
        <f t="shared" si="9"/>
        <v>625144</v>
      </c>
      <c r="O62" s="494">
        <v>625144</v>
      </c>
      <c r="P62" s="495">
        <f t="shared" si="10"/>
        <v>0</v>
      </c>
      <c r="Q62" s="494"/>
      <c r="R62" s="494"/>
      <c r="S62" s="494"/>
      <c r="T62" s="494"/>
      <c r="U62" s="494">
        <f t="shared" si="14"/>
        <v>0</v>
      </c>
      <c r="V62" s="494"/>
      <c r="W62" s="494"/>
      <c r="X62" s="494">
        <f t="shared" si="17"/>
        <v>0</v>
      </c>
      <c r="Y62" s="494"/>
      <c r="Z62" s="494"/>
      <c r="AA62" s="494"/>
      <c r="AB62" s="496">
        <f>N62/C62%</f>
        <v>218.44662568969554</v>
      </c>
      <c r="AC62" s="496">
        <f t="shared" si="15"/>
        <v>218.44662568969554</v>
      </c>
      <c r="AD62" s="496"/>
      <c r="AE62" s="496"/>
    </row>
    <row r="63" spans="1:31" s="447" customFormat="1" ht="42" customHeight="1">
      <c r="A63" s="445" t="s">
        <v>1028</v>
      </c>
      <c r="B63" s="516" t="s">
        <v>1029</v>
      </c>
      <c r="C63" s="494">
        <f t="shared" si="5"/>
        <v>4076</v>
      </c>
      <c r="D63" s="494">
        <v>4076</v>
      </c>
      <c r="E63" s="494">
        <v>0</v>
      </c>
      <c r="F63" s="494"/>
      <c r="G63" s="494"/>
      <c r="H63" s="494"/>
      <c r="I63" s="494"/>
      <c r="J63" s="494"/>
      <c r="K63" s="494">
        <f t="shared" si="6"/>
        <v>0</v>
      </c>
      <c r="L63" s="494"/>
      <c r="M63" s="494"/>
      <c r="N63" s="494">
        <f t="shared" si="9"/>
        <v>3790</v>
      </c>
      <c r="O63" s="494">
        <v>3790</v>
      </c>
      <c r="P63" s="495">
        <f t="shared" si="10"/>
        <v>0</v>
      </c>
      <c r="Q63" s="494"/>
      <c r="R63" s="494"/>
      <c r="S63" s="494"/>
      <c r="T63" s="494"/>
      <c r="U63" s="494">
        <f t="shared" si="14"/>
        <v>0</v>
      </c>
      <c r="V63" s="494"/>
      <c r="W63" s="494"/>
      <c r="X63" s="494">
        <f t="shared" si="17"/>
        <v>0</v>
      </c>
      <c r="Y63" s="494"/>
      <c r="Z63" s="494"/>
      <c r="AA63" s="494"/>
      <c r="AB63" s="496"/>
      <c r="AC63" s="496">
        <f t="shared" si="15"/>
        <v>92.983316977428856</v>
      </c>
      <c r="AD63" s="496"/>
      <c r="AE63" s="496"/>
    </row>
    <row r="64" spans="1:31" s="447" customFormat="1" ht="24.75" customHeight="1">
      <c r="A64" s="448" t="s">
        <v>1030</v>
      </c>
      <c r="B64" s="516" t="s">
        <v>1031</v>
      </c>
      <c r="C64" s="494">
        <f t="shared" si="5"/>
        <v>2935</v>
      </c>
      <c r="D64" s="494">
        <v>2935</v>
      </c>
      <c r="E64" s="494">
        <v>0</v>
      </c>
      <c r="F64" s="494"/>
      <c r="G64" s="494"/>
      <c r="H64" s="494"/>
      <c r="I64" s="494"/>
      <c r="J64" s="494"/>
      <c r="K64" s="494">
        <f t="shared" si="6"/>
        <v>0</v>
      </c>
      <c r="L64" s="494"/>
      <c r="M64" s="494"/>
      <c r="N64" s="494">
        <f t="shared" si="9"/>
        <v>9019</v>
      </c>
      <c r="O64" s="494">
        <v>9019</v>
      </c>
      <c r="P64" s="495">
        <f t="shared" si="10"/>
        <v>0</v>
      </c>
      <c r="Q64" s="494"/>
      <c r="R64" s="494"/>
      <c r="S64" s="494"/>
      <c r="T64" s="494"/>
      <c r="U64" s="494">
        <f t="shared" si="14"/>
        <v>0</v>
      </c>
      <c r="V64" s="494"/>
      <c r="W64" s="494"/>
      <c r="X64" s="494">
        <f t="shared" si="17"/>
        <v>0</v>
      </c>
      <c r="Y64" s="494"/>
      <c r="Z64" s="494"/>
      <c r="AA64" s="494"/>
      <c r="AB64" s="496">
        <f>N64/C64%</f>
        <v>307.29131175468484</v>
      </c>
      <c r="AC64" s="496">
        <f t="shared" si="15"/>
        <v>307.29131175468484</v>
      </c>
      <c r="AD64" s="496"/>
      <c r="AE64" s="496"/>
    </row>
    <row r="65" spans="1:31" s="447" customFormat="1" ht="24.75" customHeight="1">
      <c r="A65" s="445" t="s">
        <v>1032</v>
      </c>
      <c r="B65" s="516" t="s">
        <v>787</v>
      </c>
      <c r="C65" s="494">
        <f t="shared" si="5"/>
        <v>101526</v>
      </c>
      <c r="D65" s="494">
        <v>93115</v>
      </c>
      <c r="E65" s="494">
        <v>8411</v>
      </c>
      <c r="F65" s="494"/>
      <c r="G65" s="494">
        <v>8411</v>
      </c>
      <c r="H65" s="494"/>
      <c r="I65" s="494"/>
      <c r="J65" s="494"/>
      <c r="K65" s="494">
        <f t="shared" si="6"/>
        <v>0</v>
      </c>
      <c r="L65" s="494"/>
      <c r="M65" s="494"/>
      <c r="N65" s="494">
        <f t="shared" si="9"/>
        <v>73465</v>
      </c>
      <c r="O65" s="494">
        <v>73465</v>
      </c>
      <c r="P65" s="495">
        <f t="shared" si="10"/>
        <v>0</v>
      </c>
      <c r="Q65" s="494"/>
      <c r="R65" s="494"/>
      <c r="S65" s="494"/>
      <c r="T65" s="494"/>
      <c r="U65" s="494">
        <f t="shared" si="14"/>
        <v>0</v>
      </c>
      <c r="V65" s="494"/>
      <c r="W65" s="494"/>
      <c r="X65" s="494">
        <f t="shared" si="17"/>
        <v>0</v>
      </c>
      <c r="Y65" s="494"/>
      <c r="Z65" s="494"/>
      <c r="AA65" s="494"/>
      <c r="AB65" s="496">
        <f>N65/C65%</f>
        <v>72.360774579910569</v>
      </c>
      <c r="AC65" s="496">
        <f t="shared" si="15"/>
        <v>78.897062771841277</v>
      </c>
      <c r="AD65" s="496">
        <f t="shared" si="11"/>
        <v>0</v>
      </c>
      <c r="AE65" s="496"/>
    </row>
    <row r="66" spans="1:31" s="447" customFormat="1" ht="24.75" customHeight="1">
      <c r="A66" s="448" t="s">
        <v>1033</v>
      </c>
      <c r="B66" s="516" t="s">
        <v>1034</v>
      </c>
      <c r="C66" s="494">
        <f t="shared" si="5"/>
        <v>154</v>
      </c>
      <c r="D66" s="494">
        <v>154</v>
      </c>
      <c r="E66" s="494">
        <v>0</v>
      </c>
      <c r="F66" s="494"/>
      <c r="G66" s="494"/>
      <c r="H66" s="494"/>
      <c r="I66" s="494"/>
      <c r="J66" s="494"/>
      <c r="K66" s="494">
        <f t="shared" si="6"/>
        <v>0</v>
      </c>
      <c r="L66" s="494"/>
      <c r="M66" s="494"/>
      <c r="N66" s="494">
        <f t="shared" si="9"/>
        <v>154.30000000000001</v>
      </c>
      <c r="O66" s="494">
        <v>154.30000000000001</v>
      </c>
      <c r="P66" s="495">
        <f t="shared" si="10"/>
        <v>0</v>
      </c>
      <c r="Q66" s="494"/>
      <c r="R66" s="494"/>
      <c r="S66" s="494"/>
      <c r="T66" s="494"/>
      <c r="U66" s="494">
        <f t="shared" si="14"/>
        <v>0</v>
      </c>
      <c r="V66" s="494"/>
      <c r="W66" s="494"/>
      <c r="X66" s="494">
        <f t="shared" si="17"/>
        <v>0</v>
      </c>
      <c r="Y66" s="494"/>
      <c r="Z66" s="494"/>
      <c r="AA66" s="494"/>
      <c r="AB66" s="496"/>
      <c r="AC66" s="496">
        <f t="shared" si="15"/>
        <v>100.1948051948052</v>
      </c>
      <c r="AD66" s="496"/>
      <c r="AE66" s="496"/>
    </row>
    <row r="67" spans="1:31" s="447" customFormat="1" ht="24.75" customHeight="1">
      <c r="A67" s="445" t="s">
        <v>1035</v>
      </c>
      <c r="B67" s="516" t="s">
        <v>1036</v>
      </c>
      <c r="C67" s="494">
        <f t="shared" si="5"/>
        <v>35253</v>
      </c>
      <c r="D67" s="494">
        <v>35253</v>
      </c>
      <c r="E67" s="494">
        <v>0</v>
      </c>
      <c r="F67" s="494"/>
      <c r="G67" s="494"/>
      <c r="H67" s="494"/>
      <c r="I67" s="494"/>
      <c r="J67" s="494"/>
      <c r="K67" s="494">
        <f t="shared" si="6"/>
        <v>0</v>
      </c>
      <c r="L67" s="494"/>
      <c r="M67" s="494"/>
      <c r="N67" s="494">
        <f t="shared" si="9"/>
        <v>41044</v>
      </c>
      <c r="O67" s="494">
        <v>41044</v>
      </c>
      <c r="P67" s="495">
        <f t="shared" si="10"/>
        <v>0</v>
      </c>
      <c r="Q67" s="494"/>
      <c r="R67" s="494"/>
      <c r="S67" s="494"/>
      <c r="T67" s="494"/>
      <c r="U67" s="494">
        <f t="shared" si="14"/>
        <v>0</v>
      </c>
      <c r="V67" s="494"/>
      <c r="W67" s="494"/>
      <c r="X67" s="494">
        <f t="shared" si="17"/>
        <v>0</v>
      </c>
      <c r="Y67" s="494"/>
      <c r="Z67" s="494"/>
      <c r="AA67" s="494"/>
      <c r="AB67" s="496">
        <f>N67/C67%</f>
        <v>116.42697075426206</v>
      </c>
      <c r="AC67" s="496">
        <f t="shared" si="15"/>
        <v>116.42697075426206</v>
      </c>
      <c r="AD67" s="496"/>
      <c r="AE67" s="496"/>
    </row>
    <row r="68" spans="1:31" s="447" customFormat="1" ht="38.25" customHeight="1">
      <c r="A68" s="448" t="s">
        <v>1037</v>
      </c>
      <c r="B68" s="516" t="s">
        <v>1038</v>
      </c>
      <c r="C68" s="494">
        <f t="shared" si="5"/>
        <v>15618</v>
      </c>
      <c r="D68" s="494">
        <v>15618</v>
      </c>
      <c r="E68" s="494">
        <v>0</v>
      </c>
      <c r="F68" s="494"/>
      <c r="G68" s="494"/>
      <c r="H68" s="494"/>
      <c r="I68" s="494"/>
      <c r="J68" s="494"/>
      <c r="K68" s="494">
        <f t="shared" si="6"/>
        <v>0</v>
      </c>
      <c r="L68" s="494"/>
      <c r="M68" s="494"/>
      <c r="N68" s="494">
        <f t="shared" si="9"/>
        <v>15274.480943</v>
      </c>
      <c r="O68" s="494">
        <v>15274.480943</v>
      </c>
      <c r="P68" s="495">
        <f t="shared" si="10"/>
        <v>0</v>
      </c>
      <c r="Q68" s="494"/>
      <c r="R68" s="494"/>
      <c r="S68" s="494"/>
      <c r="T68" s="494"/>
      <c r="U68" s="494">
        <f t="shared" si="14"/>
        <v>0</v>
      </c>
      <c r="V68" s="494"/>
      <c r="W68" s="494"/>
      <c r="X68" s="494">
        <f t="shared" si="17"/>
        <v>0</v>
      </c>
      <c r="Y68" s="494"/>
      <c r="Z68" s="494"/>
      <c r="AA68" s="494"/>
      <c r="AB68" s="496">
        <f>N68/C68%</f>
        <v>97.800492655909849</v>
      </c>
      <c r="AC68" s="496">
        <f t="shared" si="15"/>
        <v>97.800492655909849</v>
      </c>
      <c r="AD68" s="496"/>
      <c r="AE68" s="496"/>
    </row>
    <row r="69" spans="1:31" s="447" customFormat="1" ht="34.5" customHeight="1">
      <c r="A69" s="445" t="s">
        <v>1039</v>
      </c>
      <c r="B69" s="516" t="s">
        <v>1040</v>
      </c>
      <c r="C69" s="494">
        <f t="shared" si="5"/>
        <v>9185</v>
      </c>
      <c r="D69" s="494">
        <v>9185</v>
      </c>
      <c r="E69" s="494">
        <v>0</v>
      </c>
      <c r="F69" s="494"/>
      <c r="G69" s="494"/>
      <c r="H69" s="494"/>
      <c r="I69" s="494"/>
      <c r="J69" s="494"/>
      <c r="K69" s="494">
        <f t="shared" si="6"/>
        <v>0</v>
      </c>
      <c r="L69" s="494"/>
      <c r="M69" s="494"/>
      <c r="N69" s="494">
        <f t="shared" si="9"/>
        <v>13403.457539000001</v>
      </c>
      <c r="O69" s="494">
        <v>13403.457539000001</v>
      </c>
      <c r="P69" s="495">
        <f t="shared" si="10"/>
        <v>0</v>
      </c>
      <c r="Q69" s="494"/>
      <c r="R69" s="494"/>
      <c r="S69" s="494"/>
      <c r="T69" s="494"/>
      <c r="U69" s="494">
        <f t="shared" si="14"/>
        <v>0</v>
      </c>
      <c r="V69" s="494"/>
      <c r="W69" s="494"/>
      <c r="X69" s="494">
        <f t="shared" si="17"/>
        <v>0</v>
      </c>
      <c r="Y69" s="494"/>
      <c r="Z69" s="494"/>
      <c r="AA69" s="494"/>
      <c r="AB69" s="496">
        <f>N69/C69%</f>
        <v>145.92768142623845</v>
      </c>
      <c r="AC69" s="496">
        <f t="shared" si="15"/>
        <v>145.92768142623845</v>
      </c>
      <c r="AD69" s="496"/>
      <c r="AE69" s="496"/>
    </row>
    <row r="70" spans="1:31" s="447" customFormat="1" ht="39.75" customHeight="1">
      <c r="A70" s="448" t="s">
        <v>1041</v>
      </c>
      <c r="B70" s="516" t="s">
        <v>1042</v>
      </c>
      <c r="C70" s="494">
        <f t="shared" si="5"/>
        <v>8440</v>
      </c>
      <c r="D70" s="494">
        <v>8440</v>
      </c>
      <c r="E70" s="494">
        <v>0</v>
      </c>
      <c r="F70" s="494"/>
      <c r="G70" s="494"/>
      <c r="H70" s="494"/>
      <c r="I70" s="494"/>
      <c r="J70" s="494"/>
      <c r="K70" s="494">
        <f t="shared" si="6"/>
        <v>0</v>
      </c>
      <c r="L70" s="494"/>
      <c r="M70" s="494"/>
      <c r="N70" s="494">
        <f t="shared" si="9"/>
        <v>12832</v>
      </c>
      <c r="O70" s="494">
        <v>12832</v>
      </c>
      <c r="P70" s="495">
        <f t="shared" si="10"/>
        <v>0</v>
      </c>
      <c r="Q70" s="494"/>
      <c r="R70" s="494"/>
      <c r="S70" s="494"/>
      <c r="T70" s="494"/>
      <c r="U70" s="494">
        <f t="shared" si="14"/>
        <v>0</v>
      </c>
      <c r="V70" s="494"/>
      <c r="W70" s="494"/>
      <c r="X70" s="494">
        <f t="shared" si="17"/>
        <v>0</v>
      </c>
      <c r="Y70" s="494"/>
      <c r="Z70" s="494"/>
      <c r="AA70" s="494"/>
      <c r="AB70" s="496"/>
      <c r="AC70" s="496">
        <f t="shared" si="15"/>
        <v>152.03791469194312</v>
      </c>
      <c r="AD70" s="496"/>
      <c r="AE70" s="496"/>
    </row>
    <row r="71" spans="1:31" s="447" customFormat="1" ht="41.25" customHeight="1">
      <c r="A71" s="445" t="s">
        <v>1043</v>
      </c>
      <c r="B71" s="516" t="s">
        <v>1044</v>
      </c>
      <c r="C71" s="494">
        <f t="shared" si="5"/>
        <v>6620</v>
      </c>
      <c r="D71" s="494">
        <v>6620</v>
      </c>
      <c r="E71" s="494">
        <v>0</v>
      </c>
      <c r="F71" s="494"/>
      <c r="G71" s="494"/>
      <c r="H71" s="494"/>
      <c r="I71" s="494"/>
      <c r="J71" s="494"/>
      <c r="K71" s="494">
        <f t="shared" si="6"/>
        <v>0</v>
      </c>
      <c r="L71" s="494"/>
      <c r="M71" s="494"/>
      <c r="N71" s="494">
        <f t="shared" si="9"/>
        <v>6346</v>
      </c>
      <c r="O71" s="494">
        <v>6346</v>
      </c>
      <c r="P71" s="495">
        <f t="shared" si="10"/>
        <v>0</v>
      </c>
      <c r="Q71" s="494"/>
      <c r="R71" s="494"/>
      <c r="S71" s="494"/>
      <c r="T71" s="494"/>
      <c r="U71" s="494">
        <f t="shared" si="14"/>
        <v>0</v>
      </c>
      <c r="V71" s="494"/>
      <c r="W71" s="494"/>
      <c r="X71" s="494">
        <f t="shared" si="17"/>
        <v>0</v>
      </c>
      <c r="Y71" s="494"/>
      <c r="Z71" s="494"/>
      <c r="AA71" s="494"/>
      <c r="AB71" s="496"/>
      <c r="AC71" s="496">
        <f t="shared" si="15"/>
        <v>95.861027190332322</v>
      </c>
      <c r="AD71" s="496"/>
      <c r="AE71" s="496"/>
    </row>
    <row r="72" spans="1:31" s="447" customFormat="1" ht="41.25" customHeight="1">
      <c r="A72" s="448" t="s">
        <v>1045</v>
      </c>
      <c r="B72" s="516" t="s">
        <v>1046</v>
      </c>
      <c r="C72" s="494">
        <f t="shared" si="5"/>
        <v>11122</v>
      </c>
      <c r="D72" s="494">
        <v>11122</v>
      </c>
      <c r="E72" s="494">
        <v>0</v>
      </c>
      <c r="F72" s="494"/>
      <c r="G72" s="494"/>
      <c r="H72" s="494"/>
      <c r="I72" s="494"/>
      <c r="J72" s="494"/>
      <c r="K72" s="494">
        <f t="shared" si="6"/>
        <v>0</v>
      </c>
      <c r="L72" s="494"/>
      <c r="M72" s="494"/>
      <c r="N72" s="494">
        <f t="shared" si="9"/>
        <v>15977</v>
      </c>
      <c r="O72" s="494">
        <v>15977</v>
      </c>
      <c r="P72" s="495">
        <f t="shared" si="10"/>
        <v>0</v>
      </c>
      <c r="Q72" s="494"/>
      <c r="R72" s="494"/>
      <c r="S72" s="494"/>
      <c r="T72" s="494"/>
      <c r="U72" s="494">
        <f t="shared" si="14"/>
        <v>0</v>
      </c>
      <c r="V72" s="494"/>
      <c r="W72" s="494"/>
      <c r="X72" s="494">
        <f t="shared" si="17"/>
        <v>0</v>
      </c>
      <c r="Y72" s="494"/>
      <c r="Z72" s="494"/>
      <c r="AA72" s="494"/>
      <c r="AB72" s="496">
        <f t="shared" ref="AB72:AB85" si="18">N72/C72%</f>
        <v>143.65222082359287</v>
      </c>
      <c r="AC72" s="496">
        <f t="shared" si="15"/>
        <v>143.65222082359287</v>
      </c>
      <c r="AD72" s="496"/>
      <c r="AE72" s="496"/>
    </row>
    <row r="73" spans="1:31" s="447" customFormat="1" ht="39.75" customHeight="1">
      <c r="A73" s="445" t="s">
        <v>1047</v>
      </c>
      <c r="B73" s="516" t="s">
        <v>1048</v>
      </c>
      <c r="C73" s="494">
        <f t="shared" si="5"/>
        <v>12361</v>
      </c>
      <c r="D73" s="494">
        <v>12361</v>
      </c>
      <c r="E73" s="494">
        <v>0</v>
      </c>
      <c r="F73" s="494"/>
      <c r="G73" s="494"/>
      <c r="H73" s="494"/>
      <c r="I73" s="494"/>
      <c r="J73" s="494"/>
      <c r="K73" s="494">
        <f t="shared" si="6"/>
        <v>0</v>
      </c>
      <c r="L73" s="494"/>
      <c r="M73" s="494"/>
      <c r="N73" s="494">
        <f t="shared" si="9"/>
        <v>12408</v>
      </c>
      <c r="O73" s="494">
        <v>12408</v>
      </c>
      <c r="P73" s="495">
        <f t="shared" si="10"/>
        <v>0</v>
      </c>
      <c r="Q73" s="494"/>
      <c r="R73" s="494"/>
      <c r="S73" s="494"/>
      <c r="T73" s="494"/>
      <c r="U73" s="494">
        <f t="shared" si="14"/>
        <v>0</v>
      </c>
      <c r="V73" s="494"/>
      <c r="W73" s="494"/>
      <c r="X73" s="494">
        <f t="shared" si="17"/>
        <v>0</v>
      </c>
      <c r="Y73" s="494"/>
      <c r="Z73" s="494"/>
      <c r="AA73" s="494"/>
      <c r="AB73" s="496">
        <f t="shared" si="18"/>
        <v>100.38022813688212</v>
      </c>
      <c r="AC73" s="496">
        <f t="shared" si="15"/>
        <v>100.38022813688212</v>
      </c>
      <c r="AD73" s="496"/>
      <c r="AE73" s="496"/>
    </row>
    <row r="74" spans="1:31" s="447" customFormat="1" ht="45" customHeight="1">
      <c r="A74" s="448" t="s">
        <v>1049</v>
      </c>
      <c r="B74" s="516" t="s">
        <v>1050</v>
      </c>
      <c r="C74" s="494">
        <f t="shared" si="5"/>
        <v>53355</v>
      </c>
      <c r="D74" s="494">
        <v>53355</v>
      </c>
      <c r="E74" s="494">
        <v>0</v>
      </c>
      <c r="F74" s="494"/>
      <c r="G74" s="494"/>
      <c r="H74" s="494"/>
      <c r="I74" s="494"/>
      <c r="J74" s="494"/>
      <c r="K74" s="494">
        <f t="shared" si="6"/>
        <v>0</v>
      </c>
      <c r="L74" s="494"/>
      <c r="M74" s="494"/>
      <c r="N74" s="494">
        <f t="shared" si="9"/>
        <v>43454</v>
      </c>
      <c r="O74" s="494">
        <v>43454</v>
      </c>
      <c r="P74" s="495">
        <f t="shared" si="10"/>
        <v>0</v>
      </c>
      <c r="Q74" s="494"/>
      <c r="R74" s="494"/>
      <c r="S74" s="494"/>
      <c r="T74" s="494"/>
      <c r="U74" s="494">
        <f t="shared" si="14"/>
        <v>0</v>
      </c>
      <c r="V74" s="494"/>
      <c r="W74" s="494"/>
      <c r="X74" s="494">
        <f t="shared" si="17"/>
        <v>0</v>
      </c>
      <c r="Y74" s="494"/>
      <c r="Z74" s="494"/>
      <c r="AA74" s="494"/>
      <c r="AB74" s="496">
        <f t="shared" si="18"/>
        <v>81.443163714740891</v>
      </c>
      <c r="AC74" s="496">
        <f t="shared" si="15"/>
        <v>81.443163714740891</v>
      </c>
      <c r="AD74" s="496"/>
      <c r="AE74" s="496"/>
    </row>
    <row r="75" spans="1:31" s="447" customFormat="1" ht="24.75" customHeight="1">
      <c r="A75" s="445" t="s">
        <v>1051</v>
      </c>
      <c r="B75" s="516" t="s">
        <v>1052</v>
      </c>
      <c r="C75" s="494"/>
      <c r="D75" s="494"/>
      <c r="E75" s="494">
        <v>0</v>
      </c>
      <c r="F75" s="494"/>
      <c r="G75" s="494"/>
      <c r="H75" s="494"/>
      <c r="I75" s="494"/>
      <c r="J75" s="494"/>
      <c r="K75" s="494"/>
      <c r="L75" s="494"/>
      <c r="M75" s="494"/>
      <c r="N75" s="494">
        <f t="shared" si="9"/>
        <v>150</v>
      </c>
      <c r="O75" s="494">
        <v>150</v>
      </c>
      <c r="P75" s="495"/>
      <c r="Q75" s="494"/>
      <c r="R75" s="494"/>
      <c r="S75" s="494"/>
      <c r="T75" s="494"/>
      <c r="U75" s="494">
        <f t="shared" si="14"/>
        <v>0</v>
      </c>
      <c r="V75" s="494"/>
      <c r="W75" s="494"/>
      <c r="X75" s="494"/>
      <c r="Y75" s="494"/>
      <c r="Z75" s="494"/>
      <c r="AA75" s="494"/>
      <c r="AB75" s="496"/>
      <c r="AC75" s="496"/>
      <c r="AD75" s="496"/>
      <c r="AE75" s="496"/>
    </row>
    <row r="76" spans="1:31" s="447" customFormat="1" ht="24.75" customHeight="1">
      <c r="A76" s="448" t="s">
        <v>1053</v>
      </c>
      <c r="B76" s="516" t="s">
        <v>1054</v>
      </c>
      <c r="C76" s="494">
        <f t="shared" si="5"/>
        <v>49</v>
      </c>
      <c r="D76" s="494">
        <v>49</v>
      </c>
      <c r="E76" s="494">
        <v>0</v>
      </c>
      <c r="F76" s="494"/>
      <c r="G76" s="494"/>
      <c r="H76" s="494"/>
      <c r="I76" s="494"/>
      <c r="J76" s="494"/>
      <c r="K76" s="494">
        <f t="shared" si="6"/>
        <v>0</v>
      </c>
      <c r="L76" s="494"/>
      <c r="M76" s="494"/>
      <c r="N76" s="494">
        <f t="shared" si="9"/>
        <v>96.076999999999998</v>
      </c>
      <c r="O76" s="494">
        <v>96.076999999999998</v>
      </c>
      <c r="P76" s="495">
        <f t="shared" si="10"/>
        <v>0</v>
      </c>
      <c r="Q76" s="494"/>
      <c r="R76" s="494"/>
      <c r="S76" s="494"/>
      <c r="T76" s="494"/>
      <c r="U76" s="494">
        <f t="shared" si="14"/>
        <v>0</v>
      </c>
      <c r="V76" s="494"/>
      <c r="W76" s="494"/>
      <c r="X76" s="494">
        <f t="shared" si="17"/>
        <v>0</v>
      </c>
      <c r="Y76" s="494"/>
      <c r="Z76" s="494"/>
      <c r="AA76" s="494"/>
      <c r="AB76" s="496">
        <f t="shared" si="18"/>
        <v>196.07551020408164</v>
      </c>
      <c r="AC76" s="496">
        <f t="shared" si="15"/>
        <v>196.07551020408164</v>
      </c>
      <c r="AD76" s="496"/>
      <c r="AE76" s="496"/>
    </row>
    <row r="77" spans="1:31" s="447" customFormat="1" ht="24.75" customHeight="1">
      <c r="A77" s="445" t="s">
        <v>1055</v>
      </c>
      <c r="B77" s="516" t="s">
        <v>1056</v>
      </c>
      <c r="C77" s="494">
        <f t="shared" ref="C77:C127" si="19">D77+E77+I77+J77+K77</f>
        <v>52</v>
      </c>
      <c r="D77" s="494">
        <v>52</v>
      </c>
      <c r="E77" s="494">
        <v>0</v>
      </c>
      <c r="F77" s="494"/>
      <c r="G77" s="494"/>
      <c r="H77" s="494"/>
      <c r="I77" s="494"/>
      <c r="J77" s="494"/>
      <c r="K77" s="494">
        <f t="shared" ref="K77:K127" si="20">L77+M77</f>
        <v>0</v>
      </c>
      <c r="L77" s="494"/>
      <c r="M77" s="494"/>
      <c r="N77" s="494">
        <f t="shared" si="9"/>
        <v>52.255000000000003</v>
      </c>
      <c r="O77" s="494">
        <v>52.255000000000003</v>
      </c>
      <c r="P77" s="495">
        <f t="shared" si="10"/>
        <v>0</v>
      </c>
      <c r="Q77" s="494"/>
      <c r="R77" s="494"/>
      <c r="S77" s="494"/>
      <c r="T77" s="494"/>
      <c r="U77" s="494">
        <f t="shared" si="14"/>
        <v>0</v>
      </c>
      <c r="V77" s="494"/>
      <c r="W77" s="494"/>
      <c r="X77" s="494">
        <f t="shared" si="17"/>
        <v>0</v>
      </c>
      <c r="Y77" s="494"/>
      <c r="Z77" s="494"/>
      <c r="AA77" s="494"/>
      <c r="AB77" s="496">
        <f t="shared" si="18"/>
        <v>100.49038461538461</v>
      </c>
      <c r="AC77" s="496">
        <f t="shared" si="15"/>
        <v>100.49038461538461</v>
      </c>
      <c r="AD77" s="496"/>
      <c r="AE77" s="496"/>
    </row>
    <row r="78" spans="1:31" s="447" customFormat="1" ht="24.75" customHeight="1">
      <c r="A78" s="448" t="s">
        <v>1057</v>
      </c>
      <c r="B78" s="516" t="s">
        <v>1058</v>
      </c>
      <c r="C78" s="494">
        <f t="shared" si="19"/>
        <v>4754</v>
      </c>
      <c r="D78" s="494">
        <v>2920</v>
      </c>
      <c r="E78" s="494">
        <v>0</v>
      </c>
      <c r="F78" s="494"/>
      <c r="G78" s="494"/>
      <c r="H78" s="494"/>
      <c r="I78" s="494"/>
      <c r="J78" s="494"/>
      <c r="K78" s="494">
        <f t="shared" si="20"/>
        <v>1834</v>
      </c>
      <c r="L78" s="494"/>
      <c r="M78" s="494">
        <v>1834</v>
      </c>
      <c r="N78" s="494">
        <f t="shared" ref="N78:N100" si="21">O78+P78+S78+T78+U78</f>
        <v>2661</v>
      </c>
      <c r="O78" s="494">
        <v>2661</v>
      </c>
      <c r="P78" s="495">
        <f t="shared" si="10"/>
        <v>0</v>
      </c>
      <c r="Q78" s="494"/>
      <c r="R78" s="494"/>
      <c r="S78" s="494"/>
      <c r="T78" s="494"/>
      <c r="U78" s="494">
        <f t="shared" si="14"/>
        <v>0</v>
      </c>
      <c r="V78" s="494"/>
      <c r="W78" s="494"/>
      <c r="X78" s="494">
        <f t="shared" si="17"/>
        <v>0</v>
      </c>
      <c r="Y78" s="494"/>
      <c r="Z78" s="494"/>
      <c r="AA78" s="494"/>
      <c r="AB78" s="496">
        <f t="shared" si="18"/>
        <v>55.973916701724868</v>
      </c>
      <c r="AC78" s="496">
        <f t="shared" si="15"/>
        <v>91.130136986301366</v>
      </c>
      <c r="AD78" s="496"/>
      <c r="AE78" s="496"/>
    </row>
    <row r="79" spans="1:31" s="447" customFormat="1" ht="24.75" customHeight="1">
      <c r="A79" s="445" t="s">
        <v>1059</v>
      </c>
      <c r="B79" s="516" t="s">
        <v>1060</v>
      </c>
      <c r="C79" s="494">
        <f t="shared" si="19"/>
        <v>904</v>
      </c>
      <c r="D79" s="494">
        <v>904</v>
      </c>
      <c r="E79" s="494">
        <v>0</v>
      </c>
      <c r="F79" s="494"/>
      <c r="G79" s="494"/>
      <c r="H79" s="494"/>
      <c r="I79" s="494"/>
      <c r="J79" s="494"/>
      <c r="K79" s="494">
        <f t="shared" si="20"/>
        <v>0</v>
      </c>
      <c r="L79" s="494"/>
      <c r="M79" s="494"/>
      <c r="N79" s="494">
        <f t="shared" si="21"/>
        <v>610</v>
      </c>
      <c r="O79" s="494">
        <v>610</v>
      </c>
      <c r="P79" s="495">
        <f t="shared" ref="P79:P100" si="22">Q79+R79</f>
        <v>0</v>
      </c>
      <c r="Q79" s="494"/>
      <c r="R79" s="494"/>
      <c r="S79" s="494"/>
      <c r="T79" s="494"/>
      <c r="U79" s="494">
        <f t="shared" si="14"/>
        <v>0</v>
      </c>
      <c r="V79" s="494"/>
      <c r="W79" s="494"/>
      <c r="X79" s="494">
        <f t="shared" si="17"/>
        <v>0</v>
      </c>
      <c r="Y79" s="494"/>
      <c r="Z79" s="494"/>
      <c r="AA79" s="494"/>
      <c r="AB79" s="496">
        <f t="shared" si="18"/>
        <v>67.477876106194699</v>
      </c>
      <c r="AC79" s="496">
        <f t="shared" si="15"/>
        <v>67.477876106194699</v>
      </c>
      <c r="AD79" s="496"/>
      <c r="AE79" s="496"/>
    </row>
    <row r="80" spans="1:31" s="447" customFormat="1" ht="32.25" customHeight="1">
      <c r="A80" s="448" t="s">
        <v>1061</v>
      </c>
      <c r="B80" s="516" t="s">
        <v>1062</v>
      </c>
      <c r="C80" s="494">
        <f t="shared" si="19"/>
        <v>31682</v>
      </c>
      <c r="D80" s="494">
        <v>31682</v>
      </c>
      <c r="E80" s="494">
        <v>0</v>
      </c>
      <c r="F80" s="494"/>
      <c r="G80" s="494"/>
      <c r="H80" s="494"/>
      <c r="I80" s="494"/>
      <c r="J80" s="494"/>
      <c r="K80" s="494">
        <f t="shared" si="20"/>
        <v>0</v>
      </c>
      <c r="L80" s="494"/>
      <c r="M80" s="494"/>
      <c r="N80" s="494">
        <f t="shared" si="21"/>
        <v>24819</v>
      </c>
      <c r="O80" s="494">
        <v>24819</v>
      </c>
      <c r="P80" s="495">
        <f t="shared" si="22"/>
        <v>0</v>
      </c>
      <c r="Q80" s="494"/>
      <c r="R80" s="494"/>
      <c r="S80" s="494"/>
      <c r="T80" s="494"/>
      <c r="U80" s="494">
        <f t="shared" si="14"/>
        <v>0</v>
      </c>
      <c r="V80" s="494"/>
      <c r="W80" s="494"/>
      <c r="X80" s="494">
        <f t="shared" si="17"/>
        <v>0</v>
      </c>
      <c r="Y80" s="494"/>
      <c r="Z80" s="494"/>
      <c r="AA80" s="494"/>
      <c r="AB80" s="496">
        <f t="shared" si="18"/>
        <v>78.337857458493787</v>
      </c>
      <c r="AC80" s="496">
        <f t="shared" si="15"/>
        <v>78.337857458493787</v>
      </c>
      <c r="AD80" s="496"/>
      <c r="AE80" s="496"/>
    </row>
    <row r="81" spans="1:31" s="447" customFormat="1" ht="42" customHeight="1">
      <c r="A81" s="445" t="s">
        <v>1063</v>
      </c>
      <c r="B81" s="516" t="s">
        <v>1064</v>
      </c>
      <c r="C81" s="494">
        <f t="shared" si="19"/>
        <v>196990</v>
      </c>
      <c r="D81" s="494">
        <v>196990</v>
      </c>
      <c r="E81" s="494">
        <v>0</v>
      </c>
      <c r="F81" s="494"/>
      <c r="G81" s="494"/>
      <c r="H81" s="494"/>
      <c r="I81" s="494"/>
      <c r="J81" s="494"/>
      <c r="K81" s="494">
        <f t="shared" si="20"/>
        <v>0</v>
      </c>
      <c r="L81" s="494"/>
      <c r="M81" s="494"/>
      <c r="N81" s="494">
        <f t="shared" si="21"/>
        <v>36384</v>
      </c>
      <c r="O81" s="494">
        <v>36384</v>
      </c>
      <c r="P81" s="495">
        <f t="shared" si="22"/>
        <v>0</v>
      </c>
      <c r="Q81" s="494"/>
      <c r="R81" s="494"/>
      <c r="S81" s="494"/>
      <c r="T81" s="494"/>
      <c r="U81" s="494">
        <f t="shared" si="14"/>
        <v>0</v>
      </c>
      <c r="V81" s="494"/>
      <c r="W81" s="494"/>
      <c r="X81" s="494">
        <f t="shared" si="17"/>
        <v>0</v>
      </c>
      <c r="Y81" s="494"/>
      <c r="Z81" s="494"/>
      <c r="AA81" s="494"/>
      <c r="AB81" s="496">
        <f t="shared" si="18"/>
        <v>18.469973095080967</v>
      </c>
      <c r="AC81" s="496">
        <f t="shared" si="15"/>
        <v>18.469973095080967</v>
      </c>
      <c r="AD81" s="496"/>
      <c r="AE81" s="496"/>
    </row>
    <row r="82" spans="1:31" s="447" customFormat="1" ht="24.75" customHeight="1">
      <c r="A82" s="448" t="s">
        <v>1065</v>
      </c>
      <c r="B82" s="516" t="s">
        <v>1066</v>
      </c>
      <c r="C82" s="494">
        <f t="shared" si="19"/>
        <v>1578</v>
      </c>
      <c r="D82" s="494">
        <v>1578</v>
      </c>
      <c r="E82" s="494">
        <v>0</v>
      </c>
      <c r="F82" s="494"/>
      <c r="G82" s="494"/>
      <c r="H82" s="494"/>
      <c r="I82" s="494"/>
      <c r="J82" s="494"/>
      <c r="K82" s="494">
        <f t="shared" si="20"/>
        <v>0</v>
      </c>
      <c r="L82" s="494"/>
      <c r="M82" s="494"/>
      <c r="N82" s="494">
        <f t="shared" si="21"/>
        <v>3515</v>
      </c>
      <c r="O82" s="494">
        <v>3515</v>
      </c>
      <c r="P82" s="495">
        <f t="shared" si="22"/>
        <v>0</v>
      </c>
      <c r="Q82" s="494"/>
      <c r="R82" s="494"/>
      <c r="S82" s="494"/>
      <c r="T82" s="494"/>
      <c r="U82" s="494">
        <f t="shared" si="14"/>
        <v>0</v>
      </c>
      <c r="V82" s="494"/>
      <c r="W82" s="494"/>
      <c r="X82" s="494">
        <f t="shared" si="17"/>
        <v>0</v>
      </c>
      <c r="Y82" s="494"/>
      <c r="Z82" s="494"/>
      <c r="AA82" s="494"/>
      <c r="AB82" s="496">
        <f t="shared" si="18"/>
        <v>222.75031685678076</v>
      </c>
      <c r="AC82" s="496">
        <f t="shared" si="15"/>
        <v>222.75031685678076</v>
      </c>
      <c r="AD82" s="496"/>
      <c r="AE82" s="496"/>
    </row>
    <row r="83" spans="1:31" s="447" customFormat="1" ht="24.75" customHeight="1">
      <c r="A83" s="445" t="s">
        <v>1067</v>
      </c>
      <c r="B83" s="516" t="s">
        <v>1068</v>
      </c>
      <c r="C83" s="494">
        <f t="shared" si="19"/>
        <v>300</v>
      </c>
      <c r="D83" s="494"/>
      <c r="E83" s="494">
        <v>0</v>
      </c>
      <c r="F83" s="494"/>
      <c r="G83" s="494"/>
      <c r="H83" s="494"/>
      <c r="I83" s="494"/>
      <c r="J83" s="494"/>
      <c r="K83" s="494">
        <f t="shared" si="20"/>
        <v>300</v>
      </c>
      <c r="L83" s="494"/>
      <c r="M83" s="494">
        <v>300</v>
      </c>
      <c r="N83" s="494">
        <f t="shared" si="21"/>
        <v>0</v>
      </c>
      <c r="O83" s="494"/>
      <c r="P83" s="495">
        <f t="shared" si="22"/>
        <v>0</v>
      </c>
      <c r="Q83" s="494"/>
      <c r="R83" s="494"/>
      <c r="S83" s="494"/>
      <c r="T83" s="494"/>
      <c r="U83" s="494">
        <f t="shared" si="14"/>
        <v>0</v>
      </c>
      <c r="V83" s="494"/>
      <c r="W83" s="494"/>
      <c r="X83" s="494">
        <f t="shared" si="17"/>
        <v>0</v>
      </c>
      <c r="Y83" s="494"/>
      <c r="Z83" s="494"/>
      <c r="AA83" s="494"/>
      <c r="AB83" s="496">
        <f t="shared" si="18"/>
        <v>0</v>
      </c>
      <c r="AC83" s="496"/>
      <c r="AD83" s="496"/>
      <c r="AE83" s="496">
        <f t="shared" ref="AE83:AE112" si="23">U83/K83%</f>
        <v>0</v>
      </c>
    </row>
    <row r="84" spans="1:31" s="447" customFormat="1" ht="38.25" customHeight="1">
      <c r="A84" s="448" t="s">
        <v>1069</v>
      </c>
      <c r="B84" s="516" t="s">
        <v>1070</v>
      </c>
      <c r="C84" s="494">
        <f t="shared" si="19"/>
        <v>700</v>
      </c>
      <c r="D84" s="494"/>
      <c r="E84" s="494">
        <v>0</v>
      </c>
      <c r="F84" s="494"/>
      <c r="G84" s="494"/>
      <c r="H84" s="494"/>
      <c r="I84" s="494"/>
      <c r="J84" s="494"/>
      <c r="K84" s="494">
        <f t="shared" si="20"/>
        <v>700</v>
      </c>
      <c r="L84" s="494"/>
      <c r="M84" s="494">
        <v>700</v>
      </c>
      <c r="N84" s="494">
        <f t="shared" si="21"/>
        <v>0</v>
      </c>
      <c r="O84" s="494"/>
      <c r="P84" s="495">
        <f t="shared" si="22"/>
        <v>0</v>
      </c>
      <c r="Q84" s="494"/>
      <c r="R84" s="494"/>
      <c r="S84" s="494"/>
      <c r="T84" s="494"/>
      <c r="U84" s="494">
        <f t="shared" si="14"/>
        <v>0</v>
      </c>
      <c r="V84" s="494"/>
      <c r="W84" s="494"/>
      <c r="X84" s="494">
        <f t="shared" si="17"/>
        <v>0</v>
      </c>
      <c r="Y84" s="494"/>
      <c r="Z84" s="494"/>
      <c r="AA84" s="494"/>
      <c r="AB84" s="496">
        <f t="shared" si="18"/>
        <v>0</v>
      </c>
      <c r="AC84" s="496"/>
      <c r="AD84" s="496"/>
      <c r="AE84" s="496">
        <f t="shared" si="23"/>
        <v>0</v>
      </c>
    </row>
    <row r="85" spans="1:31" s="447" customFormat="1" ht="24.75" customHeight="1">
      <c r="A85" s="445" t="s">
        <v>1071</v>
      </c>
      <c r="B85" s="516" t="s">
        <v>452</v>
      </c>
      <c r="C85" s="494">
        <f t="shared" si="19"/>
        <v>303</v>
      </c>
      <c r="D85" s="494"/>
      <c r="E85" s="494">
        <v>0</v>
      </c>
      <c r="F85" s="494"/>
      <c r="G85" s="494"/>
      <c r="H85" s="494"/>
      <c r="I85" s="494"/>
      <c r="J85" s="494"/>
      <c r="K85" s="494">
        <f t="shared" si="20"/>
        <v>303</v>
      </c>
      <c r="L85" s="494"/>
      <c r="M85" s="494">
        <v>303</v>
      </c>
      <c r="N85" s="494">
        <f t="shared" si="21"/>
        <v>0</v>
      </c>
      <c r="O85" s="494"/>
      <c r="P85" s="495">
        <f t="shared" si="22"/>
        <v>0</v>
      </c>
      <c r="Q85" s="494"/>
      <c r="R85" s="494"/>
      <c r="S85" s="494"/>
      <c r="T85" s="494"/>
      <c r="U85" s="494">
        <f t="shared" si="14"/>
        <v>0</v>
      </c>
      <c r="V85" s="494"/>
      <c r="W85" s="494"/>
      <c r="X85" s="494">
        <f t="shared" si="17"/>
        <v>0</v>
      </c>
      <c r="Y85" s="494"/>
      <c r="Z85" s="494"/>
      <c r="AA85" s="494"/>
      <c r="AB85" s="496">
        <f t="shared" si="18"/>
        <v>0</v>
      </c>
      <c r="AC85" s="496"/>
      <c r="AD85" s="496"/>
      <c r="AE85" s="496">
        <f t="shared" si="23"/>
        <v>0</v>
      </c>
    </row>
    <row r="86" spans="1:31" s="447" customFormat="1" ht="42" customHeight="1">
      <c r="A86" s="448" t="s">
        <v>1072</v>
      </c>
      <c r="B86" s="516" t="s">
        <v>451</v>
      </c>
      <c r="C86" s="494">
        <f t="shared" si="19"/>
        <v>11416</v>
      </c>
      <c r="D86" s="494"/>
      <c r="E86" s="494">
        <v>11416</v>
      </c>
      <c r="F86" s="494"/>
      <c r="G86" s="494">
        <f>321+81+2157+2924+292+3040+2601</f>
        <v>11416</v>
      </c>
      <c r="H86" s="494"/>
      <c r="I86" s="494"/>
      <c r="J86" s="494"/>
      <c r="K86" s="494">
        <f t="shared" si="20"/>
        <v>0</v>
      </c>
      <c r="L86" s="494"/>
      <c r="M86" s="494"/>
      <c r="N86" s="494">
        <f t="shared" si="21"/>
        <v>11540</v>
      </c>
      <c r="O86" s="494"/>
      <c r="P86" s="495">
        <f t="shared" si="22"/>
        <v>11540</v>
      </c>
      <c r="Q86" s="494"/>
      <c r="R86" s="494">
        <v>11540</v>
      </c>
      <c r="S86" s="494"/>
      <c r="T86" s="494"/>
      <c r="U86" s="494">
        <f t="shared" si="14"/>
        <v>0</v>
      </c>
      <c r="V86" s="494"/>
      <c r="W86" s="494"/>
      <c r="X86" s="494">
        <f t="shared" si="17"/>
        <v>0</v>
      </c>
      <c r="Y86" s="494"/>
      <c r="Z86" s="494"/>
      <c r="AA86" s="494"/>
      <c r="AB86" s="496"/>
      <c r="AC86" s="496"/>
      <c r="AD86" s="496">
        <f t="shared" ref="AD86:AD100" si="24">P86/E86%</f>
        <v>101.08619481429572</v>
      </c>
      <c r="AE86" s="496"/>
    </row>
    <row r="87" spans="1:31" s="447" customFormat="1" ht="24.75" customHeight="1">
      <c r="A87" s="445" t="s">
        <v>1073</v>
      </c>
      <c r="B87" s="516" t="s">
        <v>1074</v>
      </c>
      <c r="C87" s="494">
        <f t="shared" si="19"/>
        <v>0</v>
      </c>
      <c r="D87" s="494"/>
      <c r="E87" s="494">
        <v>0</v>
      </c>
      <c r="F87" s="494"/>
      <c r="G87" s="494"/>
      <c r="H87" s="494"/>
      <c r="I87" s="494"/>
      <c r="J87" s="494"/>
      <c r="K87" s="494">
        <f t="shared" si="20"/>
        <v>0</v>
      </c>
      <c r="L87" s="494"/>
      <c r="M87" s="494"/>
      <c r="N87" s="494">
        <f t="shared" si="21"/>
        <v>36457</v>
      </c>
      <c r="O87" s="494"/>
      <c r="P87" s="495">
        <f t="shared" si="22"/>
        <v>36457</v>
      </c>
      <c r="Q87" s="494"/>
      <c r="R87" s="494">
        <v>36457</v>
      </c>
      <c r="S87" s="494"/>
      <c r="T87" s="494"/>
      <c r="U87" s="494">
        <f t="shared" si="14"/>
        <v>0</v>
      </c>
      <c r="V87" s="494"/>
      <c r="W87" s="494"/>
      <c r="X87" s="494">
        <f t="shared" si="17"/>
        <v>0</v>
      </c>
      <c r="Y87" s="494"/>
      <c r="Z87" s="494"/>
      <c r="AA87" s="494"/>
      <c r="AB87" s="496"/>
      <c r="AC87" s="496"/>
      <c r="AD87" s="496"/>
      <c r="AE87" s="496"/>
    </row>
    <row r="88" spans="1:31" s="447" customFormat="1" ht="24.75" customHeight="1">
      <c r="A88" s="448" t="s">
        <v>1075</v>
      </c>
      <c r="B88" s="516" t="s">
        <v>1076</v>
      </c>
      <c r="C88" s="494">
        <f t="shared" si="19"/>
        <v>34113</v>
      </c>
      <c r="D88" s="494"/>
      <c r="E88" s="494">
        <v>34113</v>
      </c>
      <c r="F88" s="494"/>
      <c r="G88" s="494">
        <v>34113</v>
      </c>
      <c r="H88" s="494"/>
      <c r="I88" s="494"/>
      <c r="J88" s="494"/>
      <c r="K88" s="494">
        <f t="shared" si="20"/>
        <v>0</v>
      </c>
      <c r="L88" s="494"/>
      <c r="M88" s="494"/>
      <c r="N88" s="494">
        <f t="shared" si="21"/>
        <v>53117</v>
      </c>
      <c r="O88" s="494"/>
      <c r="P88" s="495">
        <f t="shared" si="22"/>
        <v>53117</v>
      </c>
      <c r="Q88" s="494"/>
      <c r="R88" s="494">
        <v>53117</v>
      </c>
      <c r="S88" s="494"/>
      <c r="T88" s="494"/>
      <c r="U88" s="494">
        <f t="shared" si="14"/>
        <v>0</v>
      </c>
      <c r="V88" s="494"/>
      <c r="W88" s="494"/>
      <c r="X88" s="494">
        <f t="shared" si="17"/>
        <v>0</v>
      </c>
      <c r="Y88" s="494"/>
      <c r="Z88" s="494"/>
      <c r="AA88" s="494"/>
      <c r="AB88" s="496">
        <f>N88/C88%</f>
        <v>155.70896725588486</v>
      </c>
      <c r="AC88" s="496"/>
      <c r="AD88" s="496">
        <f t="shared" si="24"/>
        <v>155.70896725588486</v>
      </c>
      <c r="AE88" s="496"/>
    </row>
    <row r="89" spans="1:31" s="447" customFormat="1" ht="24.75" customHeight="1">
      <c r="A89" s="445" t="s">
        <v>1077</v>
      </c>
      <c r="B89" s="517" t="s">
        <v>1078</v>
      </c>
      <c r="C89" s="494">
        <f t="shared" si="19"/>
        <v>84145</v>
      </c>
      <c r="D89" s="494"/>
      <c r="E89" s="494">
        <v>84145</v>
      </c>
      <c r="F89" s="494"/>
      <c r="G89" s="494">
        <v>84145</v>
      </c>
      <c r="H89" s="494"/>
      <c r="I89" s="494"/>
      <c r="J89" s="494"/>
      <c r="K89" s="494">
        <f t="shared" si="20"/>
        <v>0</v>
      </c>
      <c r="L89" s="494"/>
      <c r="M89" s="494"/>
      <c r="N89" s="494">
        <f t="shared" si="21"/>
        <v>234220</v>
      </c>
      <c r="O89" s="494"/>
      <c r="P89" s="495">
        <f t="shared" si="22"/>
        <v>234220</v>
      </c>
      <c r="Q89" s="494"/>
      <c r="R89" s="494">
        <v>234220</v>
      </c>
      <c r="S89" s="494"/>
      <c r="T89" s="494"/>
      <c r="U89" s="494">
        <f t="shared" si="14"/>
        <v>0</v>
      </c>
      <c r="V89" s="494"/>
      <c r="W89" s="494"/>
      <c r="X89" s="494">
        <f t="shared" si="17"/>
        <v>0</v>
      </c>
      <c r="Y89" s="494"/>
      <c r="Z89" s="494"/>
      <c r="AA89" s="494"/>
      <c r="AB89" s="496"/>
      <c r="AC89" s="496"/>
      <c r="AD89" s="496">
        <f t="shared" si="24"/>
        <v>278.3528433061976</v>
      </c>
      <c r="AE89" s="496"/>
    </row>
    <row r="90" spans="1:31" s="447" customFormat="1" ht="24.75" customHeight="1">
      <c r="A90" s="448" t="s">
        <v>1079</v>
      </c>
      <c r="B90" s="516" t="s">
        <v>1080</v>
      </c>
      <c r="C90" s="494">
        <f t="shared" si="19"/>
        <v>0</v>
      </c>
      <c r="D90" s="494"/>
      <c r="E90" s="494">
        <v>0</v>
      </c>
      <c r="F90" s="494"/>
      <c r="G90" s="494"/>
      <c r="H90" s="494"/>
      <c r="I90" s="494"/>
      <c r="J90" s="494"/>
      <c r="K90" s="494">
        <f t="shared" si="20"/>
        <v>0</v>
      </c>
      <c r="L90" s="494"/>
      <c r="M90" s="494"/>
      <c r="N90" s="494">
        <f t="shared" si="21"/>
        <v>119</v>
      </c>
      <c r="O90" s="494">
        <v>119</v>
      </c>
      <c r="P90" s="495">
        <f t="shared" si="22"/>
        <v>0</v>
      </c>
      <c r="Q90" s="494"/>
      <c r="R90" s="494"/>
      <c r="S90" s="494"/>
      <c r="T90" s="494"/>
      <c r="U90" s="494">
        <f t="shared" si="14"/>
        <v>0</v>
      </c>
      <c r="V90" s="494"/>
      <c r="W90" s="494"/>
      <c r="X90" s="494">
        <f t="shared" si="17"/>
        <v>0</v>
      </c>
      <c r="Y90" s="494"/>
      <c r="Z90" s="494"/>
      <c r="AA90" s="494"/>
      <c r="AB90" s="496"/>
      <c r="AC90" s="496"/>
      <c r="AD90" s="496"/>
      <c r="AE90" s="496"/>
    </row>
    <row r="91" spans="1:31" s="447" customFormat="1" ht="24.75" customHeight="1">
      <c r="A91" s="445" t="s">
        <v>1081</v>
      </c>
      <c r="B91" s="516" t="s">
        <v>336</v>
      </c>
      <c r="C91" s="494">
        <f t="shared" si="19"/>
        <v>50</v>
      </c>
      <c r="D91" s="494"/>
      <c r="E91" s="494">
        <v>50</v>
      </c>
      <c r="F91" s="494"/>
      <c r="G91" s="494">
        <v>50</v>
      </c>
      <c r="H91" s="494"/>
      <c r="I91" s="494"/>
      <c r="J91" s="494"/>
      <c r="K91" s="494">
        <f t="shared" si="20"/>
        <v>0</v>
      </c>
      <c r="L91" s="494"/>
      <c r="M91" s="494"/>
      <c r="N91" s="494">
        <f t="shared" si="21"/>
        <v>50</v>
      </c>
      <c r="O91" s="494">
        <v>50</v>
      </c>
      <c r="P91" s="495">
        <f t="shared" si="22"/>
        <v>0</v>
      </c>
      <c r="Q91" s="494"/>
      <c r="R91" s="494"/>
      <c r="S91" s="494"/>
      <c r="T91" s="494"/>
      <c r="U91" s="494">
        <f t="shared" si="14"/>
        <v>0</v>
      </c>
      <c r="V91" s="494"/>
      <c r="W91" s="494"/>
      <c r="X91" s="494">
        <f t="shared" si="17"/>
        <v>0</v>
      </c>
      <c r="Y91" s="494"/>
      <c r="Z91" s="494"/>
      <c r="AA91" s="494"/>
      <c r="AB91" s="496"/>
      <c r="AC91" s="496"/>
      <c r="AD91" s="496">
        <f t="shared" si="24"/>
        <v>0</v>
      </c>
      <c r="AE91" s="496"/>
    </row>
    <row r="92" spans="1:31" s="447" customFormat="1" ht="24.75" customHeight="1">
      <c r="A92" s="448" t="s">
        <v>1082</v>
      </c>
      <c r="B92" s="516" t="s">
        <v>708</v>
      </c>
      <c r="C92" s="494">
        <f t="shared" si="19"/>
        <v>14378</v>
      </c>
      <c r="D92" s="494"/>
      <c r="E92" s="494">
        <v>14378</v>
      </c>
      <c r="F92" s="494"/>
      <c r="G92" s="494">
        <v>14378</v>
      </c>
      <c r="H92" s="494"/>
      <c r="I92" s="494"/>
      <c r="J92" s="494"/>
      <c r="K92" s="494">
        <f t="shared" si="20"/>
        <v>0</v>
      </c>
      <c r="L92" s="494"/>
      <c r="M92" s="494"/>
      <c r="N92" s="494">
        <f t="shared" si="21"/>
        <v>0</v>
      </c>
      <c r="O92" s="494"/>
      <c r="P92" s="495">
        <f t="shared" si="22"/>
        <v>0</v>
      </c>
      <c r="Q92" s="494"/>
      <c r="R92" s="494"/>
      <c r="S92" s="494"/>
      <c r="T92" s="494"/>
      <c r="U92" s="494">
        <f t="shared" si="14"/>
        <v>0</v>
      </c>
      <c r="V92" s="494"/>
      <c r="W92" s="494"/>
      <c r="X92" s="494">
        <f t="shared" si="17"/>
        <v>0</v>
      </c>
      <c r="Y92" s="494"/>
      <c r="Z92" s="494"/>
      <c r="AA92" s="494"/>
      <c r="AB92" s="496">
        <f>N92/C92%</f>
        <v>0</v>
      </c>
      <c r="AC92" s="496"/>
      <c r="AD92" s="496">
        <f t="shared" si="24"/>
        <v>0</v>
      </c>
      <c r="AE92" s="496"/>
    </row>
    <row r="93" spans="1:31" s="447" customFormat="1" ht="24.75" customHeight="1">
      <c r="A93" s="445" t="s">
        <v>1083</v>
      </c>
      <c r="B93" s="516" t="s">
        <v>746</v>
      </c>
      <c r="C93" s="494">
        <f t="shared" si="19"/>
        <v>927</v>
      </c>
      <c r="D93" s="494"/>
      <c r="E93" s="494">
        <v>927</v>
      </c>
      <c r="F93" s="494"/>
      <c r="G93" s="494">
        <v>927</v>
      </c>
      <c r="H93" s="494"/>
      <c r="I93" s="494"/>
      <c r="J93" s="494"/>
      <c r="K93" s="494">
        <f t="shared" si="20"/>
        <v>0</v>
      </c>
      <c r="L93" s="494"/>
      <c r="M93" s="494"/>
      <c r="N93" s="494">
        <f t="shared" si="21"/>
        <v>0</v>
      </c>
      <c r="O93" s="494"/>
      <c r="P93" s="495">
        <f t="shared" si="22"/>
        <v>0</v>
      </c>
      <c r="Q93" s="494"/>
      <c r="R93" s="494"/>
      <c r="S93" s="494"/>
      <c r="T93" s="494"/>
      <c r="U93" s="494">
        <f t="shared" si="14"/>
        <v>0</v>
      </c>
      <c r="V93" s="494"/>
      <c r="W93" s="494"/>
      <c r="X93" s="494">
        <f t="shared" si="17"/>
        <v>0</v>
      </c>
      <c r="Y93" s="494"/>
      <c r="Z93" s="494"/>
      <c r="AA93" s="494"/>
      <c r="AB93" s="496">
        <f t="shared" ref="AB93:AC108" si="25">N93/C93%</f>
        <v>0</v>
      </c>
      <c r="AC93" s="496"/>
      <c r="AD93" s="496">
        <f t="shared" si="24"/>
        <v>0</v>
      </c>
      <c r="AE93" s="496"/>
    </row>
    <row r="94" spans="1:31" s="447" customFormat="1" ht="24.75" customHeight="1">
      <c r="A94" s="448" t="s">
        <v>1084</v>
      </c>
      <c r="B94" s="516" t="s">
        <v>449</v>
      </c>
      <c r="C94" s="494">
        <f t="shared" si="19"/>
        <v>4709</v>
      </c>
      <c r="D94" s="494"/>
      <c r="E94" s="494">
        <v>4709</v>
      </c>
      <c r="F94" s="494"/>
      <c r="G94" s="494">
        <v>4709</v>
      </c>
      <c r="H94" s="494"/>
      <c r="I94" s="494"/>
      <c r="J94" s="494"/>
      <c r="K94" s="494">
        <f t="shared" si="20"/>
        <v>0</v>
      </c>
      <c r="L94" s="494"/>
      <c r="M94" s="494"/>
      <c r="N94" s="494">
        <f t="shared" si="21"/>
        <v>0</v>
      </c>
      <c r="O94" s="494"/>
      <c r="P94" s="495">
        <f t="shared" si="22"/>
        <v>0</v>
      </c>
      <c r="Q94" s="494"/>
      <c r="R94" s="494"/>
      <c r="S94" s="494"/>
      <c r="T94" s="494"/>
      <c r="U94" s="494">
        <f t="shared" si="14"/>
        <v>0</v>
      </c>
      <c r="V94" s="494"/>
      <c r="W94" s="494"/>
      <c r="X94" s="494">
        <f t="shared" si="17"/>
        <v>0</v>
      </c>
      <c r="Y94" s="494"/>
      <c r="Z94" s="494"/>
      <c r="AA94" s="494"/>
      <c r="AB94" s="496">
        <f t="shared" si="25"/>
        <v>0</v>
      </c>
      <c r="AC94" s="496"/>
      <c r="AD94" s="496">
        <f t="shared" si="24"/>
        <v>0</v>
      </c>
      <c r="AE94" s="496"/>
    </row>
    <row r="95" spans="1:31" s="447" customFormat="1" ht="24.75" customHeight="1">
      <c r="A95" s="445" t="s">
        <v>1085</v>
      </c>
      <c r="B95" s="516" t="s">
        <v>1086</v>
      </c>
      <c r="C95" s="494">
        <f t="shared" si="19"/>
        <v>5450</v>
      </c>
      <c r="D95" s="494"/>
      <c r="E95" s="494">
        <v>5450</v>
      </c>
      <c r="F95" s="494"/>
      <c r="G95" s="494">
        <v>5450</v>
      </c>
      <c r="H95" s="494"/>
      <c r="I95" s="494"/>
      <c r="J95" s="494"/>
      <c r="K95" s="494">
        <f t="shared" si="20"/>
        <v>0</v>
      </c>
      <c r="L95" s="494"/>
      <c r="M95" s="494"/>
      <c r="N95" s="494">
        <f t="shared" si="21"/>
        <v>0</v>
      </c>
      <c r="O95" s="494"/>
      <c r="P95" s="495">
        <f t="shared" si="22"/>
        <v>0</v>
      </c>
      <c r="Q95" s="494"/>
      <c r="R95" s="494"/>
      <c r="S95" s="494"/>
      <c r="T95" s="494"/>
      <c r="U95" s="494">
        <f t="shared" si="14"/>
        <v>0</v>
      </c>
      <c r="V95" s="494"/>
      <c r="W95" s="494"/>
      <c r="X95" s="494">
        <f t="shared" si="17"/>
        <v>0</v>
      </c>
      <c r="Y95" s="494"/>
      <c r="Z95" s="494"/>
      <c r="AA95" s="494"/>
      <c r="AB95" s="496">
        <f t="shared" si="25"/>
        <v>0</v>
      </c>
      <c r="AC95" s="496"/>
      <c r="AD95" s="496">
        <f t="shared" si="24"/>
        <v>0</v>
      </c>
      <c r="AE95" s="496"/>
    </row>
    <row r="96" spans="1:31" s="447" customFormat="1" ht="24.75" customHeight="1">
      <c r="A96" s="448" t="s">
        <v>1087</v>
      </c>
      <c r="B96" s="516" t="s">
        <v>1088</v>
      </c>
      <c r="C96" s="494">
        <f t="shared" si="19"/>
        <v>8318</v>
      </c>
      <c r="D96" s="494"/>
      <c r="E96" s="494">
        <v>8318</v>
      </c>
      <c r="F96" s="494"/>
      <c r="G96" s="494">
        <v>8318</v>
      </c>
      <c r="H96" s="494"/>
      <c r="I96" s="494"/>
      <c r="J96" s="494"/>
      <c r="K96" s="494">
        <f t="shared" si="20"/>
        <v>0</v>
      </c>
      <c r="L96" s="494"/>
      <c r="M96" s="494"/>
      <c r="N96" s="494">
        <f t="shared" si="21"/>
        <v>0</v>
      </c>
      <c r="O96" s="494"/>
      <c r="P96" s="495">
        <f t="shared" si="22"/>
        <v>0</v>
      </c>
      <c r="Q96" s="494"/>
      <c r="R96" s="494"/>
      <c r="S96" s="494"/>
      <c r="T96" s="494"/>
      <c r="U96" s="494">
        <f t="shared" si="14"/>
        <v>0</v>
      </c>
      <c r="V96" s="494"/>
      <c r="W96" s="494"/>
      <c r="X96" s="494">
        <f t="shared" si="17"/>
        <v>0</v>
      </c>
      <c r="Y96" s="494"/>
      <c r="Z96" s="494"/>
      <c r="AA96" s="494"/>
      <c r="AB96" s="496">
        <f t="shared" si="25"/>
        <v>0</v>
      </c>
      <c r="AC96" s="496"/>
      <c r="AD96" s="496">
        <f t="shared" si="24"/>
        <v>0</v>
      </c>
      <c r="AE96" s="496"/>
    </row>
    <row r="97" spans="1:38" s="447" customFormat="1" ht="37.5" customHeight="1">
      <c r="A97" s="445" t="s">
        <v>1089</v>
      </c>
      <c r="B97" s="516" t="s">
        <v>448</v>
      </c>
      <c r="C97" s="494">
        <f t="shared" si="19"/>
        <v>4356</v>
      </c>
      <c r="D97" s="494"/>
      <c r="E97" s="494">
        <v>4356</v>
      </c>
      <c r="F97" s="494"/>
      <c r="G97" s="494">
        <v>4356</v>
      </c>
      <c r="H97" s="494"/>
      <c r="I97" s="494"/>
      <c r="J97" s="494"/>
      <c r="K97" s="494">
        <f t="shared" si="20"/>
        <v>0</v>
      </c>
      <c r="L97" s="494"/>
      <c r="M97" s="494"/>
      <c r="N97" s="494">
        <f t="shared" si="21"/>
        <v>0</v>
      </c>
      <c r="O97" s="494"/>
      <c r="P97" s="495">
        <f t="shared" si="22"/>
        <v>0</v>
      </c>
      <c r="Q97" s="494"/>
      <c r="R97" s="494"/>
      <c r="S97" s="494"/>
      <c r="T97" s="494"/>
      <c r="U97" s="494">
        <f t="shared" si="14"/>
        <v>0</v>
      </c>
      <c r="V97" s="494"/>
      <c r="W97" s="494"/>
      <c r="X97" s="494">
        <f t="shared" si="17"/>
        <v>0</v>
      </c>
      <c r="Y97" s="494"/>
      <c r="Z97" s="494"/>
      <c r="AA97" s="494"/>
      <c r="AB97" s="496">
        <f t="shared" si="25"/>
        <v>0</v>
      </c>
      <c r="AC97" s="496"/>
      <c r="AD97" s="496">
        <f t="shared" si="24"/>
        <v>0</v>
      </c>
      <c r="AE97" s="496"/>
      <c r="AI97" s="36"/>
      <c r="AJ97" s="36"/>
      <c r="AK97" s="36"/>
      <c r="AL97" s="36"/>
    </row>
    <row r="98" spans="1:38" s="447" customFormat="1" ht="24.75" customHeight="1">
      <c r="A98" s="448" t="s">
        <v>1090</v>
      </c>
      <c r="B98" s="516" t="s">
        <v>1091</v>
      </c>
      <c r="C98" s="494">
        <f t="shared" si="19"/>
        <v>333</v>
      </c>
      <c r="D98" s="494"/>
      <c r="E98" s="494">
        <v>333</v>
      </c>
      <c r="F98" s="494"/>
      <c r="G98" s="494">
        <v>333</v>
      </c>
      <c r="H98" s="494"/>
      <c r="I98" s="494"/>
      <c r="J98" s="494"/>
      <c r="K98" s="494">
        <f t="shared" si="20"/>
        <v>0</v>
      </c>
      <c r="L98" s="494"/>
      <c r="M98" s="494"/>
      <c r="N98" s="494">
        <f t="shared" si="21"/>
        <v>0</v>
      </c>
      <c r="O98" s="494"/>
      <c r="P98" s="495">
        <f t="shared" si="22"/>
        <v>0</v>
      </c>
      <c r="Q98" s="494"/>
      <c r="R98" s="494"/>
      <c r="S98" s="494"/>
      <c r="T98" s="494"/>
      <c r="U98" s="494">
        <f t="shared" si="14"/>
        <v>0</v>
      </c>
      <c r="V98" s="494"/>
      <c r="W98" s="494"/>
      <c r="X98" s="494">
        <f t="shared" si="17"/>
        <v>0</v>
      </c>
      <c r="Y98" s="494"/>
      <c r="Z98" s="494"/>
      <c r="AA98" s="494"/>
      <c r="AB98" s="496">
        <f t="shared" si="25"/>
        <v>0</v>
      </c>
      <c r="AC98" s="496"/>
      <c r="AD98" s="496">
        <f t="shared" si="24"/>
        <v>0</v>
      </c>
      <c r="AE98" s="496"/>
      <c r="AI98" s="37"/>
      <c r="AJ98" s="37"/>
      <c r="AK98" s="37"/>
      <c r="AL98" s="37"/>
    </row>
    <row r="99" spans="1:38" s="447" customFormat="1" ht="24.75" customHeight="1">
      <c r="A99" s="445" t="s">
        <v>1092</v>
      </c>
      <c r="B99" s="516" t="s">
        <v>1093</v>
      </c>
      <c r="C99" s="494">
        <f t="shared" si="19"/>
        <v>2784</v>
      </c>
      <c r="D99" s="494"/>
      <c r="E99" s="494">
        <v>2784</v>
      </c>
      <c r="F99" s="494"/>
      <c r="G99" s="494">
        <v>2784</v>
      </c>
      <c r="H99" s="494"/>
      <c r="I99" s="494"/>
      <c r="J99" s="494"/>
      <c r="K99" s="494">
        <f t="shared" si="20"/>
        <v>0</v>
      </c>
      <c r="L99" s="494"/>
      <c r="M99" s="494"/>
      <c r="N99" s="494">
        <f t="shared" si="21"/>
        <v>0</v>
      </c>
      <c r="O99" s="494"/>
      <c r="P99" s="495">
        <f t="shared" si="22"/>
        <v>0</v>
      </c>
      <c r="Q99" s="494"/>
      <c r="R99" s="494"/>
      <c r="S99" s="494"/>
      <c r="T99" s="494"/>
      <c r="U99" s="494">
        <f t="shared" si="14"/>
        <v>0</v>
      </c>
      <c r="V99" s="494"/>
      <c r="W99" s="494"/>
      <c r="X99" s="494">
        <f t="shared" si="17"/>
        <v>0</v>
      </c>
      <c r="Y99" s="494"/>
      <c r="Z99" s="494"/>
      <c r="AA99" s="494"/>
      <c r="AB99" s="496">
        <f t="shared" si="25"/>
        <v>0</v>
      </c>
      <c r="AC99" s="496"/>
      <c r="AD99" s="496">
        <f t="shared" si="24"/>
        <v>0</v>
      </c>
      <c r="AE99" s="496"/>
      <c r="AI99" s="37"/>
      <c r="AJ99" s="37"/>
      <c r="AK99" s="37"/>
      <c r="AL99" s="37"/>
    </row>
    <row r="100" spans="1:38" s="447" customFormat="1" ht="37.5" customHeight="1">
      <c r="A100" s="448">
        <v>88</v>
      </c>
      <c r="B100" s="516" t="s">
        <v>1094</v>
      </c>
      <c r="C100" s="494">
        <f t="shared" si="19"/>
        <v>2535</v>
      </c>
      <c r="D100" s="494"/>
      <c r="E100" s="494">
        <v>2535</v>
      </c>
      <c r="F100" s="494"/>
      <c r="G100" s="494">
        <v>2535</v>
      </c>
      <c r="H100" s="494"/>
      <c r="I100" s="494"/>
      <c r="J100" s="494"/>
      <c r="K100" s="494">
        <f t="shared" si="20"/>
        <v>0</v>
      </c>
      <c r="L100" s="494"/>
      <c r="M100" s="494"/>
      <c r="N100" s="494">
        <f t="shared" si="21"/>
        <v>0</v>
      </c>
      <c r="O100" s="494"/>
      <c r="P100" s="495">
        <f t="shared" si="22"/>
        <v>0</v>
      </c>
      <c r="Q100" s="494"/>
      <c r="R100" s="494"/>
      <c r="S100" s="494"/>
      <c r="T100" s="494"/>
      <c r="U100" s="494">
        <f t="shared" si="14"/>
        <v>0</v>
      </c>
      <c r="V100" s="494"/>
      <c r="W100" s="494"/>
      <c r="X100" s="494">
        <f t="shared" si="17"/>
        <v>0</v>
      </c>
      <c r="Y100" s="494"/>
      <c r="Z100" s="494"/>
      <c r="AA100" s="494"/>
      <c r="AB100" s="496">
        <f t="shared" si="25"/>
        <v>0</v>
      </c>
      <c r="AC100" s="496"/>
      <c r="AD100" s="496">
        <f t="shared" si="24"/>
        <v>0</v>
      </c>
      <c r="AE100" s="496"/>
      <c r="AI100" s="37"/>
      <c r="AJ100" s="37"/>
      <c r="AK100" s="37"/>
      <c r="AL100" s="37"/>
    </row>
    <row r="101" spans="1:38" s="36" customFormat="1" ht="58.5" customHeight="1">
      <c r="A101" s="518" t="s">
        <v>453</v>
      </c>
      <c r="B101" s="519" t="s">
        <v>1108</v>
      </c>
      <c r="C101" s="491">
        <f t="shared" si="19"/>
        <v>425204.495</v>
      </c>
      <c r="D101" s="491">
        <f>SUM(D102:D112)</f>
        <v>316602.495</v>
      </c>
      <c r="E101" s="491">
        <f t="shared" ref="E101" si="26">SUM(E102:E111)</f>
        <v>0</v>
      </c>
      <c r="F101" s="491"/>
      <c r="G101" s="491"/>
      <c r="H101" s="491"/>
      <c r="I101" s="491">
        <f>SUM(I102:I111)</f>
        <v>0</v>
      </c>
      <c r="J101" s="491">
        <f>SUM(J102:J111)</f>
        <v>0</v>
      </c>
      <c r="K101" s="491">
        <f t="shared" si="20"/>
        <v>108602</v>
      </c>
      <c r="L101" s="491">
        <f>SUM(L102:L112)</f>
        <v>108602</v>
      </c>
      <c r="M101" s="491">
        <f>SUM(M102:M111)</f>
        <v>0</v>
      </c>
      <c r="N101" s="491">
        <f>O101+P101+S101+T101+U101</f>
        <v>441226.3848130001</v>
      </c>
      <c r="O101" s="491">
        <f>SUM(O102:O112)</f>
        <v>376085.51857000007</v>
      </c>
      <c r="P101" s="491">
        <f>SUM(P102:P112)</f>
        <v>0</v>
      </c>
      <c r="Q101" s="491">
        <f t="shared" ref="Q101:U101" si="27">SUM(Q102:Q111)</f>
        <v>0</v>
      </c>
      <c r="R101" s="491">
        <f t="shared" si="27"/>
        <v>0</v>
      </c>
      <c r="S101" s="491">
        <f t="shared" si="27"/>
        <v>0</v>
      </c>
      <c r="T101" s="491">
        <f t="shared" si="27"/>
        <v>0</v>
      </c>
      <c r="U101" s="491">
        <f t="shared" si="27"/>
        <v>65140.866242999997</v>
      </c>
      <c r="V101" s="491">
        <f>SUM(V102:V112)</f>
        <v>65140.866242999997</v>
      </c>
      <c r="W101" s="491">
        <f t="shared" ref="W101:Z101" si="28">SUM(W102:W112)</f>
        <v>0</v>
      </c>
      <c r="X101" s="491">
        <f t="shared" si="28"/>
        <v>0</v>
      </c>
      <c r="Y101" s="491">
        <f t="shared" si="28"/>
        <v>0</v>
      </c>
      <c r="Z101" s="491">
        <f t="shared" si="28"/>
        <v>0</v>
      </c>
      <c r="AA101" s="491"/>
      <c r="AB101" s="493">
        <f t="shared" si="25"/>
        <v>103.76804337710497</v>
      </c>
      <c r="AC101" s="493">
        <f t="shared" si="15"/>
        <v>118.78792002886777</v>
      </c>
      <c r="AD101" s="493"/>
      <c r="AE101" s="493">
        <f t="shared" si="23"/>
        <v>59.981276811660926</v>
      </c>
    </row>
    <row r="102" spans="1:38" s="37" customFormat="1">
      <c r="A102" s="520" t="s">
        <v>318</v>
      </c>
      <c r="B102" s="521" t="s">
        <v>454</v>
      </c>
      <c r="C102" s="494">
        <f t="shared" si="19"/>
        <v>4989</v>
      </c>
      <c r="D102" s="495">
        <v>4989</v>
      </c>
      <c r="E102" s="495"/>
      <c r="F102" s="495"/>
      <c r="G102" s="495"/>
      <c r="H102" s="495"/>
      <c r="I102" s="495"/>
      <c r="J102" s="495"/>
      <c r="K102" s="494">
        <f t="shared" si="20"/>
        <v>0</v>
      </c>
      <c r="L102" s="495"/>
      <c r="M102" s="495"/>
      <c r="N102" s="494">
        <f t="shared" ref="N102:N109" si="29">O102+P102+S102+T102+U102</f>
        <v>4507.0396500000006</v>
      </c>
      <c r="O102" s="495">
        <v>4507.0396500000006</v>
      </c>
      <c r="P102" s="495"/>
      <c r="Q102" s="495"/>
      <c r="R102" s="495"/>
      <c r="S102" s="495"/>
      <c r="T102" s="495"/>
      <c r="U102" s="494">
        <f t="shared" ref="U102:U111" si="30">V102+W102</f>
        <v>0</v>
      </c>
      <c r="V102" s="495"/>
      <c r="W102" s="495"/>
      <c r="X102" s="494">
        <f t="shared" ref="X102:X111" si="31">Y102+Z102</f>
        <v>0</v>
      </c>
      <c r="Y102" s="494"/>
      <c r="Z102" s="494"/>
      <c r="AA102" s="494"/>
      <c r="AB102" s="496">
        <f t="shared" si="25"/>
        <v>90.339539987973552</v>
      </c>
      <c r="AC102" s="496">
        <f t="shared" si="15"/>
        <v>90.339539987973552</v>
      </c>
      <c r="AD102" s="496"/>
      <c r="AE102" s="496"/>
    </row>
    <row r="103" spans="1:38" s="37" customFormat="1">
      <c r="A103" s="520" t="s">
        <v>319</v>
      </c>
      <c r="B103" s="521" t="s">
        <v>455</v>
      </c>
      <c r="C103" s="494">
        <f t="shared" si="19"/>
        <v>8664</v>
      </c>
      <c r="D103" s="495">
        <v>8664</v>
      </c>
      <c r="E103" s="495"/>
      <c r="F103" s="495"/>
      <c r="G103" s="495"/>
      <c r="H103" s="495"/>
      <c r="I103" s="495"/>
      <c r="J103" s="495"/>
      <c r="K103" s="494">
        <f t="shared" si="20"/>
        <v>0</v>
      </c>
      <c r="L103" s="495"/>
      <c r="M103" s="495"/>
      <c r="N103" s="494">
        <f t="shared" si="29"/>
        <v>15360.733</v>
      </c>
      <c r="O103" s="495">
        <v>15360.733</v>
      </c>
      <c r="P103" s="495"/>
      <c r="Q103" s="495"/>
      <c r="R103" s="495"/>
      <c r="S103" s="495"/>
      <c r="T103" s="495"/>
      <c r="U103" s="494">
        <f t="shared" si="30"/>
        <v>0</v>
      </c>
      <c r="V103" s="495"/>
      <c r="W103" s="495"/>
      <c r="X103" s="494">
        <f t="shared" si="31"/>
        <v>0</v>
      </c>
      <c r="Y103" s="494"/>
      <c r="Z103" s="494"/>
      <c r="AA103" s="494"/>
      <c r="AB103" s="496">
        <f t="shared" si="25"/>
        <v>177.29377885503231</v>
      </c>
      <c r="AC103" s="496">
        <f t="shared" si="15"/>
        <v>177.29377885503231</v>
      </c>
      <c r="AD103" s="496"/>
      <c r="AE103" s="496"/>
    </row>
    <row r="104" spans="1:38" s="37" customFormat="1">
      <c r="A104" s="520" t="s">
        <v>320</v>
      </c>
      <c r="B104" s="521" t="s">
        <v>332</v>
      </c>
      <c r="C104" s="494">
        <f t="shared" si="19"/>
        <v>27837</v>
      </c>
      <c r="D104" s="495">
        <v>1733</v>
      </c>
      <c r="E104" s="495"/>
      <c r="F104" s="495"/>
      <c r="G104" s="495"/>
      <c r="H104" s="495"/>
      <c r="I104" s="495"/>
      <c r="J104" s="495"/>
      <c r="K104" s="494">
        <f t="shared" si="20"/>
        <v>26104</v>
      </c>
      <c r="L104" s="495">
        <f>26104</f>
        <v>26104</v>
      </c>
      <c r="M104" s="495"/>
      <c r="N104" s="494">
        <f t="shared" si="29"/>
        <v>31391.0167</v>
      </c>
      <c r="O104" s="495">
        <v>7271.6796999999988</v>
      </c>
      <c r="P104" s="495"/>
      <c r="Q104" s="495"/>
      <c r="R104" s="495"/>
      <c r="S104" s="495"/>
      <c r="T104" s="495"/>
      <c r="U104" s="494">
        <f t="shared" si="30"/>
        <v>24119.337</v>
      </c>
      <c r="V104" s="495">
        <v>24119.337</v>
      </c>
      <c r="W104" s="495"/>
      <c r="X104" s="494">
        <f t="shared" si="31"/>
        <v>0</v>
      </c>
      <c r="Y104" s="494"/>
      <c r="Z104" s="494"/>
      <c r="AA104" s="494"/>
      <c r="AB104" s="496">
        <f t="shared" si="25"/>
        <v>112.76724036354491</v>
      </c>
      <c r="AC104" s="496">
        <f t="shared" si="15"/>
        <v>419.60067512983261</v>
      </c>
      <c r="AD104" s="496"/>
      <c r="AE104" s="496">
        <f t="shared" si="23"/>
        <v>92.397092399632228</v>
      </c>
    </row>
    <row r="105" spans="1:38" s="37" customFormat="1">
      <c r="A105" s="520" t="s">
        <v>321</v>
      </c>
      <c r="B105" s="521" t="s">
        <v>334</v>
      </c>
      <c r="C105" s="494">
        <f t="shared" si="19"/>
        <v>59466.843000000001</v>
      </c>
      <c r="D105" s="495">
        <v>45066.843000000001</v>
      </c>
      <c r="E105" s="495"/>
      <c r="F105" s="495"/>
      <c r="G105" s="495"/>
      <c r="H105" s="495"/>
      <c r="I105" s="495"/>
      <c r="J105" s="495"/>
      <c r="K105" s="494">
        <f t="shared" si="20"/>
        <v>14400</v>
      </c>
      <c r="L105" s="495">
        <f>14400</f>
        <v>14400</v>
      </c>
      <c r="M105" s="495"/>
      <c r="N105" s="494">
        <f t="shared" si="29"/>
        <v>51771.628000000004</v>
      </c>
      <c r="O105" s="495">
        <v>51553.084000000003</v>
      </c>
      <c r="P105" s="495"/>
      <c r="Q105" s="495"/>
      <c r="R105" s="495"/>
      <c r="S105" s="495"/>
      <c r="T105" s="495"/>
      <c r="U105" s="494">
        <f t="shared" si="30"/>
        <v>218.54399999999998</v>
      </c>
      <c r="V105" s="495">
        <v>218.54399999999998</v>
      </c>
      <c r="W105" s="495"/>
      <c r="X105" s="494">
        <f t="shared" si="31"/>
        <v>0</v>
      </c>
      <c r="Y105" s="494"/>
      <c r="Z105" s="494"/>
      <c r="AA105" s="494"/>
      <c r="AB105" s="496">
        <f t="shared" si="25"/>
        <v>87.0596544027064</v>
      </c>
      <c r="AC105" s="496">
        <f t="shared" si="15"/>
        <v>114.3924902838213</v>
      </c>
      <c r="AD105" s="496"/>
      <c r="AE105" s="496">
        <f t="shared" si="23"/>
        <v>1.5176666666666665</v>
      </c>
    </row>
    <row r="106" spans="1:38" s="37" customFormat="1">
      <c r="A106" s="520" t="s">
        <v>322</v>
      </c>
      <c r="B106" s="521" t="s">
        <v>456</v>
      </c>
      <c r="C106" s="494">
        <f t="shared" si="19"/>
        <v>715.42499999999995</v>
      </c>
      <c r="D106" s="495">
        <v>715.42499999999995</v>
      </c>
      <c r="E106" s="495"/>
      <c r="F106" s="495"/>
      <c r="G106" s="495"/>
      <c r="H106" s="495"/>
      <c r="I106" s="495"/>
      <c r="J106" s="495"/>
      <c r="K106" s="494">
        <f t="shared" si="20"/>
        <v>0</v>
      </c>
      <c r="L106" s="495"/>
      <c r="M106" s="495"/>
      <c r="N106" s="494">
        <f t="shared" si="29"/>
        <v>2186.8559999999998</v>
      </c>
      <c r="O106" s="495">
        <v>2186.8559999999998</v>
      </c>
      <c r="P106" s="495"/>
      <c r="Q106" s="495"/>
      <c r="R106" s="495"/>
      <c r="S106" s="495"/>
      <c r="T106" s="495"/>
      <c r="U106" s="494">
        <f t="shared" si="30"/>
        <v>0</v>
      </c>
      <c r="V106" s="495"/>
      <c r="W106" s="495"/>
      <c r="X106" s="494">
        <f t="shared" si="31"/>
        <v>0</v>
      </c>
      <c r="Y106" s="494"/>
      <c r="Z106" s="494"/>
      <c r="AA106" s="494"/>
      <c r="AB106" s="496">
        <f t="shared" si="25"/>
        <v>305.67229269315442</v>
      </c>
      <c r="AC106" s="496">
        <f t="shared" si="15"/>
        <v>305.67229269315442</v>
      </c>
      <c r="AD106" s="496"/>
      <c r="AE106" s="496"/>
    </row>
    <row r="107" spans="1:38" s="37" customFormat="1">
      <c r="A107" s="520" t="s">
        <v>323</v>
      </c>
      <c r="B107" s="521" t="s">
        <v>333</v>
      </c>
      <c r="C107" s="494">
        <f t="shared" si="19"/>
        <v>21941</v>
      </c>
      <c r="D107" s="495">
        <v>8100</v>
      </c>
      <c r="E107" s="495"/>
      <c r="F107" s="495"/>
      <c r="G107" s="495"/>
      <c r="H107" s="495"/>
      <c r="I107" s="495"/>
      <c r="J107" s="495"/>
      <c r="K107" s="494">
        <f t="shared" si="20"/>
        <v>13841</v>
      </c>
      <c r="L107" s="495">
        <f>13841</f>
        <v>13841</v>
      </c>
      <c r="M107" s="495"/>
      <c r="N107" s="494">
        <f t="shared" si="29"/>
        <v>79849.568470999991</v>
      </c>
      <c r="O107" s="495">
        <v>79720.196470999988</v>
      </c>
      <c r="P107" s="495"/>
      <c r="Q107" s="495"/>
      <c r="R107" s="495"/>
      <c r="S107" s="495"/>
      <c r="T107" s="495"/>
      <c r="U107" s="494">
        <f t="shared" si="30"/>
        <v>129.37199999999999</v>
      </c>
      <c r="V107" s="495">
        <v>129.37199999999999</v>
      </c>
      <c r="W107" s="495"/>
      <c r="X107" s="494">
        <f t="shared" si="31"/>
        <v>0</v>
      </c>
      <c r="Y107" s="494"/>
      <c r="Z107" s="494"/>
      <c r="AA107" s="494"/>
      <c r="AB107" s="496">
        <f t="shared" si="25"/>
        <v>363.92857422633421</v>
      </c>
      <c r="AC107" s="496">
        <f t="shared" si="25"/>
        <v>984.19995643209859</v>
      </c>
      <c r="AD107" s="496"/>
      <c r="AE107" s="496">
        <f t="shared" si="23"/>
        <v>0.9347012499096885</v>
      </c>
    </row>
    <row r="108" spans="1:38" s="37" customFormat="1">
      <c r="A108" s="520" t="s">
        <v>324</v>
      </c>
      <c r="B108" s="521" t="s">
        <v>315</v>
      </c>
      <c r="C108" s="494">
        <f t="shared" si="19"/>
        <v>68048.69</v>
      </c>
      <c r="D108" s="495">
        <v>68048.69</v>
      </c>
      <c r="E108" s="495"/>
      <c r="F108" s="495"/>
      <c r="G108" s="495"/>
      <c r="H108" s="495"/>
      <c r="I108" s="495"/>
      <c r="J108" s="495"/>
      <c r="K108" s="494">
        <f t="shared" si="20"/>
        <v>0</v>
      </c>
      <c r="L108" s="495"/>
      <c r="M108" s="495"/>
      <c r="N108" s="494">
        <f t="shared" si="29"/>
        <v>82483.060731999998</v>
      </c>
      <c r="O108" s="495">
        <v>64064.232489000002</v>
      </c>
      <c r="P108" s="495"/>
      <c r="Q108" s="495"/>
      <c r="R108" s="495"/>
      <c r="S108" s="495"/>
      <c r="T108" s="495"/>
      <c r="U108" s="494">
        <f t="shared" si="30"/>
        <v>18418.828243</v>
      </c>
      <c r="V108" s="495">
        <v>18418.828243</v>
      </c>
      <c r="W108" s="495"/>
      <c r="X108" s="494">
        <f t="shared" si="31"/>
        <v>0</v>
      </c>
      <c r="Y108" s="494"/>
      <c r="Z108" s="494"/>
      <c r="AA108" s="494"/>
      <c r="AB108" s="496">
        <f t="shared" si="25"/>
        <v>121.21182748999283</v>
      </c>
      <c r="AC108" s="496">
        <f t="shared" si="25"/>
        <v>94.14469623000825</v>
      </c>
      <c r="AD108" s="496"/>
      <c r="AE108" s="496"/>
      <c r="AI108" s="36"/>
      <c r="AJ108" s="36"/>
      <c r="AK108" s="36"/>
      <c r="AL108" s="36"/>
    </row>
    <row r="109" spans="1:38" s="37" customFormat="1">
      <c r="A109" s="520" t="s">
        <v>325</v>
      </c>
      <c r="B109" s="521" t="s">
        <v>457</v>
      </c>
      <c r="C109" s="494">
        <f t="shared" si="19"/>
        <v>27402</v>
      </c>
      <c r="D109" s="495">
        <v>14899</v>
      </c>
      <c r="E109" s="495"/>
      <c r="F109" s="495"/>
      <c r="G109" s="495"/>
      <c r="H109" s="495"/>
      <c r="I109" s="495"/>
      <c r="J109" s="495"/>
      <c r="K109" s="494">
        <f t="shared" si="20"/>
        <v>12503</v>
      </c>
      <c r="L109" s="495">
        <f>12503</f>
        <v>12503</v>
      </c>
      <c r="M109" s="495"/>
      <c r="N109" s="494">
        <f t="shared" si="29"/>
        <v>14447.702985000002</v>
      </c>
      <c r="O109" s="495">
        <v>14447.702985000002</v>
      </c>
      <c r="P109" s="495"/>
      <c r="Q109" s="495"/>
      <c r="R109" s="495"/>
      <c r="S109" s="495"/>
      <c r="T109" s="495"/>
      <c r="U109" s="494">
        <f t="shared" si="30"/>
        <v>0</v>
      </c>
      <c r="V109" s="495"/>
      <c r="W109" s="495"/>
      <c r="X109" s="494">
        <f t="shared" si="31"/>
        <v>0</v>
      </c>
      <c r="Y109" s="494"/>
      <c r="Z109" s="494"/>
      <c r="AA109" s="494"/>
      <c r="AB109" s="496">
        <f t="shared" ref="AB109:AC112" si="32">N109/C109%</f>
        <v>52.724994471206493</v>
      </c>
      <c r="AC109" s="496">
        <f t="shared" si="32"/>
        <v>96.970957681723618</v>
      </c>
      <c r="AD109" s="496"/>
      <c r="AE109" s="496">
        <f t="shared" si="23"/>
        <v>0</v>
      </c>
      <c r="AI109" s="36"/>
      <c r="AJ109" s="36"/>
      <c r="AK109" s="36"/>
      <c r="AL109" s="36"/>
    </row>
    <row r="110" spans="1:38" s="37" customFormat="1">
      <c r="A110" s="520" t="s">
        <v>326</v>
      </c>
      <c r="B110" s="521" t="s">
        <v>458</v>
      </c>
      <c r="C110" s="494">
        <f t="shared" si="19"/>
        <v>35425.343999999997</v>
      </c>
      <c r="D110" s="495">
        <v>15571.344000000001</v>
      </c>
      <c r="E110" s="495"/>
      <c r="F110" s="495"/>
      <c r="G110" s="495"/>
      <c r="H110" s="495"/>
      <c r="I110" s="495"/>
      <c r="J110" s="495"/>
      <c r="K110" s="494">
        <f t="shared" si="20"/>
        <v>19854</v>
      </c>
      <c r="L110" s="495">
        <f>19854</f>
        <v>19854</v>
      </c>
      <c r="M110" s="495"/>
      <c r="N110" s="494">
        <f t="shared" ref="N110:N111" si="33">O110+P110+S110+T110+U110+X110</f>
        <v>37826.129000000001</v>
      </c>
      <c r="O110" s="495">
        <v>15571.344000000001</v>
      </c>
      <c r="P110" s="495"/>
      <c r="Q110" s="495"/>
      <c r="R110" s="495"/>
      <c r="S110" s="495"/>
      <c r="T110" s="495"/>
      <c r="U110" s="494">
        <f t="shared" si="30"/>
        <v>22254.785</v>
      </c>
      <c r="V110" s="495">
        <v>22254.785</v>
      </c>
      <c r="W110" s="495"/>
      <c r="X110" s="494">
        <f t="shared" si="31"/>
        <v>0</v>
      </c>
      <c r="Y110" s="494"/>
      <c r="Z110" s="494"/>
      <c r="AA110" s="494"/>
      <c r="AB110" s="496">
        <f t="shared" si="32"/>
        <v>106.77702663945904</v>
      </c>
      <c r="AC110" s="496">
        <f t="shared" si="32"/>
        <v>100</v>
      </c>
      <c r="AD110" s="496"/>
      <c r="AE110" s="496">
        <f t="shared" si="23"/>
        <v>112.09219804573387</v>
      </c>
      <c r="AI110" s="36"/>
      <c r="AJ110" s="36"/>
      <c r="AK110" s="36"/>
      <c r="AL110" s="36"/>
    </row>
    <row r="111" spans="1:38" s="37" customFormat="1">
      <c r="A111" s="520" t="s">
        <v>327</v>
      </c>
      <c r="B111" s="521" t="s">
        <v>330</v>
      </c>
      <c r="C111" s="494">
        <f t="shared" si="19"/>
        <v>83233</v>
      </c>
      <c r="D111" s="495">
        <v>83233</v>
      </c>
      <c r="E111" s="495"/>
      <c r="F111" s="495"/>
      <c r="G111" s="495"/>
      <c r="H111" s="495"/>
      <c r="I111" s="495"/>
      <c r="J111" s="495"/>
      <c r="K111" s="494">
        <f t="shared" si="20"/>
        <v>0</v>
      </c>
      <c r="L111" s="495"/>
      <c r="M111" s="495"/>
      <c r="N111" s="494">
        <f t="shared" si="33"/>
        <v>121402.65027499999</v>
      </c>
      <c r="O111" s="495">
        <v>121402.65027499999</v>
      </c>
      <c r="P111" s="495"/>
      <c r="Q111" s="495"/>
      <c r="R111" s="495"/>
      <c r="S111" s="495"/>
      <c r="T111" s="495"/>
      <c r="U111" s="494">
        <f t="shared" si="30"/>
        <v>0</v>
      </c>
      <c r="V111" s="495"/>
      <c r="W111" s="495"/>
      <c r="X111" s="494">
        <f t="shared" si="31"/>
        <v>0</v>
      </c>
      <c r="Y111" s="494"/>
      <c r="Z111" s="494"/>
      <c r="AA111" s="494"/>
      <c r="AB111" s="496">
        <f t="shared" si="32"/>
        <v>145.85879431835929</v>
      </c>
      <c r="AC111" s="496">
        <f t="shared" si="32"/>
        <v>145.85879431835929</v>
      </c>
      <c r="AD111" s="496"/>
      <c r="AE111" s="496"/>
      <c r="AI111" s="36"/>
      <c r="AJ111" s="36"/>
      <c r="AK111" s="36"/>
      <c r="AL111" s="36"/>
    </row>
    <row r="112" spans="1:38" s="37" customFormat="1">
      <c r="A112" s="520">
        <v>11</v>
      </c>
      <c r="B112" s="521" t="s">
        <v>349</v>
      </c>
      <c r="C112" s="494">
        <f t="shared" si="19"/>
        <v>87482.192999999999</v>
      </c>
      <c r="D112" s="495">
        <v>65582.192999999999</v>
      </c>
      <c r="E112" s="495"/>
      <c r="F112" s="495"/>
      <c r="G112" s="495"/>
      <c r="H112" s="495"/>
      <c r="I112" s="495"/>
      <c r="J112" s="495"/>
      <c r="K112" s="494">
        <f t="shared" si="20"/>
        <v>21900</v>
      </c>
      <c r="L112" s="495">
        <v>21900</v>
      </c>
      <c r="M112" s="495"/>
      <c r="N112" s="494"/>
      <c r="O112" s="495"/>
      <c r="P112" s="495"/>
      <c r="Q112" s="495"/>
      <c r="R112" s="495"/>
      <c r="S112" s="495"/>
      <c r="T112" s="495"/>
      <c r="U112" s="494"/>
      <c r="V112" s="495"/>
      <c r="W112" s="495"/>
      <c r="X112" s="494"/>
      <c r="Y112" s="494"/>
      <c r="Z112" s="494"/>
      <c r="AA112" s="494"/>
      <c r="AB112" s="496"/>
      <c r="AC112" s="496">
        <f t="shared" si="32"/>
        <v>0</v>
      </c>
      <c r="AD112" s="496"/>
      <c r="AE112" s="496">
        <f t="shared" si="23"/>
        <v>0</v>
      </c>
      <c r="AI112" s="36"/>
      <c r="AJ112" s="36"/>
      <c r="AK112" s="36"/>
      <c r="AL112" s="36"/>
    </row>
    <row r="113" spans="1:38" s="36" customFormat="1">
      <c r="A113" s="518" t="s">
        <v>18</v>
      </c>
      <c r="B113" s="522" t="s">
        <v>942</v>
      </c>
      <c r="C113" s="491">
        <f t="shared" si="19"/>
        <v>139185</v>
      </c>
      <c r="D113" s="499"/>
      <c r="E113" s="499">
        <f>E114+E115+E116+E117+E119+E118+E120</f>
        <v>139185</v>
      </c>
      <c r="F113" s="499"/>
      <c r="G113" s="499"/>
      <c r="H113" s="499"/>
      <c r="I113" s="499"/>
      <c r="J113" s="499"/>
      <c r="K113" s="491"/>
      <c r="L113" s="499"/>
      <c r="M113" s="499"/>
      <c r="N113" s="491"/>
      <c r="O113" s="499"/>
      <c r="P113" s="499"/>
      <c r="Q113" s="499"/>
      <c r="R113" s="499"/>
      <c r="S113" s="499"/>
      <c r="T113" s="499"/>
      <c r="U113" s="491"/>
      <c r="V113" s="499"/>
      <c r="W113" s="499"/>
      <c r="X113" s="491"/>
      <c r="Y113" s="491"/>
      <c r="Z113" s="491"/>
      <c r="AA113" s="491"/>
      <c r="AB113" s="493"/>
      <c r="AC113" s="496"/>
      <c r="AD113" s="496"/>
      <c r="AE113" s="496"/>
    </row>
    <row r="114" spans="1:38" s="36" customFormat="1">
      <c r="A114" s="518"/>
      <c r="B114" s="521" t="s">
        <v>1095</v>
      </c>
      <c r="C114" s="494"/>
      <c r="D114" s="495"/>
      <c r="E114" s="495">
        <v>7500</v>
      </c>
      <c r="F114" s="495"/>
      <c r="G114" s="499"/>
      <c r="H114" s="499"/>
      <c r="I114" s="499"/>
      <c r="J114" s="499"/>
      <c r="K114" s="491"/>
      <c r="L114" s="499"/>
      <c r="M114" s="499"/>
      <c r="N114" s="491"/>
      <c r="O114" s="499"/>
      <c r="P114" s="499"/>
      <c r="Q114" s="499"/>
      <c r="R114" s="499"/>
      <c r="S114" s="499"/>
      <c r="T114" s="499"/>
      <c r="U114" s="491"/>
      <c r="V114" s="499"/>
      <c r="W114" s="499"/>
      <c r="X114" s="491"/>
      <c r="Y114" s="491"/>
      <c r="Z114" s="491"/>
      <c r="AA114" s="491"/>
      <c r="AB114" s="493"/>
      <c r="AC114" s="496"/>
      <c r="AD114" s="496"/>
      <c r="AE114" s="496"/>
    </row>
    <row r="115" spans="1:38" s="36" customFormat="1" ht="31">
      <c r="A115" s="518"/>
      <c r="B115" s="521" t="s">
        <v>1096</v>
      </c>
      <c r="C115" s="494"/>
      <c r="D115" s="495"/>
      <c r="E115" s="495">
        <v>36461</v>
      </c>
      <c r="F115" s="495"/>
      <c r="G115" s="499"/>
      <c r="H115" s="499"/>
      <c r="I115" s="499"/>
      <c r="J115" s="499"/>
      <c r="K115" s="491"/>
      <c r="L115" s="499"/>
      <c r="M115" s="499"/>
      <c r="N115" s="491"/>
      <c r="O115" s="499"/>
      <c r="P115" s="499"/>
      <c r="Q115" s="499"/>
      <c r="R115" s="499"/>
      <c r="S115" s="499"/>
      <c r="T115" s="499"/>
      <c r="U115" s="491"/>
      <c r="V115" s="499"/>
      <c r="W115" s="499"/>
      <c r="X115" s="491"/>
      <c r="Y115" s="491"/>
      <c r="Z115" s="491"/>
      <c r="AA115" s="491"/>
      <c r="AB115" s="493"/>
      <c r="AC115" s="496"/>
      <c r="AD115" s="496"/>
      <c r="AE115" s="496"/>
    </row>
    <row r="116" spans="1:38" s="36" customFormat="1">
      <c r="A116" s="518"/>
      <c r="B116" s="521" t="s">
        <v>1097</v>
      </c>
      <c r="C116" s="494"/>
      <c r="D116" s="495"/>
      <c r="E116" s="495">
        <v>6000</v>
      </c>
      <c r="F116" s="495"/>
      <c r="G116" s="499"/>
      <c r="H116" s="499"/>
      <c r="I116" s="499"/>
      <c r="J116" s="499"/>
      <c r="K116" s="491"/>
      <c r="L116" s="499"/>
      <c r="M116" s="499"/>
      <c r="N116" s="491"/>
      <c r="O116" s="499"/>
      <c r="P116" s="499"/>
      <c r="Q116" s="499"/>
      <c r="R116" s="499"/>
      <c r="S116" s="499"/>
      <c r="T116" s="499"/>
      <c r="U116" s="491"/>
      <c r="V116" s="499"/>
      <c r="W116" s="499"/>
      <c r="X116" s="491"/>
      <c r="Y116" s="491"/>
      <c r="Z116" s="491"/>
      <c r="AA116" s="491"/>
      <c r="AB116" s="493"/>
      <c r="AC116" s="496"/>
      <c r="AD116" s="496"/>
      <c r="AE116" s="496"/>
    </row>
    <row r="117" spans="1:38" s="36" customFormat="1">
      <c r="A117" s="518"/>
      <c r="B117" s="521" t="s">
        <v>1098</v>
      </c>
      <c r="C117" s="494"/>
      <c r="D117" s="495"/>
      <c r="E117" s="495">
        <v>10000</v>
      </c>
      <c r="F117" s="495"/>
      <c r="G117" s="499"/>
      <c r="H117" s="499"/>
      <c r="I117" s="499"/>
      <c r="J117" s="499"/>
      <c r="K117" s="491"/>
      <c r="L117" s="499"/>
      <c r="M117" s="499"/>
      <c r="N117" s="491"/>
      <c r="O117" s="499"/>
      <c r="P117" s="499"/>
      <c r="Q117" s="499"/>
      <c r="R117" s="499"/>
      <c r="S117" s="499"/>
      <c r="T117" s="499"/>
      <c r="U117" s="491"/>
      <c r="V117" s="499"/>
      <c r="W117" s="499"/>
      <c r="X117" s="491"/>
      <c r="Y117" s="491"/>
      <c r="Z117" s="491"/>
      <c r="AA117" s="491"/>
      <c r="AB117" s="493"/>
      <c r="AC117" s="496"/>
      <c r="AD117" s="496"/>
      <c r="AE117" s="496"/>
    </row>
    <row r="118" spans="1:38" s="36" customFormat="1">
      <c r="A118" s="518"/>
      <c r="B118" s="521" t="s">
        <v>1099</v>
      </c>
      <c r="C118" s="494"/>
      <c r="D118" s="495"/>
      <c r="E118" s="495">
        <v>7000</v>
      </c>
      <c r="F118" s="495"/>
      <c r="G118" s="499"/>
      <c r="H118" s="499"/>
      <c r="I118" s="499"/>
      <c r="J118" s="499"/>
      <c r="K118" s="491"/>
      <c r="L118" s="499"/>
      <c r="M118" s="499"/>
      <c r="N118" s="491"/>
      <c r="O118" s="499"/>
      <c r="P118" s="499"/>
      <c r="Q118" s="499"/>
      <c r="R118" s="499"/>
      <c r="S118" s="499"/>
      <c r="T118" s="499"/>
      <c r="U118" s="491"/>
      <c r="V118" s="499"/>
      <c r="W118" s="499"/>
      <c r="X118" s="491"/>
      <c r="Y118" s="491"/>
      <c r="Z118" s="491"/>
      <c r="AA118" s="491"/>
      <c r="AB118" s="493"/>
      <c r="AC118" s="496"/>
      <c r="AD118" s="496"/>
      <c r="AE118" s="496"/>
    </row>
    <row r="119" spans="1:38" s="36" customFormat="1">
      <c r="A119" s="518"/>
      <c r="B119" s="521" t="s">
        <v>1100</v>
      </c>
      <c r="C119" s="494"/>
      <c r="D119" s="495"/>
      <c r="E119" s="495">
        <v>60751</v>
      </c>
      <c r="F119" s="495"/>
      <c r="G119" s="499"/>
      <c r="H119" s="499"/>
      <c r="I119" s="499"/>
      <c r="J119" s="499"/>
      <c r="K119" s="491"/>
      <c r="L119" s="499"/>
      <c r="M119" s="499"/>
      <c r="N119" s="491"/>
      <c r="O119" s="499"/>
      <c r="P119" s="499"/>
      <c r="Q119" s="499"/>
      <c r="R119" s="499"/>
      <c r="S119" s="499"/>
      <c r="T119" s="499"/>
      <c r="U119" s="491"/>
      <c r="V119" s="499"/>
      <c r="W119" s="499"/>
      <c r="X119" s="491"/>
      <c r="Y119" s="491"/>
      <c r="Z119" s="491"/>
      <c r="AA119" s="491"/>
      <c r="AB119" s="493"/>
      <c r="AC119" s="496"/>
      <c r="AD119" s="496"/>
      <c r="AE119" s="496"/>
    </row>
    <row r="120" spans="1:38" s="36" customFormat="1">
      <c r="A120" s="518"/>
      <c r="B120" s="521" t="s">
        <v>1101</v>
      </c>
      <c r="C120" s="491"/>
      <c r="D120" s="499"/>
      <c r="E120" s="495">
        <v>11473</v>
      </c>
      <c r="F120" s="495"/>
      <c r="G120" s="499"/>
      <c r="H120" s="499"/>
      <c r="I120" s="499"/>
      <c r="J120" s="499"/>
      <c r="K120" s="491"/>
      <c r="L120" s="499"/>
      <c r="M120" s="499"/>
      <c r="N120" s="491"/>
      <c r="O120" s="499"/>
      <c r="P120" s="499"/>
      <c r="Q120" s="499"/>
      <c r="R120" s="499"/>
      <c r="S120" s="499"/>
      <c r="T120" s="499"/>
      <c r="U120" s="491"/>
      <c r="V120" s="499"/>
      <c r="W120" s="499"/>
      <c r="X120" s="491"/>
      <c r="Y120" s="491"/>
      <c r="Z120" s="491"/>
      <c r="AA120" s="491"/>
      <c r="AB120" s="493"/>
      <c r="AC120" s="496"/>
      <c r="AD120" s="496"/>
      <c r="AE120" s="496"/>
    </row>
    <row r="121" spans="1:38" s="36" customFormat="1" ht="30">
      <c r="A121" s="523" t="s">
        <v>22</v>
      </c>
      <c r="B121" s="524" t="s">
        <v>515</v>
      </c>
      <c r="C121" s="491">
        <f t="shared" si="19"/>
        <v>880</v>
      </c>
      <c r="D121" s="499"/>
      <c r="E121" s="499"/>
      <c r="F121" s="499"/>
      <c r="G121" s="499"/>
      <c r="H121" s="499"/>
      <c r="I121" s="499">
        <v>880</v>
      </c>
      <c r="J121" s="499"/>
      <c r="K121" s="491">
        <f t="shared" si="20"/>
        <v>0</v>
      </c>
      <c r="L121" s="499"/>
      <c r="M121" s="499"/>
      <c r="N121" s="491">
        <f t="shared" ref="N121:N126" si="34">O121+P121+S121+T121+U121+X121</f>
        <v>29088</v>
      </c>
      <c r="O121" s="499"/>
      <c r="P121" s="499">
        <v>88</v>
      </c>
      <c r="Q121" s="499"/>
      <c r="R121" s="499">
        <v>88</v>
      </c>
      <c r="S121" s="499">
        <f>29000</f>
        <v>29000</v>
      </c>
      <c r="T121" s="499"/>
      <c r="U121" s="491">
        <f t="shared" ref="U121:U127" si="35">V121+W121</f>
        <v>0</v>
      </c>
      <c r="V121" s="499"/>
      <c r="W121" s="499"/>
      <c r="X121" s="491">
        <f>Y121+Z121</f>
        <v>0</v>
      </c>
      <c r="Y121" s="499"/>
      <c r="Z121" s="499"/>
      <c r="AA121" s="499"/>
      <c r="AB121" s="496"/>
      <c r="AC121" s="496"/>
      <c r="AD121" s="496"/>
      <c r="AE121" s="496"/>
    </row>
    <row r="122" spans="1:38" s="36" customFormat="1">
      <c r="A122" s="523" t="s">
        <v>24</v>
      </c>
      <c r="B122" s="524" t="s">
        <v>459</v>
      </c>
      <c r="C122" s="491">
        <f t="shared" si="19"/>
        <v>1000</v>
      </c>
      <c r="D122" s="499"/>
      <c r="E122" s="499"/>
      <c r="F122" s="499"/>
      <c r="G122" s="499"/>
      <c r="H122" s="499"/>
      <c r="I122" s="499"/>
      <c r="J122" s="491">
        <v>1000</v>
      </c>
      <c r="K122" s="491">
        <f t="shared" si="20"/>
        <v>0</v>
      </c>
      <c r="L122" s="499"/>
      <c r="M122" s="499"/>
      <c r="N122" s="491">
        <f t="shared" si="34"/>
        <v>2000</v>
      </c>
      <c r="O122" s="499"/>
      <c r="P122" s="499"/>
      <c r="Q122" s="499"/>
      <c r="R122" s="499"/>
      <c r="S122" s="499"/>
      <c r="T122" s="499">
        <v>2000</v>
      </c>
      <c r="U122" s="491">
        <f t="shared" si="35"/>
        <v>0</v>
      </c>
      <c r="V122" s="499"/>
      <c r="W122" s="499"/>
      <c r="X122" s="491">
        <f>Y122+Z122</f>
        <v>0</v>
      </c>
      <c r="Y122" s="499"/>
      <c r="Z122" s="499"/>
      <c r="AA122" s="499"/>
      <c r="AB122" s="496"/>
      <c r="AC122" s="496"/>
      <c r="AD122" s="496"/>
      <c r="AE122" s="496"/>
      <c r="AI122" s="27"/>
      <c r="AJ122" s="27"/>
      <c r="AK122" s="27"/>
      <c r="AL122" s="27"/>
    </row>
    <row r="123" spans="1:38" s="36" customFormat="1">
      <c r="A123" s="523" t="s">
        <v>26</v>
      </c>
      <c r="B123" s="524" t="s">
        <v>460</v>
      </c>
      <c r="C123" s="491">
        <f t="shared" si="19"/>
        <v>47662</v>
      </c>
      <c r="D123" s="499"/>
      <c r="E123" s="499"/>
      <c r="F123" s="499"/>
      <c r="G123" s="499"/>
      <c r="H123" s="499"/>
      <c r="I123" s="499"/>
      <c r="J123" s="491">
        <v>47662</v>
      </c>
      <c r="K123" s="491">
        <f t="shared" si="20"/>
        <v>0</v>
      </c>
      <c r="L123" s="499"/>
      <c r="M123" s="499"/>
      <c r="N123" s="491">
        <f t="shared" si="34"/>
        <v>0</v>
      </c>
      <c r="O123" s="499"/>
      <c r="P123" s="499"/>
      <c r="Q123" s="499"/>
      <c r="R123" s="499"/>
      <c r="S123" s="499"/>
      <c r="T123" s="499"/>
      <c r="U123" s="491">
        <f t="shared" si="35"/>
        <v>0</v>
      </c>
      <c r="V123" s="499"/>
      <c r="W123" s="499"/>
      <c r="X123" s="491">
        <f>Y123+Z123</f>
        <v>0</v>
      </c>
      <c r="Y123" s="499"/>
      <c r="Z123" s="499"/>
      <c r="AA123" s="499"/>
      <c r="AB123" s="496"/>
      <c r="AC123" s="496"/>
      <c r="AD123" s="496"/>
      <c r="AE123" s="496"/>
      <c r="AI123" s="27"/>
      <c r="AJ123" s="27"/>
      <c r="AK123" s="27"/>
      <c r="AL123" s="27"/>
    </row>
    <row r="124" spans="1:38" s="36" customFormat="1" ht="30">
      <c r="A124" s="523" t="s">
        <v>119</v>
      </c>
      <c r="B124" s="524" t="s">
        <v>461</v>
      </c>
      <c r="C124" s="491">
        <f t="shared" si="19"/>
        <v>3500</v>
      </c>
      <c r="D124" s="499"/>
      <c r="E124" s="499">
        <v>3500</v>
      </c>
      <c r="F124" s="499"/>
      <c r="G124" s="499"/>
      <c r="H124" s="499"/>
      <c r="I124" s="499"/>
      <c r="J124" s="491"/>
      <c r="K124" s="491">
        <f t="shared" si="20"/>
        <v>0</v>
      </c>
      <c r="L124" s="499"/>
      <c r="M124" s="499"/>
      <c r="N124" s="491">
        <f t="shared" si="34"/>
        <v>0</v>
      </c>
      <c r="O124" s="499"/>
      <c r="P124" s="499"/>
      <c r="Q124" s="499"/>
      <c r="R124" s="499"/>
      <c r="S124" s="499"/>
      <c r="T124" s="499"/>
      <c r="U124" s="491">
        <f t="shared" si="35"/>
        <v>0</v>
      </c>
      <c r="V124" s="499"/>
      <c r="W124" s="499"/>
      <c r="X124" s="491">
        <f>Y124+Z124</f>
        <v>0</v>
      </c>
      <c r="Y124" s="499"/>
      <c r="Z124" s="499"/>
      <c r="AA124" s="499"/>
      <c r="AB124" s="496"/>
      <c r="AC124" s="496"/>
      <c r="AD124" s="496"/>
      <c r="AE124" s="496"/>
      <c r="AI124" s="27"/>
      <c r="AJ124" s="27"/>
      <c r="AK124" s="27"/>
      <c r="AL124" s="27"/>
    </row>
    <row r="125" spans="1:38" s="36" customFormat="1" ht="30">
      <c r="A125" s="523" t="s">
        <v>154</v>
      </c>
      <c r="B125" s="524" t="s">
        <v>462</v>
      </c>
      <c r="C125" s="491">
        <f t="shared" si="19"/>
        <v>746120</v>
      </c>
      <c r="D125" s="499"/>
      <c r="E125" s="499"/>
      <c r="F125" s="499"/>
      <c r="G125" s="499"/>
      <c r="H125" s="499"/>
      <c r="I125" s="499"/>
      <c r="J125" s="491">
        <v>746120</v>
      </c>
      <c r="K125" s="491">
        <f t="shared" si="20"/>
        <v>0</v>
      </c>
      <c r="L125" s="499"/>
      <c r="M125" s="499"/>
      <c r="N125" s="491">
        <f t="shared" si="34"/>
        <v>992963</v>
      </c>
      <c r="O125" s="499"/>
      <c r="P125" s="499"/>
      <c r="Q125" s="499"/>
      <c r="R125" s="499"/>
      <c r="S125" s="499"/>
      <c r="T125" s="499">
        <v>992963</v>
      </c>
      <c r="U125" s="491">
        <f t="shared" si="35"/>
        <v>0</v>
      </c>
      <c r="V125" s="499"/>
      <c r="W125" s="499"/>
      <c r="X125" s="491"/>
      <c r="Y125" s="499"/>
      <c r="Z125" s="499"/>
      <c r="AA125" s="499"/>
      <c r="AB125" s="496"/>
      <c r="AC125" s="496"/>
      <c r="AD125" s="496"/>
      <c r="AE125" s="496"/>
      <c r="AI125" s="27"/>
      <c r="AJ125" s="27"/>
      <c r="AK125" s="27"/>
      <c r="AL125" s="27"/>
    </row>
    <row r="126" spans="1:38" s="36" customFormat="1" ht="30">
      <c r="A126" s="525" t="s">
        <v>503</v>
      </c>
      <c r="B126" s="526" t="s">
        <v>430</v>
      </c>
      <c r="C126" s="527">
        <f t="shared" si="19"/>
        <v>0</v>
      </c>
      <c r="D126" s="500"/>
      <c r="E126" s="500"/>
      <c r="F126" s="500"/>
      <c r="G126" s="500"/>
      <c r="H126" s="500"/>
      <c r="I126" s="500"/>
      <c r="J126" s="500"/>
      <c r="K126" s="527">
        <f t="shared" si="20"/>
        <v>0</v>
      </c>
      <c r="L126" s="500"/>
      <c r="M126" s="500"/>
      <c r="N126" s="527">
        <f t="shared" si="34"/>
        <v>1973824.817883</v>
      </c>
      <c r="O126" s="500"/>
      <c r="P126" s="500"/>
      <c r="Q126" s="500"/>
      <c r="R126" s="500"/>
      <c r="S126" s="500"/>
      <c r="T126" s="500"/>
      <c r="U126" s="527">
        <f t="shared" si="35"/>
        <v>0</v>
      </c>
      <c r="V126" s="500"/>
      <c r="W126" s="500"/>
      <c r="X126" s="500">
        <v>1973824.817883</v>
      </c>
      <c r="Y126" s="500">
        <v>1299088.0111660003</v>
      </c>
      <c r="Z126" s="500">
        <v>674736.58229999989</v>
      </c>
      <c r="AA126" s="500"/>
      <c r="AB126" s="500"/>
      <c r="AC126" s="501"/>
      <c r="AD126" s="501"/>
      <c r="AE126" s="496"/>
      <c r="AI126" s="27"/>
      <c r="AJ126" s="27"/>
      <c r="AK126" s="27"/>
      <c r="AL126" s="27"/>
    </row>
    <row r="127" spans="1:38">
      <c r="A127" s="528" t="s">
        <v>917</v>
      </c>
      <c r="B127" s="529" t="s">
        <v>886</v>
      </c>
      <c r="C127" s="530">
        <f t="shared" si="19"/>
        <v>0</v>
      </c>
      <c r="D127" s="502"/>
      <c r="E127" s="502"/>
      <c r="F127" s="502"/>
      <c r="G127" s="502"/>
      <c r="H127" s="502"/>
      <c r="I127" s="502"/>
      <c r="J127" s="502"/>
      <c r="K127" s="530">
        <f t="shared" si="20"/>
        <v>0</v>
      </c>
      <c r="L127" s="502"/>
      <c r="M127" s="502"/>
      <c r="N127" s="530">
        <f>O127+P127+S127+T127+U127+X127+AA127</f>
        <v>21871.162321</v>
      </c>
      <c r="O127" s="502"/>
      <c r="P127" s="502"/>
      <c r="Q127" s="502"/>
      <c r="R127" s="502"/>
      <c r="S127" s="502"/>
      <c r="T127" s="502"/>
      <c r="U127" s="530">
        <f t="shared" si="35"/>
        <v>0</v>
      </c>
      <c r="V127" s="502"/>
      <c r="W127" s="502"/>
      <c r="X127" s="502"/>
      <c r="Y127" s="502"/>
      <c r="Z127" s="502"/>
      <c r="AA127" s="502">
        <f>'[3]60'!H16</f>
        <v>21871.162321</v>
      </c>
      <c r="AB127" s="502"/>
      <c r="AC127" s="503"/>
      <c r="AD127" s="503"/>
      <c r="AE127" s="503"/>
    </row>
    <row r="133" spans="14:14">
      <c r="N133" s="565">
        <f>N10+'bieu 52_NS_DT'!E9</f>
        <v>8617059.0509059988</v>
      </c>
    </row>
  </sheetData>
  <mergeCells count="32">
    <mergeCell ref="AD5:AE5"/>
    <mergeCell ref="A3:AE3"/>
    <mergeCell ref="S7:S8"/>
    <mergeCell ref="T7:T8"/>
    <mergeCell ref="AE7:AE8"/>
    <mergeCell ref="X7:X8"/>
    <mergeCell ref="Y7:Z7"/>
    <mergeCell ref="AA7:AA8"/>
    <mergeCell ref="AB7:AB8"/>
    <mergeCell ref="AC7:AC8"/>
    <mergeCell ref="AD7:AD8"/>
    <mergeCell ref="K7:M7"/>
    <mergeCell ref="N7:N8"/>
    <mergeCell ref="O7:O8"/>
    <mergeCell ref="P7:P8"/>
    <mergeCell ref="Q7:R7"/>
    <mergeCell ref="AC1:AD1"/>
    <mergeCell ref="A6:A8"/>
    <mergeCell ref="B6:B8"/>
    <mergeCell ref="C6:M6"/>
    <mergeCell ref="N6:X6"/>
    <mergeCell ref="AB6:AE6"/>
    <mergeCell ref="C7:C8"/>
    <mergeCell ref="D7:D8"/>
    <mergeCell ref="E7:E8"/>
    <mergeCell ref="U7:W7"/>
    <mergeCell ref="F7:F8"/>
    <mergeCell ref="G7:H7"/>
    <mergeCell ref="I7:I8"/>
    <mergeCell ref="J7:J8"/>
    <mergeCell ref="AB5:AC5"/>
    <mergeCell ref="A4:AE4"/>
  </mergeCells>
  <dataValidations count="6">
    <dataValidation allowBlank="1" showInputMessage="1" showErrorMessage="1" prompt="Bao gồm Văn phòng điều phối CT MTQG NTM" sqref="M13" xr:uid="{091DAE68-5934-4234-9DA9-87E81591D2EB}"/>
    <dataValidation allowBlank="1" showInputMessage="1" showErrorMessage="1" prompt="Lệnh chi tiền" sqref="Z23" xr:uid="{705E9A87-14C4-431C-B2A8-95C6722BD119}"/>
    <dataValidation allowBlank="1" showInputMessage="1" showErrorMessage="1" prompt="Bao gồm: tăng 300tr. đồng Ghi thu ghi chi quyền sử dụng đất khai thác quỹ đất khu phía Nam cầu Đăk bla (Thường xuyên)" sqref="R71" xr:uid="{A4C8F837-2FF7-403D-B79B-F5C92139A8F9}"/>
    <dataValidation allowBlank="1" showInputMessage="1" showErrorMessage="1" prompt="Bao gồm 177.144 tr Vốn ngoài nước TƯ BSMT vốn sự nghiệp" sqref="C11 E11" xr:uid="{E3744930-5BE2-4046-87F2-A2ECD0E99043}"/>
    <dataValidation allowBlank="1" showInputMessage="1" showErrorMessage="1" prompt="Theo TT 343 BTC các lĩnh vực  Công an tỉnh, Bộ chỉ huy quân sự tỉnh; Bộ chỉ huy biên phòng tỉnh, Ban Chỉ đạo phân giới, cắm mổc tỉnh (Việt nam - Lào), Ban chỉ đạo phân giới, cắm mổc tỉnh (Viêt nam - Cam Pu Chia) không công khai QT" sqref="WVQ982906 C65402 JE65402 TA65402 ACW65402 AMS65402 AWO65402 BGK65402 BQG65402 CAC65402 CJY65402 CTU65402 DDQ65402 DNM65402 DXI65402 EHE65402 ERA65402 FAW65402 FKS65402 FUO65402 GEK65402 GOG65402 GYC65402 HHY65402 HRU65402 IBQ65402 ILM65402 IVI65402 JFE65402 JPA65402 JYW65402 KIS65402 KSO65402 LCK65402 LMG65402 LWC65402 MFY65402 MPU65402 MZQ65402 NJM65402 NTI65402 ODE65402 ONA65402 OWW65402 PGS65402 PQO65402 QAK65402 QKG65402 QUC65402 RDY65402 RNU65402 RXQ65402 SHM65402 SRI65402 TBE65402 TLA65402 TUW65402 UES65402 UOO65402 UYK65402 VIG65402 VSC65402 WBY65402 WLU65402 WVQ65402 C130938 JE130938 TA130938 ACW130938 AMS130938 AWO130938 BGK130938 BQG130938 CAC130938 CJY130938 CTU130938 DDQ130938 DNM130938 DXI130938 EHE130938 ERA130938 FAW130938 FKS130938 FUO130938 GEK130938 GOG130938 GYC130938 HHY130938 HRU130938 IBQ130938 ILM130938 IVI130938 JFE130938 JPA130938 JYW130938 KIS130938 KSO130938 LCK130938 LMG130938 LWC130938 MFY130938 MPU130938 MZQ130938 NJM130938 NTI130938 ODE130938 ONA130938 OWW130938 PGS130938 PQO130938 QAK130938 QKG130938 QUC130938 RDY130938 RNU130938 RXQ130938 SHM130938 SRI130938 TBE130938 TLA130938 TUW130938 UES130938 UOO130938 UYK130938 VIG130938 VSC130938 WBY130938 WLU130938 WVQ130938 C196474 JE196474 TA196474 ACW196474 AMS196474 AWO196474 BGK196474 BQG196474 CAC196474 CJY196474 CTU196474 DDQ196474 DNM196474 DXI196474 EHE196474 ERA196474 FAW196474 FKS196474 FUO196474 GEK196474 GOG196474 GYC196474 HHY196474 HRU196474 IBQ196474 ILM196474 IVI196474 JFE196474 JPA196474 JYW196474 KIS196474 KSO196474 LCK196474 LMG196474 LWC196474 MFY196474 MPU196474 MZQ196474 NJM196474 NTI196474 ODE196474 ONA196474 OWW196474 PGS196474 PQO196474 QAK196474 QKG196474 QUC196474 RDY196474 RNU196474 RXQ196474 SHM196474 SRI196474 TBE196474 TLA196474 TUW196474 UES196474 UOO196474 UYK196474 VIG196474 VSC196474 WBY196474 WLU196474 WVQ196474 C262010 JE262010 TA262010 ACW262010 AMS262010 AWO262010 BGK262010 BQG262010 CAC262010 CJY262010 CTU262010 DDQ262010 DNM262010 DXI262010 EHE262010 ERA262010 FAW262010 FKS262010 FUO262010 GEK262010 GOG262010 GYC262010 HHY262010 HRU262010 IBQ262010 ILM262010 IVI262010 JFE262010 JPA262010 JYW262010 KIS262010 KSO262010 LCK262010 LMG262010 LWC262010 MFY262010 MPU262010 MZQ262010 NJM262010 NTI262010 ODE262010 ONA262010 OWW262010 PGS262010 PQO262010 QAK262010 QKG262010 QUC262010 RDY262010 RNU262010 RXQ262010 SHM262010 SRI262010 TBE262010 TLA262010 TUW262010 UES262010 UOO262010 UYK262010 VIG262010 VSC262010 WBY262010 WLU262010 WVQ262010 C327546 JE327546 TA327546 ACW327546 AMS327546 AWO327546 BGK327546 BQG327546 CAC327546 CJY327546 CTU327546 DDQ327546 DNM327546 DXI327546 EHE327546 ERA327546 FAW327546 FKS327546 FUO327546 GEK327546 GOG327546 GYC327546 HHY327546 HRU327546 IBQ327546 ILM327546 IVI327546 JFE327546 JPA327546 JYW327546 KIS327546 KSO327546 LCK327546 LMG327546 LWC327546 MFY327546 MPU327546 MZQ327546 NJM327546 NTI327546 ODE327546 ONA327546 OWW327546 PGS327546 PQO327546 QAK327546 QKG327546 QUC327546 RDY327546 RNU327546 RXQ327546 SHM327546 SRI327546 TBE327546 TLA327546 TUW327546 UES327546 UOO327546 UYK327546 VIG327546 VSC327546 WBY327546 WLU327546 WVQ327546 C393082 JE393082 TA393082 ACW393082 AMS393082 AWO393082 BGK393082 BQG393082 CAC393082 CJY393082 CTU393082 DDQ393082 DNM393082 DXI393082 EHE393082 ERA393082 FAW393082 FKS393082 FUO393082 GEK393082 GOG393082 GYC393082 HHY393082 HRU393082 IBQ393082 ILM393082 IVI393082 JFE393082 JPA393082 JYW393082 KIS393082 KSO393082 LCK393082 LMG393082 LWC393082 MFY393082 MPU393082 MZQ393082 NJM393082 NTI393082 ODE393082 ONA393082 OWW393082 PGS393082 PQO393082 QAK393082 QKG393082 QUC393082 RDY393082 RNU393082 RXQ393082 SHM393082 SRI393082 TBE393082 TLA393082 TUW393082 UES393082 UOO393082 UYK393082 VIG393082 VSC393082 WBY393082 WLU393082 WVQ393082 C458618 JE458618 TA458618 ACW458618 AMS458618 AWO458618 BGK458618 BQG458618 CAC458618 CJY458618 CTU458618 DDQ458618 DNM458618 DXI458618 EHE458618 ERA458618 FAW458618 FKS458618 FUO458618 GEK458618 GOG458618 GYC458618 HHY458618 HRU458618 IBQ458618 ILM458618 IVI458618 JFE458618 JPA458618 JYW458618 KIS458618 KSO458618 LCK458618 LMG458618 LWC458618 MFY458618 MPU458618 MZQ458618 NJM458618 NTI458618 ODE458618 ONA458618 OWW458618 PGS458618 PQO458618 QAK458618 QKG458618 QUC458618 RDY458618 RNU458618 RXQ458618 SHM458618 SRI458618 TBE458618 TLA458618 TUW458618 UES458618 UOO458618 UYK458618 VIG458618 VSC458618 WBY458618 WLU458618 WVQ458618 C524154 JE524154 TA524154 ACW524154 AMS524154 AWO524154 BGK524154 BQG524154 CAC524154 CJY524154 CTU524154 DDQ524154 DNM524154 DXI524154 EHE524154 ERA524154 FAW524154 FKS524154 FUO524154 GEK524154 GOG524154 GYC524154 HHY524154 HRU524154 IBQ524154 ILM524154 IVI524154 JFE524154 JPA524154 JYW524154 KIS524154 KSO524154 LCK524154 LMG524154 LWC524154 MFY524154 MPU524154 MZQ524154 NJM524154 NTI524154 ODE524154 ONA524154 OWW524154 PGS524154 PQO524154 QAK524154 QKG524154 QUC524154 RDY524154 RNU524154 RXQ524154 SHM524154 SRI524154 TBE524154 TLA524154 TUW524154 UES524154 UOO524154 UYK524154 VIG524154 VSC524154 WBY524154 WLU524154 WVQ524154 C589690 JE589690 TA589690 ACW589690 AMS589690 AWO589690 BGK589690 BQG589690 CAC589690 CJY589690 CTU589690 DDQ589690 DNM589690 DXI589690 EHE589690 ERA589690 FAW589690 FKS589690 FUO589690 GEK589690 GOG589690 GYC589690 HHY589690 HRU589690 IBQ589690 ILM589690 IVI589690 JFE589690 JPA589690 JYW589690 KIS589690 KSO589690 LCK589690 LMG589690 LWC589690 MFY589690 MPU589690 MZQ589690 NJM589690 NTI589690 ODE589690 ONA589690 OWW589690 PGS589690 PQO589690 QAK589690 QKG589690 QUC589690 RDY589690 RNU589690 RXQ589690 SHM589690 SRI589690 TBE589690 TLA589690 TUW589690 UES589690 UOO589690 UYK589690 VIG589690 VSC589690 WBY589690 WLU589690 WVQ589690 C655226 JE655226 TA655226 ACW655226 AMS655226 AWO655226 BGK655226 BQG655226 CAC655226 CJY655226 CTU655226 DDQ655226 DNM655226 DXI655226 EHE655226 ERA655226 FAW655226 FKS655226 FUO655226 GEK655226 GOG655226 GYC655226 HHY655226 HRU655226 IBQ655226 ILM655226 IVI655226 JFE655226 JPA655226 JYW655226 KIS655226 KSO655226 LCK655226 LMG655226 LWC655226 MFY655226 MPU655226 MZQ655226 NJM655226 NTI655226 ODE655226 ONA655226 OWW655226 PGS655226 PQO655226 QAK655226 QKG655226 QUC655226 RDY655226 RNU655226 RXQ655226 SHM655226 SRI655226 TBE655226 TLA655226 TUW655226 UES655226 UOO655226 UYK655226 VIG655226 VSC655226 WBY655226 WLU655226 WVQ655226 C720762 JE720762 TA720762 ACW720762 AMS720762 AWO720762 BGK720762 BQG720762 CAC720762 CJY720762 CTU720762 DDQ720762 DNM720762 DXI720762 EHE720762 ERA720762 FAW720762 FKS720762 FUO720762 GEK720762 GOG720762 GYC720762 HHY720762 HRU720762 IBQ720762 ILM720762 IVI720762 JFE720762 JPA720762 JYW720762 KIS720762 KSO720762 LCK720762 LMG720762 LWC720762 MFY720762 MPU720762 MZQ720762 NJM720762 NTI720762 ODE720762 ONA720762 OWW720762 PGS720762 PQO720762 QAK720762 QKG720762 QUC720762 RDY720762 RNU720762 RXQ720762 SHM720762 SRI720762 TBE720762 TLA720762 TUW720762 UES720762 UOO720762 UYK720762 VIG720762 VSC720762 WBY720762 WLU720762 WVQ720762 C786298 JE786298 TA786298 ACW786298 AMS786298 AWO786298 BGK786298 BQG786298 CAC786298 CJY786298 CTU786298 DDQ786298 DNM786298 DXI786298 EHE786298 ERA786298 FAW786298 FKS786298 FUO786298 GEK786298 GOG786298 GYC786298 HHY786298 HRU786298 IBQ786298 ILM786298 IVI786298 JFE786298 JPA786298 JYW786298 KIS786298 KSO786298 LCK786298 LMG786298 LWC786298 MFY786298 MPU786298 MZQ786298 NJM786298 NTI786298 ODE786298 ONA786298 OWW786298 PGS786298 PQO786298 QAK786298 QKG786298 QUC786298 RDY786298 RNU786298 RXQ786298 SHM786298 SRI786298 TBE786298 TLA786298 TUW786298 UES786298 UOO786298 UYK786298 VIG786298 VSC786298 WBY786298 WLU786298 WVQ786298 C851834 JE851834 TA851834 ACW851834 AMS851834 AWO851834 BGK851834 BQG851834 CAC851834 CJY851834 CTU851834 DDQ851834 DNM851834 DXI851834 EHE851834 ERA851834 FAW851834 FKS851834 FUO851834 GEK851834 GOG851834 GYC851834 HHY851834 HRU851834 IBQ851834 ILM851834 IVI851834 JFE851834 JPA851834 JYW851834 KIS851834 KSO851834 LCK851834 LMG851834 LWC851834 MFY851834 MPU851834 MZQ851834 NJM851834 NTI851834 ODE851834 ONA851834 OWW851834 PGS851834 PQO851834 QAK851834 QKG851834 QUC851834 RDY851834 RNU851834 RXQ851834 SHM851834 SRI851834 TBE851834 TLA851834 TUW851834 UES851834 UOO851834 UYK851834 VIG851834 VSC851834 WBY851834 WLU851834 WVQ851834 C917370 JE917370 TA917370 ACW917370 AMS917370 AWO917370 BGK917370 BQG917370 CAC917370 CJY917370 CTU917370 DDQ917370 DNM917370 DXI917370 EHE917370 ERA917370 FAW917370 FKS917370 FUO917370 GEK917370 GOG917370 GYC917370 HHY917370 HRU917370 IBQ917370 ILM917370 IVI917370 JFE917370 JPA917370 JYW917370 KIS917370 KSO917370 LCK917370 LMG917370 LWC917370 MFY917370 MPU917370 MZQ917370 NJM917370 NTI917370 ODE917370 ONA917370 OWW917370 PGS917370 PQO917370 QAK917370 QKG917370 QUC917370 RDY917370 RNU917370 RXQ917370 SHM917370 SRI917370 TBE917370 TLA917370 TUW917370 UES917370 UOO917370 UYK917370 VIG917370 VSC917370 WBY917370 WLU917370 WVQ917370 C982906 JE982906 TA982906 ACW982906 AMS982906 AWO982906 BGK982906 BQG982906 CAC982906 CJY982906 CTU982906 DDQ982906 DNM982906 DXI982906 EHE982906 ERA982906 FAW982906 FKS982906 FUO982906 GEK982906 GOG982906 GYC982906 HHY982906 HRU982906 IBQ982906 ILM982906 IVI982906 JFE982906 JPA982906 JYW982906 KIS982906 KSO982906 LCK982906 LMG982906 LWC982906 MFY982906 MPU982906 MZQ982906 NJM982906 NTI982906 ODE982906 ONA982906 OWW982906 PGS982906 PQO982906 QAK982906 QKG982906 QUC982906 RDY982906 RNU982906 RXQ982906 SHM982906 SRI982906 TBE982906 TLA982906 TUW982906 UES982906 UOO982906 UYK982906 VIG982906 VSC982906 WBY982906 WLU982906 WBY12:WBY100 VSC12:VSC100 VIG12:VIG100 UYK12:UYK100 UOO12:UOO100 UES12:UES100 TUW12:TUW100 TLA12:TLA100 TBE12:TBE100 SRI12:SRI100 SHM12:SHM100 RXQ12:RXQ100 RNU12:RNU100 RDY12:RDY100 QUC12:QUC100 QKG12:QKG100 QAK12:QAK100 PQO12:PQO100 PGS12:PGS100 OWW12:OWW100 ONA12:ONA100 ODE12:ODE100 NTI12:NTI100 NJM12:NJM100 MZQ12:MZQ100 MPU12:MPU100 MFY12:MFY100 LWC12:LWC100 LMG12:LMG100 LCK12:LCK100 KSO12:KSO100 KIS12:KIS100 JYW12:JYW100 JPA12:JPA100 JFE12:JFE100 IVI12:IVI100 ILM12:ILM100 IBQ12:IBQ100 HRU12:HRU100 HHY12:HHY100 GYC12:GYC100 GOG12:GOG100 GEK12:GEK100 FUO12:FUO100 FKS12:FKS100 FAW12:FAW100 ERA12:ERA100 EHE12:EHE100 DXI12:DXI100 DNM12:DNM100 DDQ12:DDQ100 CTU12:CTU100 CJY12:CJY100 CAC12:CAC100 BQG12:BQG100 BGK12:BGK100 AWO12:AWO100 AMS12:AMS100 ACW12:ACW100 TA12:TA100 JE12:JE100 WVQ12:WVQ100 WLU12:WLU100" xr:uid="{5FBD4E8D-FABF-485A-B881-D575E139371A}"/>
    <dataValidation allowBlank="1" showInputMessage="1" showErrorMessage="1" prompt="Đã bao gồm 13,301 trđ thu hồi vốn ứng trước theo VB số 3418/UBND-KTTH ngày 10/9/2020_x000a_" sqref="O35" xr:uid="{F6A66E9B-5F76-48F6-AF61-F729564CD7DC}"/>
  </dataValidations>
  <printOptions horizontalCentered="1"/>
  <pageMargins left="0" right="0" top="0.47244094488188981" bottom="0.51181102362204722" header="0.31496062992125984" footer="0"/>
  <pageSetup paperSize="9" scale="41" orientation="landscape" r:id="rId1"/>
  <headerFooter>
    <oddFooter>&amp;R&amp;P/&amp;N</oddFooter>
  </headerFooter>
  <colBreaks count="1" manualBreakCount="1">
    <brk id="27" max="1048575"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174A4-08B4-4BA1-BFCD-D3273C90D389}">
  <sheetPr>
    <tabColor rgb="FFFF0000"/>
  </sheetPr>
  <dimension ref="A1:AF31"/>
  <sheetViews>
    <sheetView zoomScale="80" zoomScaleNormal="80" workbookViewId="0">
      <selection activeCell="M8" sqref="M8"/>
    </sheetView>
  </sheetViews>
  <sheetFormatPr defaultColWidth="9.1796875" defaultRowHeight="14"/>
  <cols>
    <col min="1" max="1" width="4.7265625" style="6" customWidth="1"/>
    <col min="2" max="2" width="16.7265625" style="6" customWidth="1"/>
    <col min="3" max="3" width="11.26953125" style="6" customWidth="1"/>
    <col min="4" max="4" width="8.1796875" style="6" customWidth="1"/>
    <col min="5" max="5" width="7.7265625" style="6" customWidth="1"/>
    <col min="6" max="6" width="7.453125" style="6" customWidth="1"/>
    <col min="7" max="7" width="9.7265625" style="6" customWidth="1"/>
    <col min="8" max="8" width="9.54296875" style="6" customWidth="1"/>
    <col min="9" max="9" width="8.1796875" style="6" customWidth="1"/>
    <col min="10" max="10" width="7.453125" style="6" customWidth="1"/>
    <col min="11" max="11" width="8.1796875" style="6" customWidth="1"/>
    <col min="12" max="12" width="10.453125" style="6" customWidth="1"/>
    <col min="13" max="13" width="10.26953125" style="6" customWidth="1"/>
    <col min="14" max="14" width="9.54296875" style="6" customWidth="1"/>
    <col min="15" max="15" width="11.26953125" style="6" customWidth="1"/>
    <col min="16" max="18" width="9.1796875" style="6" customWidth="1"/>
    <col min="19" max="19" width="10.453125" style="6" customWidth="1"/>
    <col min="20" max="20" width="11.453125" style="6" customWidth="1"/>
    <col min="21" max="24" width="9.1796875" style="6" customWidth="1"/>
    <col min="25" max="25" width="11.1796875" style="6" customWidth="1"/>
    <col min="26" max="27" width="9.7265625" style="6" customWidth="1"/>
    <col min="28" max="31" width="9.1796875" style="6" customWidth="1"/>
    <col min="32" max="16384" width="9.1796875" style="6"/>
  </cols>
  <sheetData>
    <row r="1" spans="1:32">
      <c r="AD1" s="572" t="s">
        <v>374</v>
      </c>
      <c r="AE1" s="572"/>
    </row>
    <row r="2" spans="1:32" ht="15" customHeight="1">
      <c r="A2" s="577" t="s">
        <v>1109</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row>
    <row r="3" spans="1:32">
      <c r="A3" s="602" t="s">
        <v>1112</v>
      </c>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567" t="s">
        <v>1111</v>
      </c>
    </row>
    <row r="4" spans="1:32">
      <c r="A4" s="440"/>
      <c r="B4" s="457"/>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598" t="s">
        <v>1102</v>
      </c>
      <c r="AC4" s="598"/>
      <c r="AD4" s="598"/>
      <c r="AE4" s="598"/>
    </row>
    <row r="5" spans="1:32" ht="15" customHeight="1">
      <c r="A5" s="574" t="s">
        <v>1</v>
      </c>
      <c r="B5" s="574" t="s">
        <v>155</v>
      </c>
      <c r="C5" s="574" t="s">
        <v>3</v>
      </c>
      <c r="D5" s="574"/>
      <c r="E5" s="574"/>
      <c r="F5" s="574"/>
      <c r="G5" s="574"/>
      <c r="H5" s="574"/>
      <c r="I5" s="574"/>
      <c r="J5" s="574"/>
      <c r="K5" s="574"/>
      <c r="L5" s="574"/>
      <c r="M5" s="574"/>
      <c r="N5" s="574"/>
      <c r="O5" s="574" t="s">
        <v>4</v>
      </c>
      <c r="P5" s="574"/>
      <c r="Q5" s="574"/>
      <c r="R5" s="574"/>
      <c r="S5" s="574"/>
      <c r="T5" s="574"/>
      <c r="U5" s="574"/>
      <c r="V5" s="574"/>
      <c r="W5" s="574"/>
      <c r="X5" s="574"/>
      <c r="Y5" s="574"/>
      <c r="Z5" s="438"/>
      <c r="AA5" s="574" t="s">
        <v>55</v>
      </c>
      <c r="AB5" s="574"/>
      <c r="AC5" s="574"/>
      <c r="AD5" s="574"/>
      <c r="AE5" s="574"/>
    </row>
    <row r="6" spans="1:32" ht="26.25" customHeight="1">
      <c r="A6" s="574"/>
      <c r="B6" s="574"/>
      <c r="C6" s="574" t="s">
        <v>151</v>
      </c>
      <c r="D6" s="574" t="s">
        <v>30</v>
      </c>
      <c r="E6" s="574"/>
      <c r="F6" s="574"/>
      <c r="G6" s="574" t="s">
        <v>31</v>
      </c>
      <c r="H6" s="574"/>
      <c r="I6" s="574"/>
      <c r="J6" s="599" t="s">
        <v>331</v>
      </c>
      <c r="K6" s="574" t="s">
        <v>156</v>
      </c>
      <c r="L6" s="574"/>
      <c r="M6" s="574"/>
      <c r="N6" s="574" t="s">
        <v>39</v>
      </c>
      <c r="O6" s="574" t="s">
        <v>151</v>
      </c>
      <c r="P6" s="574" t="s">
        <v>30</v>
      </c>
      <c r="Q6" s="574"/>
      <c r="R6" s="574"/>
      <c r="S6" s="574" t="s">
        <v>31</v>
      </c>
      <c r="T6" s="574"/>
      <c r="U6" s="574"/>
      <c r="V6" s="574" t="s">
        <v>156</v>
      </c>
      <c r="W6" s="574"/>
      <c r="X6" s="574"/>
      <c r="Y6" s="574" t="s">
        <v>39</v>
      </c>
      <c r="Z6" s="574" t="s">
        <v>514</v>
      </c>
      <c r="AA6" s="599" t="s">
        <v>151</v>
      </c>
      <c r="AB6" s="599" t="s">
        <v>30</v>
      </c>
      <c r="AC6" s="599" t="s">
        <v>31</v>
      </c>
      <c r="AD6" s="599" t="s">
        <v>156</v>
      </c>
      <c r="AE6" s="599" t="s">
        <v>39</v>
      </c>
    </row>
    <row r="7" spans="1:32">
      <c r="A7" s="574"/>
      <c r="B7" s="574"/>
      <c r="C7" s="574"/>
      <c r="D7" s="574" t="s">
        <v>151</v>
      </c>
      <c r="E7" s="574" t="s">
        <v>157</v>
      </c>
      <c r="F7" s="574"/>
      <c r="G7" s="574" t="s">
        <v>151</v>
      </c>
      <c r="H7" s="574" t="s">
        <v>157</v>
      </c>
      <c r="I7" s="574"/>
      <c r="J7" s="600"/>
      <c r="K7" s="574" t="s">
        <v>151</v>
      </c>
      <c r="L7" s="574" t="s">
        <v>157</v>
      </c>
      <c r="M7" s="574"/>
      <c r="N7" s="574"/>
      <c r="O7" s="574"/>
      <c r="P7" s="574" t="s">
        <v>151</v>
      </c>
      <c r="Q7" s="574" t="s">
        <v>157</v>
      </c>
      <c r="R7" s="574"/>
      <c r="S7" s="574" t="s">
        <v>151</v>
      </c>
      <c r="T7" s="574" t="s">
        <v>157</v>
      </c>
      <c r="U7" s="574"/>
      <c r="V7" s="574" t="s">
        <v>151</v>
      </c>
      <c r="W7" s="574" t="s">
        <v>157</v>
      </c>
      <c r="X7" s="574"/>
      <c r="Y7" s="574"/>
      <c r="Z7" s="574"/>
      <c r="AA7" s="600"/>
      <c r="AB7" s="600"/>
      <c r="AC7" s="600"/>
      <c r="AD7" s="600"/>
      <c r="AE7" s="600"/>
    </row>
    <row r="8" spans="1:32" ht="108.75" customHeight="1">
      <c r="A8" s="574"/>
      <c r="B8" s="574"/>
      <c r="C8" s="574"/>
      <c r="D8" s="574"/>
      <c r="E8" s="438" t="s">
        <v>158</v>
      </c>
      <c r="F8" s="438" t="s">
        <v>159</v>
      </c>
      <c r="G8" s="574"/>
      <c r="H8" s="438" t="s">
        <v>158</v>
      </c>
      <c r="I8" s="438" t="s">
        <v>159</v>
      </c>
      <c r="J8" s="601"/>
      <c r="K8" s="574"/>
      <c r="L8" s="438" t="s">
        <v>30</v>
      </c>
      <c r="M8" s="438" t="s">
        <v>31</v>
      </c>
      <c r="N8" s="574"/>
      <c r="O8" s="574"/>
      <c r="P8" s="574"/>
      <c r="Q8" s="438" t="s">
        <v>158</v>
      </c>
      <c r="R8" s="438" t="s">
        <v>159</v>
      </c>
      <c r="S8" s="574"/>
      <c r="T8" s="438" t="s">
        <v>158</v>
      </c>
      <c r="U8" s="438" t="s">
        <v>159</v>
      </c>
      <c r="V8" s="574"/>
      <c r="W8" s="438" t="s">
        <v>30</v>
      </c>
      <c r="X8" s="438" t="s">
        <v>31</v>
      </c>
      <c r="Y8" s="574"/>
      <c r="Z8" s="574"/>
      <c r="AA8" s="601"/>
      <c r="AB8" s="601"/>
      <c r="AC8" s="601"/>
      <c r="AD8" s="601"/>
      <c r="AE8" s="601"/>
    </row>
    <row r="9" spans="1:32">
      <c r="A9" s="438" t="s">
        <v>8</v>
      </c>
      <c r="B9" s="438" t="s">
        <v>9</v>
      </c>
      <c r="C9" s="438">
        <v>1</v>
      </c>
      <c r="D9" s="438">
        <v>2</v>
      </c>
      <c r="E9" s="438">
        <v>3</v>
      </c>
      <c r="F9" s="438">
        <v>4</v>
      </c>
      <c r="G9" s="438">
        <v>5</v>
      </c>
      <c r="H9" s="438">
        <v>6</v>
      </c>
      <c r="I9" s="438">
        <v>7</v>
      </c>
      <c r="J9" s="438">
        <v>8</v>
      </c>
      <c r="K9" s="438">
        <v>9</v>
      </c>
      <c r="L9" s="438">
        <v>10</v>
      </c>
      <c r="M9" s="438">
        <v>11</v>
      </c>
      <c r="N9" s="438">
        <v>12</v>
      </c>
      <c r="O9" s="438">
        <v>13</v>
      </c>
      <c r="P9" s="438">
        <v>14</v>
      </c>
      <c r="Q9" s="438">
        <v>15</v>
      </c>
      <c r="R9" s="438">
        <v>16</v>
      </c>
      <c r="S9" s="438">
        <v>17</v>
      </c>
      <c r="T9" s="438">
        <v>18</v>
      </c>
      <c r="U9" s="438">
        <v>19</v>
      </c>
      <c r="V9" s="438">
        <v>20</v>
      </c>
      <c r="W9" s="438">
        <v>21</v>
      </c>
      <c r="X9" s="438">
        <v>22</v>
      </c>
      <c r="Y9" s="438">
        <v>23</v>
      </c>
      <c r="Z9" s="438">
        <v>24</v>
      </c>
      <c r="AA9" s="438">
        <v>25</v>
      </c>
      <c r="AB9" s="438">
        <v>26</v>
      </c>
      <c r="AC9" s="438">
        <v>27</v>
      </c>
      <c r="AD9" s="438">
        <v>28</v>
      </c>
      <c r="AE9" s="438">
        <v>29</v>
      </c>
    </row>
    <row r="10" spans="1:32">
      <c r="A10" s="65"/>
      <c r="B10" s="65" t="s">
        <v>152</v>
      </c>
      <c r="C10" s="458">
        <f>SUM(C11:C20)</f>
        <v>3466505.449</v>
      </c>
      <c r="D10" s="458">
        <f t="shared" ref="D10:Z10" si="0">SUM(D11:D20)</f>
        <v>348155</v>
      </c>
      <c r="E10" s="458">
        <f t="shared" si="0"/>
        <v>0</v>
      </c>
      <c r="F10" s="458">
        <f t="shared" si="0"/>
        <v>0</v>
      </c>
      <c r="G10" s="458">
        <f t="shared" si="0"/>
        <v>2690392</v>
      </c>
      <c r="H10" s="458">
        <f t="shared" si="0"/>
        <v>1491565</v>
      </c>
      <c r="I10" s="458">
        <f t="shared" si="0"/>
        <v>1500</v>
      </c>
      <c r="J10" s="458">
        <f t="shared" si="0"/>
        <v>54405</v>
      </c>
      <c r="K10" s="459">
        <f t="shared" si="0"/>
        <v>373553.44900000002</v>
      </c>
      <c r="L10" s="459">
        <f t="shared" si="0"/>
        <v>278160.44900000002</v>
      </c>
      <c r="M10" s="459">
        <f t="shared" si="0"/>
        <v>95393</v>
      </c>
      <c r="N10" s="459">
        <f t="shared" si="0"/>
        <v>0</v>
      </c>
      <c r="O10" s="459">
        <f>SUM(O11:O20)</f>
        <v>4501077.6431460008</v>
      </c>
      <c r="P10" s="459">
        <f>SUM(P11:P20)</f>
        <v>618025.85380299995</v>
      </c>
      <c r="Q10" s="459">
        <f t="shared" si="0"/>
        <v>98112.727918000004</v>
      </c>
      <c r="R10" s="459">
        <f t="shared" si="0"/>
        <v>365.59199999999998</v>
      </c>
      <c r="S10" s="459">
        <f t="shared" si="0"/>
        <v>2863064.58666</v>
      </c>
      <c r="T10" s="459">
        <f t="shared" si="0"/>
        <v>1579185.40931</v>
      </c>
      <c r="U10" s="459">
        <f t="shared" si="0"/>
        <v>1250.537</v>
      </c>
      <c r="V10" s="459">
        <f t="shared" si="0"/>
        <v>356738.84815199999</v>
      </c>
      <c r="W10" s="459">
        <f t="shared" si="0"/>
        <v>263192.81002999999</v>
      </c>
      <c r="X10" s="459">
        <f t="shared" si="0"/>
        <v>93546.038121999998</v>
      </c>
      <c r="Y10" s="459">
        <f t="shared" si="0"/>
        <v>613810.53878499998</v>
      </c>
      <c r="Z10" s="485">
        <f t="shared" si="0"/>
        <v>49437.815745999993</v>
      </c>
      <c r="AA10" s="460">
        <f>O10/C10*100</f>
        <v>129.84481661335479</v>
      </c>
      <c r="AB10" s="460">
        <f>P10/D10*100</f>
        <v>177.51457075239477</v>
      </c>
      <c r="AC10" s="460">
        <f>S10/G10*100</f>
        <v>106.4181199862325</v>
      </c>
      <c r="AD10" s="460">
        <f>V10/K10*100</f>
        <v>95.498742979615741</v>
      </c>
      <c r="AE10" s="64"/>
    </row>
    <row r="11" spans="1:32">
      <c r="A11" s="48">
        <v>1</v>
      </c>
      <c r="B11" s="53" t="s">
        <v>337</v>
      </c>
      <c r="C11" s="51">
        <f>D11+G11+K11+J11</f>
        <v>640394</v>
      </c>
      <c r="D11" s="51">
        <v>84007</v>
      </c>
      <c r="E11" s="461"/>
      <c r="F11" s="462"/>
      <c r="G11" s="51">
        <f>511563+12396+13138</f>
        <v>537097</v>
      </c>
      <c r="H11" s="51">
        <v>290285</v>
      </c>
      <c r="I11" s="51">
        <v>150</v>
      </c>
      <c r="J11" s="51">
        <v>11280</v>
      </c>
      <c r="K11" s="409">
        <f>L11+M11</f>
        <v>8010</v>
      </c>
      <c r="L11" s="409">
        <f>4167</f>
        <v>4167</v>
      </c>
      <c r="M11" s="409">
        <f>3843</f>
        <v>3843</v>
      </c>
      <c r="N11" s="51"/>
      <c r="O11" s="409">
        <f>P11+S11+V11+Y11+Z11</f>
        <v>822497.5680829999</v>
      </c>
      <c r="P11" s="463">
        <f>123982.557697+6498.330662</f>
        <v>130480.888359</v>
      </c>
      <c r="Q11" s="463">
        <v>35141.814275999997</v>
      </c>
      <c r="R11" s="463">
        <v>0</v>
      </c>
      <c r="S11" s="463">
        <f>565305.746+152.5-X11</f>
        <v>561775.57144800003</v>
      </c>
      <c r="T11" s="463">
        <v>304927.68695499998</v>
      </c>
      <c r="U11" s="463">
        <v>158.47</v>
      </c>
      <c r="V11" s="409">
        <f>W11+X11</f>
        <v>7804.8542940000007</v>
      </c>
      <c r="W11" s="463">
        <f>'[4]Bieu 61'!U33</f>
        <v>4122.1797420000003</v>
      </c>
      <c r="X11" s="463">
        <f>'[4]Bieu 61'!V33</f>
        <v>3682.6745519999999</v>
      </c>
      <c r="Y11" s="463">
        <v>112530.001892</v>
      </c>
      <c r="Z11" s="464">
        <f>8926.908781+979.343309</f>
        <v>9906.25209</v>
      </c>
      <c r="AA11" s="465">
        <f t="shared" ref="AA11:AA20" si="1">O11/C11*100</f>
        <v>128.43617649181596</v>
      </c>
      <c r="AB11" s="465">
        <f t="shared" ref="AB11:AB20" si="2">P11/D11*100</f>
        <v>155.3214474496173</v>
      </c>
      <c r="AC11" s="465">
        <f t="shared" ref="AC11:AC20" si="3">S11/G11*100</f>
        <v>104.59480716667566</v>
      </c>
      <c r="AD11" s="465">
        <f t="shared" ref="AD11:AD20" si="4">V11/K11*100</f>
        <v>97.438880074906379</v>
      </c>
      <c r="AE11" s="466"/>
    </row>
    <row r="12" spans="1:32">
      <c r="A12" s="48">
        <v>2</v>
      </c>
      <c r="B12" s="53" t="s">
        <v>338</v>
      </c>
      <c r="C12" s="51">
        <f t="shared" ref="C12:C20" si="5">D12+G12+K12+J12</f>
        <v>367544</v>
      </c>
      <c r="D12" s="51">
        <v>20856</v>
      </c>
      <c r="E12" s="461"/>
      <c r="F12" s="462"/>
      <c r="G12" s="51">
        <f>301185+11939+5801</f>
        <v>318925</v>
      </c>
      <c r="H12" s="51">
        <v>195186</v>
      </c>
      <c r="I12" s="51">
        <v>150</v>
      </c>
      <c r="J12" s="51">
        <v>6350</v>
      </c>
      <c r="K12" s="409">
        <f t="shared" ref="K12:K20" si="6">L12+M12</f>
        <v>21413</v>
      </c>
      <c r="L12" s="409">
        <v>13780</v>
      </c>
      <c r="M12" s="409">
        <v>7633</v>
      </c>
      <c r="N12" s="51"/>
      <c r="O12" s="409">
        <f t="shared" ref="O12:O20" si="7">P12+S12+V12+Y12+Z12</f>
        <v>491914.92233199999</v>
      </c>
      <c r="P12" s="463">
        <f>77975.145626-W12</f>
        <v>64293.655626</v>
      </c>
      <c r="Q12" s="463">
        <v>5566.2678820000001</v>
      </c>
      <c r="R12" s="463">
        <v>325.46199999999999</v>
      </c>
      <c r="S12" s="463">
        <f>344035.2401-X12</f>
        <v>336449.84396299999</v>
      </c>
      <c r="T12" s="463">
        <v>210449.20520900001</v>
      </c>
      <c r="U12" s="463"/>
      <c r="V12" s="409">
        <f t="shared" ref="V12:V20" si="8">W12+X12</f>
        <v>21266.886137000001</v>
      </c>
      <c r="W12" s="463">
        <f>'[4]Bieu 61'!U34</f>
        <v>13681.49</v>
      </c>
      <c r="X12" s="463">
        <f>'[4]Bieu 61'!V34</f>
        <v>7585.3961369999997</v>
      </c>
      <c r="Y12" s="463">
        <v>65816.679149999996</v>
      </c>
      <c r="Z12" s="463">
        <f>3886.611528+201.245928</f>
        <v>4087.8574559999997</v>
      </c>
      <c r="AA12" s="465">
        <f t="shared" si="1"/>
        <v>133.8383764479899</v>
      </c>
      <c r="AB12" s="465">
        <f t="shared" si="2"/>
        <v>308.27414473532798</v>
      </c>
      <c r="AC12" s="465">
        <f t="shared" si="3"/>
        <v>105.49497341475269</v>
      </c>
      <c r="AD12" s="465">
        <f t="shared" si="4"/>
        <v>99.317639457338998</v>
      </c>
      <c r="AE12" s="410"/>
    </row>
    <row r="13" spans="1:32">
      <c r="A13" s="48">
        <v>3</v>
      </c>
      <c r="B13" s="53" t="s">
        <v>339</v>
      </c>
      <c r="C13" s="51">
        <f t="shared" si="5"/>
        <v>294791</v>
      </c>
      <c r="D13" s="51">
        <v>27025</v>
      </c>
      <c r="E13" s="461"/>
      <c r="F13" s="462"/>
      <c r="G13" s="51">
        <f>231562+6390+5000</f>
        <v>242952</v>
      </c>
      <c r="H13" s="51">
        <v>148682</v>
      </c>
      <c r="I13" s="51">
        <v>150</v>
      </c>
      <c r="J13" s="51">
        <v>4915</v>
      </c>
      <c r="K13" s="409">
        <f t="shared" si="6"/>
        <v>19899</v>
      </c>
      <c r="L13" s="409">
        <v>14166</v>
      </c>
      <c r="M13" s="409">
        <v>5733</v>
      </c>
      <c r="N13" s="51"/>
      <c r="O13" s="409">
        <f t="shared" si="7"/>
        <v>356726.53564100002</v>
      </c>
      <c r="P13" s="467">
        <v>35065.930536</v>
      </c>
      <c r="Q13" s="467">
        <v>13168.277532</v>
      </c>
      <c r="R13" s="467"/>
      <c r="S13" s="467">
        <f>266015.8541-'[5]Bieu 58'!X13</f>
        <v>260333.05285000001</v>
      </c>
      <c r="T13" s="467">
        <v>158866.71798399999</v>
      </c>
      <c r="U13" s="467">
        <v>150</v>
      </c>
      <c r="V13" s="409">
        <f t="shared" si="8"/>
        <v>19836.816999999999</v>
      </c>
      <c r="W13" s="463">
        <f>'[4]Bieu 61'!U35</f>
        <v>14154.021000000001</v>
      </c>
      <c r="X13" s="463">
        <f>'[4]Bieu 61'!V35</f>
        <v>5682.7959999999994</v>
      </c>
      <c r="Y13" s="467">
        <v>38928.204468999997</v>
      </c>
      <c r="Z13" s="463">
        <f>1746.67+815.860786</f>
        <v>2562.5307860000003</v>
      </c>
      <c r="AA13" s="465">
        <f t="shared" si="1"/>
        <v>121.00998186545723</v>
      </c>
      <c r="AB13" s="465">
        <f t="shared" si="2"/>
        <v>129.75367450878815</v>
      </c>
      <c r="AC13" s="465">
        <f t="shared" si="3"/>
        <v>107.1541098035826</v>
      </c>
      <c r="AD13" s="465">
        <f t="shared" si="4"/>
        <v>99.687506909894964</v>
      </c>
      <c r="AE13" s="466"/>
    </row>
    <row r="14" spans="1:32">
      <c r="A14" s="48">
        <v>4</v>
      </c>
      <c r="B14" s="53" t="s">
        <v>340</v>
      </c>
      <c r="C14" s="51">
        <f t="shared" si="5"/>
        <v>306711</v>
      </c>
      <c r="D14" s="51">
        <v>36939</v>
      </c>
      <c r="E14" s="461"/>
      <c r="F14" s="462"/>
      <c r="G14" s="51">
        <f>235549+5885-1899</f>
        <v>239535</v>
      </c>
      <c r="H14" s="51">
        <v>143711</v>
      </c>
      <c r="I14" s="51">
        <v>150</v>
      </c>
      <c r="J14" s="51">
        <v>5220</v>
      </c>
      <c r="K14" s="409">
        <f t="shared" si="6"/>
        <v>25017</v>
      </c>
      <c r="L14" s="409">
        <v>19089</v>
      </c>
      <c r="M14" s="409">
        <v>5928</v>
      </c>
      <c r="N14" s="51"/>
      <c r="O14" s="409">
        <f t="shared" si="7"/>
        <v>380759.98313899996</v>
      </c>
      <c r="P14" s="51">
        <v>54631.914634000001</v>
      </c>
      <c r="Q14" s="51">
        <v>9134.9</v>
      </c>
      <c r="R14" s="51">
        <v>40.130000000000003</v>
      </c>
      <c r="S14" s="51">
        <f>243235.73658+3785.271+17575.296</f>
        <v>264596.30358000001</v>
      </c>
      <c r="T14" s="51">
        <v>137438.535646</v>
      </c>
      <c r="U14" s="51">
        <v>93.197000000000003</v>
      </c>
      <c r="V14" s="409">
        <f t="shared" si="8"/>
        <v>24758.022999999997</v>
      </c>
      <c r="W14" s="463">
        <f>'[4]Bieu 61'!U36</f>
        <v>19161.043999999998</v>
      </c>
      <c r="X14" s="463">
        <f>'[4]Bieu 61'!V36</f>
        <v>5596.9790000000003</v>
      </c>
      <c r="Y14" s="51">
        <v>35195.886565000001</v>
      </c>
      <c r="Z14" s="51">
        <f>1515.95636+61.899</f>
        <v>1577.85536</v>
      </c>
      <c r="AA14" s="465">
        <f t="shared" si="1"/>
        <v>124.14291731923537</v>
      </c>
      <c r="AB14" s="465">
        <f t="shared" si="2"/>
        <v>147.89765460353556</v>
      </c>
      <c r="AC14" s="465">
        <f t="shared" si="3"/>
        <v>110.46248088170832</v>
      </c>
      <c r="AD14" s="465">
        <f t="shared" si="4"/>
        <v>98.964795938761625</v>
      </c>
      <c r="AE14" s="466"/>
    </row>
    <row r="15" spans="1:32">
      <c r="A15" s="48">
        <v>5</v>
      </c>
      <c r="B15" s="53" t="s">
        <v>341</v>
      </c>
      <c r="C15" s="51">
        <f t="shared" si="5"/>
        <v>368798</v>
      </c>
      <c r="D15" s="51">
        <v>34384</v>
      </c>
      <c r="E15" s="461"/>
      <c r="F15" s="462"/>
      <c r="G15" s="51">
        <f>261673+12965+12504</f>
        <v>287142</v>
      </c>
      <c r="H15" s="51">
        <v>157597</v>
      </c>
      <c r="I15" s="51">
        <v>150</v>
      </c>
      <c r="J15" s="51">
        <v>5550</v>
      </c>
      <c r="K15" s="409">
        <f t="shared" si="6"/>
        <v>41722</v>
      </c>
      <c r="L15" s="409">
        <f>45626-13841</f>
        <v>31785</v>
      </c>
      <c r="M15" s="409">
        <v>9937</v>
      </c>
      <c r="N15" s="51"/>
      <c r="O15" s="409">
        <f t="shared" si="7"/>
        <v>450466.58433800004</v>
      </c>
      <c r="P15" s="409">
        <v>42950.495043000003</v>
      </c>
      <c r="Q15" s="409">
        <v>3867.4220810000002</v>
      </c>
      <c r="R15" s="409"/>
      <c r="S15" s="409">
        <v>302137.62599999999</v>
      </c>
      <c r="T15" s="409">
        <v>167449.93112200001</v>
      </c>
      <c r="U15" s="409">
        <v>135</v>
      </c>
      <c r="V15" s="409">
        <f t="shared" si="8"/>
        <v>42368.385000000002</v>
      </c>
      <c r="W15" s="463">
        <f>'[4]Bieu 61'!U37</f>
        <v>32567.205000000002</v>
      </c>
      <c r="X15" s="463">
        <f>'[4]Bieu 61'!V37</f>
        <v>9801.18</v>
      </c>
      <c r="Y15" s="409">
        <v>59513.513371000001</v>
      </c>
      <c r="Z15" s="409">
        <f>2996.564924+500</f>
        <v>3496.5649239999998</v>
      </c>
      <c r="AA15" s="465">
        <f t="shared" si="1"/>
        <v>122.14453015959958</v>
      </c>
      <c r="AB15" s="465">
        <f t="shared" si="2"/>
        <v>124.91418986447185</v>
      </c>
      <c r="AC15" s="465">
        <f t="shared" si="3"/>
        <v>105.22237290260567</v>
      </c>
      <c r="AD15" s="465">
        <f t="shared" si="4"/>
        <v>101.54926657398975</v>
      </c>
      <c r="AE15" s="466"/>
    </row>
    <row r="16" spans="1:32">
      <c r="A16" s="48">
        <v>6</v>
      </c>
      <c r="B16" s="53" t="s">
        <v>342</v>
      </c>
      <c r="C16" s="51">
        <f t="shared" si="5"/>
        <v>350921</v>
      </c>
      <c r="D16" s="51">
        <v>33599</v>
      </c>
      <c r="E16" s="461"/>
      <c r="F16" s="462"/>
      <c r="G16" s="51">
        <f>256861+12382+7126</f>
        <v>276369</v>
      </c>
      <c r="H16" s="51">
        <v>153552</v>
      </c>
      <c r="I16" s="51">
        <v>150</v>
      </c>
      <c r="J16" s="51">
        <v>5460</v>
      </c>
      <c r="K16" s="409">
        <f t="shared" si="6"/>
        <v>35493</v>
      </c>
      <c r="L16" s="409">
        <f>41948-14400</f>
        <v>27548</v>
      </c>
      <c r="M16" s="409">
        <v>7945</v>
      </c>
      <c r="N16" s="51"/>
      <c r="O16" s="409">
        <f t="shared" si="7"/>
        <v>540828.91263799998</v>
      </c>
      <c r="P16" s="468">
        <v>129302.77299999999</v>
      </c>
      <c r="Q16" s="468">
        <v>20280.901999999998</v>
      </c>
      <c r="R16" s="468"/>
      <c r="S16" s="469">
        <v>284656.12300000002</v>
      </c>
      <c r="T16" s="468">
        <v>160704.342076</v>
      </c>
      <c r="U16" s="468">
        <v>150</v>
      </c>
      <c r="V16" s="409">
        <f t="shared" si="8"/>
        <v>40971.088920000002</v>
      </c>
      <c r="W16" s="463">
        <f>'[4]Bieu 61'!U38</f>
        <v>33437.038520000002</v>
      </c>
      <c r="X16" s="463">
        <f>'[4]Bieu 61'!V38</f>
        <v>7534.0504000000001</v>
      </c>
      <c r="Y16" s="468">
        <v>74198.171986999994</v>
      </c>
      <c r="Z16" s="468">
        <f>11439.483271+261.27246</f>
        <v>11700.755730999999</v>
      </c>
      <c r="AA16" s="465">
        <f t="shared" si="1"/>
        <v>154.11699859455547</v>
      </c>
      <c r="AB16" s="465">
        <f t="shared" si="2"/>
        <v>384.8411351528319</v>
      </c>
      <c r="AC16" s="465">
        <f t="shared" si="3"/>
        <v>102.99857183692818</v>
      </c>
      <c r="AD16" s="465">
        <f t="shared" si="4"/>
        <v>115.43427977347646</v>
      </c>
      <c r="AE16" s="466"/>
    </row>
    <row r="17" spans="1:31" ht="17.25" customHeight="1">
      <c r="A17" s="48">
        <v>7</v>
      </c>
      <c r="B17" s="53" t="s">
        <v>343</v>
      </c>
      <c r="C17" s="51">
        <f t="shared" si="5"/>
        <v>164638</v>
      </c>
      <c r="D17" s="51">
        <v>28102</v>
      </c>
      <c r="E17" s="461"/>
      <c r="F17" s="462"/>
      <c r="G17" s="51">
        <f>71537+3306+5264</f>
        <v>80107</v>
      </c>
      <c r="H17" s="51">
        <v>30530</v>
      </c>
      <c r="I17" s="51">
        <v>150</v>
      </c>
      <c r="J17" s="51">
        <v>1630</v>
      </c>
      <c r="K17" s="409">
        <f t="shared" si="6"/>
        <v>54799</v>
      </c>
      <c r="L17" s="409">
        <v>44009</v>
      </c>
      <c r="M17" s="409">
        <v>10790</v>
      </c>
      <c r="N17" s="51"/>
      <c r="O17" s="409">
        <f t="shared" si="7"/>
        <v>244456.28368299999</v>
      </c>
      <c r="P17" s="470">
        <v>50923.031352999998</v>
      </c>
      <c r="Q17" s="470">
        <v>4161.2888650000004</v>
      </c>
      <c r="R17" s="470"/>
      <c r="S17" s="463">
        <f>87495.47+1628.715769+265.55105</f>
        <v>89389.736818999998</v>
      </c>
      <c r="T17" s="470">
        <v>34476.565999999999</v>
      </c>
      <c r="U17" s="470">
        <v>131.1</v>
      </c>
      <c r="V17" s="409">
        <f t="shared" si="8"/>
        <v>26920.718510999999</v>
      </c>
      <c r="W17" s="463">
        <f>'[4]Bieu 61'!U39</f>
        <v>16480.614468</v>
      </c>
      <c r="X17" s="463">
        <f>'[4]Bieu 61'!V39</f>
        <v>10440.104042999999</v>
      </c>
      <c r="Y17" s="471">
        <v>74944.576000000001</v>
      </c>
      <c r="Z17" s="471">
        <v>2278.221</v>
      </c>
      <c r="AA17" s="465">
        <f t="shared" si="1"/>
        <v>148.48108193916349</v>
      </c>
      <c r="AB17" s="465">
        <f t="shared" si="2"/>
        <v>181.20785478969466</v>
      </c>
      <c r="AC17" s="465">
        <f t="shared" si="3"/>
        <v>111.58792217783716</v>
      </c>
      <c r="AD17" s="465">
        <f t="shared" si="4"/>
        <v>49.126295207941752</v>
      </c>
      <c r="AE17" s="466"/>
    </row>
    <row r="18" spans="1:31">
      <c r="A18" s="48">
        <v>8</v>
      </c>
      <c r="B18" s="53" t="s">
        <v>335</v>
      </c>
      <c r="C18" s="51">
        <f t="shared" si="5"/>
        <v>239583.44899999999</v>
      </c>
      <c r="D18" s="51">
        <v>18319</v>
      </c>
      <c r="E18" s="461"/>
      <c r="F18" s="462"/>
      <c r="G18" s="51">
        <f>180423+7263+8335</f>
        <v>196021</v>
      </c>
      <c r="H18" s="51">
        <v>104819</v>
      </c>
      <c r="I18" s="51">
        <v>150</v>
      </c>
      <c r="J18" s="51">
        <v>3810</v>
      </c>
      <c r="K18" s="409">
        <f t="shared" si="6"/>
        <v>21433.449000000001</v>
      </c>
      <c r="L18" s="409">
        <f>28425.449-12503</f>
        <v>15922.449000000001</v>
      </c>
      <c r="M18" s="409">
        <v>5511</v>
      </c>
      <c r="N18" s="51"/>
      <c r="O18" s="409">
        <f t="shared" si="7"/>
        <v>267765.85671999998</v>
      </c>
      <c r="P18" s="409">
        <v>20766.029868999998</v>
      </c>
      <c r="Q18" s="409">
        <v>3227.7712820000002</v>
      </c>
      <c r="R18" s="472"/>
      <c r="S18" s="409">
        <v>206278</v>
      </c>
      <c r="T18" s="409">
        <v>115655.97220400001</v>
      </c>
      <c r="U18" s="466">
        <v>135</v>
      </c>
      <c r="V18" s="409">
        <f t="shared" si="8"/>
        <v>20937.807000000001</v>
      </c>
      <c r="W18" s="463">
        <f>'[4]Bieu 61'!U40</f>
        <v>15548.94</v>
      </c>
      <c r="X18" s="463">
        <f>'[4]Bieu 61'!V40</f>
        <v>5388.8670000000002</v>
      </c>
      <c r="Y18" s="409">
        <v>17868</v>
      </c>
      <c r="Z18" s="409">
        <f>1909.069+6.950851</f>
        <v>1916.019851</v>
      </c>
      <c r="AA18" s="465">
        <f t="shared" si="1"/>
        <v>111.76308623889956</v>
      </c>
      <c r="AB18" s="465">
        <f t="shared" si="2"/>
        <v>113.35787908182759</v>
      </c>
      <c r="AC18" s="465">
        <f t="shared" si="3"/>
        <v>105.23260262931014</v>
      </c>
      <c r="AD18" s="465">
        <f t="shared" si="4"/>
        <v>97.687530364338471</v>
      </c>
      <c r="AE18" s="466"/>
    </row>
    <row r="19" spans="1:31" ht="16.5" customHeight="1">
      <c r="A19" s="48">
        <v>9</v>
      </c>
      <c r="B19" s="53" t="s">
        <v>344</v>
      </c>
      <c r="C19" s="51">
        <f t="shared" si="5"/>
        <v>370720</v>
      </c>
      <c r="D19" s="51">
        <v>47815</v>
      </c>
      <c r="E19" s="461"/>
      <c r="F19" s="462"/>
      <c r="G19" s="51">
        <f>227317+7556+15207</f>
        <v>250080</v>
      </c>
      <c r="H19" s="51">
        <v>121525</v>
      </c>
      <c r="I19" s="51">
        <v>150</v>
      </c>
      <c r="J19" s="51">
        <v>5130</v>
      </c>
      <c r="K19" s="409">
        <f t="shared" si="6"/>
        <v>67695</v>
      </c>
      <c r="L19" s="409">
        <f>69545-19854</f>
        <v>49691</v>
      </c>
      <c r="M19" s="409">
        <v>18004</v>
      </c>
      <c r="N19" s="51"/>
      <c r="O19" s="409">
        <f t="shared" si="7"/>
        <v>503488.92193899996</v>
      </c>
      <c r="P19" s="463">
        <v>65986.232400000008</v>
      </c>
      <c r="Q19" s="463">
        <v>627.91300000000001</v>
      </c>
      <c r="R19" s="463"/>
      <c r="S19" s="463">
        <f>286233-X19</f>
        <v>268348.05599999998</v>
      </c>
      <c r="T19" s="463">
        <v>129661.143597</v>
      </c>
      <c r="U19" s="463">
        <v>150</v>
      </c>
      <c r="V19" s="409">
        <f t="shared" si="8"/>
        <v>67461.614000000001</v>
      </c>
      <c r="W19" s="463">
        <f>'[4]Bieu 61'!U41</f>
        <v>49576.67</v>
      </c>
      <c r="X19" s="463">
        <f>'[4]Bieu 61'!V41</f>
        <v>17884.944</v>
      </c>
      <c r="Y19" s="463">
        <v>99063.871698999996</v>
      </c>
      <c r="Z19" s="463">
        <v>2629.1478400000001</v>
      </c>
      <c r="AA19" s="465">
        <f t="shared" si="1"/>
        <v>135.81380069567328</v>
      </c>
      <c r="AB19" s="465">
        <f t="shared" si="2"/>
        <v>138.00320485203389</v>
      </c>
      <c r="AC19" s="465">
        <f t="shared" si="3"/>
        <v>107.30488483685221</v>
      </c>
      <c r="AD19" s="465">
        <f t="shared" si="4"/>
        <v>99.655238939360373</v>
      </c>
      <c r="AE19" s="466"/>
    </row>
    <row r="20" spans="1:31" ht="25.5" customHeight="1">
      <c r="A20" s="59">
        <v>10</v>
      </c>
      <c r="B20" s="473" t="s">
        <v>345</v>
      </c>
      <c r="C20" s="474">
        <f t="shared" si="5"/>
        <v>362405</v>
      </c>
      <c r="D20" s="474">
        <v>17109</v>
      </c>
      <c r="E20" s="475"/>
      <c r="F20" s="476"/>
      <c r="G20" s="474">
        <f>240061+11401+10702</f>
        <v>262164</v>
      </c>
      <c r="H20" s="474">
        <v>145678</v>
      </c>
      <c r="I20" s="474">
        <v>150</v>
      </c>
      <c r="J20" s="474">
        <v>5060</v>
      </c>
      <c r="K20" s="477">
        <f t="shared" si="6"/>
        <v>78072</v>
      </c>
      <c r="L20" s="477">
        <f>84107-26104</f>
        <v>58003</v>
      </c>
      <c r="M20" s="477">
        <v>20069</v>
      </c>
      <c r="N20" s="474"/>
      <c r="O20" s="477">
        <f t="shared" si="7"/>
        <v>442172.07463299995</v>
      </c>
      <c r="P20" s="478">
        <v>23624.902983</v>
      </c>
      <c r="Q20" s="478">
        <v>2936.1709999999998</v>
      </c>
      <c r="R20" s="479"/>
      <c r="S20" s="480">
        <f>288600.273+500</f>
        <v>289100.27299999999</v>
      </c>
      <c r="T20" s="481">
        <v>159555.308517</v>
      </c>
      <c r="U20" s="482">
        <v>147.77000000000001</v>
      </c>
      <c r="V20" s="477">
        <f t="shared" si="8"/>
        <v>84412.654290000006</v>
      </c>
      <c r="W20" s="480">
        <f>'[4]Bieu 61'!U42</f>
        <v>64463.607299999996</v>
      </c>
      <c r="X20" s="480">
        <f>'[4]Bieu 61'!V42</f>
        <v>19949.046990000003</v>
      </c>
      <c r="Y20" s="481">
        <v>35751.633651999997</v>
      </c>
      <c r="Z20" s="481">
        <f>8606.514983+676.095725</f>
        <v>9282.6107079999983</v>
      </c>
      <c r="AA20" s="483">
        <f t="shared" si="1"/>
        <v>122.01047850691904</v>
      </c>
      <c r="AB20" s="483">
        <f t="shared" si="2"/>
        <v>138.08465125372612</v>
      </c>
      <c r="AC20" s="483">
        <f t="shared" si="3"/>
        <v>110.2745888070063</v>
      </c>
      <c r="AD20" s="483">
        <f t="shared" si="4"/>
        <v>108.12154714878575</v>
      </c>
      <c r="AE20" s="484"/>
    </row>
    <row r="21" spans="1:31">
      <c r="A21" s="486" t="s">
        <v>182</v>
      </c>
      <c r="O21" s="487"/>
    </row>
    <row r="22" spans="1:31">
      <c r="A22" s="488" t="s">
        <v>160</v>
      </c>
      <c r="O22" s="487"/>
      <c r="S22" s="487"/>
    </row>
    <row r="23" spans="1:31" ht="20.25" customHeight="1">
      <c r="A23" s="488" t="s">
        <v>161</v>
      </c>
      <c r="S23" s="487"/>
      <c r="T23" s="487"/>
    </row>
    <row r="24" spans="1:31">
      <c r="A24" s="337"/>
    </row>
    <row r="25" spans="1:31" ht="18.75" customHeight="1">
      <c r="A25" s="489"/>
    </row>
    <row r="26" spans="1:31">
      <c r="L26" s="487"/>
    </row>
    <row r="30" spans="1:31">
      <c r="B30" s="487"/>
      <c r="H30" s="487"/>
    </row>
    <row r="31" spans="1:31">
      <c r="E31" s="487"/>
    </row>
  </sheetData>
  <mergeCells count="38">
    <mergeCell ref="A2:AE2"/>
    <mergeCell ref="A3:AE3"/>
    <mergeCell ref="AE6:AE8"/>
    <mergeCell ref="AA6:AA8"/>
    <mergeCell ref="A5:A8"/>
    <mergeCell ref="B5:B8"/>
    <mergeCell ref="C5:N5"/>
    <mergeCell ref="O5:Y5"/>
    <mergeCell ref="AA5:AE5"/>
    <mergeCell ref="C6:C8"/>
    <mergeCell ref="D6:F6"/>
    <mergeCell ref="G6:I6"/>
    <mergeCell ref="AC6:AC8"/>
    <mergeCell ref="K6:M6"/>
    <mergeCell ref="AD6:AD8"/>
    <mergeCell ref="N6:N8"/>
    <mergeCell ref="O6:O8"/>
    <mergeCell ref="T7:U7"/>
    <mergeCell ref="L7:M7"/>
    <mergeCell ref="P7:P8"/>
    <mergeCell ref="Y6:Y8"/>
    <mergeCell ref="S7:S8"/>
    <mergeCell ref="Z6:Z8"/>
    <mergeCell ref="AB4:AE4"/>
    <mergeCell ref="AD1:AE1"/>
    <mergeCell ref="D7:D8"/>
    <mergeCell ref="E7:F7"/>
    <mergeCell ref="G7:G8"/>
    <mergeCell ref="H7:I7"/>
    <mergeCell ref="K7:K8"/>
    <mergeCell ref="J6:J8"/>
    <mergeCell ref="AB6:AB8"/>
    <mergeCell ref="V6:X6"/>
    <mergeCell ref="Q7:R7"/>
    <mergeCell ref="V7:V8"/>
    <mergeCell ref="W7:X7"/>
    <mergeCell ref="P6:R6"/>
    <mergeCell ref="S6:U6"/>
  </mergeCells>
  <dataValidations count="1">
    <dataValidation allowBlank="1" showInputMessage="1" showErrorMessage="1" prompt="Lấy theo dự toán HĐND giao của từng huyện" sqref="E10" xr:uid="{887DE446-62D9-42EB-B9D0-7D629AE1A987}"/>
  </dataValidations>
  <pageMargins left="0.70866141732283472" right="0.70866141732283472" top="0.74803149606299213" bottom="0.74803149606299213" header="0.31496062992125984" footer="0.31496062992125984"/>
  <pageSetup paperSize="9" scale="57" orientation="landscape" r:id="rId1"/>
  <colBreaks count="1" manualBreakCount="1">
    <brk id="2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6B8CD-AF1C-4A81-9922-2EAD3F1191BC}">
  <sheetPr>
    <tabColor rgb="FFFF0000"/>
  </sheetPr>
  <dimension ref="A1:AB20"/>
  <sheetViews>
    <sheetView zoomScaleNormal="100" workbookViewId="0">
      <selection activeCell="A3" sqref="A3:Z3"/>
    </sheetView>
  </sheetViews>
  <sheetFormatPr defaultColWidth="9.1796875" defaultRowHeight="14"/>
  <cols>
    <col min="1" max="1" width="4" style="4" customWidth="1"/>
    <col min="2" max="2" width="18.1796875" style="4" customWidth="1"/>
    <col min="3" max="4" width="9.1796875" style="4"/>
    <col min="5" max="5" width="8" style="4" customWidth="1"/>
    <col min="6" max="6" width="7.453125" style="4" customWidth="1"/>
    <col min="7" max="7" width="8.26953125" style="4" customWidth="1"/>
    <col min="8" max="8" width="9.1796875" style="4"/>
    <col min="9" max="9" width="9.54296875" style="4" customWidth="1"/>
    <col min="10" max="11" width="9.1796875" style="4"/>
    <col min="12" max="12" width="8.81640625" style="4" customWidth="1"/>
    <col min="13" max="13" width="9.1796875" style="4"/>
    <col min="14" max="14" width="6.7265625" style="4" customWidth="1"/>
    <col min="15" max="15" width="8.453125" style="4" customWidth="1"/>
    <col min="16" max="18" width="9.1796875" style="4"/>
    <col min="19" max="19" width="8.453125" style="4" customWidth="1"/>
    <col min="20" max="20" width="7" style="4" customWidth="1"/>
    <col min="21" max="23" width="7.1796875" style="4" customWidth="1"/>
    <col min="24" max="24" width="8.26953125" style="4" customWidth="1"/>
    <col min="25" max="25" width="7.453125" style="4" customWidth="1"/>
    <col min="26" max="26" width="7.26953125" style="4" customWidth="1"/>
    <col min="27" max="27" width="21.26953125" style="4" customWidth="1"/>
    <col min="28" max="16384" width="9.1796875" style="4"/>
  </cols>
  <sheetData>
    <row r="1" spans="1:28">
      <c r="X1" s="572" t="s">
        <v>375</v>
      </c>
      <c r="Y1" s="572"/>
      <c r="Z1" s="572"/>
    </row>
    <row r="2" spans="1:28">
      <c r="A2" s="604" t="s">
        <v>1110</v>
      </c>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567"/>
    </row>
    <row r="3" spans="1:28">
      <c r="A3" s="605" t="s">
        <v>1112</v>
      </c>
      <c r="B3" s="605"/>
      <c r="C3" s="605"/>
      <c r="D3" s="605"/>
      <c r="E3" s="605"/>
      <c r="F3" s="605"/>
      <c r="G3" s="605"/>
      <c r="H3" s="605"/>
      <c r="I3" s="605"/>
      <c r="J3" s="605"/>
      <c r="K3" s="605"/>
      <c r="L3" s="605"/>
      <c r="M3" s="605"/>
      <c r="N3" s="605"/>
      <c r="O3" s="605"/>
      <c r="P3" s="605"/>
      <c r="Q3" s="605"/>
      <c r="R3" s="605"/>
      <c r="S3" s="605"/>
      <c r="T3" s="605"/>
      <c r="U3" s="605"/>
      <c r="V3" s="605"/>
      <c r="W3" s="605"/>
      <c r="X3" s="605"/>
      <c r="Y3" s="605"/>
      <c r="Z3" s="605"/>
    </row>
    <row r="4" spans="1:28">
      <c r="B4" s="451"/>
      <c r="P4" s="41"/>
      <c r="X4" s="603" t="s">
        <v>1102</v>
      </c>
      <c r="Y4" s="603"/>
      <c r="Z4" s="603"/>
    </row>
    <row r="5" spans="1:28">
      <c r="A5" s="606" t="s">
        <v>1</v>
      </c>
      <c r="B5" s="606" t="s">
        <v>155</v>
      </c>
      <c r="C5" s="606" t="s">
        <v>3</v>
      </c>
      <c r="D5" s="606"/>
      <c r="E5" s="606"/>
      <c r="F5" s="606"/>
      <c r="G5" s="606"/>
      <c r="H5" s="606"/>
      <c r="I5" s="606"/>
      <c r="J5" s="606"/>
      <c r="K5" s="606" t="s">
        <v>4</v>
      </c>
      <c r="L5" s="606"/>
      <c r="M5" s="606"/>
      <c r="N5" s="606"/>
      <c r="O5" s="606"/>
      <c r="P5" s="606"/>
      <c r="Q5" s="606"/>
      <c r="R5" s="606"/>
      <c r="S5" s="606" t="s">
        <v>162</v>
      </c>
      <c r="T5" s="606"/>
      <c r="U5" s="606"/>
      <c r="V5" s="606"/>
      <c r="W5" s="606"/>
      <c r="X5" s="606"/>
      <c r="Y5" s="606"/>
      <c r="Z5" s="606"/>
    </row>
    <row r="6" spans="1:28">
      <c r="A6" s="606"/>
      <c r="B6" s="606"/>
      <c r="C6" s="606" t="s">
        <v>151</v>
      </c>
      <c r="D6" s="606" t="s">
        <v>163</v>
      </c>
      <c r="E6" s="606" t="s">
        <v>164</v>
      </c>
      <c r="F6" s="606"/>
      <c r="G6" s="606"/>
      <c r="H6" s="606"/>
      <c r="I6" s="606"/>
      <c r="J6" s="606"/>
      <c r="K6" s="606" t="s">
        <v>151</v>
      </c>
      <c r="L6" s="606" t="s">
        <v>163</v>
      </c>
      <c r="M6" s="606" t="s">
        <v>164</v>
      </c>
      <c r="N6" s="606"/>
      <c r="O6" s="606"/>
      <c r="P6" s="606"/>
      <c r="Q6" s="606"/>
      <c r="R6" s="606"/>
      <c r="S6" s="606" t="s">
        <v>151</v>
      </c>
      <c r="T6" s="606" t="s">
        <v>163</v>
      </c>
      <c r="U6" s="606" t="s">
        <v>164</v>
      </c>
      <c r="V6" s="606"/>
      <c r="W6" s="606"/>
      <c r="X6" s="606"/>
      <c r="Y6" s="606"/>
      <c r="Z6" s="606"/>
    </row>
    <row r="7" spans="1:28" ht="24" customHeight="1">
      <c r="A7" s="606"/>
      <c r="B7" s="606"/>
      <c r="C7" s="606"/>
      <c r="D7" s="606"/>
      <c r="E7" s="606" t="s">
        <v>151</v>
      </c>
      <c r="F7" s="606" t="s">
        <v>165</v>
      </c>
      <c r="G7" s="606"/>
      <c r="H7" s="606" t="s">
        <v>166</v>
      </c>
      <c r="I7" s="606" t="s">
        <v>167</v>
      </c>
      <c r="J7" s="606" t="s">
        <v>168</v>
      </c>
      <c r="K7" s="606"/>
      <c r="L7" s="606"/>
      <c r="M7" s="606" t="s">
        <v>151</v>
      </c>
      <c r="N7" s="606" t="s">
        <v>165</v>
      </c>
      <c r="O7" s="606"/>
      <c r="P7" s="607" t="s">
        <v>166</v>
      </c>
      <c r="Q7" s="606" t="s">
        <v>167</v>
      </c>
      <c r="R7" s="606" t="s">
        <v>168</v>
      </c>
      <c r="S7" s="606"/>
      <c r="T7" s="606"/>
      <c r="U7" s="606" t="s">
        <v>151</v>
      </c>
      <c r="V7" s="606" t="s">
        <v>165</v>
      </c>
      <c r="W7" s="606"/>
      <c r="X7" s="606" t="s">
        <v>166</v>
      </c>
      <c r="Y7" s="606" t="s">
        <v>167</v>
      </c>
      <c r="Z7" s="606" t="s">
        <v>168</v>
      </c>
    </row>
    <row r="8" spans="1:28" ht="16">
      <c r="A8" s="606"/>
      <c r="B8" s="606"/>
      <c r="C8" s="606"/>
      <c r="D8" s="606"/>
      <c r="E8" s="606"/>
      <c r="F8" s="339" t="s">
        <v>169</v>
      </c>
      <c r="G8" s="339" t="s">
        <v>170</v>
      </c>
      <c r="H8" s="606"/>
      <c r="I8" s="606"/>
      <c r="J8" s="606"/>
      <c r="K8" s="606"/>
      <c r="L8" s="606"/>
      <c r="M8" s="606"/>
      <c r="N8" s="339" t="s">
        <v>169</v>
      </c>
      <c r="O8" s="339" t="s">
        <v>170</v>
      </c>
      <c r="P8" s="608"/>
      <c r="Q8" s="606"/>
      <c r="R8" s="606"/>
      <c r="S8" s="606"/>
      <c r="T8" s="606"/>
      <c r="U8" s="606"/>
      <c r="V8" s="339" t="s">
        <v>169</v>
      </c>
      <c r="W8" s="339" t="s">
        <v>170</v>
      </c>
      <c r="X8" s="606"/>
      <c r="Y8" s="606"/>
      <c r="Z8" s="606"/>
    </row>
    <row r="9" spans="1:28">
      <c r="A9" s="339" t="s">
        <v>8</v>
      </c>
      <c r="B9" s="339" t="s">
        <v>9</v>
      </c>
      <c r="C9" s="339" t="s">
        <v>145</v>
      </c>
      <c r="D9" s="339">
        <v>2</v>
      </c>
      <c r="E9" s="339" t="s">
        <v>171</v>
      </c>
      <c r="F9" s="339">
        <v>4</v>
      </c>
      <c r="G9" s="339">
        <v>5</v>
      </c>
      <c r="H9" s="339">
        <v>6</v>
      </c>
      <c r="I9" s="339">
        <v>7</v>
      </c>
      <c r="J9" s="339">
        <v>8</v>
      </c>
      <c r="K9" s="339">
        <v>9</v>
      </c>
      <c r="L9" s="339">
        <v>10</v>
      </c>
      <c r="M9" s="339" t="s">
        <v>172</v>
      </c>
      <c r="N9" s="339">
        <v>12</v>
      </c>
      <c r="O9" s="339">
        <v>13</v>
      </c>
      <c r="P9" s="339">
        <v>14</v>
      </c>
      <c r="Q9" s="339">
        <v>15</v>
      </c>
      <c r="R9" s="339">
        <v>16</v>
      </c>
      <c r="S9" s="339" t="s">
        <v>173</v>
      </c>
      <c r="T9" s="339" t="s">
        <v>174</v>
      </c>
      <c r="U9" s="339" t="s">
        <v>175</v>
      </c>
      <c r="V9" s="339" t="s">
        <v>176</v>
      </c>
      <c r="W9" s="339" t="s">
        <v>177</v>
      </c>
      <c r="X9" s="339" t="s">
        <v>178</v>
      </c>
      <c r="Y9" s="339" t="s">
        <v>179</v>
      </c>
      <c r="Z9" s="339" t="s">
        <v>180</v>
      </c>
    </row>
    <row r="10" spans="1:28">
      <c r="A10" s="2"/>
      <c r="B10" s="1" t="s">
        <v>152</v>
      </c>
      <c r="C10" s="87">
        <f>D10+E10</f>
        <v>2659462.449</v>
      </c>
      <c r="D10" s="87">
        <f>SUM(D11:D20)</f>
        <v>1913342</v>
      </c>
      <c r="E10" s="87">
        <f>SUM(E11:E20)</f>
        <v>746120.44900000002</v>
      </c>
      <c r="F10" s="87">
        <f t="shared" ref="F10:R10" si="0">SUM(F11:F20)</f>
        <v>0</v>
      </c>
      <c r="G10" s="87">
        <f t="shared" si="0"/>
        <v>746120.44900000002</v>
      </c>
      <c r="H10" s="87">
        <f t="shared" si="0"/>
        <v>199906</v>
      </c>
      <c r="I10" s="87">
        <f t="shared" si="0"/>
        <v>172661</v>
      </c>
      <c r="J10" s="87">
        <f>SUM(J11:J20)</f>
        <v>373553.44900000002</v>
      </c>
      <c r="K10" s="87">
        <f t="shared" si="0"/>
        <v>2906304.6410000003</v>
      </c>
      <c r="L10" s="87">
        <f t="shared" si="0"/>
        <v>1913342</v>
      </c>
      <c r="M10" s="87">
        <f t="shared" si="0"/>
        <v>992962.64099999995</v>
      </c>
      <c r="N10" s="87">
        <f t="shared" si="0"/>
        <v>0</v>
      </c>
      <c r="O10" s="87">
        <f t="shared" si="0"/>
        <v>992962.64099999995</v>
      </c>
      <c r="P10" s="87">
        <f t="shared" si="0"/>
        <v>275289</v>
      </c>
      <c r="Q10" s="87">
        <f t="shared" si="0"/>
        <v>334242.74009900005</v>
      </c>
      <c r="R10" s="87">
        <f t="shared" si="0"/>
        <v>383430.90090100002</v>
      </c>
      <c r="S10" s="89">
        <f t="shared" ref="S10:T11" si="1">K10/C10</f>
        <v>1.0928165735495972</v>
      </c>
      <c r="T10" s="452">
        <f t="shared" si="1"/>
        <v>1</v>
      </c>
      <c r="U10" s="353">
        <f>M10/E10*100</f>
        <v>133.08342404109607</v>
      </c>
      <c r="V10" s="353"/>
      <c r="W10" s="353">
        <f>O10/G10*100</f>
        <v>133.08342404109607</v>
      </c>
      <c r="X10" s="353">
        <f>P10/H10*100</f>
        <v>137.70922333496745</v>
      </c>
      <c r="Y10" s="353">
        <f>Q10/I10*100</f>
        <v>193.58322962278686</v>
      </c>
      <c r="Z10" s="353">
        <f>R10/J10*100</f>
        <v>102.64418704403396</v>
      </c>
      <c r="AB10" s="41"/>
    </row>
    <row r="11" spans="1:28" ht="22.5" customHeight="1">
      <c r="A11" s="3">
        <v>1</v>
      </c>
      <c r="B11" s="2" t="s">
        <v>337</v>
      </c>
      <c r="C11" s="87">
        <f>D11+E11</f>
        <v>313469</v>
      </c>
      <c r="D11" s="87">
        <f>238158</f>
        <v>238158</v>
      </c>
      <c r="E11" s="87">
        <f>F11+G11</f>
        <v>75311</v>
      </c>
      <c r="F11" s="87">
        <v>0</v>
      </c>
      <c r="G11" s="87">
        <f t="shared" ref="G11:G20" si="2">H11+I11+J11</f>
        <v>75311</v>
      </c>
      <c r="H11" s="87">
        <v>41767</v>
      </c>
      <c r="I11" s="87">
        <f>13138+12396</f>
        <v>25534</v>
      </c>
      <c r="J11" s="87">
        <v>8010</v>
      </c>
      <c r="K11" s="7">
        <f>L11+M11</f>
        <v>359432.87199999997</v>
      </c>
      <c r="L11" s="7">
        <f t="shared" ref="L11:L20" si="3">D11</f>
        <v>238158</v>
      </c>
      <c r="M11" s="7">
        <f>N11+O11</f>
        <v>121274.872</v>
      </c>
      <c r="N11" s="7"/>
      <c r="O11" s="7">
        <v>121274.872</v>
      </c>
      <c r="P11" s="7">
        <v>47967</v>
      </c>
      <c r="Q11" s="7">
        <f t="shared" ref="Q11:Q20" si="4">O11-P11-R11</f>
        <v>64547.872000000003</v>
      </c>
      <c r="R11" s="346">
        <v>8760</v>
      </c>
      <c r="S11" s="89">
        <f t="shared" si="1"/>
        <v>1.1466297209612433</v>
      </c>
      <c r="T11" s="452">
        <f t="shared" si="1"/>
        <v>1</v>
      </c>
      <c r="U11" s="353">
        <f t="shared" ref="U11:U20" si="5">M11/E11*100</f>
        <v>161.03208296264822</v>
      </c>
      <c r="V11" s="353"/>
      <c r="W11" s="353">
        <f t="shared" ref="W11:W20" si="6">O11/G11*100</f>
        <v>161.03208296264822</v>
      </c>
      <c r="X11" s="353">
        <f t="shared" ref="X11:X20" si="7">P11/H11*100</f>
        <v>114.84425503387843</v>
      </c>
      <c r="Y11" s="353">
        <f t="shared" ref="Y11:Y20" si="8">Q11/I11*100</f>
        <v>252.79185399859014</v>
      </c>
      <c r="Z11" s="353">
        <f t="shared" ref="Z11:Z20" si="9">R11/J11*100</f>
        <v>109.36329588014982</v>
      </c>
      <c r="AA11" s="41"/>
      <c r="AB11" s="41"/>
    </row>
    <row r="12" spans="1:28" ht="16.5" customHeight="1">
      <c r="A12" s="3">
        <v>2</v>
      </c>
      <c r="B12" s="2" t="s">
        <v>338</v>
      </c>
      <c r="C12" s="87">
        <f t="shared" ref="C12:C20" si="10">D12+E12</f>
        <v>292408</v>
      </c>
      <c r="D12" s="87">
        <f>242064</f>
        <v>242064</v>
      </c>
      <c r="E12" s="87">
        <f t="shared" ref="E12:E20" si="11">F12+G12</f>
        <v>50344</v>
      </c>
      <c r="F12" s="87">
        <v>0</v>
      </c>
      <c r="G12" s="87">
        <f t="shared" si="2"/>
        <v>50344</v>
      </c>
      <c r="H12" s="87">
        <v>11191</v>
      </c>
      <c r="I12" s="87">
        <f>5801+11939</f>
        <v>17740</v>
      </c>
      <c r="J12" s="87">
        <v>21413</v>
      </c>
      <c r="K12" s="87">
        <f>L12+M12</f>
        <v>319913.81099999999</v>
      </c>
      <c r="L12" s="7">
        <f t="shared" si="3"/>
        <v>242064</v>
      </c>
      <c r="M12" s="7">
        <f t="shared" ref="M12:M20" si="12">N12+O12</f>
        <v>77849.811000000002</v>
      </c>
      <c r="N12" s="87"/>
      <c r="O12" s="87">
        <v>77849.811000000002</v>
      </c>
      <c r="P12" s="87">
        <v>16579</v>
      </c>
      <c r="Q12" s="7">
        <f t="shared" si="4"/>
        <v>39107.811000000002</v>
      </c>
      <c r="R12" s="346">
        <v>22163</v>
      </c>
      <c r="S12" s="89">
        <f t="shared" ref="S12:S20" si="13">K12/C12</f>
        <v>1.0940665474268829</v>
      </c>
      <c r="T12" s="452">
        <f t="shared" ref="T12:T20" si="14">L12/D12</f>
        <v>1</v>
      </c>
      <c r="U12" s="353">
        <f t="shared" si="5"/>
        <v>154.63572819005245</v>
      </c>
      <c r="V12" s="353"/>
      <c r="W12" s="353">
        <f t="shared" si="6"/>
        <v>154.63572819005245</v>
      </c>
      <c r="X12" s="353">
        <f t="shared" si="7"/>
        <v>148.14583147171834</v>
      </c>
      <c r="Y12" s="353">
        <f t="shared" si="8"/>
        <v>220.44989289740701</v>
      </c>
      <c r="Z12" s="353">
        <f t="shared" si="9"/>
        <v>103.50254518283286</v>
      </c>
      <c r="AA12" s="41"/>
      <c r="AB12" s="41"/>
    </row>
    <row r="13" spans="1:28" ht="14.25" customHeight="1">
      <c r="A13" s="3">
        <v>3</v>
      </c>
      <c r="B13" s="2" t="s">
        <v>339</v>
      </c>
      <c r="C13" s="87">
        <f t="shared" si="10"/>
        <v>213933</v>
      </c>
      <c r="D13" s="87">
        <f>164750</f>
        <v>164750</v>
      </c>
      <c r="E13" s="87">
        <f t="shared" si="11"/>
        <v>49183</v>
      </c>
      <c r="F13" s="87">
        <v>0</v>
      </c>
      <c r="G13" s="87">
        <f t="shared" si="2"/>
        <v>49183</v>
      </c>
      <c r="H13" s="87">
        <v>17894</v>
      </c>
      <c r="I13" s="87">
        <f>5000+6390</f>
        <v>11390</v>
      </c>
      <c r="J13" s="87">
        <v>19899</v>
      </c>
      <c r="K13" s="87">
        <f>L13+M13</f>
        <v>228946.533</v>
      </c>
      <c r="L13" s="7">
        <f t="shared" si="3"/>
        <v>164750</v>
      </c>
      <c r="M13" s="7">
        <f t="shared" si="12"/>
        <v>64196.533000000003</v>
      </c>
      <c r="N13" s="87"/>
      <c r="O13" s="87">
        <v>64196.533000000003</v>
      </c>
      <c r="P13" s="87">
        <v>23094</v>
      </c>
      <c r="Q13" s="7">
        <f t="shared" si="4"/>
        <v>20953.533000000003</v>
      </c>
      <c r="R13" s="346">
        <v>20149</v>
      </c>
      <c r="S13" s="89">
        <f t="shared" si="13"/>
        <v>1.0701786680876724</v>
      </c>
      <c r="T13" s="452">
        <f t="shared" si="14"/>
        <v>1</v>
      </c>
      <c r="U13" s="353">
        <f t="shared" si="5"/>
        <v>130.5258585283533</v>
      </c>
      <c r="V13" s="353"/>
      <c r="W13" s="353">
        <f t="shared" si="6"/>
        <v>130.5258585283533</v>
      </c>
      <c r="X13" s="353">
        <f t="shared" si="7"/>
        <v>129.06002011847545</v>
      </c>
      <c r="Y13" s="353">
        <f t="shared" si="8"/>
        <v>183.96429323968394</v>
      </c>
      <c r="Z13" s="353">
        <f t="shared" si="9"/>
        <v>101.25634453992663</v>
      </c>
      <c r="AA13" s="41"/>
      <c r="AB13" s="41"/>
    </row>
    <row r="14" spans="1:28" ht="14.25" customHeight="1">
      <c r="A14" s="3">
        <v>4</v>
      </c>
      <c r="B14" s="2" t="s">
        <v>340</v>
      </c>
      <c r="C14" s="87">
        <f t="shared" si="10"/>
        <v>242883</v>
      </c>
      <c r="D14" s="87">
        <f>197071</f>
        <v>197071</v>
      </c>
      <c r="E14" s="87">
        <f t="shared" si="11"/>
        <v>45812</v>
      </c>
      <c r="F14" s="87">
        <v>0</v>
      </c>
      <c r="G14" s="87">
        <f t="shared" si="2"/>
        <v>45812</v>
      </c>
      <c r="H14" s="87">
        <v>16809</v>
      </c>
      <c r="I14" s="87">
        <f>0-1899+5885</f>
        <v>3986</v>
      </c>
      <c r="J14" s="87">
        <v>25017</v>
      </c>
      <c r="K14" s="7">
        <v>258404.70500000002</v>
      </c>
      <c r="L14" s="7">
        <f t="shared" si="3"/>
        <v>197071</v>
      </c>
      <c r="M14" s="7">
        <f t="shared" si="12"/>
        <v>61333.705000000002</v>
      </c>
      <c r="N14" s="7"/>
      <c r="O14" s="7">
        <v>61333.705000000002</v>
      </c>
      <c r="P14" s="7">
        <v>21509</v>
      </c>
      <c r="Q14" s="7">
        <f t="shared" si="4"/>
        <v>14557.705000000002</v>
      </c>
      <c r="R14" s="346">
        <v>25267</v>
      </c>
      <c r="S14" s="89">
        <f t="shared" si="13"/>
        <v>1.0639060988212432</v>
      </c>
      <c r="T14" s="452">
        <f t="shared" si="14"/>
        <v>1</v>
      </c>
      <c r="U14" s="353">
        <f t="shared" si="5"/>
        <v>133.88130839081464</v>
      </c>
      <c r="V14" s="353"/>
      <c r="W14" s="353">
        <f t="shared" si="6"/>
        <v>133.88130839081464</v>
      </c>
      <c r="X14" s="353">
        <f t="shared" si="7"/>
        <v>127.96121125587483</v>
      </c>
      <c r="Y14" s="353">
        <f t="shared" si="8"/>
        <v>365.22089814350227</v>
      </c>
      <c r="Z14" s="353">
        <f t="shared" si="9"/>
        <v>100.99932046208578</v>
      </c>
      <c r="AA14" s="41"/>
      <c r="AB14" s="41"/>
    </row>
    <row r="15" spans="1:28" ht="15.75" customHeight="1">
      <c r="A15" s="3">
        <v>5</v>
      </c>
      <c r="B15" s="2" t="s">
        <v>341</v>
      </c>
      <c r="C15" s="87">
        <f t="shared" si="10"/>
        <v>352957</v>
      </c>
      <c r="D15" s="87">
        <f>261172</f>
        <v>261172</v>
      </c>
      <c r="E15" s="87">
        <f t="shared" si="11"/>
        <v>91785</v>
      </c>
      <c r="F15" s="87">
        <v>0</v>
      </c>
      <c r="G15" s="87">
        <f t="shared" si="2"/>
        <v>91785</v>
      </c>
      <c r="H15" s="87">
        <v>24594</v>
      </c>
      <c r="I15" s="87">
        <f>12504+12965</f>
        <v>25469</v>
      </c>
      <c r="J15" s="87">
        <v>41722</v>
      </c>
      <c r="K15" s="87">
        <f>L15+M15</f>
        <v>380662</v>
      </c>
      <c r="L15" s="7">
        <f t="shared" si="3"/>
        <v>261172</v>
      </c>
      <c r="M15" s="7">
        <f t="shared" si="12"/>
        <v>119490</v>
      </c>
      <c r="N15" s="87"/>
      <c r="O15" s="87">
        <v>119490</v>
      </c>
      <c r="P15" s="87">
        <v>28294</v>
      </c>
      <c r="Q15" s="7">
        <f t="shared" si="4"/>
        <v>42531.839999999997</v>
      </c>
      <c r="R15" s="346">
        <v>48664.160000000003</v>
      </c>
      <c r="S15" s="89">
        <f t="shared" si="13"/>
        <v>1.0784939808531917</v>
      </c>
      <c r="T15" s="452">
        <f t="shared" si="14"/>
        <v>1</v>
      </c>
      <c r="U15" s="353">
        <f t="shared" si="5"/>
        <v>130.18467069782645</v>
      </c>
      <c r="V15" s="353"/>
      <c r="W15" s="353">
        <f t="shared" si="6"/>
        <v>130.18467069782645</v>
      </c>
      <c r="X15" s="353">
        <f t="shared" si="7"/>
        <v>115.04431975278524</v>
      </c>
      <c r="Y15" s="353">
        <f t="shared" si="8"/>
        <v>166.99454238486001</v>
      </c>
      <c r="Z15" s="353">
        <f t="shared" si="9"/>
        <v>116.63908729207613</v>
      </c>
      <c r="AA15" s="41"/>
      <c r="AB15" s="41"/>
    </row>
    <row r="16" spans="1:28" ht="14.25" customHeight="1">
      <c r="A16" s="3">
        <v>6</v>
      </c>
      <c r="B16" s="2" t="s">
        <v>342</v>
      </c>
      <c r="C16" s="87">
        <f t="shared" si="10"/>
        <v>275598</v>
      </c>
      <c r="D16" s="87">
        <f>197470</f>
        <v>197470</v>
      </c>
      <c r="E16" s="87">
        <f t="shared" si="11"/>
        <v>78128</v>
      </c>
      <c r="F16" s="87">
        <v>0</v>
      </c>
      <c r="G16" s="87">
        <f t="shared" si="2"/>
        <v>78128</v>
      </c>
      <c r="H16" s="87">
        <v>23127</v>
      </c>
      <c r="I16" s="87">
        <f>7126+12382</f>
        <v>19508</v>
      </c>
      <c r="J16" s="87">
        <v>35493</v>
      </c>
      <c r="K16" s="88">
        <f>L16+M16</f>
        <v>305562.08400000003</v>
      </c>
      <c r="L16" s="7">
        <f t="shared" si="3"/>
        <v>197470</v>
      </c>
      <c r="M16" s="7">
        <f t="shared" si="12"/>
        <v>108092.084</v>
      </c>
      <c r="N16" s="88"/>
      <c r="O16" s="88">
        <v>108092.084</v>
      </c>
      <c r="P16" s="88">
        <v>35477</v>
      </c>
      <c r="Q16" s="7">
        <f t="shared" si="4"/>
        <v>30731.857099000001</v>
      </c>
      <c r="R16" s="346">
        <v>41883.226901000002</v>
      </c>
      <c r="S16" s="89">
        <f t="shared" si="13"/>
        <v>1.1087238804345461</v>
      </c>
      <c r="T16" s="452">
        <f t="shared" si="14"/>
        <v>1</v>
      </c>
      <c r="U16" s="353">
        <f t="shared" si="5"/>
        <v>138.35255478189637</v>
      </c>
      <c r="V16" s="353"/>
      <c r="W16" s="353">
        <f t="shared" si="6"/>
        <v>138.35255478189637</v>
      </c>
      <c r="X16" s="353">
        <f t="shared" si="7"/>
        <v>153.40078695896571</v>
      </c>
      <c r="Y16" s="353">
        <f t="shared" si="8"/>
        <v>157.5346375794546</v>
      </c>
      <c r="Z16" s="353">
        <f t="shared" si="9"/>
        <v>118.00418927957625</v>
      </c>
      <c r="AA16" s="41"/>
      <c r="AB16" s="41"/>
    </row>
    <row r="17" spans="1:28" ht="13.5" customHeight="1">
      <c r="A17" s="3">
        <v>7</v>
      </c>
      <c r="B17" s="2" t="s">
        <v>343</v>
      </c>
      <c r="C17" s="87">
        <f t="shared" si="10"/>
        <v>145019</v>
      </c>
      <c r="D17" s="87">
        <f>61908</f>
        <v>61908</v>
      </c>
      <c r="E17" s="87">
        <f t="shared" si="11"/>
        <v>83111</v>
      </c>
      <c r="F17" s="87">
        <v>0</v>
      </c>
      <c r="G17" s="87">
        <f t="shared" si="2"/>
        <v>83111</v>
      </c>
      <c r="H17" s="87">
        <v>19742</v>
      </c>
      <c r="I17" s="87">
        <f>5264+3306</f>
        <v>8570</v>
      </c>
      <c r="J17" s="87">
        <v>54799</v>
      </c>
      <c r="K17" s="87">
        <f>+L17+M17</f>
        <v>146381.70000000001</v>
      </c>
      <c r="L17" s="7">
        <f t="shared" si="3"/>
        <v>61908</v>
      </c>
      <c r="M17" s="7">
        <f t="shared" si="12"/>
        <v>84473.7</v>
      </c>
      <c r="N17" s="87"/>
      <c r="O17" s="87">
        <v>84473.7</v>
      </c>
      <c r="P17" s="87">
        <v>23442</v>
      </c>
      <c r="Q17" s="7">
        <f t="shared" si="4"/>
        <v>32941.699999999997</v>
      </c>
      <c r="R17" s="346">
        <v>28090</v>
      </c>
      <c r="S17" s="89">
        <f t="shared" si="13"/>
        <v>1.0093966997427923</v>
      </c>
      <c r="T17" s="452">
        <f t="shared" si="14"/>
        <v>1</v>
      </c>
      <c r="U17" s="353">
        <f t="shared" si="5"/>
        <v>101.63961449146322</v>
      </c>
      <c r="V17" s="353"/>
      <c r="W17" s="353">
        <f t="shared" si="6"/>
        <v>101.63961449146322</v>
      </c>
      <c r="X17" s="353">
        <f t="shared" si="7"/>
        <v>118.74176881774896</v>
      </c>
      <c r="Y17" s="353">
        <f t="shared" si="8"/>
        <v>384.38389731621936</v>
      </c>
      <c r="Z17" s="353">
        <f t="shared" si="9"/>
        <v>51.260059490136676</v>
      </c>
      <c r="AA17" s="41"/>
      <c r="AB17" s="41"/>
    </row>
    <row r="18" spans="1:28" ht="12.75" customHeight="1">
      <c r="A18" s="3">
        <v>8</v>
      </c>
      <c r="B18" s="2" t="s">
        <v>335</v>
      </c>
      <c r="C18" s="87">
        <f t="shared" si="10"/>
        <v>203751.44899999999</v>
      </c>
      <c r="D18" s="87">
        <f>154654</f>
        <v>154654</v>
      </c>
      <c r="E18" s="87">
        <f t="shared" si="11"/>
        <v>49097.449000000001</v>
      </c>
      <c r="F18" s="87">
        <v>0</v>
      </c>
      <c r="G18" s="87">
        <f t="shared" si="2"/>
        <v>49097.449000000001</v>
      </c>
      <c r="H18" s="87">
        <v>12066</v>
      </c>
      <c r="I18" s="87">
        <f>8335+7263</f>
        <v>15598</v>
      </c>
      <c r="J18" s="87">
        <v>21433.449000000001</v>
      </c>
      <c r="K18" s="87">
        <f>L18+M18</f>
        <v>221723.14299999998</v>
      </c>
      <c r="L18" s="7">
        <f t="shared" si="3"/>
        <v>154654</v>
      </c>
      <c r="M18" s="7">
        <f t="shared" si="12"/>
        <v>67069.142999999996</v>
      </c>
      <c r="N18" s="87"/>
      <c r="O18" s="87">
        <v>67069.142999999996</v>
      </c>
      <c r="P18" s="87">
        <v>16266</v>
      </c>
      <c r="Q18" s="7">
        <f t="shared" si="4"/>
        <v>29370.142999999996</v>
      </c>
      <c r="R18" s="346">
        <v>21433</v>
      </c>
      <c r="S18" s="89">
        <f t="shared" si="13"/>
        <v>1.088204005852248</v>
      </c>
      <c r="T18" s="452">
        <f t="shared" si="14"/>
        <v>1</v>
      </c>
      <c r="U18" s="353">
        <f t="shared" si="5"/>
        <v>136.60412988055651</v>
      </c>
      <c r="V18" s="353"/>
      <c r="W18" s="353">
        <f t="shared" si="6"/>
        <v>136.60412988055651</v>
      </c>
      <c r="X18" s="353">
        <f t="shared" si="7"/>
        <v>134.80855295872701</v>
      </c>
      <c r="Y18" s="353">
        <f t="shared" si="8"/>
        <v>188.29428772919604</v>
      </c>
      <c r="Z18" s="353">
        <f t="shared" si="9"/>
        <v>99.997905143497903</v>
      </c>
      <c r="AA18" s="41"/>
      <c r="AB18" s="41"/>
    </row>
    <row r="19" spans="1:28" ht="13.5" customHeight="1">
      <c r="A19" s="3">
        <v>9</v>
      </c>
      <c r="B19" s="2" t="s">
        <v>344</v>
      </c>
      <c r="C19" s="87">
        <f t="shared" si="10"/>
        <v>297041</v>
      </c>
      <c r="D19" s="87">
        <f>183298</f>
        <v>183298</v>
      </c>
      <c r="E19" s="87">
        <f t="shared" si="11"/>
        <v>113743</v>
      </c>
      <c r="F19" s="87">
        <v>0</v>
      </c>
      <c r="G19" s="87">
        <f t="shared" si="2"/>
        <v>113743</v>
      </c>
      <c r="H19" s="87">
        <v>23285</v>
      </c>
      <c r="I19" s="87">
        <f>15207+7556</f>
        <v>22763</v>
      </c>
      <c r="J19" s="87">
        <v>67695</v>
      </c>
      <c r="K19" s="90">
        <f>+L19+M19</f>
        <v>320819.81799999997</v>
      </c>
      <c r="L19" s="7">
        <f t="shared" si="3"/>
        <v>183298</v>
      </c>
      <c r="M19" s="7">
        <f t="shared" si="12"/>
        <v>137521.818</v>
      </c>
      <c r="N19" s="90"/>
      <c r="O19" s="90">
        <v>137521.818</v>
      </c>
      <c r="P19" s="90">
        <v>37530</v>
      </c>
      <c r="Q19" s="7">
        <f t="shared" si="4"/>
        <v>26382.304000000004</v>
      </c>
      <c r="R19" s="346">
        <v>73609.513999999996</v>
      </c>
      <c r="S19" s="89">
        <f t="shared" si="13"/>
        <v>1.0800523092771703</v>
      </c>
      <c r="T19" s="452">
        <f t="shared" si="14"/>
        <v>1</v>
      </c>
      <c r="U19" s="353">
        <f t="shared" si="5"/>
        <v>120.90574189180872</v>
      </c>
      <c r="V19" s="353"/>
      <c r="W19" s="353">
        <f t="shared" si="6"/>
        <v>120.90574189180872</v>
      </c>
      <c r="X19" s="353">
        <f t="shared" si="7"/>
        <v>161.17672321236847</v>
      </c>
      <c r="Y19" s="353">
        <f t="shared" si="8"/>
        <v>115.89994288977729</v>
      </c>
      <c r="Z19" s="353">
        <f t="shared" si="9"/>
        <v>108.73700273284585</v>
      </c>
      <c r="AA19" s="41"/>
      <c r="AB19" s="41"/>
    </row>
    <row r="20" spans="1:28">
      <c r="A20" s="3">
        <v>10</v>
      </c>
      <c r="B20" s="2" t="s">
        <v>345</v>
      </c>
      <c r="C20" s="87">
        <f t="shared" si="10"/>
        <v>322403</v>
      </c>
      <c r="D20" s="87">
        <f>212797</f>
        <v>212797</v>
      </c>
      <c r="E20" s="87">
        <f t="shared" si="11"/>
        <v>109606</v>
      </c>
      <c r="F20" s="87">
        <v>0</v>
      </c>
      <c r="G20" s="87">
        <f t="shared" si="2"/>
        <v>109606</v>
      </c>
      <c r="H20" s="87">
        <v>9431</v>
      </c>
      <c r="I20" s="87">
        <f>10702+11401</f>
        <v>22103</v>
      </c>
      <c r="J20" s="87">
        <v>78072</v>
      </c>
      <c r="K20" s="87">
        <f>L20+M20</f>
        <v>364457.97499999998</v>
      </c>
      <c r="L20" s="7">
        <f t="shared" si="3"/>
        <v>212797</v>
      </c>
      <c r="M20" s="7">
        <f t="shared" si="12"/>
        <v>151660.97500000001</v>
      </c>
      <c r="N20" s="87"/>
      <c r="O20" s="87">
        <v>151660.97500000001</v>
      </c>
      <c r="P20" s="87">
        <v>25131</v>
      </c>
      <c r="Q20" s="7">
        <f t="shared" si="4"/>
        <v>33117.975000000006</v>
      </c>
      <c r="R20" s="346">
        <v>93412</v>
      </c>
      <c r="S20" s="89">
        <f t="shared" si="13"/>
        <v>1.1304422570509578</v>
      </c>
      <c r="T20" s="452">
        <f t="shared" si="14"/>
        <v>1</v>
      </c>
      <c r="U20" s="353">
        <f t="shared" si="5"/>
        <v>138.36922704961407</v>
      </c>
      <c r="V20" s="353"/>
      <c r="W20" s="353">
        <f t="shared" si="6"/>
        <v>138.36922704961407</v>
      </c>
      <c r="X20" s="353">
        <f t="shared" si="7"/>
        <v>266.47227229350017</v>
      </c>
      <c r="Y20" s="353">
        <f t="shared" si="8"/>
        <v>149.83475093878661</v>
      </c>
      <c r="Z20" s="353">
        <f t="shared" si="9"/>
        <v>119.64852956245518</v>
      </c>
      <c r="AA20" s="41"/>
      <c r="AB20" s="41"/>
    </row>
  </sheetData>
  <mergeCells count="33">
    <mergeCell ref="V7:W7"/>
    <mergeCell ref="X7:X8"/>
    <mergeCell ref="Y7:Y8"/>
    <mergeCell ref="Z7:Z8"/>
    <mergeCell ref="M7:M8"/>
    <mergeCell ref="N7:O7"/>
    <mergeCell ref="P7:P8"/>
    <mergeCell ref="T6:T8"/>
    <mergeCell ref="U6:Z6"/>
    <mergeCell ref="U7:U8"/>
    <mergeCell ref="Q7:Q8"/>
    <mergeCell ref="R7:R8"/>
    <mergeCell ref="E7:E8"/>
    <mergeCell ref="F7:G7"/>
    <mergeCell ref="H7:H8"/>
    <mergeCell ref="I7:I8"/>
    <mergeCell ref="J7:J8"/>
    <mergeCell ref="X4:Z4"/>
    <mergeCell ref="X1:Z1"/>
    <mergeCell ref="A2:Z2"/>
    <mergeCell ref="A3:Z3"/>
    <mergeCell ref="A5:A8"/>
    <mergeCell ref="B5:B8"/>
    <mergeCell ref="C5:J5"/>
    <mergeCell ref="K5:R5"/>
    <mergeCell ref="S5:Z5"/>
    <mergeCell ref="C6:C8"/>
    <mergeCell ref="D6:D8"/>
    <mergeCell ref="E6:J6"/>
    <mergeCell ref="K6:K8"/>
    <mergeCell ref="L6:L8"/>
    <mergeCell ref="M6:R6"/>
    <mergeCell ref="S6:S8"/>
  </mergeCells>
  <pageMargins left="0.70866141732283472" right="0.70866141732283472" top="0.74803149606299213" bottom="0.74803149606299213" header="0.31496062992125984" footer="0.31496062992125984"/>
  <pageSetup paperSize="9" scale="79" orientation="landscape" verticalDpi="0" r:id="rId1"/>
  <ignoredErrors>
    <ignoredError sqref="D12:I20 D11:I11 T11 T12:T20 V11 V12:V20 K12:Q20 K11:Q1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Tong hop phan cong</vt:lpstr>
      <vt:lpstr>Bieu 48</vt:lpstr>
      <vt:lpstr>Bieu 50</vt:lpstr>
      <vt:lpstr>Bieu 51_NS_DT</vt:lpstr>
      <vt:lpstr>bieu 52_NS_DT</vt:lpstr>
      <vt:lpstr>bieu 53_NS_DT</vt:lpstr>
      <vt:lpstr>Bieu 54_NS_DT</vt:lpstr>
      <vt:lpstr>Bieu 58 </vt:lpstr>
      <vt:lpstr>Bieu 59</vt:lpstr>
      <vt:lpstr>Bieu 61</vt:lpstr>
      <vt:lpstr>Bieu 61_lay sl</vt:lpstr>
      <vt:lpstr>Bieu 45_QT 2019_28-6</vt:lpstr>
      <vt:lpstr>60</vt:lpstr>
      <vt:lpstr>62</vt:lpstr>
      <vt:lpstr>'Bieu 58 '!chuong_phuluc_58_name</vt:lpstr>
      <vt:lpstr>'Bieu 59'!chuong_phuluc_59_name</vt:lpstr>
      <vt:lpstr>'60'!Print_Area</vt:lpstr>
      <vt:lpstr>'62'!Print_Area</vt:lpstr>
      <vt:lpstr>'Bieu 45_QT 2019_28-6'!Print_Area</vt:lpstr>
      <vt:lpstr>'Bieu 54_NS_DT'!Print_Area</vt:lpstr>
      <vt:lpstr>'Bieu 58 '!Print_Area</vt:lpstr>
      <vt:lpstr>'62'!Print_Titles</vt:lpstr>
      <vt:lpstr>'Bieu 45_QT 2019_28-6'!Print_Titles</vt:lpstr>
      <vt:lpstr>'Bieu 51_NS_DT'!Print_Titles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Cong Vo Chi</dc:creator>
  <cp:lastModifiedBy>Le V Trung</cp:lastModifiedBy>
  <cp:lastPrinted>2020-09-18T05:05:32Z</cp:lastPrinted>
  <dcterms:created xsi:type="dcterms:W3CDTF">2006-09-16T00:00:00Z</dcterms:created>
  <dcterms:modified xsi:type="dcterms:W3CDTF">2020-10-13T09:09:45Z</dcterms:modified>
</cp:coreProperties>
</file>