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tranvkhiem\AppData\Local\Temp\VNPT Plugin\"/>
    </mc:Choice>
  </mc:AlternateContent>
  <xr:revisionPtr revIDLastSave="0" documentId="13_ncr:1_{0A928005-5053-4C2E-97A5-4F1F9E1F0023}" xr6:coauthVersionLast="47" xr6:coauthVersionMax="47" xr10:uidLastSave="{00000000-0000-0000-0000-000000000000}"/>
  <bookViews>
    <workbookView xWindow="-120" yWindow="-120" windowWidth="29040" windowHeight="15840" tabRatio="825" xr2:uid="{00000000-000D-0000-FFFF-FFFF00000000}"/>
  </bookViews>
  <sheets>
    <sheet name="KTXH 69-7" sheetId="1" r:id="rId1"/>
    <sheet name="DT thu 69-7" sheetId="2" r:id="rId2"/>
    <sheet name="SẮC THUẾ 69-7" sheetId="3" r:id="rId3"/>
    <sheet name="Chi CĐ NSĐP 69-7" sheetId="4" r:id="rId4"/>
    <sheet name="vay, trả nợ 20-7" sheetId="5" r:id="rId5"/>
    <sheet name="CCTL 20-7" sheetId="6" r:id="rId6"/>
    <sheet name="Bieu 07-31" sheetId="8" r:id="rId7"/>
    <sheet name="Bieu 08-31" sheetId="9" r:id="rId8"/>
    <sheet name="Bieu 09-31" sheetId="10" r:id="rId9"/>
    <sheet name="Bieu 10-31" sheetId="11" r:id="rId10"/>
    <sheet name="Bieu 11-31" sheetId="12" r:id="rId11"/>
    <sheet name="Sheet2" sheetId="19" state="hidden" r:id="rId12"/>
    <sheet name="Bieu 32 Chi" sheetId="17" state="hidden" r:id="rId13"/>
    <sheet name="PL15 ND 31" sheetId="18" state="hidden" r:id="rId14"/>
    <sheet name="Sheet1" sheetId="16" state="hidden" r:id="rId15"/>
  </sheets>
  <externalReferences>
    <externalReference r:id="rId16"/>
    <externalReference r:id="rId17"/>
    <externalReference r:id="rId18"/>
  </externalReference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L1242">#REF!</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H1">#REF!</definedName>
    <definedName name="______TH2">#REF!</definedName>
    <definedName name="______TH3">#REF!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10" localSheetId="5">#REF!</definedName>
    <definedName name="_____btm100" localSheetId="5">#REF!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om2" localSheetId="5">#REF!</definedName>
    <definedName name="_____KM188" localSheetId="5">#REF!</definedName>
    <definedName name="_____km189" localSheetId="5">#REF!</definedName>
    <definedName name="_____km190">#REF!</definedName>
    <definedName name="_____km191">#REF!</definedName>
    <definedName name="_____km192">#REF!</definedName>
    <definedName name="_____km193" localSheetId="5">#REF!</definedName>
    <definedName name="_____km194" localSheetId="5">#REF!</definedName>
    <definedName name="_____km195" localSheetId="5">#REF!</definedName>
    <definedName name="_____km196">#REF!</definedName>
    <definedName name="_____km197" localSheetId="5">#REF!</definedName>
    <definedName name="_____km198" localSheetId="5">#REF!</definedName>
    <definedName name="_____lap1">#REF!</definedName>
    <definedName name="_____lap2">#REF!</definedName>
    <definedName name="_____MAC12">#REF!</definedName>
    <definedName name="_____MAC46">#REF!</definedName>
    <definedName name="_____NCL100" localSheetId="5">#REF!</definedName>
    <definedName name="_____NCL200" localSheetId="5">#REF!</definedName>
    <definedName name="_____NCL250" localSheetId="5">#REF!</definedName>
    <definedName name="_____NET2">#REF!</definedName>
    <definedName name="_____nin190" localSheetId="5">#REF!</definedName>
    <definedName name="_____NSO2" hidden="1">{"'Sheet1'!$L$16"}</definedName>
    <definedName name="_____PA3" hidden="1">{"'Sheet1'!$L$16"}</definedName>
    <definedName name="_____PL1242">#REF!</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SN3" localSheetId="5">#REF!</definedName>
    <definedName name="_____sua20" localSheetId="5">#REF!</definedName>
    <definedName name="_____sua30" localSheetId="5">#REF!</definedName>
    <definedName name="_____TB1" localSheetId="5">#REF!</definedName>
    <definedName name="_____TK155">#REF!</definedName>
    <definedName name="_____TK422">#REF!</definedName>
    <definedName name="_____TL1">#REF!</definedName>
    <definedName name="_____TL2">#REF!</definedName>
    <definedName name="_____TL3" localSheetId="5">#REF!</definedName>
    <definedName name="_____TLA120">#REF!</definedName>
    <definedName name="_____TLA35">#REF!</definedName>
    <definedName name="_____TLA50">#REF!</definedName>
    <definedName name="_____TLA70">#REF!</definedName>
    <definedName name="_____TLA95">#REF!</definedName>
    <definedName name="_____TH1">#REF!</definedName>
    <definedName name="_____TH2">#REF!</definedName>
    <definedName name="_____TH3">#REF!</definedName>
    <definedName name="_____VL100" localSheetId="5">#REF!</definedName>
    <definedName name="_____vl2" hidden="1">{"'Sheet1'!$L$16"}</definedName>
    <definedName name="_____VL250" localSheetId="5">#REF!</definedName>
    <definedName name="____a1" localSheetId="1"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6" localSheetId="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A3" localSheetId="1" hidden="1">{"'Sheet1'!$L$16"}</definedName>
    <definedName name="____PL1242">#REF!</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H1">#REF!</definedName>
    <definedName name="____TH2">#REF!</definedName>
    <definedName name="____TH3">#REF!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L1242">#REF!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H1">#REF!</definedName>
    <definedName name="___TH2">#REF!</definedName>
    <definedName name="___TH3">#REF!</definedName>
    <definedName name="___VL100">#REF!</definedName>
    <definedName name="___vl2" hidden="1">{"'Sheet1'!$L$16"}</definedName>
    <definedName name="___VL250">#REF!</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L1242">#REF!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H1">#REF!</definedName>
    <definedName name="__TH2">#REF!</definedName>
    <definedName name="__TH3">#REF!</definedName>
    <definedName name="__VL100">#REF!</definedName>
    <definedName name="__vl2" hidden="1">{"'Sheet1'!$L$16"}</definedName>
    <definedName name="__VL250">#REF!</definedName>
    <definedName name="_1" localSheetId="12">#REF!</definedName>
    <definedName name="_1" localSheetId="5">#REF!</definedName>
    <definedName name="_1" localSheetId="3">#REF!</definedName>
    <definedName name="_1" localSheetId="1">#REF!</definedName>
    <definedName name="_1" localSheetId="13">#REF!</definedName>
    <definedName name="_1">#REF!</definedName>
    <definedName name="_1000A01">#N/A</definedName>
    <definedName name="_1BA2500" localSheetId="5">#REF!</definedName>
    <definedName name="_1BA2500" localSheetId="3">#REF!</definedName>
    <definedName name="_1BA2500" localSheetId="1">#REF!</definedName>
    <definedName name="_1BA2500">#REF!</definedName>
    <definedName name="_1BA3250" localSheetId="5">#REF!</definedName>
    <definedName name="_1BA3250" localSheetId="3">#REF!</definedName>
    <definedName name="_1BA3250" localSheetId="1">#REF!</definedName>
    <definedName name="_1BA3250">#REF!</definedName>
    <definedName name="_1BA400P" localSheetId="5">#REF!</definedName>
    <definedName name="_1BA400P" localSheetId="3">#REF!</definedName>
    <definedName name="_1BA400P" localSheetId="1">#REF!</definedName>
    <definedName name="_1BA400P">#REF!</definedName>
    <definedName name="_1CAP001" localSheetId="5">#REF!</definedName>
    <definedName name="_1CAP001" localSheetId="3">#REF!</definedName>
    <definedName name="_1CAP001" localSheetId="1">#REF!</definedName>
    <definedName name="_1CAP001">#REF!</definedName>
    <definedName name="_1DAU002" localSheetId="5">#REF!</definedName>
    <definedName name="_1DAU002" localSheetId="3">#REF!</definedName>
    <definedName name="_1DAU002" localSheetId="1">#REF!</definedName>
    <definedName name="_1DAU002">#REF!</definedName>
    <definedName name="_1DDAY03" localSheetId="5">#REF!</definedName>
    <definedName name="_1DDAY03" localSheetId="3">#REF!</definedName>
    <definedName name="_1DDAY03" localSheetId="1">#REF!</definedName>
    <definedName name="_1DDAY03">#REF!</definedName>
    <definedName name="_1DDTT01" localSheetId="5">#REF!</definedName>
    <definedName name="_1DDTT01" localSheetId="3">#REF!</definedName>
    <definedName name="_1DDTT01" localSheetId="1">#REF!</definedName>
    <definedName name="_1DDTT01">#REF!</definedName>
    <definedName name="_1FCO101" localSheetId="5">#REF!</definedName>
    <definedName name="_1FCO101" localSheetId="3">#REF!</definedName>
    <definedName name="_1FCO101" localSheetId="1">#REF!</definedName>
    <definedName name="_1FCO101">#REF!</definedName>
    <definedName name="_1GIA101" localSheetId="5">#REF!</definedName>
    <definedName name="_1GIA101" localSheetId="3">#REF!</definedName>
    <definedName name="_1GIA101" localSheetId="1">#REF!</definedName>
    <definedName name="_1GIA101">#REF!</definedName>
    <definedName name="_1LA1001" localSheetId="5">#REF!</definedName>
    <definedName name="_1LA1001" localSheetId="3">#REF!</definedName>
    <definedName name="_1LA1001" localSheetId="1">#REF!</definedName>
    <definedName name="_1LA1001">#REF!</definedName>
    <definedName name="_1MCCBO2" localSheetId="5">#REF!</definedName>
    <definedName name="_1MCCBO2" localSheetId="3">#REF!</definedName>
    <definedName name="_1MCCBO2" localSheetId="1">#REF!</definedName>
    <definedName name="_1MCCBO2">#REF!</definedName>
    <definedName name="_1PKCAP1" localSheetId="5">#REF!</definedName>
    <definedName name="_1PKCAP1" localSheetId="3">#REF!</definedName>
    <definedName name="_1PKCAP1" localSheetId="1">#REF!</definedName>
    <definedName name="_1PKCAP1">#REF!</definedName>
    <definedName name="_1PKTT01" localSheetId="5">#REF!</definedName>
    <definedName name="_1PKTT01" localSheetId="3">#REF!</definedName>
    <definedName name="_1PKTT01" localSheetId="1">#REF!</definedName>
    <definedName name="_1PKTT01">#REF!</definedName>
    <definedName name="_1TCD101" localSheetId="5">#REF!</definedName>
    <definedName name="_1TCD101" localSheetId="3">#REF!</definedName>
    <definedName name="_1TCD101" localSheetId="1">#REF!</definedName>
    <definedName name="_1TCD101">#REF!</definedName>
    <definedName name="_1TCD201" localSheetId="5">#REF!</definedName>
    <definedName name="_1TCD201" localSheetId="3">#REF!</definedName>
    <definedName name="_1TCD201" localSheetId="1">#REF!</definedName>
    <definedName name="_1TCD201">#REF!</definedName>
    <definedName name="_1TD2001" localSheetId="5">#REF!</definedName>
    <definedName name="_1TD2001" localSheetId="3">#REF!</definedName>
    <definedName name="_1TD2001" localSheetId="1">#REF!</definedName>
    <definedName name="_1TD2001">#REF!</definedName>
    <definedName name="_1TIHT01" localSheetId="5">#REF!</definedName>
    <definedName name="_1TIHT01" localSheetId="3">#REF!</definedName>
    <definedName name="_1TIHT01" localSheetId="1">#REF!</definedName>
    <definedName name="_1TIHT01">#REF!</definedName>
    <definedName name="_1TRU121" localSheetId="5">#REF!</definedName>
    <definedName name="_1TRU121" localSheetId="3">#REF!</definedName>
    <definedName name="_1TRU121" localSheetId="1">#REF!</definedName>
    <definedName name="_1TRU121">#REF!</definedName>
    <definedName name="_2" localSheetId="5">#REF!</definedName>
    <definedName name="_2" localSheetId="3">#REF!</definedName>
    <definedName name="_2" localSheetId="1">#REF!</definedName>
    <definedName name="_2">#REF!</definedName>
    <definedName name="_2BLA100" localSheetId="5">#REF!</definedName>
    <definedName name="_2BLA100" localSheetId="3">#REF!</definedName>
    <definedName name="_2BLA100" localSheetId="1">#REF!</definedName>
    <definedName name="_2BLA100">#REF!</definedName>
    <definedName name="_2DAL201" localSheetId="5">#REF!</definedName>
    <definedName name="_2DAL201" localSheetId="3">#REF!</definedName>
    <definedName name="_2DAL201" localSheetId="1">#REF!</definedName>
    <definedName name="_2DAL201">#REF!</definedName>
    <definedName name="_3BLXMD" localSheetId="5">#REF!</definedName>
    <definedName name="_3BLXMD" localSheetId="3">#REF!</definedName>
    <definedName name="_3BLXMD" localSheetId="1">#REF!</definedName>
    <definedName name="_3BLXMD">#REF!</definedName>
    <definedName name="_3TU0609" localSheetId="5">#REF!</definedName>
    <definedName name="_3TU0609" localSheetId="3">#REF!</definedName>
    <definedName name="_3TU0609" localSheetId="1">#REF!</definedName>
    <definedName name="_3TU0609">#REF!</definedName>
    <definedName name="_40x4">5100</definedName>
    <definedName name="_4CNT240" localSheetId="5">#REF!</definedName>
    <definedName name="_4CNT240" localSheetId="3">#REF!</definedName>
    <definedName name="_4CNT240" localSheetId="1">#REF!</definedName>
    <definedName name="_4CNT240">#REF!</definedName>
    <definedName name="_4CTL240" localSheetId="5">#REF!</definedName>
    <definedName name="_4CTL240" localSheetId="3">#REF!</definedName>
    <definedName name="_4CTL240" localSheetId="1">#REF!</definedName>
    <definedName name="_4CTL240">#REF!</definedName>
    <definedName name="_4FCO100" localSheetId="5">#REF!</definedName>
    <definedName name="_4FCO100" localSheetId="3">#REF!</definedName>
    <definedName name="_4FCO100" localSheetId="1">#REF!</definedName>
    <definedName name="_4FCO100">#REF!</definedName>
    <definedName name="_4HDCTT4" localSheetId="5">#REF!</definedName>
    <definedName name="_4HDCTT4" localSheetId="3">#REF!</definedName>
    <definedName name="_4HDCTT4" localSheetId="1">#REF!</definedName>
    <definedName name="_4HDCTT4">#REF!</definedName>
    <definedName name="_4HNCTT4" localSheetId="5">#REF!</definedName>
    <definedName name="_4HNCTT4" localSheetId="3">#REF!</definedName>
    <definedName name="_4HNCTT4" localSheetId="1">#REF!</definedName>
    <definedName name="_4HNCTT4">#REF!</definedName>
    <definedName name="_4LBCO01" localSheetId="5">#REF!</definedName>
    <definedName name="_4LBCO01" localSheetId="3">#REF!</definedName>
    <definedName name="_4LBCO01" localSheetId="1">#REF!</definedName>
    <definedName name="_4LBCO01">#REF!</definedName>
    <definedName name="_a1" localSheetId="13" hidden="1">{"'Sheet1'!$L$16"}</definedName>
    <definedName name="_a1" localSheetId="2" hidden="1">{"'Sheet1'!$L$16"}</definedName>
    <definedName name="_a1"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localSheetId="5" hidden="1">#REF!</definedName>
    <definedName name="_Fill" localSheetId="3" hidden="1">#REF!</definedName>
    <definedName name="_Fill" localSheetId="1" hidden="1">#REF!</definedName>
    <definedName name="_Fill" localSheetId="2" hidden="1">#REF!</definedName>
    <definedName name="_Fill" hidden="1">#REF!</definedName>
    <definedName name="_gon4">#REF!</definedName>
    <definedName name="_h1" localSheetId="12" hidden="1">{"'Sheet1'!$L$16"}</definedName>
    <definedName name="_h1" localSheetId="13" hidden="1">{"'Sheet1'!$L$16"}</definedName>
    <definedName name="_h1" hidden="1">{"'Sheet1'!$L$16"}</definedName>
    <definedName name="_h10" localSheetId="12" hidden="1">{#N/A,#N/A,FALSE,"Chi tiÆt"}</definedName>
    <definedName name="_h10" localSheetId="13" hidden="1">{#N/A,#N/A,FALSE,"Chi tiÆt"}</definedName>
    <definedName name="_h10" hidden="1">{#N/A,#N/A,FALSE,"Chi tiÆt"}</definedName>
    <definedName name="_h2" localSheetId="12" hidden="1">{"'Sheet1'!$L$16"}</definedName>
    <definedName name="_h2" localSheetId="13" hidden="1">{"'Sheet1'!$L$16"}</definedName>
    <definedName name="_h2" hidden="1">{"'Sheet1'!$L$16"}</definedName>
    <definedName name="_h3" localSheetId="12" hidden="1">{"'Sheet1'!$L$16"}</definedName>
    <definedName name="_h3" localSheetId="13" hidden="1">{"'Sheet1'!$L$16"}</definedName>
    <definedName name="_h3" hidden="1">{"'Sheet1'!$L$16"}</definedName>
    <definedName name="_h5" localSheetId="12" hidden="1">{"'Sheet1'!$L$16"}</definedName>
    <definedName name="_h5" localSheetId="13" hidden="1">{"'Sheet1'!$L$16"}</definedName>
    <definedName name="_h5" hidden="1">{"'Sheet1'!$L$16"}</definedName>
    <definedName name="_h6" localSheetId="12" hidden="1">{"'Sheet1'!$L$16"}</definedName>
    <definedName name="_h6" localSheetId="13" hidden="1">{"'Sheet1'!$L$16"}</definedName>
    <definedName name="_h6" hidden="1">{"'Sheet1'!$L$16"}</definedName>
    <definedName name="_h7" localSheetId="12" hidden="1">{"'Sheet1'!$L$16"}</definedName>
    <definedName name="_h7" localSheetId="13" hidden="1">{"'Sheet1'!$L$16"}</definedName>
    <definedName name="_h7" hidden="1">{"'Sheet1'!$L$16"}</definedName>
    <definedName name="_h8" localSheetId="12" hidden="1">{"'Sheet1'!$L$16"}</definedName>
    <definedName name="_h8" localSheetId="13" hidden="1">{"'Sheet1'!$L$16"}</definedName>
    <definedName name="_h8" hidden="1">{"'Sheet1'!$L$16"}</definedName>
    <definedName name="_h9" localSheetId="12" hidden="1">{"'Sheet1'!$L$16"}</definedName>
    <definedName name="_h9" localSheetId="13" hidden="1">{"'Sheet1'!$L$16"}</definedName>
    <definedName name="_h9" hidden="1">{"'Sheet1'!$L$16"}</definedName>
    <definedName name="_hom2">#REF!</definedName>
    <definedName name="_Key1" localSheetId="5" hidden="1">#REF!</definedName>
    <definedName name="_Key1" localSheetId="3" hidden="1">#REF!</definedName>
    <definedName name="_Key1" localSheetId="1" hidden="1">#REF!</definedName>
    <definedName name="_Key1" hidden="1">#REF!</definedName>
    <definedName name="_Key2" localSheetId="5" hidden="1">#REF!</definedName>
    <definedName name="_Key2" localSheetId="3" hidden="1">#REF!</definedName>
    <definedName name="_Key2" localSheetId="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A3" localSheetId="13" hidden="1">{"'Sheet1'!$L$16"}</definedName>
    <definedName name="_PA3" localSheetId="2" hidden="1">{"'Sheet1'!$L$16"}</definedName>
    <definedName name="_PA3" hidden="1">{"'Sheet1'!$L$16"}</definedName>
    <definedName name="_PL1242">#REF!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localSheetId="5" hidden="1">#REF!</definedName>
    <definedName name="_Sort" localSheetId="3" hidden="1">#REF!</definedName>
    <definedName name="_Sort" localSheetId="1" hidden="1">#REF!</definedName>
    <definedName name="_Sort" localSheetId="2" hidden="1">#REF!</definedName>
    <definedName name="_Sort" hidden="1">#REF!</definedName>
    <definedName name="_sua20">#REF!</definedName>
    <definedName name="_sua30">#REF!</definedName>
    <definedName name="_TB1">#REF!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2">#REF!</definedName>
    <definedName name="_TH3">#REF!</definedName>
    <definedName name="_VL100">#REF!</definedName>
    <definedName name="_vl2" hidden="1">{"'Sheet1'!$L$16"}</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5">#REF!</definedName>
    <definedName name="A120_" localSheetId="3">#REF!</definedName>
    <definedName name="A120_" localSheetId="1">#REF!</definedName>
    <definedName name="A120_">#REF!</definedName>
    <definedName name="a277Print_Titles" localSheetId="5">#REF!</definedName>
    <definedName name="a277Print_Titles" localSheetId="3">#REF!</definedName>
    <definedName name="a277Print_Titles" localSheetId="1">#REF!</definedName>
    <definedName name="a277Print_Titles">#REF!</definedName>
    <definedName name="A35_" localSheetId="5">#REF!</definedName>
    <definedName name="A35_" localSheetId="3">#REF!</definedName>
    <definedName name="A35_" localSheetId="1">#REF!</definedName>
    <definedName name="A35_">#REF!</definedName>
    <definedName name="A50_" localSheetId="5">#REF!</definedName>
    <definedName name="A50_" localSheetId="3">#REF!</definedName>
    <definedName name="A50_" localSheetId="1">#REF!</definedName>
    <definedName name="A50_">#REF!</definedName>
    <definedName name="A6N2" localSheetId="5">#REF!</definedName>
    <definedName name="A6N2" localSheetId="3">#REF!</definedName>
    <definedName name="A6N2" localSheetId="1">#REF!</definedName>
    <definedName name="A6N2">#REF!</definedName>
    <definedName name="A6N3" localSheetId="5">#REF!</definedName>
    <definedName name="A6N3" localSheetId="3">#REF!</definedName>
    <definedName name="A6N3" localSheetId="1">#REF!</definedName>
    <definedName name="A6N3">#REF!</definedName>
    <definedName name="A70_" localSheetId="5">#REF!</definedName>
    <definedName name="A70_" localSheetId="3">#REF!</definedName>
    <definedName name="A70_" localSheetId="1">#REF!</definedName>
    <definedName name="A70_">#REF!</definedName>
    <definedName name="A95_" localSheetId="5">#REF!</definedName>
    <definedName name="A95_" localSheetId="3">#REF!</definedName>
    <definedName name="A95_" localSheetId="1">#REF!</definedName>
    <definedName name="A95_">#REF!</definedName>
    <definedName name="aa" localSheetId="5">#REF!</definedName>
    <definedName name="aa" localSheetId="3">#REF!</definedName>
    <definedName name="aa" localSheetId="1">#REF!</definedName>
    <definedName name="aa">#REF!</definedName>
    <definedName name="abc" localSheetId="5">#REF!</definedName>
    <definedName name="abc" localSheetId="3">#REF!</definedName>
    <definedName name="abc" localSheetId="1">#REF!</definedName>
    <definedName name="abc">#REF!</definedName>
    <definedName name="AC120_" localSheetId="5">#REF!</definedName>
    <definedName name="AC120_" localSheetId="3">#REF!</definedName>
    <definedName name="AC120_" localSheetId="1">#REF!</definedName>
    <definedName name="AC120_">#REF!</definedName>
    <definedName name="AC35_" localSheetId="5">#REF!</definedName>
    <definedName name="AC35_" localSheetId="3">#REF!</definedName>
    <definedName name="AC35_" localSheetId="1">#REF!</definedName>
    <definedName name="AC35_">#REF!</definedName>
    <definedName name="AC50_" localSheetId="5">#REF!</definedName>
    <definedName name="AC50_" localSheetId="3">#REF!</definedName>
    <definedName name="AC50_" localSheetId="1">#REF!</definedName>
    <definedName name="AC50_">#REF!</definedName>
    <definedName name="AC70_" localSheetId="5">#REF!</definedName>
    <definedName name="AC70_" localSheetId="3">#REF!</definedName>
    <definedName name="AC70_" localSheetId="1">#REF!</definedName>
    <definedName name="AC70_">#REF!</definedName>
    <definedName name="AC95_" localSheetId="5">#REF!</definedName>
    <definedName name="AC95_" localSheetId="3">#REF!</definedName>
    <definedName name="AC95_" localSheetId="1">#REF!</definedName>
    <definedName name="AC95_">#REF!</definedName>
    <definedName name="ADAY" localSheetId="5">#REF!</definedName>
    <definedName name="ADAY" localSheetId="3">#REF!</definedName>
    <definedName name="ADAY" localSheetId="1">#REF!</definedName>
    <definedName name="ADAY">#REF!</definedName>
    <definedName name="ADP" localSheetId="5">#REF!</definedName>
    <definedName name="ADP" localSheetId="3">#REF!</definedName>
    <definedName name="ADP" localSheetId="1">#REF!</definedName>
    <definedName name="ADP" localSheetId="4">#REF!</definedName>
    <definedName name="ADP">#REF!</definedName>
    <definedName name="AKHAC" localSheetId="5">#REF!</definedName>
    <definedName name="AKHAC" localSheetId="3">#REF!</definedName>
    <definedName name="AKHAC" localSheetId="1">#REF!</definedName>
    <definedName name="AKHAC" localSheetId="4">#REF!</definedName>
    <definedName name="AKHAC">#REF!</definedName>
    <definedName name="All_Item" localSheetId="5">#REF!</definedName>
    <definedName name="All_Item" localSheetId="3">#REF!</definedName>
    <definedName name="All_Item" localSheetId="1">#REF!</definedName>
    <definedName name="All_Item">#REF!</definedName>
    <definedName name="ALPIN">#N/A</definedName>
    <definedName name="ALPJYOU">#N/A</definedName>
    <definedName name="ALPTOI">#N/A</definedName>
    <definedName name="ALTINH" localSheetId="5">#REF!</definedName>
    <definedName name="ALTINH" localSheetId="3">#REF!</definedName>
    <definedName name="ALTINH" localSheetId="1">#REF!</definedName>
    <definedName name="ALTINH" localSheetId="4">#REF!</definedName>
    <definedName name="ALTINH">#REF!</definedName>
    <definedName name="ANN" localSheetId="5">#REF!</definedName>
    <definedName name="ANN" localSheetId="3">#REF!</definedName>
    <definedName name="ANN" localSheetId="1">#REF!</definedName>
    <definedName name="ANN" localSheetId="4">#REF!</definedName>
    <definedName name="ANN">#REF!</definedName>
    <definedName name="anpha" localSheetId="5">#REF!</definedName>
    <definedName name="anpha" localSheetId="3">#REF!</definedName>
    <definedName name="anpha" localSheetId="1">#REF!</definedName>
    <definedName name="anpha">#REF!</definedName>
    <definedName name="ANQD" localSheetId="5">#REF!</definedName>
    <definedName name="ANQD" localSheetId="3">#REF!</definedName>
    <definedName name="ANQD" localSheetId="1">#REF!</definedName>
    <definedName name="ANQD" localSheetId="4">#REF!</definedName>
    <definedName name="ANQD">#REF!</definedName>
    <definedName name="ANQQH" localSheetId="12">#REF!</definedName>
    <definedName name="ANQQH" localSheetId="1">#REF!</definedName>
    <definedName name="ANQQH" localSheetId="13">'[1]Dt 2001'!#REF!</definedName>
    <definedName name="ANQQH">#REF!</definedName>
    <definedName name="anscount" hidden="1">3</definedName>
    <definedName name="ANSNN" localSheetId="12">#REF!</definedName>
    <definedName name="ANSNN" localSheetId="1">#REF!</definedName>
    <definedName name="ANSNN" localSheetId="13">'[1]Dt 2001'!#REF!</definedName>
    <definedName name="ANSNN">#REF!</definedName>
    <definedName name="ANSNNxnk" localSheetId="12">#REF!</definedName>
    <definedName name="ANSNNxnk" localSheetId="1">#REF!</definedName>
    <definedName name="ANSNNxnk" localSheetId="13">'[1]Dt 2001'!#REF!</definedName>
    <definedName name="ANSNNxnk">#REF!</definedName>
    <definedName name="Anguon" localSheetId="12">#REF!</definedName>
    <definedName name="Anguon" localSheetId="1">#REF!</definedName>
    <definedName name="Anguon" localSheetId="13">'[1]Dt 2001'!#REF!</definedName>
    <definedName name="Anguon">#REF!</definedName>
    <definedName name="APC" localSheetId="12">#REF!</definedName>
    <definedName name="APC" localSheetId="1">#REF!</definedName>
    <definedName name="APC" localSheetId="13">'[1]Dt 2001'!#REF!</definedName>
    <definedName name="APC">#REF!</definedName>
    <definedName name="ATW" localSheetId="5">#REF!</definedName>
    <definedName name="ATW" localSheetId="3">#REF!</definedName>
    <definedName name="ATW" localSheetId="1">#REF!</definedName>
    <definedName name="ATW" localSheetId="4">#REF!</definedName>
    <definedName name="ATW">#REF!</definedName>
    <definedName name="ATRAM" localSheetId="5">#REF!</definedName>
    <definedName name="ATRAM" localSheetId="3">#REF!</definedName>
    <definedName name="ATRAM" localSheetId="1">#REF!</definedName>
    <definedName name="ATRAM">#REF!</definedName>
    <definedName name="b_240" localSheetId="5">#REF!</definedName>
    <definedName name="b_240" localSheetId="3">#REF!</definedName>
    <definedName name="b_240" localSheetId="1">#REF!</definedName>
    <definedName name="b_240">#REF!</definedName>
    <definedName name="b_280" localSheetId="5">#REF!</definedName>
    <definedName name="b_280" localSheetId="3">#REF!</definedName>
    <definedName name="b_280" localSheetId="1">#REF!</definedName>
    <definedName name="b_280">#REF!</definedName>
    <definedName name="b_320" localSheetId="5">#REF!</definedName>
    <definedName name="b_320" localSheetId="3">#REF!</definedName>
    <definedName name="b_320" localSheetId="1">#REF!</definedName>
    <definedName name="b_320">#REF!</definedName>
    <definedName name="Bang_cly" localSheetId="5">#REF!</definedName>
    <definedName name="Bang_cly" localSheetId="3">#REF!</definedName>
    <definedName name="Bang_cly" localSheetId="1">#REF!</definedName>
    <definedName name="Bang_cly">#REF!</definedName>
    <definedName name="Bang_CVC" localSheetId="5">#REF!</definedName>
    <definedName name="Bang_CVC" localSheetId="3">#REF!</definedName>
    <definedName name="Bang_CVC" localSheetId="1">#REF!</definedName>
    <definedName name="Bang_CVC">#REF!</definedName>
    <definedName name="BANG_CHI_TIET_THI_NGHIEM_CONG_TO" localSheetId="5">#REF!</definedName>
    <definedName name="BANG_CHI_TIET_THI_NGHIEM_CONG_TO" localSheetId="3">#REF!</definedName>
    <definedName name="BANG_CHI_TIET_THI_NGHIEM_CONG_TO" localSheetId="1">#REF!</definedName>
    <definedName name="BANG_CHI_TIET_THI_NGHIEM_CONG_TO">#REF!</definedName>
    <definedName name="BANG_CHI_TIET_THI_NGHIEM_DZ0.4KV" localSheetId="5">#REF!</definedName>
    <definedName name="BANG_CHI_TIET_THI_NGHIEM_DZ0.4KV" localSheetId="3">#REF!</definedName>
    <definedName name="BANG_CHI_TIET_THI_NGHIEM_DZ0.4KV" localSheetId="1">#REF!</definedName>
    <definedName name="BANG_CHI_TIET_THI_NGHIEM_DZ0.4KV">#REF!</definedName>
    <definedName name="bang_gia" localSheetId="5">#REF!</definedName>
    <definedName name="bang_gia" localSheetId="3">#REF!</definedName>
    <definedName name="bang_gia" localSheetId="1">#REF!</definedName>
    <definedName name="bang_gia">#REF!</definedName>
    <definedName name="BANG_TONG_HOP_CONG_TO" localSheetId="5">#REF!</definedName>
    <definedName name="BANG_TONG_HOP_CONG_TO" localSheetId="3">#REF!</definedName>
    <definedName name="BANG_TONG_HOP_CONG_TO" localSheetId="1">#REF!</definedName>
    <definedName name="BANG_TONG_HOP_CONG_TO">#REF!</definedName>
    <definedName name="BANG_TONG_HOP_DZ0.4KV" localSheetId="5">#REF!</definedName>
    <definedName name="BANG_TONG_HOP_DZ0.4KV" localSheetId="3">#REF!</definedName>
    <definedName name="BANG_TONG_HOP_DZ0.4KV" localSheetId="1">#REF!</definedName>
    <definedName name="BANG_TONG_HOP_DZ0.4KV">#REF!</definedName>
    <definedName name="BANG_TONG_HOP_DZ22KV" localSheetId="5">#REF!</definedName>
    <definedName name="BANG_TONG_HOP_DZ22KV" localSheetId="3">#REF!</definedName>
    <definedName name="BANG_TONG_HOP_DZ22KV" localSheetId="1">#REF!</definedName>
    <definedName name="BANG_TONG_HOP_DZ22KV">#REF!</definedName>
    <definedName name="BANG_TONG_HOP_KHO_BAI" localSheetId="5">#REF!</definedName>
    <definedName name="BANG_TONG_HOP_KHO_BAI" localSheetId="3">#REF!</definedName>
    <definedName name="BANG_TONG_HOP_KHO_BAI" localSheetId="1">#REF!</definedName>
    <definedName name="BANG_TONG_HOP_KHO_BAI">#REF!</definedName>
    <definedName name="BANG_TONG_HOP_TBA" localSheetId="5">#REF!</definedName>
    <definedName name="BANG_TONG_HOP_TBA" localSheetId="3">#REF!</definedName>
    <definedName name="BANG_TONG_HOP_TBA" localSheetId="1">#REF!</definedName>
    <definedName name="BANG_TONG_HOP_TBA">#REF!</definedName>
    <definedName name="Bang_travl" localSheetId="5">#REF!</definedName>
    <definedName name="Bang_travl" localSheetId="3">#REF!</definedName>
    <definedName name="Bang_travl" localSheetId="1">#REF!</definedName>
    <definedName name="Bang_travl">#REF!</definedName>
    <definedName name="bangchu" localSheetId="5">#REF!</definedName>
    <definedName name="bangchu" localSheetId="3">#REF!</definedName>
    <definedName name="bangchu" localSheetId="1">#REF!</definedName>
    <definedName name="bangchu">#REF!</definedName>
    <definedName name="bb" localSheetId="12">{"Thuxm2.xls","Sheet1"}</definedName>
    <definedName name="bb" localSheetId="5">{"Thuxm2.xls","Sheet1"}</definedName>
    <definedName name="bb" localSheetId="3">{"Thuxm2.xls","Sheet1"}</definedName>
    <definedName name="bb" localSheetId="1">{"Thuxm2.xls","Sheet1"}</definedName>
    <definedName name="bb" localSheetId="13">{"Thuxm2.xls","Sheet1"}</definedName>
    <definedName name="bb" localSheetId="4">{"Thuxm2.xls","Sheet1"}</definedName>
    <definedName name="bb">{"Thuxm2.xls","Sheet1"}</definedName>
    <definedName name="BCBo" localSheetId="12" hidden="1">{"'Sheet1'!$L$16"}</definedName>
    <definedName name="BCBo" localSheetId="5" hidden="1">{"'Sheet1'!$L$16"}</definedName>
    <definedName name="BCBo" localSheetId="3" hidden="1">{"'Sheet1'!$L$16"}</definedName>
    <definedName name="BCBo" localSheetId="1" hidden="1">{"'Sheet1'!$L$16"}</definedName>
    <definedName name="BCBo" localSheetId="13" hidden="1">{"'Sheet1'!$L$16"}</definedName>
    <definedName name="BCBo" localSheetId="2" hidden="1">{"'Sheet1'!$L$16"}</definedName>
    <definedName name="BCBo" localSheetId="4" hidden="1">{"'Sheet1'!$L$16"}</definedName>
    <definedName name="BCBo" hidden="1">{"'Sheet1'!$L$16"}</definedName>
    <definedName name="BDAY" localSheetId="5">#REF!</definedName>
    <definedName name="BDAY" localSheetId="3">#REF!</definedName>
    <definedName name="BDAY" localSheetId="1">#REF!</definedName>
    <definedName name="BDAY">#REF!</definedName>
    <definedName name="beepsound">#REF!</definedName>
    <definedName name="benuoc" localSheetId="5">#REF!</definedName>
    <definedName name="benuoc" localSheetId="3">#REF!</definedName>
    <definedName name="benuoc" localSheetId="1">#REF!</definedName>
    <definedName name="benuoc">#REF!</definedName>
    <definedName name="bengam" localSheetId="5">#REF!</definedName>
    <definedName name="bengam" localSheetId="3">#REF!</definedName>
    <definedName name="bengam" localSheetId="1">#REF!</definedName>
    <definedName name="bengam">#REF!</definedName>
    <definedName name="beta" localSheetId="5">#REF!</definedName>
    <definedName name="beta" localSheetId="3">#REF!</definedName>
    <definedName name="beta" localSheetId="1">#REF!</definedName>
    <definedName name="beta">#REF!</definedName>
    <definedName name="blkh" localSheetId="5">#REF!</definedName>
    <definedName name="blkh" localSheetId="3">#REF!</definedName>
    <definedName name="blkh" localSheetId="1">#REF!</definedName>
    <definedName name="blkh">#REF!</definedName>
    <definedName name="blkh1" localSheetId="5">#REF!</definedName>
    <definedName name="blkh1" localSheetId="3">#REF!</definedName>
    <definedName name="blkh1" localSheetId="1">#REF!</definedName>
    <definedName name="blkh1">#REF!</definedName>
    <definedName name="Book2" localSheetId="5">#REF!</definedName>
    <definedName name="Book2" localSheetId="3">#REF!</definedName>
    <definedName name="Book2" localSheetId="1">#REF!</definedName>
    <definedName name="Book2">#REF!</definedName>
    <definedName name="BOQ" localSheetId="5">#REF!</definedName>
    <definedName name="BOQ" localSheetId="3">#REF!</definedName>
    <definedName name="BOQ" localSheetId="1">#REF!</definedName>
    <definedName name="BOQ">#REF!</definedName>
    <definedName name="btcocM400" localSheetId="5">#REF!</definedName>
    <definedName name="btcocM400" localSheetId="3">#REF!</definedName>
    <definedName name="btcocM400" localSheetId="1">#REF!</definedName>
    <definedName name="btcocM400">#REF!</definedName>
    <definedName name="btchiuaxitm300" localSheetId="5">#REF!</definedName>
    <definedName name="btchiuaxitm300" localSheetId="3">#REF!</definedName>
    <definedName name="btchiuaxitm300" localSheetId="1">#REF!</definedName>
    <definedName name="btchiuaxitm300">#REF!</definedName>
    <definedName name="BTchiuaxm200" localSheetId="5">#REF!</definedName>
    <definedName name="BTchiuaxm200" localSheetId="3">#REF!</definedName>
    <definedName name="BTchiuaxm200" localSheetId="1">#REF!</definedName>
    <definedName name="BTchiuaxm200">#REF!</definedName>
    <definedName name="BTlotm100" localSheetId="5">#REF!</definedName>
    <definedName name="BTlotm100" localSheetId="3">#REF!</definedName>
    <definedName name="BTlotm100" localSheetId="1">#REF!</definedName>
    <definedName name="BTlotm100">#REF!</definedName>
    <definedName name="BTRAM" localSheetId="5">#REF!</definedName>
    <definedName name="BTRAM" localSheetId="3">#REF!</definedName>
    <definedName name="BTRAM" localSheetId="1">#REF!</definedName>
    <definedName name="BTRAM">#REF!</definedName>
    <definedName name="BU_CHENH_LECH_DZ0.4KV" localSheetId="5">#REF!</definedName>
    <definedName name="BU_CHENH_LECH_DZ0.4KV" localSheetId="3">#REF!</definedName>
    <definedName name="BU_CHENH_LECH_DZ0.4KV" localSheetId="1">#REF!</definedName>
    <definedName name="BU_CHENH_LECH_DZ0.4KV">#REF!</definedName>
    <definedName name="BU_CHENH_LECH_DZ22KV" localSheetId="5">#REF!</definedName>
    <definedName name="BU_CHENH_LECH_DZ22KV" localSheetId="3">#REF!</definedName>
    <definedName name="BU_CHENH_LECH_DZ22KV" localSheetId="1">#REF!</definedName>
    <definedName name="BU_CHENH_LECH_DZ22KV">#REF!</definedName>
    <definedName name="BU_CHENH_LECH_TBA" localSheetId="5">#REF!</definedName>
    <definedName name="BU_CHENH_LECH_TBA" localSheetId="3">#REF!</definedName>
    <definedName name="BU_CHENH_LECH_TBA" localSheetId="1">#REF!</definedName>
    <definedName name="BU_CHENH_LECH_TBA">#REF!</definedName>
    <definedName name="Bulongma">8700</definedName>
    <definedName name="BVCISUMMARY" localSheetId="5">#REF!</definedName>
    <definedName name="BVCISUMMARY" localSheetId="3">#REF!</definedName>
    <definedName name="BVCISUMMARY" localSheetId="1">#REF!</definedName>
    <definedName name="BVCISUMMARY">#REF!</definedName>
    <definedName name="BŸo_cŸo_täng_hìp_giŸ_trÙ_t_i_s_n_câ__Ùnh" localSheetId="5">#REF!</definedName>
    <definedName name="BŸo_cŸo_täng_hìp_giŸ_trÙ_t_i_s_n_câ__Ùnh" localSheetId="3">#REF!</definedName>
    <definedName name="BŸo_cŸo_täng_hìp_giŸ_trÙ_t_i_s_n_câ__Ùnh" localSheetId="1">#REF!</definedName>
    <definedName name="BŸo_cŸo_täng_hìp_giŸ_trÙ_t_i_s_n_câ__Ùnh">#REF!</definedName>
    <definedName name="C.1.1..Phat_tuyen" localSheetId="5">#REF!</definedName>
    <definedName name="C.1.1..Phat_tuyen" localSheetId="3">#REF!</definedName>
    <definedName name="C.1.1..Phat_tuyen" localSheetId="1">#REF!</definedName>
    <definedName name="C.1.1..Phat_tuyen">#REF!</definedName>
    <definedName name="C.1.10..VC_Thu_cong_CG" localSheetId="5">#REF!</definedName>
    <definedName name="C.1.10..VC_Thu_cong_CG" localSheetId="3">#REF!</definedName>
    <definedName name="C.1.10..VC_Thu_cong_CG" localSheetId="1">#REF!</definedName>
    <definedName name="C.1.10..VC_Thu_cong_CG">#REF!</definedName>
    <definedName name="C.1.2..Chat_cay_thu_cong" localSheetId="5">#REF!</definedName>
    <definedName name="C.1.2..Chat_cay_thu_cong" localSheetId="3">#REF!</definedName>
    <definedName name="C.1.2..Chat_cay_thu_cong" localSheetId="1">#REF!</definedName>
    <definedName name="C.1.2..Chat_cay_thu_cong">#REF!</definedName>
    <definedName name="C.1.3..Chat_cay_may" localSheetId="5">#REF!</definedName>
    <definedName name="C.1.3..Chat_cay_may" localSheetId="3">#REF!</definedName>
    <definedName name="C.1.3..Chat_cay_may" localSheetId="1">#REF!</definedName>
    <definedName name="C.1.3..Chat_cay_may">#REF!</definedName>
    <definedName name="C.1.4..Dao_goc_cay" localSheetId="5">#REF!</definedName>
    <definedName name="C.1.4..Dao_goc_cay" localSheetId="3">#REF!</definedName>
    <definedName name="C.1.4..Dao_goc_cay" localSheetId="1">#REF!</definedName>
    <definedName name="C.1.4..Dao_goc_cay">#REF!</definedName>
    <definedName name="C.1.5..Lam_duong_tam" localSheetId="5">#REF!</definedName>
    <definedName name="C.1.5..Lam_duong_tam" localSheetId="3">#REF!</definedName>
    <definedName name="C.1.5..Lam_duong_tam" localSheetId="1">#REF!</definedName>
    <definedName name="C.1.5..Lam_duong_tam">#REF!</definedName>
    <definedName name="C.1.6..Lam_cau_tam" localSheetId="5">#REF!</definedName>
    <definedName name="C.1.6..Lam_cau_tam" localSheetId="3">#REF!</definedName>
    <definedName name="C.1.6..Lam_cau_tam" localSheetId="1">#REF!</definedName>
    <definedName name="C.1.6..Lam_cau_tam">#REF!</definedName>
    <definedName name="C.1.7..Rai_da_chong_lun" localSheetId="5">#REF!</definedName>
    <definedName name="C.1.7..Rai_da_chong_lun" localSheetId="3">#REF!</definedName>
    <definedName name="C.1.7..Rai_da_chong_lun" localSheetId="1">#REF!</definedName>
    <definedName name="C.1.7..Rai_da_chong_lun">#REF!</definedName>
    <definedName name="C.1.8..Lam_kho_tam" localSheetId="5">#REF!</definedName>
    <definedName name="C.1.8..Lam_kho_tam" localSheetId="3">#REF!</definedName>
    <definedName name="C.1.8..Lam_kho_tam" localSheetId="1">#REF!</definedName>
    <definedName name="C.1.8..Lam_kho_tam">#REF!</definedName>
    <definedName name="C.1.8..San_mat_bang" localSheetId="5">#REF!</definedName>
    <definedName name="C.1.8..San_mat_bang" localSheetId="3">#REF!</definedName>
    <definedName name="C.1.8..San_mat_bang" localSheetId="1">#REF!</definedName>
    <definedName name="C.1.8..San_mat_bang">#REF!</definedName>
    <definedName name="C.2.1..VC_Thu_cong" localSheetId="5">#REF!</definedName>
    <definedName name="C.2.1..VC_Thu_cong" localSheetId="3">#REF!</definedName>
    <definedName name="C.2.1..VC_Thu_cong" localSheetId="1">#REF!</definedName>
    <definedName name="C.2.1..VC_Thu_cong">#REF!</definedName>
    <definedName name="C.2.2..VC_T_cong_CG" localSheetId="5">#REF!</definedName>
    <definedName name="C.2.2..VC_T_cong_CG" localSheetId="3">#REF!</definedName>
    <definedName name="C.2.2..VC_T_cong_CG" localSheetId="1">#REF!</definedName>
    <definedName name="C.2.2..VC_T_cong_CG">#REF!</definedName>
    <definedName name="C.2.3..Boc_do" localSheetId="5">#REF!</definedName>
    <definedName name="C.2.3..Boc_do" localSheetId="3">#REF!</definedName>
    <definedName name="C.2.3..Boc_do" localSheetId="1">#REF!</definedName>
    <definedName name="C.2.3..Boc_do">#REF!</definedName>
    <definedName name="C.3.1..Dao_dat_mong_cot" localSheetId="5">#REF!</definedName>
    <definedName name="C.3.1..Dao_dat_mong_cot" localSheetId="3">#REF!</definedName>
    <definedName name="C.3.1..Dao_dat_mong_cot" localSheetId="1">#REF!</definedName>
    <definedName name="C.3.1..Dao_dat_mong_cot">#REF!</definedName>
    <definedName name="C.3.2..Dao_dat_de_dap" localSheetId="5">#REF!</definedName>
    <definedName name="C.3.2..Dao_dat_de_dap" localSheetId="3">#REF!</definedName>
    <definedName name="C.3.2..Dao_dat_de_dap" localSheetId="1">#REF!</definedName>
    <definedName name="C.3.2..Dao_dat_de_dap">#REF!</definedName>
    <definedName name="C.3.3..Dap_dat_mong" localSheetId="5">#REF!</definedName>
    <definedName name="C.3.3..Dap_dat_mong" localSheetId="3">#REF!</definedName>
    <definedName name="C.3.3..Dap_dat_mong" localSheetId="1">#REF!</definedName>
    <definedName name="C.3.3..Dap_dat_mong">#REF!</definedName>
    <definedName name="C.3.4..Dao_dap_TDia" localSheetId="5">#REF!</definedName>
    <definedName name="C.3.4..Dao_dap_TDia" localSheetId="3">#REF!</definedName>
    <definedName name="C.3.4..Dao_dap_TDia" localSheetId="1">#REF!</definedName>
    <definedName name="C.3.4..Dao_dap_TDia">#REF!</definedName>
    <definedName name="C.3.5..Dap_bo_bao" localSheetId="5">#REF!</definedName>
    <definedName name="C.3.5..Dap_bo_bao" localSheetId="3">#REF!</definedName>
    <definedName name="C.3.5..Dap_bo_bao" localSheetId="1">#REF!</definedName>
    <definedName name="C.3.5..Dap_bo_bao">#REF!</definedName>
    <definedName name="C.3.6..Bom_tat_nuoc" localSheetId="5">#REF!</definedName>
    <definedName name="C.3.6..Bom_tat_nuoc" localSheetId="3">#REF!</definedName>
    <definedName name="C.3.6..Bom_tat_nuoc" localSheetId="1">#REF!</definedName>
    <definedName name="C.3.6..Bom_tat_nuoc">#REF!</definedName>
    <definedName name="C.3.7..Dao_bun" localSheetId="5">#REF!</definedName>
    <definedName name="C.3.7..Dao_bun" localSheetId="3">#REF!</definedName>
    <definedName name="C.3.7..Dao_bun" localSheetId="1">#REF!</definedName>
    <definedName name="C.3.7..Dao_bun">#REF!</definedName>
    <definedName name="C.3.8..Dap_cat_CT" localSheetId="5">#REF!</definedName>
    <definedName name="C.3.8..Dap_cat_CT" localSheetId="3">#REF!</definedName>
    <definedName name="C.3.8..Dap_cat_CT" localSheetId="1">#REF!</definedName>
    <definedName name="C.3.8..Dap_cat_CT">#REF!</definedName>
    <definedName name="C.3.9..Dao_pha_da" localSheetId="5">#REF!</definedName>
    <definedName name="C.3.9..Dao_pha_da" localSheetId="3">#REF!</definedName>
    <definedName name="C.3.9..Dao_pha_da" localSheetId="1">#REF!</definedName>
    <definedName name="C.3.9..Dao_pha_da">#REF!</definedName>
    <definedName name="C.4.1.Cot_thep" localSheetId="5">#REF!</definedName>
    <definedName name="C.4.1.Cot_thep" localSheetId="3">#REF!</definedName>
    <definedName name="C.4.1.Cot_thep" localSheetId="1">#REF!</definedName>
    <definedName name="C.4.1.Cot_thep">#REF!</definedName>
    <definedName name="C.4.2..Van_khuon" localSheetId="5">#REF!</definedName>
    <definedName name="C.4.2..Van_khuon" localSheetId="3">#REF!</definedName>
    <definedName name="C.4.2..Van_khuon" localSheetId="1">#REF!</definedName>
    <definedName name="C.4.2..Van_khuon">#REF!</definedName>
    <definedName name="C.4.3..Be_tong" localSheetId="5">#REF!</definedName>
    <definedName name="C.4.3..Be_tong" localSheetId="3">#REF!</definedName>
    <definedName name="C.4.3..Be_tong" localSheetId="1">#REF!</definedName>
    <definedName name="C.4.3..Be_tong">#REF!</definedName>
    <definedName name="C.4.4..Lap_BT_D.San" localSheetId="5">#REF!</definedName>
    <definedName name="C.4.4..Lap_BT_D.San" localSheetId="3">#REF!</definedName>
    <definedName name="C.4.4..Lap_BT_D.San" localSheetId="1">#REF!</definedName>
    <definedName name="C.4.4..Lap_BT_D.San">#REF!</definedName>
    <definedName name="C.4.5..Xay_da_hoc" localSheetId="5">#REF!</definedName>
    <definedName name="C.4.5..Xay_da_hoc" localSheetId="3">#REF!</definedName>
    <definedName name="C.4.5..Xay_da_hoc" localSheetId="1">#REF!</definedName>
    <definedName name="C.4.5..Xay_da_hoc">#REF!</definedName>
    <definedName name="C.4.6..Dong_coc" localSheetId="5">#REF!</definedName>
    <definedName name="C.4.6..Dong_coc" localSheetId="3">#REF!</definedName>
    <definedName name="C.4.6..Dong_coc" localSheetId="1">#REF!</definedName>
    <definedName name="C.4.6..Dong_coc">#REF!</definedName>
    <definedName name="C.4.7..Quet_Bi_tum" localSheetId="5">#REF!</definedName>
    <definedName name="C.4.7..Quet_Bi_tum" localSheetId="3">#REF!</definedName>
    <definedName name="C.4.7..Quet_Bi_tum" localSheetId="1">#REF!</definedName>
    <definedName name="C.4.7..Quet_Bi_tum">#REF!</definedName>
    <definedName name="C.5.1..Lap_cot_thep" localSheetId="5">#REF!</definedName>
    <definedName name="C.5.1..Lap_cot_thep" localSheetId="3">#REF!</definedName>
    <definedName name="C.5.1..Lap_cot_thep" localSheetId="1">#REF!</definedName>
    <definedName name="C.5.1..Lap_cot_thep">#REF!</definedName>
    <definedName name="C.5.2..Lap_cot_BT" localSheetId="5">#REF!</definedName>
    <definedName name="C.5.2..Lap_cot_BT" localSheetId="3">#REF!</definedName>
    <definedName name="C.5.2..Lap_cot_BT" localSheetId="1">#REF!</definedName>
    <definedName name="C.5.2..Lap_cot_BT">#REF!</definedName>
    <definedName name="C.5.3..Lap_dat_xa" localSheetId="5">#REF!</definedName>
    <definedName name="C.5.3..Lap_dat_xa" localSheetId="3">#REF!</definedName>
    <definedName name="C.5.3..Lap_dat_xa" localSheetId="1">#REF!</definedName>
    <definedName name="C.5.3..Lap_dat_xa">#REF!</definedName>
    <definedName name="C.5.4..Lap_tiep_dia" localSheetId="5">#REF!</definedName>
    <definedName name="C.5.4..Lap_tiep_dia" localSheetId="3">#REF!</definedName>
    <definedName name="C.5.4..Lap_tiep_dia" localSheetId="1">#REF!</definedName>
    <definedName name="C.5.4..Lap_tiep_dia">#REF!</definedName>
    <definedName name="C.5.5..Son_sat_thep" localSheetId="5">#REF!</definedName>
    <definedName name="C.5.5..Son_sat_thep" localSheetId="3">#REF!</definedName>
    <definedName name="C.5.5..Son_sat_thep" localSheetId="1">#REF!</definedName>
    <definedName name="C.5.5..Son_sat_thep">#REF!</definedName>
    <definedName name="C.6.1..Lap_su_dung" localSheetId="5">#REF!</definedName>
    <definedName name="C.6.1..Lap_su_dung" localSheetId="3">#REF!</definedName>
    <definedName name="C.6.1..Lap_su_dung" localSheetId="1">#REF!</definedName>
    <definedName name="C.6.1..Lap_su_dung">#REF!</definedName>
    <definedName name="C.6.2..Lap_su_CS" localSheetId="5">#REF!</definedName>
    <definedName name="C.6.2..Lap_su_CS" localSheetId="3">#REF!</definedName>
    <definedName name="C.6.2..Lap_su_CS" localSheetId="1">#REF!</definedName>
    <definedName name="C.6.2..Lap_su_CS">#REF!</definedName>
    <definedName name="C.6.3..Su_chuoi_do" localSheetId="5">#REF!</definedName>
    <definedName name="C.6.3..Su_chuoi_do" localSheetId="3">#REF!</definedName>
    <definedName name="C.6.3..Su_chuoi_do" localSheetId="1">#REF!</definedName>
    <definedName name="C.6.3..Su_chuoi_do">#REF!</definedName>
    <definedName name="C.6.4..Su_chuoi_neo" localSheetId="5">#REF!</definedName>
    <definedName name="C.6.4..Su_chuoi_neo" localSheetId="3">#REF!</definedName>
    <definedName name="C.6.4..Su_chuoi_neo" localSheetId="1">#REF!</definedName>
    <definedName name="C.6.4..Su_chuoi_neo">#REF!</definedName>
    <definedName name="C.6.5..Lap_phu_kien" localSheetId="5">#REF!</definedName>
    <definedName name="C.6.5..Lap_phu_kien" localSheetId="3">#REF!</definedName>
    <definedName name="C.6.5..Lap_phu_kien" localSheetId="1">#REF!</definedName>
    <definedName name="C.6.5..Lap_phu_kien">#REF!</definedName>
    <definedName name="C.6.6..Ep_noi_day" localSheetId="5">#REF!</definedName>
    <definedName name="C.6.6..Ep_noi_day" localSheetId="3">#REF!</definedName>
    <definedName name="C.6.6..Ep_noi_day" localSheetId="1">#REF!</definedName>
    <definedName name="C.6.6..Ep_noi_day">#REF!</definedName>
    <definedName name="C.6.7..KD_vuot_CN" localSheetId="5">#REF!</definedName>
    <definedName name="C.6.7..KD_vuot_CN" localSheetId="3">#REF!</definedName>
    <definedName name="C.6.7..KD_vuot_CN" localSheetId="1">#REF!</definedName>
    <definedName name="C.6.7..KD_vuot_CN">#REF!</definedName>
    <definedName name="C.6.8..Rai_cang_day" localSheetId="5">#REF!</definedName>
    <definedName name="C.6.8..Rai_cang_day" localSheetId="3">#REF!</definedName>
    <definedName name="C.6.8..Rai_cang_day" localSheetId="1">#REF!</definedName>
    <definedName name="C.6.8..Rai_cang_day">#REF!</definedName>
    <definedName name="C.6.9..Cap_quang" localSheetId="5">#REF!</definedName>
    <definedName name="C.6.9..Cap_quang" localSheetId="3">#REF!</definedName>
    <definedName name="C.6.9..Cap_quang" localSheetId="1">#REF!</definedName>
    <definedName name="C.6.9..Cap_quang">#REF!</definedName>
    <definedName name="ca.1111" localSheetId="5">#REF!</definedName>
    <definedName name="ca.1111" localSheetId="3">#REF!</definedName>
    <definedName name="ca.1111" localSheetId="1">#REF!</definedName>
    <definedName name="ca.1111">#REF!</definedName>
    <definedName name="ca.1111.th" localSheetId="5">#REF!</definedName>
    <definedName name="ca.1111.th" localSheetId="3">#REF!</definedName>
    <definedName name="ca.1111.th" localSheetId="1">#REF!</definedName>
    <definedName name="ca.1111.th">#REF!</definedName>
    <definedName name="CACAU">298161</definedName>
    <definedName name="Can_doi" localSheetId="5">#REF!</definedName>
    <definedName name="Can_doi" localSheetId="3">#REF!</definedName>
    <definedName name="Can_doi" localSheetId="1">#REF!</definedName>
    <definedName name="Can_doi" localSheetId="4">#REF!</definedName>
    <definedName name="Can_doi">#REF!</definedName>
    <definedName name="cao" localSheetId="5">#REF!</definedName>
    <definedName name="cao" localSheetId="3">#REF!</definedName>
    <definedName name="cao" localSheetId="1">#REF!</definedName>
    <definedName name="cao">#REF!</definedName>
    <definedName name="cap" localSheetId="5">#REF!</definedName>
    <definedName name="cap" localSheetId="3">#REF!</definedName>
    <definedName name="cap" localSheetId="1">#REF!</definedName>
    <definedName name="cap">#REF!</definedName>
    <definedName name="cap0.7" localSheetId="5">#REF!</definedName>
    <definedName name="cap0.7" localSheetId="3">#REF!</definedName>
    <definedName name="cap0.7" localSheetId="1">#REF!</definedName>
    <definedName name="cap0.7">#REF!</definedName>
    <definedName name="Cat" localSheetId="5">#REF!</definedName>
    <definedName name="Cat" localSheetId="3">#REF!</definedName>
    <definedName name="Cat" localSheetId="1">#REF!</definedName>
    <definedName name="Cat">#REF!</definedName>
    <definedName name="Category_All" localSheetId="5">#REF!</definedName>
    <definedName name="Category_All" localSheetId="3">#REF!</definedName>
    <definedName name="Category_All" localSheetId="1">#REF!</definedName>
    <definedName name="Category_All">#REF!</definedName>
    <definedName name="CATIN">#N/A</definedName>
    <definedName name="CATJYOU">#N/A</definedName>
    <definedName name="catm" localSheetId="5">#REF!</definedName>
    <definedName name="catm" localSheetId="3">#REF!</definedName>
    <definedName name="catm" localSheetId="1">#REF!</definedName>
    <definedName name="catm">#REF!</definedName>
    <definedName name="catn" localSheetId="5">#REF!</definedName>
    <definedName name="catn" localSheetId="3">#REF!</definedName>
    <definedName name="catn" localSheetId="1">#REF!</definedName>
    <definedName name="catn">#REF!</definedName>
    <definedName name="CATSYU">#N/A</definedName>
    <definedName name="catvang" localSheetId="5">#REF!</definedName>
    <definedName name="catvang" localSheetId="3">#REF!</definedName>
    <definedName name="catvang" localSheetId="1">#REF!</definedName>
    <definedName name="catvang">#REF!</definedName>
    <definedName name="CATREC">#N/A</definedName>
    <definedName name="CCS" localSheetId="5">#REF!</definedName>
    <definedName name="CCS" localSheetId="3">#REF!</definedName>
    <definedName name="CCS" localSheetId="1">#REF!</definedName>
    <definedName name="CCS">#REF!</definedName>
    <definedName name="CDAY" localSheetId="5">#REF!</definedName>
    <definedName name="CDAY" localSheetId="3">#REF!</definedName>
    <definedName name="CDAY" localSheetId="1">#REF!</definedName>
    <definedName name="CDAY">#REF!</definedName>
    <definedName name="CDD" localSheetId="5">#REF!</definedName>
    <definedName name="CDD" localSheetId="3">#REF!</definedName>
    <definedName name="CDD" localSheetId="1">#REF!</definedName>
    <definedName name="CDD">#REF!</definedName>
    <definedName name="CDDD" localSheetId="5">#REF!</definedName>
    <definedName name="CDDD" localSheetId="3">#REF!</definedName>
    <definedName name="CDDD" localSheetId="1">#REF!</definedName>
    <definedName name="CDDD">#REF!</definedName>
    <definedName name="CDDD1P" localSheetId="5">#REF!</definedName>
    <definedName name="CDDD1P" localSheetId="3">#REF!</definedName>
    <definedName name="CDDD1P" localSheetId="1">#REF!</definedName>
    <definedName name="CDDD1P">#REF!</definedName>
    <definedName name="CDDD1PHA" localSheetId="5">#REF!</definedName>
    <definedName name="CDDD1PHA" localSheetId="3">#REF!</definedName>
    <definedName name="CDDD1PHA" localSheetId="1">#REF!</definedName>
    <definedName name="CDDD1PHA">#REF!</definedName>
    <definedName name="CDDD3PHA" localSheetId="5">#REF!</definedName>
    <definedName name="CDDD3PHA" localSheetId="3">#REF!</definedName>
    <definedName name="CDDD3PHA" localSheetId="1">#REF!</definedName>
    <definedName name="CDDD3PHA">#REF!</definedName>
    <definedName name="Cdnum" localSheetId="5">#REF!</definedName>
    <definedName name="Cdnum" localSheetId="3">#REF!</definedName>
    <definedName name="Cdnum" localSheetId="1">#REF!</definedName>
    <definedName name="Cdnum">#REF!</definedName>
    <definedName name="CK" localSheetId="5">#REF!</definedName>
    <definedName name="CK" localSheetId="3">#REF!</definedName>
    <definedName name="CK" localSheetId="1">#REF!</definedName>
    <definedName name="CK">#REF!</definedName>
    <definedName name="CL" localSheetId="5">#REF!</definedName>
    <definedName name="CL" localSheetId="3">#REF!</definedName>
    <definedName name="CL" localSheetId="1">#REF!</definedName>
    <definedName name="CL">#REF!</definedName>
    <definedName name="CLECH_0.4" localSheetId="5">#REF!</definedName>
    <definedName name="CLECH_0.4" localSheetId="3">#REF!</definedName>
    <definedName name="CLECH_0.4" localSheetId="1">#REF!</definedName>
    <definedName name="CLECH_0.4">#REF!</definedName>
    <definedName name="CLVC3">0.1</definedName>
    <definedName name="CLVC35" localSheetId="5">#REF!</definedName>
    <definedName name="CLVC35" localSheetId="3">#REF!</definedName>
    <definedName name="CLVC35" localSheetId="1">#REF!</definedName>
    <definedName name="CLVC35">#REF!</definedName>
    <definedName name="CLVCTB" localSheetId="5">#REF!</definedName>
    <definedName name="CLVCTB" localSheetId="3">#REF!</definedName>
    <definedName name="CLVCTB" localSheetId="1">#REF!</definedName>
    <definedName name="CLVCTB">#REF!</definedName>
    <definedName name="clvl" localSheetId="5">#REF!</definedName>
    <definedName name="clvl" localSheetId="3">#REF!</definedName>
    <definedName name="clvl" localSheetId="1">#REF!</definedName>
    <definedName name="clvl">#REF!</definedName>
    <definedName name="cn" localSheetId="5">#REF!</definedName>
    <definedName name="cn" localSheetId="3">#REF!</definedName>
    <definedName name="cn" localSheetId="1">#REF!</definedName>
    <definedName name="cn">#REF!</definedName>
    <definedName name="CNC" localSheetId="5">#REF!</definedName>
    <definedName name="CNC" localSheetId="3">#REF!</definedName>
    <definedName name="CNC" localSheetId="1">#REF!</definedName>
    <definedName name="CNC">#REF!</definedName>
    <definedName name="CND" localSheetId="5">#REF!</definedName>
    <definedName name="CND" localSheetId="3">#REF!</definedName>
    <definedName name="CND" localSheetId="1">#REF!</definedName>
    <definedName name="CND">#REF!</definedName>
    <definedName name="CNG" localSheetId="5">#REF!</definedName>
    <definedName name="CNG" localSheetId="3">#REF!</definedName>
    <definedName name="CNG" localSheetId="1">#REF!</definedName>
    <definedName name="CNG">#REF!</definedName>
    <definedName name="Co" localSheetId="5">#REF!</definedName>
    <definedName name="Co" localSheetId="3">#REF!</definedName>
    <definedName name="Co" localSheetId="1">#REF!</definedName>
    <definedName name="Co">#REF!</definedName>
    <definedName name="coc" localSheetId="5">#REF!</definedName>
    <definedName name="coc" localSheetId="3">#REF!</definedName>
    <definedName name="coc" localSheetId="1">#REF!</definedName>
    <definedName name="coc">#REF!</definedName>
    <definedName name="cocbtct" localSheetId="5">#REF!</definedName>
    <definedName name="cocbtct" localSheetId="3">#REF!</definedName>
    <definedName name="cocbtct" localSheetId="1">#REF!</definedName>
    <definedName name="cocbtct">#REF!</definedName>
    <definedName name="cocot" localSheetId="5">#REF!</definedName>
    <definedName name="cocot" localSheetId="3">#REF!</definedName>
    <definedName name="cocot" localSheetId="1">#REF!</definedName>
    <definedName name="cocot">#REF!</definedName>
    <definedName name="cocott" localSheetId="5">#REF!</definedName>
    <definedName name="cocott" localSheetId="3">#REF!</definedName>
    <definedName name="cocott" localSheetId="1">#REF!</definedName>
    <definedName name="cocott">#REF!</definedName>
    <definedName name="Cöï_ly_vaän_chuyeãn" localSheetId="5">#REF!</definedName>
    <definedName name="Cöï_ly_vaän_chuyeãn" localSheetId="3">#REF!</definedName>
    <definedName name="Cöï_ly_vaän_chuyeãn" localSheetId="1">#REF!</definedName>
    <definedName name="Cöï_ly_vaän_chuyeãn">#REF!</definedName>
    <definedName name="CÖÏ_LY_VAÄN_CHUYEÅN" localSheetId="5">#REF!</definedName>
    <definedName name="CÖÏ_LY_VAÄN_CHUYEÅN" localSheetId="3">#REF!</definedName>
    <definedName name="CÖÏ_LY_VAÄN_CHUYEÅN" localSheetId="1">#REF!</definedName>
    <definedName name="CÖÏ_LY_VAÄN_CHUYEÅN">#REF!</definedName>
    <definedName name="COMMON" localSheetId="5">#REF!</definedName>
    <definedName name="COMMON" localSheetId="3">#REF!</definedName>
    <definedName name="COMMON" localSheetId="1">#REF!</definedName>
    <definedName name="COMMON">#REF!</definedName>
    <definedName name="comong" localSheetId="5">#REF!</definedName>
    <definedName name="comong" localSheetId="3">#REF!</definedName>
    <definedName name="comong" localSheetId="1">#REF!</definedName>
    <definedName name="comong">#REF!</definedName>
    <definedName name="CON_EQP_COS" localSheetId="5">#REF!</definedName>
    <definedName name="CON_EQP_COS" localSheetId="3">#REF!</definedName>
    <definedName name="CON_EQP_COS" localSheetId="1">#REF!</definedName>
    <definedName name="CON_EQP_COS">#REF!</definedName>
    <definedName name="CON_EQP_COST" localSheetId="5">#REF!</definedName>
    <definedName name="CON_EQP_COST" localSheetId="3">#REF!</definedName>
    <definedName name="CON_EQP_COST" localSheetId="1">#REF!</definedName>
    <definedName name="CON_EQP_COST">#REF!</definedName>
    <definedName name="CONST_EQ" localSheetId="5">#REF!</definedName>
    <definedName name="CONST_EQ" localSheetId="3">#REF!</definedName>
    <definedName name="CONST_EQ" localSheetId="1">#REF!</definedName>
    <definedName name="CONST_EQ">#REF!</definedName>
    <definedName name="Cong_HM_DTCT" localSheetId="5">#REF!</definedName>
    <definedName name="Cong_HM_DTCT" localSheetId="3">#REF!</definedName>
    <definedName name="Cong_HM_DTCT" localSheetId="1">#REF!</definedName>
    <definedName name="Cong_HM_DTCT">#REF!</definedName>
    <definedName name="Cong_M_DTCT" localSheetId="5">#REF!</definedName>
    <definedName name="Cong_M_DTCT" localSheetId="3">#REF!</definedName>
    <definedName name="Cong_M_DTCT" localSheetId="1">#REF!</definedName>
    <definedName name="Cong_M_DTCT">#REF!</definedName>
    <definedName name="Cong_NC_DTCT" localSheetId="5">#REF!</definedName>
    <definedName name="Cong_NC_DTCT" localSheetId="3">#REF!</definedName>
    <definedName name="Cong_NC_DTCT" localSheetId="1">#REF!</definedName>
    <definedName name="Cong_NC_DTCT">#REF!</definedName>
    <definedName name="Cong_VL_DTCT" localSheetId="5">#REF!</definedName>
    <definedName name="Cong_VL_DTCT" localSheetId="3">#REF!</definedName>
    <definedName name="Cong_VL_DTCT" localSheetId="1">#REF!</definedName>
    <definedName name="Cong_VL_DTCT">#REF!</definedName>
    <definedName name="congbenuoc" localSheetId="5">#REF!</definedName>
    <definedName name="congbenuoc" localSheetId="3">#REF!</definedName>
    <definedName name="congbenuoc" localSheetId="1">#REF!</definedName>
    <definedName name="congbenuoc">#REF!</definedName>
    <definedName name="congbengam" localSheetId="5">#REF!</definedName>
    <definedName name="congbengam" localSheetId="3">#REF!</definedName>
    <definedName name="congbengam" localSheetId="1">#REF!</definedName>
    <definedName name="congbengam">#REF!</definedName>
    <definedName name="congcoc" localSheetId="5">#REF!</definedName>
    <definedName name="congcoc" localSheetId="3">#REF!</definedName>
    <definedName name="congcoc" localSheetId="1">#REF!</definedName>
    <definedName name="congcoc">#REF!</definedName>
    <definedName name="congcocot" localSheetId="5">#REF!</definedName>
    <definedName name="congcocot" localSheetId="3">#REF!</definedName>
    <definedName name="congcocot" localSheetId="1">#REF!</definedName>
    <definedName name="congcocot">#REF!</definedName>
    <definedName name="congcocott" localSheetId="5">#REF!</definedName>
    <definedName name="congcocott" localSheetId="3">#REF!</definedName>
    <definedName name="congcocott" localSheetId="1">#REF!</definedName>
    <definedName name="congcocott">#REF!</definedName>
    <definedName name="congcomong" localSheetId="5">#REF!</definedName>
    <definedName name="congcomong" localSheetId="3">#REF!</definedName>
    <definedName name="congcomong" localSheetId="1">#REF!</definedName>
    <definedName name="congcomong">#REF!</definedName>
    <definedName name="congcottron" localSheetId="5">#REF!</definedName>
    <definedName name="congcottron" localSheetId="3">#REF!</definedName>
    <definedName name="congcottron" localSheetId="1">#REF!</definedName>
    <definedName name="congcottron">#REF!</definedName>
    <definedName name="congcotvuong" localSheetId="5">#REF!</definedName>
    <definedName name="congcotvuong" localSheetId="3">#REF!</definedName>
    <definedName name="congcotvuong" localSheetId="1">#REF!</definedName>
    <definedName name="congcotvuong">#REF!</definedName>
    <definedName name="congdam" localSheetId="5">#REF!</definedName>
    <definedName name="congdam" localSheetId="3">#REF!</definedName>
    <definedName name="congdam" localSheetId="1">#REF!</definedName>
    <definedName name="congdam">#REF!</definedName>
    <definedName name="congdan1" localSheetId="5">#REF!</definedName>
    <definedName name="congdan1" localSheetId="3">#REF!</definedName>
    <definedName name="congdan1" localSheetId="1">#REF!</definedName>
    <definedName name="congdan1">#REF!</definedName>
    <definedName name="congdan2" localSheetId="5">#REF!</definedName>
    <definedName name="congdan2" localSheetId="3">#REF!</definedName>
    <definedName name="congdan2" localSheetId="1">#REF!</definedName>
    <definedName name="congdan2">#REF!</definedName>
    <definedName name="congdandusan" localSheetId="5">#REF!</definedName>
    <definedName name="congdandusan" localSheetId="3">#REF!</definedName>
    <definedName name="congdandusan" localSheetId="1">#REF!</definedName>
    <definedName name="congdandusan">#REF!</definedName>
    <definedName name="conglanhto" localSheetId="5">#REF!</definedName>
    <definedName name="conglanhto" localSheetId="3">#REF!</definedName>
    <definedName name="conglanhto" localSheetId="1">#REF!</definedName>
    <definedName name="conglanhto">#REF!</definedName>
    <definedName name="congmong" localSheetId="5">#REF!</definedName>
    <definedName name="congmong" localSheetId="3">#REF!</definedName>
    <definedName name="congmong" localSheetId="1">#REF!</definedName>
    <definedName name="congmong">#REF!</definedName>
    <definedName name="congmongbang" localSheetId="5">#REF!</definedName>
    <definedName name="congmongbang" localSheetId="3">#REF!</definedName>
    <definedName name="congmongbang" localSheetId="1">#REF!</definedName>
    <definedName name="congmongbang">#REF!</definedName>
    <definedName name="congmongdon" localSheetId="5">#REF!</definedName>
    <definedName name="congmongdon" localSheetId="3">#REF!</definedName>
    <definedName name="congmongdon" localSheetId="1">#REF!</definedName>
    <definedName name="congmongdon">#REF!</definedName>
    <definedName name="congpanen" localSheetId="5">#REF!</definedName>
    <definedName name="congpanen" localSheetId="3">#REF!</definedName>
    <definedName name="congpanen" localSheetId="1">#REF!</definedName>
    <definedName name="congpanen">#REF!</definedName>
    <definedName name="congsan" localSheetId="5">#REF!</definedName>
    <definedName name="congsan" localSheetId="3">#REF!</definedName>
    <definedName name="congsan" localSheetId="1">#REF!</definedName>
    <definedName name="congsan">#REF!</definedName>
    <definedName name="congthang" localSheetId="5">#REF!</definedName>
    <definedName name="congthang" localSheetId="3">#REF!</definedName>
    <definedName name="congthang" localSheetId="1">#REF!</definedName>
    <definedName name="congthang">#REF!</definedName>
    <definedName name="CongVattu" localSheetId="5">#REF!</definedName>
    <definedName name="CongVattu" localSheetId="3">#REF!</definedName>
    <definedName name="CongVattu" localSheetId="1">#REF!</definedName>
    <definedName name="CongVattu">#REF!</definedName>
    <definedName name="COT" localSheetId="5">#REF!</definedName>
    <definedName name="COT" localSheetId="3">#REF!</definedName>
    <definedName name="COT" localSheetId="1">#REF!</definedName>
    <definedName name="COT">#REF!</definedName>
    <definedName name="cot7.5" localSheetId="5">#REF!</definedName>
    <definedName name="cot7.5" localSheetId="3">#REF!</definedName>
    <definedName name="cot7.5" localSheetId="1">#REF!</definedName>
    <definedName name="cot7.5">#REF!</definedName>
    <definedName name="cot8.5" localSheetId="5">#REF!</definedName>
    <definedName name="cot8.5" localSheetId="3">#REF!</definedName>
    <definedName name="cot8.5" localSheetId="1">#REF!</definedName>
    <definedName name="cot8.5">#REF!</definedName>
    <definedName name="Cotsatma">9726</definedName>
    <definedName name="Cotthepma">9726</definedName>
    <definedName name="cottron" localSheetId="5">#REF!</definedName>
    <definedName name="cottron" localSheetId="3">#REF!</definedName>
    <definedName name="cottron" localSheetId="1">#REF!</definedName>
    <definedName name="cottron">#REF!</definedName>
    <definedName name="cotvuong" localSheetId="5">#REF!</definedName>
    <definedName name="cotvuong" localSheetId="3">#REF!</definedName>
    <definedName name="cotvuong" localSheetId="1">#REF!</definedName>
    <definedName name="cotvuong">#REF!</definedName>
    <definedName name="COVER" localSheetId="5">#REF!</definedName>
    <definedName name="COVER" localSheetId="3">#REF!</definedName>
    <definedName name="COVER" localSheetId="1">#REF!</definedName>
    <definedName name="COVER">#REF!</definedName>
    <definedName name="cpmtc" localSheetId="5">#REF!</definedName>
    <definedName name="cpmtc" localSheetId="3">#REF!</definedName>
    <definedName name="cpmtc" localSheetId="1">#REF!</definedName>
    <definedName name="cpmtc">#REF!</definedName>
    <definedName name="cpnc" localSheetId="5">#REF!</definedName>
    <definedName name="cpnc" localSheetId="3">#REF!</definedName>
    <definedName name="cpnc" localSheetId="1">#REF!</definedName>
    <definedName name="cpnc">#REF!</definedName>
    <definedName name="cptt" localSheetId="5">#REF!</definedName>
    <definedName name="cptt" localSheetId="3">#REF!</definedName>
    <definedName name="cptt" localSheetId="1">#REF!</definedName>
    <definedName name="cptt">#REF!</definedName>
    <definedName name="CPVC35" localSheetId="5">#REF!</definedName>
    <definedName name="CPVC35" localSheetId="3">#REF!</definedName>
    <definedName name="CPVC35" localSheetId="1">#REF!</definedName>
    <definedName name="CPVC35">#REF!</definedName>
    <definedName name="CPVCDN" localSheetId="5">#REF!</definedName>
    <definedName name="CPVCDN" localSheetId="3">#REF!</definedName>
    <definedName name="CPVCDN" localSheetId="1">#REF!</definedName>
    <definedName name="CPVCDN">#REF!</definedName>
    <definedName name="cpvl" localSheetId="5">#REF!</definedName>
    <definedName name="cpvl" localSheetId="3">#REF!</definedName>
    <definedName name="cpvl" localSheetId="1">#REF!</definedName>
    <definedName name="cpvl">#REF!</definedName>
    <definedName name="CRD" localSheetId="5">#REF!</definedName>
    <definedName name="CRD" localSheetId="3">#REF!</definedName>
    <definedName name="CRD" localSheetId="1">#REF!</definedName>
    <definedName name="CRD">#REF!</definedName>
    <definedName name="CRITINST" localSheetId="5">#REF!</definedName>
    <definedName name="CRITINST" localSheetId="3">#REF!</definedName>
    <definedName name="CRITINST" localSheetId="1">#REF!</definedName>
    <definedName name="CRITINST">#REF!</definedName>
    <definedName name="CRITPURC" localSheetId="5">#REF!</definedName>
    <definedName name="CRITPURC" localSheetId="3">#REF!</definedName>
    <definedName name="CRITPURC" localSheetId="1">#REF!</definedName>
    <definedName name="CRITPURC">#REF!</definedName>
    <definedName name="CRS" localSheetId="5">#REF!</definedName>
    <definedName name="CRS" localSheetId="3">#REF!</definedName>
    <definedName name="CRS" localSheetId="1">#REF!</definedName>
    <definedName name="CRS">#REF!</definedName>
    <definedName name="CS" localSheetId="5">#REF!</definedName>
    <definedName name="CS" localSheetId="3">#REF!</definedName>
    <definedName name="CS" localSheetId="1">#REF!</definedName>
    <definedName name="CS">#REF!</definedName>
    <definedName name="CS_10" localSheetId="5">#REF!</definedName>
    <definedName name="CS_10" localSheetId="3">#REF!</definedName>
    <definedName name="CS_10" localSheetId="1">#REF!</definedName>
    <definedName name="CS_10">#REF!</definedName>
    <definedName name="CS_100" localSheetId="5">#REF!</definedName>
    <definedName name="CS_100" localSheetId="3">#REF!</definedName>
    <definedName name="CS_100" localSheetId="1">#REF!</definedName>
    <definedName name="CS_100">#REF!</definedName>
    <definedName name="CS_10S" localSheetId="5">#REF!</definedName>
    <definedName name="CS_10S" localSheetId="3">#REF!</definedName>
    <definedName name="CS_10S" localSheetId="1">#REF!</definedName>
    <definedName name="CS_10S">#REF!</definedName>
    <definedName name="CS_120" localSheetId="5">#REF!</definedName>
    <definedName name="CS_120" localSheetId="3">#REF!</definedName>
    <definedName name="CS_120" localSheetId="1">#REF!</definedName>
    <definedName name="CS_120">#REF!</definedName>
    <definedName name="CS_140" localSheetId="5">#REF!</definedName>
    <definedName name="CS_140" localSheetId="3">#REF!</definedName>
    <definedName name="CS_140" localSheetId="1">#REF!</definedName>
    <definedName name="CS_140">#REF!</definedName>
    <definedName name="CS_160" localSheetId="5">#REF!</definedName>
    <definedName name="CS_160" localSheetId="3">#REF!</definedName>
    <definedName name="CS_160" localSheetId="1">#REF!</definedName>
    <definedName name="CS_160">#REF!</definedName>
    <definedName name="CS_20" localSheetId="5">#REF!</definedName>
    <definedName name="CS_20" localSheetId="3">#REF!</definedName>
    <definedName name="CS_20" localSheetId="1">#REF!</definedName>
    <definedName name="CS_20">#REF!</definedName>
    <definedName name="CS_30" localSheetId="5">#REF!</definedName>
    <definedName name="CS_30" localSheetId="3">#REF!</definedName>
    <definedName name="CS_30" localSheetId="1">#REF!</definedName>
    <definedName name="CS_30">#REF!</definedName>
    <definedName name="CS_40" localSheetId="5">#REF!</definedName>
    <definedName name="CS_40" localSheetId="3">#REF!</definedName>
    <definedName name="CS_40" localSheetId="1">#REF!</definedName>
    <definedName name="CS_40">#REF!</definedName>
    <definedName name="CS_40S" localSheetId="5">#REF!</definedName>
    <definedName name="CS_40S" localSheetId="3">#REF!</definedName>
    <definedName name="CS_40S" localSheetId="1">#REF!</definedName>
    <definedName name="CS_40S">#REF!</definedName>
    <definedName name="CS_5S" localSheetId="5">#REF!</definedName>
    <definedName name="CS_5S" localSheetId="3">#REF!</definedName>
    <definedName name="CS_5S" localSheetId="1">#REF!</definedName>
    <definedName name="CS_5S">#REF!</definedName>
    <definedName name="CS_60" localSheetId="5">#REF!</definedName>
    <definedName name="CS_60" localSheetId="3">#REF!</definedName>
    <definedName name="CS_60" localSheetId="1">#REF!</definedName>
    <definedName name="CS_60">#REF!</definedName>
    <definedName name="CS_80" localSheetId="5">#REF!</definedName>
    <definedName name="CS_80" localSheetId="3">#REF!</definedName>
    <definedName name="CS_80" localSheetId="1">#REF!</definedName>
    <definedName name="CS_80">#REF!</definedName>
    <definedName name="CS_80S" localSheetId="5">#REF!</definedName>
    <definedName name="CS_80S" localSheetId="3">#REF!</definedName>
    <definedName name="CS_80S" localSheetId="1">#REF!</definedName>
    <definedName name="CS_80S">#REF!</definedName>
    <definedName name="CS_STD" localSheetId="5">#REF!</definedName>
    <definedName name="CS_STD" localSheetId="3">#REF!</definedName>
    <definedName name="CS_STD" localSheetId="1">#REF!</definedName>
    <definedName name="CS_STD">#REF!</definedName>
    <definedName name="CS_XS" localSheetId="5">#REF!</definedName>
    <definedName name="CS_XS" localSheetId="3">#REF!</definedName>
    <definedName name="CS_XS" localSheetId="1">#REF!</definedName>
    <definedName name="CS_XS">#REF!</definedName>
    <definedName name="CS_XXS" localSheetId="5">#REF!</definedName>
    <definedName name="CS_XXS" localSheetId="3">#REF!</definedName>
    <definedName name="CS_XXS" localSheetId="1">#REF!</definedName>
    <definedName name="CS_XXS">#REF!</definedName>
    <definedName name="csd3p" localSheetId="5">#REF!</definedName>
    <definedName name="csd3p" localSheetId="3">#REF!</definedName>
    <definedName name="csd3p" localSheetId="1">#REF!</definedName>
    <definedName name="csd3p">#REF!</definedName>
    <definedName name="csddg1p" localSheetId="5">#REF!</definedName>
    <definedName name="csddg1p" localSheetId="3">#REF!</definedName>
    <definedName name="csddg1p" localSheetId="1">#REF!</definedName>
    <definedName name="csddg1p">#REF!</definedName>
    <definedName name="csddt1p" localSheetId="5">#REF!</definedName>
    <definedName name="csddt1p" localSheetId="3">#REF!</definedName>
    <definedName name="csddt1p" localSheetId="1">#REF!</definedName>
    <definedName name="csddt1p">#REF!</definedName>
    <definedName name="csht3p" localSheetId="5">#REF!</definedName>
    <definedName name="csht3p" localSheetId="3">#REF!</definedName>
    <definedName name="csht3p" localSheetId="1">#REF!</definedName>
    <definedName name="csht3p">#REF!</definedName>
    <definedName name="ctdn9697" localSheetId="5">#REF!</definedName>
    <definedName name="ctdn9697" localSheetId="3">#REF!</definedName>
    <definedName name="ctdn9697" localSheetId="1">#REF!</definedName>
    <definedName name="ctdn9697">#REF!</definedName>
    <definedName name="ctiep" localSheetId="5">#REF!</definedName>
    <definedName name="ctiep" localSheetId="3">#REF!</definedName>
    <definedName name="ctiep" localSheetId="1">#REF!</definedName>
    <definedName name="ctiep">#REF!</definedName>
    <definedName name="CTIET" localSheetId="5">#REF!</definedName>
    <definedName name="CTIET" localSheetId="3">#REF!</definedName>
    <definedName name="CTIET" localSheetId="1">#REF!</definedName>
    <definedName name="CTIET">#REF!</definedName>
    <definedName name="CTRAM" localSheetId="5">#REF!</definedName>
    <definedName name="CTRAM" localSheetId="3">#REF!</definedName>
    <definedName name="CTRAM" localSheetId="1">#REF!</definedName>
    <definedName name="CTRAM">#REF!</definedName>
    <definedName name="CU_LY_VAN_CHUYEN_GIA_QUYEN" localSheetId="5">#REF!</definedName>
    <definedName name="CU_LY_VAN_CHUYEN_GIA_QUYEN" localSheetId="3">#REF!</definedName>
    <definedName name="CU_LY_VAN_CHUYEN_GIA_QUYEN" localSheetId="1">#REF!</definedName>
    <definedName name="CU_LY_VAN_CHUYEN_GIA_QUYEN">#REF!</definedName>
    <definedName name="CU_LY_VAN_CHUYEN_THU_CONG" localSheetId="5">#REF!</definedName>
    <definedName name="CU_LY_VAN_CHUYEN_THU_CONG" localSheetId="3">#REF!</definedName>
    <definedName name="CU_LY_VAN_CHUYEN_THU_CONG" localSheetId="1">#REF!</definedName>
    <definedName name="CU_LY_VAN_CHUYEN_THU_CONG">#REF!</definedName>
    <definedName name="CURRENCY" localSheetId="5">#REF!</definedName>
    <definedName name="CURRENCY" localSheetId="3">#REF!</definedName>
    <definedName name="CURRENCY" localSheetId="1">#REF!</definedName>
    <definedName name="CURRENCY">#REF!</definedName>
    <definedName name="cx" localSheetId="5">#REF!</definedName>
    <definedName name="cx" localSheetId="3">#REF!</definedName>
    <definedName name="cx" localSheetId="1">#REF!</definedName>
    <definedName name="cx">#REF!</definedName>
    <definedName name="CH" localSheetId="5">#REF!</definedName>
    <definedName name="CH" localSheetId="3">#REF!</definedName>
    <definedName name="CH" localSheetId="1">#REF!</definedName>
    <definedName name="CH">#REF!</definedName>
    <definedName name="chon" localSheetId="5">#REF!</definedName>
    <definedName name="chon" localSheetId="3">#REF!</definedName>
    <definedName name="chon" localSheetId="1">#REF!</definedName>
    <definedName name="chon">#REF!</definedName>
    <definedName name="chon1" localSheetId="5">#REF!</definedName>
    <definedName name="chon1" localSheetId="3">#REF!</definedName>
    <definedName name="chon1" localSheetId="1">#REF!</definedName>
    <definedName name="chon1">#REF!</definedName>
    <definedName name="chon2" localSheetId="5">#REF!</definedName>
    <definedName name="chon2" localSheetId="3">#REF!</definedName>
    <definedName name="chon2" localSheetId="1">#REF!</definedName>
    <definedName name="chon2">#REF!</definedName>
    <definedName name="chon3" localSheetId="5">#REF!</definedName>
    <definedName name="chon3" localSheetId="3">#REF!</definedName>
    <definedName name="chon3" localSheetId="1">#REF!</definedName>
    <definedName name="chon3">#REF!</definedName>
    <definedName name="chuong_phuluc_10" localSheetId="9">'Bieu 10-31'!#REF!</definedName>
    <definedName name="chuong_phuluc_10_name" localSheetId="9">'Bieu 10-31'!$A$4</definedName>
    <definedName name="chuong_phuluc_11" localSheetId="10">'Bieu 11-31'!$H$2</definedName>
    <definedName name="chuong_phuluc_11_name" localSheetId="10">'Bieu 11-31'!$A$3</definedName>
    <definedName name="chuong_phuluc_7" localSheetId="6">'Bieu 07-31'!$P$2</definedName>
    <definedName name="chuong_phuluc_7_name" localSheetId="6">'Bieu 07-31'!$A$3</definedName>
    <definedName name="chuong_phuluc_8" localSheetId="7">'Bieu 08-31'!$F$1</definedName>
    <definedName name="chuong_phuluc_8_name" localSheetId="7">'Bieu 08-31'!$A$2</definedName>
    <definedName name="chuong_phuluc_9" localSheetId="8">'Bieu 09-31'!$J$1</definedName>
    <definedName name="chuong_phuluc_9_name" localSheetId="8">'Bieu 09-31'!$A$2</definedName>
    <definedName name="D_7101A_B" localSheetId="5">#REF!</definedName>
    <definedName name="D_7101A_B" localSheetId="3">#REF!</definedName>
    <definedName name="D_7101A_B" localSheetId="1">#REF!</definedName>
    <definedName name="D_7101A_B">#REF!</definedName>
    <definedName name="da1x2" localSheetId="5">#REF!</definedName>
    <definedName name="da1x2" localSheetId="3">#REF!</definedName>
    <definedName name="da1x2" localSheetId="1">#REF!</definedName>
    <definedName name="da1x2">#REF!</definedName>
    <definedName name="dahoc" localSheetId="5">#REF!</definedName>
    <definedName name="dahoc" localSheetId="3">#REF!</definedName>
    <definedName name="dahoc" localSheetId="1">#REF!</definedName>
    <definedName name="dahoc">#REF!</definedName>
    <definedName name="dam" localSheetId="5">#REF!</definedName>
    <definedName name="dam" localSheetId="3">#REF!</definedName>
    <definedName name="dam" localSheetId="1">#REF!</definedName>
    <definedName name="dam">#REF!</definedName>
    <definedName name="danducsan" localSheetId="5">#REF!</definedName>
    <definedName name="danducsan" localSheetId="3">#REF!</definedName>
    <definedName name="danducsan" localSheetId="1">#REF!</definedName>
    <definedName name="danducsan">#REF!</definedName>
    <definedName name="dao" localSheetId="5">#REF!</definedName>
    <definedName name="dao" localSheetId="3">#REF!</definedName>
    <definedName name="dao" localSheetId="1">#REF!</definedName>
    <definedName name="dao">#REF!</definedName>
    <definedName name="DAT" localSheetId="5">#REF!</definedName>
    <definedName name="DAT" localSheetId="3">#REF!</definedName>
    <definedName name="DAT" localSheetId="1">#REF!</definedName>
    <definedName name="DAT">#REF!</definedName>
    <definedName name="DATA_DATA2_List" localSheetId="5">#REF!</definedName>
    <definedName name="DATA_DATA2_List" localSheetId="3">#REF!</definedName>
    <definedName name="DATA_DATA2_List" localSheetId="1">#REF!</definedName>
    <definedName name="DATA_DATA2_List">#REF!</definedName>
    <definedName name="_xlnm.Database" localSheetId="5">#REF!</definedName>
    <definedName name="_xlnm.Database" localSheetId="3">#REF!</definedName>
    <definedName name="_xlnm.Database" localSheetId="1">#REF!</definedName>
    <definedName name="_xlnm.Database">#REF!</definedName>
    <definedName name="DATDAO" localSheetId="5">#REF!</definedName>
    <definedName name="DATDAO" localSheetId="3">#REF!</definedName>
    <definedName name="DATDAO" localSheetId="1">#REF!</definedName>
    <definedName name="DATDAO">#REF!</definedName>
    <definedName name="DCL_22">12117600</definedName>
    <definedName name="DCL_35">25490000</definedName>
    <definedName name="dd" localSheetId="5">#REF!</definedName>
    <definedName name="dd" localSheetId="3">#REF!</definedName>
    <definedName name="dd" localSheetId="1">#REF!</definedName>
    <definedName name="dd">#REF!</definedName>
    <definedName name="DDAY" localSheetId="5">#REF!</definedName>
    <definedName name="DDAY" localSheetId="3">#REF!</definedName>
    <definedName name="DDAY" localSheetId="1">#REF!</definedName>
    <definedName name="DDAY">#REF!</definedName>
    <definedName name="DDK" localSheetId="5">#REF!</definedName>
    <definedName name="DDK" localSheetId="3">#REF!</definedName>
    <definedName name="DDK" localSheetId="1">#REF!</definedName>
    <definedName name="DDK">#REF!</definedName>
    <definedName name="den_bu" localSheetId="5">#REF!</definedName>
    <definedName name="den_bu" localSheetId="3">#REF!</definedName>
    <definedName name="den_bu" localSheetId="1">#REF!</definedName>
    <definedName name="den_bu">#REF!</definedName>
    <definedName name="denbu" localSheetId="5">#REF!</definedName>
    <definedName name="denbu" localSheetId="3">#REF!</definedName>
    <definedName name="denbu" localSheetId="1">#REF!</definedName>
    <definedName name="denbu">#REF!</definedName>
    <definedName name="Det32x3" localSheetId="5">#REF!</definedName>
    <definedName name="Det32x3" localSheetId="3">#REF!</definedName>
    <definedName name="Det32x3" localSheetId="1">#REF!</definedName>
    <definedName name="Det32x3">#REF!</definedName>
    <definedName name="Det35x3" localSheetId="5">#REF!</definedName>
    <definedName name="Det35x3" localSheetId="3">#REF!</definedName>
    <definedName name="Det35x3" localSheetId="1">#REF!</definedName>
    <definedName name="Det35x3">#REF!</definedName>
    <definedName name="Det40x4" localSheetId="5">#REF!</definedName>
    <definedName name="Det40x4" localSheetId="3">#REF!</definedName>
    <definedName name="Det40x4" localSheetId="1">#REF!</definedName>
    <definedName name="Det40x4">#REF!</definedName>
    <definedName name="Det50x5" localSheetId="5">#REF!</definedName>
    <definedName name="Det50x5" localSheetId="3">#REF!</definedName>
    <definedName name="Det50x5" localSheetId="1">#REF!</definedName>
    <definedName name="Det50x5">#REF!</definedName>
    <definedName name="Det63x6" localSheetId="5">#REF!</definedName>
    <definedName name="Det63x6" localSheetId="3">#REF!</definedName>
    <definedName name="Det63x6" localSheetId="1">#REF!</definedName>
    <definedName name="Det63x6">#REF!</definedName>
    <definedName name="Det75x6" localSheetId="5">#REF!</definedName>
    <definedName name="Det75x6" localSheetId="3">#REF!</definedName>
    <definedName name="Det75x6" localSheetId="1">#REF!</definedName>
    <definedName name="Det75x6">#REF!</definedName>
    <definedName name="dgbdII" localSheetId="5">#REF!</definedName>
    <definedName name="dgbdII" localSheetId="3">#REF!</definedName>
    <definedName name="dgbdII" localSheetId="1">#REF!</definedName>
    <definedName name="dgbdII">#REF!</definedName>
    <definedName name="DGCTI592" localSheetId="5">#REF!</definedName>
    <definedName name="DGCTI592" localSheetId="3">#REF!</definedName>
    <definedName name="DGCTI592" localSheetId="1">#REF!</definedName>
    <definedName name="DGCTI592">#REF!</definedName>
    <definedName name="DGNC" localSheetId="5">#REF!</definedName>
    <definedName name="DGNC" localSheetId="3">#REF!</definedName>
    <definedName name="DGNC" localSheetId="1">#REF!</definedName>
    <definedName name="DGNC">#REF!</definedName>
    <definedName name="dgqndn" localSheetId="5">#REF!</definedName>
    <definedName name="dgqndn" localSheetId="3">#REF!</definedName>
    <definedName name="dgqndn" localSheetId="1">#REF!</definedName>
    <definedName name="dgqndn">#REF!</definedName>
    <definedName name="DGTV" localSheetId="5">#REF!</definedName>
    <definedName name="DGTV" localSheetId="3">#REF!</definedName>
    <definedName name="DGTV" localSheetId="1">#REF!</definedName>
    <definedName name="DGTV">#REF!</definedName>
    <definedName name="dgvl" localSheetId="5">#REF!</definedName>
    <definedName name="dgvl" localSheetId="3">#REF!</definedName>
    <definedName name="dgvl" localSheetId="1">#REF!</definedName>
    <definedName name="dgvl">#REF!</definedName>
    <definedName name="DGVT" localSheetId="5">#REF!</definedName>
    <definedName name="DGVT" localSheetId="3">#REF!</definedName>
    <definedName name="DGVT" localSheetId="1">#REF!</definedName>
    <definedName name="DGVT">#REF!</definedName>
    <definedName name="dhom" localSheetId="5">#REF!</definedName>
    <definedName name="dhom" localSheetId="3">#REF!</definedName>
    <definedName name="dhom" localSheetId="1">#REF!</definedName>
    <definedName name="dhom">#REF!</definedName>
    <definedName name="dien" localSheetId="5">#REF!</definedName>
    <definedName name="dien" localSheetId="3">#REF!</definedName>
    <definedName name="dien" localSheetId="1">#REF!</definedName>
    <definedName name="dien">#REF!</definedName>
    <definedName name="dientichck" localSheetId="5">#REF!</definedName>
    <definedName name="dientichck" localSheetId="3">#REF!</definedName>
    <definedName name="dientichck" localSheetId="1">#REF!</definedName>
    <definedName name="dientichck">#REF!</definedName>
    <definedName name="dinh2" localSheetId="5">#REF!</definedName>
    <definedName name="dinh2" localSheetId="3">#REF!</definedName>
    <definedName name="dinh2" localSheetId="1">#REF!</definedName>
    <definedName name="dinh2">#REF!</definedName>
    <definedName name="DLCC" localSheetId="5">#REF!</definedName>
    <definedName name="DLCC" localSheetId="3">#REF!</definedName>
    <definedName name="DLCC" localSheetId="1">#REF!</definedName>
    <definedName name="DLCC">#REF!</definedName>
    <definedName name="DM" localSheetId="5">#REF!</definedName>
    <definedName name="DM" localSheetId="3">#REF!</definedName>
    <definedName name="DM" localSheetId="1">#REF!</definedName>
    <definedName name="DM">#REF!</definedName>
    <definedName name="dm56bxd" localSheetId="5">#REF!</definedName>
    <definedName name="dm56bxd" localSheetId="3">#REF!</definedName>
    <definedName name="dm56bxd" localSheetId="1">#REF!</definedName>
    <definedName name="dm56bxd">#REF!</definedName>
    <definedName name="DN" localSheetId="5">#REF!</definedName>
    <definedName name="DN" localSheetId="3">#REF!</definedName>
    <definedName name="DN" localSheetId="1">#REF!</definedName>
    <definedName name="DN">#REF!</definedName>
    <definedName name="DNNN" localSheetId="5">#REF!</definedName>
    <definedName name="DNNN" localSheetId="3">#REF!</definedName>
    <definedName name="DNNN" localSheetId="1">#REF!</definedName>
    <definedName name="DNNN" localSheetId="4">#REF!</definedName>
    <definedName name="DNNN">#REF!</definedName>
    <definedName name="DÑt45x4" localSheetId="5">#REF!</definedName>
    <definedName name="DÑt45x4" localSheetId="3">#REF!</definedName>
    <definedName name="DÑt45x4" localSheetId="1">#REF!</definedName>
    <definedName name="DÑt45x4">#REF!</definedName>
    <definedName name="doan1" localSheetId="5">#REF!</definedName>
    <definedName name="doan1" localSheetId="3">#REF!</definedName>
    <definedName name="doan1" localSheetId="1">#REF!</definedName>
    <definedName name="doan1">#REF!</definedName>
    <definedName name="doan2" localSheetId="5">#REF!</definedName>
    <definedName name="doan2" localSheetId="3">#REF!</definedName>
    <definedName name="doan2" localSheetId="1">#REF!</definedName>
    <definedName name="doan2">#REF!</definedName>
    <definedName name="doan3" localSheetId="5">#REF!</definedName>
    <definedName name="doan3" localSheetId="3">#REF!</definedName>
    <definedName name="doan3" localSheetId="1">#REF!</definedName>
    <definedName name="doan3">#REF!</definedName>
    <definedName name="doan4" localSheetId="5">#REF!</definedName>
    <definedName name="doan4" localSheetId="3">#REF!</definedName>
    <definedName name="doan4" localSheetId="1">#REF!</definedName>
    <definedName name="doan4">#REF!</definedName>
    <definedName name="doan5" localSheetId="5">#REF!</definedName>
    <definedName name="doan5" localSheetId="3">#REF!</definedName>
    <definedName name="doan5" localSheetId="1">#REF!</definedName>
    <definedName name="doan5">#REF!</definedName>
    <definedName name="doan6" localSheetId="5">#REF!</definedName>
    <definedName name="doan6" localSheetId="3">#REF!</definedName>
    <definedName name="doan6" localSheetId="1">#REF!</definedName>
    <definedName name="doan6">#REF!</definedName>
    <definedName name="dobt" localSheetId="5">#REF!</definedName>
    <definedName name="dobt" localSheetId="3">#REF!</definedName>
    <definedName name="dobt" localSheetId="1">#REF!</definedName>
    <definedName name="dobt">#REF!</definedName>
    <definedName name="Document_array" localSheetId="5">{"Thuxm2.xls","Sheet1"}</definedName>
    <definedName name="Document_array" localSheetId="3">{"Thuxm2.xls","Sheet1"}</definedName>
    <definedName name="Document_array" localSheetId="1">{"Thuxm2.xls","Sheet1"}</definedName>
    <definedName name="Document_array" localSheetId="4">{"Thuxm2.xls","Sheet1"}</definedName>
    <definedName name="Document_array">{"Thuxm2.xls","Sheet1"}</definedName>
    <definedName name="DON_GIA_3282" localSheetId="5">#REF!</definedName>
    <definedName name="DON_GIA_3282" localSheetId="3">#REF!</definedName>
    <definedName name="DON_GIA_3282" localSheetId="1">#REF!</definedName>
    <definedName name="DON_GIA_3282">#REF!</definedName>
    <definedName name="DON_GIA_3283" localSheetId="5">#REF!</definedName>
    <definedName name="DON_GIA_3283" localSheetId="3">#REF!</definedName>
    <definedName name="DON_GIA_3283" localSheetId="1">#REF!</definedName>
    <definedName name="DON_GIA_3283">#REF!</definedName>
    <definedName name="DON_GIA_3285" localSheetId="5">#REF!</definedName>
    <definedName name="DON_GIA_3285" localSheetId="3">#REF!</definedName>
    <definedName name="DON_GIA_3285" localSheetId="1">#REF!</definedName>
    <definedName name="DON_GIA_3285">#REF!</definedName>
    <definedName name="DON_GIA_VAN_CHUYEN_36" localSheetId="5">#REF!</definedName>
    <definedName name="DON_GIA_VAN_CHUYEN_36" localSheetId="3">#REF!</definedName>
    <definedName name="DON_GIA_VAN_CHUYEN_36" localSheetId="1">#REF!</definedName>
    <definedName name="DON_GIA_VAN_CHUYEN_36">#REF!</definedName>
    <definedName name="dongia" localSheetId="5">#REF!</definedName>
    <definedName name="dongia" localSheetId="3">#REF!</definedName>
    <definedName name="dongia" localSheetId="1">#REF!</definedName>
    <definedName name="dongia">#REF!</definedName>
    <definedName name="DS1p1vc" localSheetId="5">#REF!</definedName>
    <definedName name="DS1p1vc" localSheetId="3">#REF!</definedName>
    <definedName name="DS1p1vc" localSheetId="1">#REF!</definedName>
    <definedName name="DS1p1vc">#REF!</definedName>
    <definedName name="ds1p2nc" localSheetId="5">#REF!</definedName>
    <definedName name="ds1p2nc" localSheetId="3">#REF!</definedName>
    <definedName name="ds1p2nc" localSheetId="1">#REF!</definedName>
    <definedName name="ds1p2nc">#REF!</definedName>
    <definedName name="ds1p2vc" localSheetId="5">#REF!</definedName>
    <definedName name="ds1p2vc" localSheetId="3">#REF!</definedName>
    <definedName name="ds1p2vc" localSheetId="1">#REF!</definedName>
    <definedName name="ds1p2vc">#REF!</definedName>
    <definedName name="ds1pnc" localSheetId="5">#REF!</definedName>
    <definedName name="ds1pnc" localSheetId="3">#REF!</definedName>
    <definedName name="ds1pnc" localSheetId="1">#REF!</definedName>
    <definedName name="ds1pnc">#REF!</definedName>
    <definedName name="ds1pvl" localSheetId="5">#REF!</definedName>
    <definedName name="ds1pvl" localSheetId="3">#REF!</definedName>
    <definedName name="ds1pvl" localSheetId="1">#REF!</definedName>
    <definedName name="ds1pvl">#REF!</definedName>
    <definedName name="ds3pctnc" localSheetId="5">#REF!</definedName>
    <definedName name="ds3pctnc" localSheetId="3">#REF!</definedName>
    <definedName name="ds3pctnc" localSheetId="1">#REF!</definedName>
    <definedName name="ds3pctnc">#REF!</definedName>
    <definedName name="ds3pctvc" localSheetId="5">#REF!</definedName>
    <definedName name="ds3pctvc" localSheetId="3">#REF!</definedName>
    <definedName name="ds3pctvc" localSheetId="1">#REF!</definedName>
    <definedName name="ds3pctvc">#REF!</definedName>
    <definedName name="ds3pctvl" localSheetId="5">#REF!</definedName>
    <definedName name="ds3pctvl" localSheetId="3">#REF!</definedName>
    <definedName name="ds3pctvl" localSheetId="1">#REF!</definedName>
    <definedName name="ds3pctvl">#REF!</definedName>
    <definedName name="DSPK1p1nc" localSheetId="5">#REF!</definedName>
    <definedName name="DSPK1p1nc" localSheetId="3">#REF!</definedName>
    <definedName name="DSPK1p1nc" localSheetId="1">#REF!</definedName>
    <definedName name="DSPK1p1nc">#REF!</definedName>
    <definedName name="DSPK1p1vl" localSheetId="5">#REF!</definedName>
    <definedName name="DSPK1p1vl" localSheetId="3">#REF!</definedName>
    <definedName name="DSPK1p1vl" localSheetId="1">#REF!</definedName>
    <definedName name="DSPK1p1vl">#REF!</definedName>
    <definedName name="DSPK1pnc" localSheetId="5">#REF!</definedName>
    <definedName name="DSPK1pnc" localSheetId="3">#REF!</definedName>
    <definedName name="DSPK1pnc" localSheetId="1">#REF!</definedName>
    <definedName name="DSPK1pnc">#REF!</definedName>
    <definedName name="DSPK1pvl" localSheetId="5">#REF!</definedName>
    <definedName name="DSPK1pvl" localSheetId="3">#REF!</definedName>
    <definedName name="DSPK1pvl" localSheetId="1">#REF!</definedName>
    <definedName name="DSPK1pvl">#REF!</definedName>
    <definedName name="DSTD_Clear" localSheetId="12">'Bieu 32 Chi'!DSTD_Clear</definedName>
    <definedName name="DSTD_Clear" localSheetId="5">'DT thu 69-7'!DSTD_Clear</definedName>
    <definedName name="DSTD_Clear" localSheetId="3">'DT thu 69-7'!DSTD_Clear</definedName>
    <definedName name="DSTD_Clear" localSheetId="1">'DT thu 69-7'!DSTD_Clear</definedName>
    <definedName name="DSTD_Clear" localSheetId="13">'PL15 ND 31'!DSTD_Clear</definedName>
    <definedName name="DSTD_Clear" localSheetId="4">'vay, trả nợ 20-7'!DSTD_Clear</definedName>
    <definedName name="DSTD_Clear">'vay, trả nợ 20-7'!DSTD_Clear</definedName>
    <definedName name="DSUMDATA" localSheetId="12">#REF!</definedName>
    <definedName name="DSUMDATA" localSheetId="5">#REF!</definedName>
    <definedName name="DSUMDATA" localSheetId="3">#REF!</definedName>
    <definedName name="DSUMDATA" localSheetId="1">#REF!</definedName>
    <definedName name="DSUMDATA" localSheetId="13">#REF!</definedName>
    <definedName name="DSUMDATA">#REF!</definedName>
    <definedName name="dtich1" localSheetId="5">#REF!</definedName>
    <definedName name="dtich1" localSheetId="3">#REF!</definedName>
    <definedName name="dtich1" localSheetId="1">#REF!</definedName>
    <definedName name="dtich1">#REF!</definedName>
    <definedName name="dtich2" localSheetId="5">#REF!</definedName>
    <definedName name="dtich2" localSheetId="3">#REF!</definedName>
    <definedName name="dtich2" localSheetId="1">#REF!</definedName>
    <definedName name="dtich2">#REF!</definedName>
    <definedName name="dtich3" localSheetId="5">#REF!</definedName>
    <definedName name="dtich3" localSheetId="3">#REF!</definedName>
    <definedName name="dtich3" localSheetId="1">#REF!</definedName>
    <definedName name="dtich3">#REF!</definedName>
    <definedName name="dtich4" localSheetId="5">#REF!</definedName>
    <definedName name="dtich4" localSheetId="3">#REF!</definedName>
    <definedName name="dtich4" localSheetId="1">#REF!</definedName>
    <definedName name="dtich4">#REF!</definedName>
    <definedName name="dtich5" localSheetId="5">#REF!</definedName>
    <definedName name="dtich5" localSheetId="3">#REF!</definedName>
    <definedName name="dtich5" localSheetId="1">#REF!</definedName>
    <definedName name="dtich5">#REF!</definedName>
    <definedName name="dtich6" localSheetId="5">#REF!</definedName>
    <definedName name="dtich6" localSheetId="3">#REF!</definedName>
    <definedName name="dtich6" localSheetId="1">#REF!</definedName>
    <definedName name="dtich6">#REF!</definedName>
    <definedName name="DU_TOAN_CHI_TIET_CONG_TO" localSheetId="5">#REF!</definedName>
    <definedName name="DU_TOAN_CHI_TIET_CONG_TO" localSheetId="3">#REF!</definedName>
    <definedName name="DU_TOAN_CHI_TIET_CONG_TO" localSheetId="1">#REF!</definedName>
    <definedName name="DU_TOAN_CHI_TIET_CONG_TO">#REF!</definedName>
    <definedName name="DU_TOAN_CHI_TIET_DZ22KV" localSheetId="5">#REF!</definedName>
    <definedName name="DU_TOAN_CHI_TIET_DZ22KV" localSheetId="3">#REF!</definedName>
    <definedName name="DU_TOAN_CHI_TIET_DZ22KV" localSheetId="1">#REF!</definedName>
    <definedName name="DU_TOAN_CHI_TIET_DZ22KV">#REF!</definedName>
    <definedName name="DU_TOAN_CHI_TIET_KHO_BAI" localSheetId="5">#REF!</definedName>
    <definedName name="DU_TOAN_CHI_TIET_KHO_BAI" localSheetId="3">#REF!</definedName>
    <definedName name="DU_TOAN_CHI_TIET_KHO_BAI" localSheetId="1">#REF!</definedName>
    <definedName name="DU_TOAN_CHI_TIET_KHO_BAI">#REF!</definedName>
    <definedName name="duaån" localSheetId="5">#REF!</definedName>
    <definedName name="duaån" localSheetId="3">#REF!</definedName>
    <definedName name="duaån" localSheetId="1">#REF!</definedName>
    <definedName name="duaån">#REF!</definedName>
    <definedName name="duan" localSheetId="5">#REF!</definedName>
    <definedName name="duan" localSheetId="3">#REF!</definedName>
    <definedName name="duan" localSheetId="1">#REF!</definedName>
    <definedName name="duan">#REF!</definedName>
    <definedName name="DUCANH" localSheetId="12" hidden="1">{"'Sheet1'!$L$16"}</definedName>
    <definedName name="DUCANH" localSheetId="5" hidden="1">{"'Sheet1'!$L$16"}</definedName>
    <definedName name="DUCANH" localSheetId="3" hidden="1">{"'Sheet1'!$L$16"}</definedName>
    <definedName name="DUCANH" localSheetId="1" hidden="1">{"'Sheet1'!$L$16"}</definedName>
    <definedName name="DUCANH" localSheetId="13" hidden="1">{"'Sheet1'!$L$16"}</definedName>
    <definedName name="DUCANH" localSheetId="2" hidden="1">{"'Sheet1'!$L$16"}</definedName>
    <definedName name="DUCANH" localSheetId="4" hidden="1">{"'Sheet1'!$L$16"}</definedName>
    <definedName name="DUCANH" hidden="1">{"'Sheet1'!$L$16"}</definedName>
    <definedName name="DutoanDongmo" localSheetId="5">#REF!</definedName>
    <definedName name="DutoanDongmo" localSheetId="3">#REF!</definedName>
    <definedName name="DutoanDongmo" localSheetId="1">#REF!</definedName>
    <definedName name="DutoanDongmo">#REF!</definedName>
    <definedName name="emb" localSheetId="5">#REF!</definedName>
    <definedName name="emb" localSheetId="3">#REF!</definedName>
    <definedName name="emb" localSheetId="1">#REF!</definedName>
    <definedName name="emb">#REF!</definedName>
    <definedName name="End_1" localSheetId="5">#REF!</definedName>
    <definedName name="End_1" localSheetId="3">#REF!</definedName>
    <definedName name="End_1" localSheetId="1">#REF!</definedName>
    <definedName name="End_1">#REF!</definedName>
    <definedName name="End_10" localSheetId="5">#REF!</definedName>
    <definedName name="End_10" localSheetId="3">#REF!</definedName>
    <definedName name="End_10" localSheetId="1">#REF!</definedName>
    <definedName name="End_10">#REF!</definedName>
    <definedName name="End_11" localSheetId="5">#REF!</definedName>
    <definedName name="End_11" localSheetId="3">#REF!</definedName>
    <definedName name="End_11" localSheetId="1">#REF!</definedName>
    <definedName name="End_11">#REF!</definedName>
    <definedName name="End_12" localSheetId="5">#REF!</definedName>
    <definedName name="End_12" localSheetId="3">#REF!</definedName>
    <definedName name="End_12" localSheetId="1">#REF!</definedName>
    <definedName name="End_12">#REF!</definedName>
    <definedName name="End_13" localSheetId="5">#REF!</definedName>
    <definedName name="End_13" localSheetId="3">#REF!</definedName>
    <definedName name="End_13" localSheetId="1">#REF!</definedName>
    <definedName name="End_13">#REF!</definedName>
    <definedName name="End_2" localSheetId="5">#REF!</definedName>
    <definedName name="End_2" localSheetId="3">#REF!</definedName>
    <definedName name="End_2" localSheetId="1">#REF!</definedName>
    <definedName name="End_2">#REF!</definedName>
    <definedName name="End_3" localSheetId="5">#REF!</definedName>
    <definedName name="End_3" localSheetId="3">#REF!</definedName>
    <definedName name="End_3" localSheetId="1">#REF!</definedName>
    <definedName name="End_3">#REF!</definedName>
    <definedName name="End_4" localSheetId="5">#REF!</definedName>
    <definedName name="End_4" localSheetId="3">#REF!</definedName>
    <definedName name="End_4" localSheetId="1">#REF!</definedName>
    <definedName name="End_4">#REF!</definedName>
    <definedName name="End_5" localSheetId="5">#REF!</definedName>
    <definedName name="End_5" localSheetId="3">#REF!</definedName>
    <definedName name="End_5" localSheetId="1">#REF!</definedName>
    <definedName name="End_5">#REF!</definedName>
    <definedName name="End_6" localSheetId="5">#REF!</definedName>
    <definedName name="End_6" localSheetId="3">#REF!</definedName>
    <definedName name="End_6" localSheetId="1">#REF!</definedName>
    <definedName name="End_6">#REF!</definedName>
    <definedName name="End_7" localSheetId="5">#REF!</definedName>
    <definedName name="End_7" localSheetId="3">#REF!</definedName>
    <definedName name="End_7" localSheetId="1">#REF!</definedName>
    <definedName name="End_7">#REF!</definedName>
    <definedName name="End_8" localSheetId="5">#REF!</definedName>
    <definedName name="End_8" localSheetId="3">#REF!</definedName>
    <definedName name="End_8" localSheetId="1">#REF!</definedName>
    <definedName name="End_8">#REF!</definedName>
    <definedName name="End_9" localSheetId="5">#REF!</definedName>
    <definedName name="End_9" localSheetId="3">#REF!</definedName>
    <definedName name="End_9" localSheetId="1">#REF!</definedName>
    <definedName name="End_9">#REF!</definedName>
    <definedName name="ex" localSheetId="5">#REF!</definedName>
    <definedName name="ex" localSheetId="3">#REF!</definedName>
    <definedName name="ex" localSheetId="1">#REF!</definedName>
    <definedName name="ex">#REF!</definedName>
    <definedName name="_xlnm.Extract" localSheetId="5">#REF!</definedName>
    <definedName name="_xlnm.Extract" localSheetId="3">#REF!</definedName>
    <definedName name="_xlnm.Extract" localSheetId="1">#REF!</definedName>
    <definedName name="_xlnm.Extract">#REF!</definedName>
    <definedName name="f" localSheetId="5">#REF!</definedName>
    <definedName name="f" localSheetId="3">#REF!</definedName>
    <definedName name="f" localSheetId="1">#REF!</definedName>
    <definedName name="f">#REF!</definedName>
    <definedName name="FACTOR" localSheetId="5">#REF!</definedName>
    <definedName name="FACTOR" localSheetId="3">#REF!</definedName>
    <definedName name="FACTOR" localSheetId="1">#REF!</definedName>
    <definedName name="FACTOR">#REF!</definedName>
    <definedName name="FI_12">4820</definedName>
    <definedName name="G_ME" localSheetId="5">#REF!</definedName>
    <definedName name="G_ME" localSheetId="3">#REF!</definedName>
    <definedName name="G_ME" localSheetId="1">#REF!</definedName>
    <definedName name="G_ME">#REF!</definedName>
    <definedName name="gach" localSheetId="5">#REF!</definedName>
    <definedName name="gach" localSheetId="3">#REF!</definedName>
    <definedName name="gach" localSheetId="1">#REF!</definedName>
    <definedName name="gach">#REF!</definedName>
    <definedName name="geo" localSheetId="5">#REF!</definedName>
    <definedName name="geo" localSheetId="3">#REF!</definedName>
    <definedName name="geo" localSheetId="1">#REF!</definedName>
    <definedName name="geo">#REF!</definedName>
    <definedName name="gg" localSheetId="5">#REF!</definedName>
    <definedName name="gg" localSheetId="3">#REF!</definedName>
    <definedName name="gg" localSheetId="1">#REF!</definedName>
    <definedName name="gg">#REF!</definedName>
    <definedName name="ghip" localSheetId="5">#REF!</definedName>
    <definedName name="ghip" localSheetId="3">#REF!</definedName>
    <definedName name="ghip" localSheetId="1">#REF!</definedName>
    <definedName name="ghip">#REF!</definedName>
    <definedName name="gl3p" localSheetId="5">#REF!</definedName>
    <definedName name="gl3p" localSheetId="3">#REF!</definedName>
    <definedName name="gl3p" localSheetId="1">#REF!</definedName>
    <definedName name="gl3p">#REF!</definedName>
    <definedName name="Goc32x3" localSheetId="5">#REF!</definedName>
    <definedName name="Goc32x3" localSheetId="3">#REF!</definedName>
    <definedName name="Goc32x3" localSheetId="1">#REF!</definedName>
    <definedName name="Goc32x3">#REF!</definedName>
    <definedName name="Goc35x3" localSheetId="5">#REF!</definedName>
    <definedName name="Goc35x3" localSheetId="3">#REF!</definedName>
    <definedName name="Goc35x3" localSheetId="1">#REF!</definedName>
    <definedName name="Goc35x3">#REF!</definedName>
    <definedName name="Goc40x4" localSheetId="5">#REF!</definedName>
    <definedName name="Goc40x4" localSheetId="3">#REF!</definedName>
    <definedName name="Goc40x4" localSheetId="1">#REF!</definedName>
    <definedName name="Goc40x4">#REF!</definedName>
    <definedName name="Goc45x4" localSheetId="5">#REF!</definedName>
    <definedName name="Goc45x4" localSheetId="3">#REF!</definedName>
    <definedName name="Goc45x4" localSheetId="1">#REF!</definedName>
    <definedName name="Goc45x4">#REF!</definedName>
    <definedName name="Goc50x5" localSheetId="5">#REF!</definedName>
    <definedName name="Goc50x5" localSheetId="3">#REF!</definedName>
    <definedName name="Goc50x5" localSheetId="1">#REF!</definedName>
    <definedName name="Goc50x5">#REF!</definedName>
    <definedName name="Goc63x6" localSheetId="5">#REF!</definedName>
    <definedName name="Goc63x6" localSheetId="3">#REF!</definedName>
    <definedName name="Goc63x6" localSheetId="1">#REF!</definedName>
    <definedName name="Goc63x6">#REF!</definedName>
    <definedName name="Goc75x6" localSheetId="5">#REF!</definedName>
    <definedName name="Goc75x6" localSheetId="3">#REF!</definedName>
    <definedName name="Goc75x6" localSheetId="1">#REF!</definedName>
    <definedName name="Goc75x6">#REF!</definedName>
    <definedName name="Gtb" localSheetId="5">#REF!</definedName>
    <definedName name="Gtb" localSheetId="3">#REF!</definedName>
    <definedName name="Gtb" localSheetId="1">#REF!</definedName>
    <definedName name="Gtb">#REF!</definedName>
    <definedName name="gtbtt" localSheetId="5">#REF!</definedName>
    <definedName name="gtbtt" localSheetId="3">#REF!</definedName>
    <definedName name="gtbtt" localSheetId="1">#REF!</definedName>
    <definedName name="gtbtt">#REF!</definedName>
    <definedName name="gtst" localSheetId="5">#REF!</definedName>
    <definedName name="gtst" localSheetId="3">#REF!</definedName>
    <definedName name="gtst" localSheetId="1">#REF!</definedName>
    <definedName name="gtst">#REF!</definedName>
    <definedName name="GTXL" localSheetId="5">#REF!</definedName>
    <definedName name="GTXL" localSheetId="3">#REF!</definedName>
    <definedName name="GTXL" localSheetId="1">#REF!</definedName>
    <definedName name="GTXL">#REF!</definedName>
    <definedName name="Gxl" localSheetId="5">#REF!</definedName>
    <definedName name="Gxl" localSheetId="3">#REF!</definedName>
    <definedName name="Gxl" localSheetId="1">#REF!</definedName>
    <definedName name="Gxl">#REF!</definedName>
    <definedName name="gxltt" localSheetId="5">#REF!</definedName>
    <definedName name="gxltt" localSheetId="3">#REF!</definedName>
    <definedName name="gxltt" localSheetId="1">#REF!</definedName>
    <definedName name="gxltt">#REF!</definedName>
    <definedName name="gia" localSheetId="5">#REF!</definedName>
    <definedName name="gia" localSheetId="3">#REF!</definedName>
    <definedName name="gia" localSheetId="1">#REF!</definedName>
    <definedName name="gia">#REF!</definedName>
    <definedName name="Gia_CT" localSheetId="5">#REF!</definedName>
    <definedName name="Gia_CT" localSheetId="3">#REF!</definedName>
    <definedName name="Gia_CT" localSheetId="1">#REF!</definedName>
    <definedName name="Gia_CT">#REF!</definedName>
    <definedName name="GIA_CU_LY_VAN_CHUYEN" localSheetId="5">#REF!</definedName>
    <definedName name="GIA_CU_LY_VAN_CHUYEN" localSheetId="3">#REF!</definedName>
    <definedName name="GIA_CU_LY_VAN_CHUYEN" localSheetId="1">#REF!</definedName>
    <definedName name="GIA_CU_LY_VAN_CHUYEN">#REF!</definedName>
    <definedName name="gia_tien" localSheetId="5">#REF!</definedName>
    <definedName name="gia_tien" localSheetId="3">#REF!</definedName>
    <definedName name="gia_tien" localSheetId="1">#REF!</definedName>
    <definedName name="gia_tien">#REF!</definedName>
    <definedName name="gia_tien_BTN" localSheetId="5">#REF!</definedName>
    <definedName name="gia_tien_BTN" localSheetId="3">#REF!</definedName>
    <definedName name="gia_tien_BTN" localSheetId="1">#REF!</definedName>
    <definedName name="gia_tien_BTN">#REF!</definedName>
    <definedName name="Gia_VT" localSheetId="5">#REF!</definedName>
    <definedName name="Gia_VT" localSheetId="3">#REF!</definedName>
    <definedName name="Gia_VT" localSheetId="1">#REF!</definedName>
    <definedName name="Gia_VT">#REF!</definedName>
    <definedName name="GIAVLIEUTN" localSheetId="5">#REF!</definedName>
    <definedName name="GIAVLIEUTN" localSheetId="3">#REF!</definedName>
    <definedName name="GIAVLIEUTN" localSheetId="1">#REF!</definedName>
    <definedName name="GIAVLIEUTN">#REF!</definedName>
    <definedName name="Giocong" localSheetId="5">#REF!</definedName>
    <definedName name="Giocong" localSheetId="3">#REF!</definedName>
    <definedName name="Giocong" localSheetId="1">#REF!</definedName>
    <definedName name="Giocong">#REF!</definedName>
    <definedName name="h" localSheetId="12" hidden="1">{"'Sheet1'!$L$16"}</definedName>
    <definedName name="h" localSheetId="5" hidden="1">{"'Sheet1'!$L$16"}</definedName>
    <definedName name="h" localSheetId="3" hidden="1">{"'Sheet1'!$L$16"}</definedName>
    <definedName name="h" localSheetId="1" hidden="1">{"'Sheet1'!$L$16"}</definedName>
    <definedName name="h" localSheetId="13" hidden="1">{"'Sheet1'!$L$16"}</definedName>
    <definedName name="h" localSheetId="4" hidden="1">{"'Sheet1'!$L$16"}</definedName>
    <definedName name="h" hidden="1">{"'Sheet1'!$L$16"}</definedName>
    <definedName name="H_THUCTT" localSheetId="5">#REF!</definedName>
    <definedName name="H_THUCTT" localSheetId="3">#REF!</definedName>
    <definedName name="H_THUCTT" localSheetId="1">#REF!</definedName>
    <definedName name="H_THUCTT">#REF!</definedName>
    <definedName name="H_THUCHTHH" localSheetId="5">#REF!</definedName>
    <definedName name="H_THUCHTHH" localSheetId="3">#REF!</definedName>
    <definedName name="H_THUCHTHH" localSheetId="1">#REF!</definedName>
    <definedName name="H_THUCHTHH">#REF!</definedName>
    <definedName name="HANG" localSheetId="12" hidden="1">{#N/A,#N/A,FALSE,"Chi tiÆt"}</definedName>
    <definedName name="HANG" localSheetId="5" hidden="1">{#N/A,#N/A,FALSE,"Chi tiÆt"}</definedName>
    <definedName name="HANG" localSheetId="3" hidden="1">{#N/A,#N/A,FALSE,"Chi tiÆt"}</definedName>
    <definedName name="HANG" localSheetId="1" hidden="1">{#N/A,#N/A,FALSE,"Chi tiÆt"}</definedName>
    <definedName name="HANG" localSheetId="13" hidden="1">{#N/A,#N/A,FALSE,"Chi tiÆt"}</definedName>
    <definedName name="HANG" localSheetId="2" hidden="1">{#N/A,#N/A,FALSE,"Chi tiÆt"}</definedName>
    <definedName name="HANG" localSheetId="4" hidden="1">{#N/A,#N/A,FALSE,"Chi tiÆt"}</definedName>
    <definedName name="HANG" hidden="1">{#N/A,#N/A,FALSE,"Chi tiÆt"}</definedName>
    <definedName name="HCM" localSheetId="5">#REF!</definedName>
    <definedName name="HCM" localSheetId="3">#REF!</definedName>
    <definedName name="HCM" localSheetId="1">#REF!</definedName>
    <definedName name="HCM">#REF!</definedName>
    <definedName name="HE_SO_KHO_KHAN_CANG_DAY" localSheetId="5">#REF!</definedName>
    <definedName name="HE_SO_KHO_KHAN_CANG_DAY" localSheetId="3">#REF!</definedName>
    <definedName name="HE_SO_KHO_KHAN_CANG_DAY" localSheetId="1">#REF!</definedName>
    <definedName name="HE_SO_KHO_KHAN_CANG_DAY">#REF!</definedName>
    <definedName name="Heä_soá_laép_xaø_H">1.7</definedName>
    <definedName name="heä_soá_sình_laày" localSheetId="5">#REF!</definedName>
    <definedName name="heä_soá_sình_laày" localSheetId="3">#REF!</definedName>
    <definedName name="heä_soá_sình_laày" localSheetId="1">#REF!</definedName>
    <definedName name="heä_soá_sình_laày">#REF!</definedName>
    <definedName name="hh" localSheetId="5">#REF!</definedName>
    <definedName name="hh" localSheetId="3">#REF!</definedName>
    <definedName name="hh" localSheetId="1">#REF!</definedName>
    <definedName name="hh">#REF!</definedName>
    <definedName name="HHcat" localSheetId="5">#REF!</definedName>
    <definedName name="HHcat" localSheetId="3">#REF!</definedName>
    <definedName name="HHcat" localSheetId="1">#REF!</definedName>
    <definedName name="HHcat">#REF!</definedName>
    <definedName name="HHda" localSheetId="5">#REF!</definedName>
    <definedName name="HHda" localSheetId="3">#REF!</definedName>
    <definedName name="HHda" localSheetId="1">#REF!</definedName>
    <definedName name="HHda">#REF!</definedName>
    <definedName name="HHTT" localSheetId="5">#REF!</definedName>
    <definedName name="HHTT" localSheetId="3">#REF!</definedName>
    <definedName name="HHTT" localSheetId="1">#REF!</definedName>
    <definedName name="HHTT">#REF!</definedName>
    <definedName name="HHUHOI" localSheetId="12">'Bieu 32 Chi'!HHUHOI</definedName>
    <definedName name="HHUHOI" localSheetId="5">'DT thu 69-7'!HHUHOI</definedName>
    <definedName name="HHUHOI" localSheetId="3">'DT thu 69-7'!HHUHOI</definedName>
    <definedName name="HHUHOI" localSheetId="1">'DT thu 69-7'!HHUHOI</definedName>
    <definedName name="HHUHOI" localSheetId="13">'PL15 ND 31'!HHUHOI</definedName>
    <definedName name="HHUHOI" localSheetId="4">'vay, trả nợ 20-7'!HHUHOI</definedName>
    <definedName name="HHUHOI">'vay, trả nợ 20-7'!HHUHOI</definedName>
    <definedName name="hien" localSheetId="5">#REF!</definedName>
    <definedName name="hien" localSheetId="3">#REF!</definedName>
    <definedName name="hien" localSheetId="1">#REF!</definedName>
    <definedName name="hien">#REF!</definedName>
    <definedName name="HIHIHIHOI" localSheetId="12" hidden="1">{"'Sheet1'!$L$16"}</definedName>
    <definedName name="HIHIHIHOI" localSheetId="5" hidden="1">{"'Sheet1'!$L$16"}</definedName>
    <definedName name="HIHIHIHOI" localSheetId="3" hidden="1">{"'Sheet1'!$L$16"}</definedName>
    <definedName name="HIHIHIHOI" localSheetId="1" hidden="1">{"'Sheet1'!$L$16"}</definedName>
    <definedName name="HIHIHIHOI" localSheetId="13" hidden="1">{"'Sheet1'!$L$16"}</definedName>
    <definedName name="HIHIHIHOI" localSheetId="2" hidden="1">{"'Sheet1'!$L$16"}</definedName>
    <definedName name="HIHIHIHOI" localSheetId="4" hidden="1">{"'Sheet1'!$L$16"}</definedName>
    <definedName name="HIHIHIHOI" hidden="1">{"'Sheet1'!$L$16"}</definedName>
    <definedName name="Hinh_thuc" localSheetId="5">#REF!</definedName>
    <definedName name="Hinh_thuc" localSheetId="3">#REF!</definedName>
    <definedName name="Hinh_thuc" localSheetId="1">#REF!</definedName>
    <definedName name="Hinh_thuc">#REF!</definedName>
    <definedName name="HiÕu" localSheetId="5">#REF!</definedName>
    <definedName name="HiÕu" localSheetId="3">#REF!</definedName>
    <definedName name="HiÕu" localSheetId="1">#REF!</definedName>
    <definedName name="HiÕu">#REF!</definedName>
    <definedName name="HJKL" localSheetId="12" hidden="1">{"'Sheet1'!$L$16"}</definedName>
    <definedName name="HJKL" localSheetId="5" hidden="1">{"'Sheet1'!$L$16"}</definedName>
    <definedName name="HJKL" localSheetId="3" hidden="1">{"'Sheet1'!$L$16"}</definedName>
    <definedName name="HJKL" localSheetId="1" hidden="1">{"'Sheet1'!$L$16"}</definedName>
    <definedName name="HJKL" localSheetId="13" hidden="1">{"'Sheet1'!$L$16"}</definedName>
    <definedName name="HJKL" localSheetId="2" hidden="1">{"'Sheet1'!$L$16"}</definedName>
    <definedName name="HJKL" localSheetId="4" hidden="1">{"'Sheet1'!$L$16"}</definedName>
    <definedName name="HJKL" hidden="1">{"'Sheet1'!$L$16"}</definedName>
    <definedName name="HOME_MANP" localSheetId="5">#REF!</definedName>
    <definedName name="HOME_MANP" localSheetId="3">#REF!</definedName>
    <definedName name="HOME_MANP" localSheetId="1">#REF!</definedName>
    <definedName name="HOME_MANP">#REF!</definedName>
    <definedName name="HOMEOFFICE_COST" localSheetId="5">#REF!</definedName>
    <definedName name="HOMEOFFICE_COST" localSheetId="3">#REF!</definedName>
    <definedName name="HOMEOFFICE_COST" localSheetId="1">#REF!</definedName>
    <definedName name="HOMEOFFICE_COST">#REF!</definedName>
    <definedName name="hs" localSheetId="5">#REF!</definedName>
    <definedName name="hs" localSheetId="3">#REF!</definedName>
    <definedName name="hs" localSheetId="1">#REF!</definedName>
    <definedName name="hs">#REF!</definedName>
    <definedName name="HSCT3">0.1</definedName>
    <definedName name="hsd" localSheetId="5">#REF!</definedName>
    <definedName name="hsd" localSheetId="3">#REF!</definedName>
    <definedName name="hsd" localSheetId="1">#REF!</definedName>
    <definedName name="hsd">#REF!</definedName>
    <definedName name="hsdc" localSheetId="5">#REF!</definedName>
    <definedName name="hsdc" localSheetId="3">#REF!</definedName>
    <definedName name="hsdc" localSheetId="1">#REF!</definedName>
    <definedName name="hsdc">#REF!</definedName>
    <definedName name="hsdc1" localSheetId="5">#REF!</definedName>
    <definedName name="hsdc1" localSheetId="3">#REF!</definedName>
    <definedName name="hsdc1" localSheetId="1">#REF!</definedName>
    <definedName name="hsdc1">#REF!</definedName>
    <definedName name="HSDN">2.5</definedName>
    <definedName name="HSHH" localSheetId="5">#REF!</definedName>
    <definedName name="HSHH" localSheetId="3">#REF!</definedName>
    <definedName name="HSHH" localSheetId="1">#REF!</definedName>
    <definedName name="HSHH">#REF!</definedName>
    <definedName name="HSHHUT" localSheetId="5">#REF!</definedName>
    <definedName name="HSHHUT" localSheetId="3">#REF!</definedName>
    <definedName name="HSHHUT" localSheetId="1">#REF!</definedName>
    <definedName name="HSHHUT">#REF!</definedName>
    <definedName name="hsk" localSheetId="5">#REF!</definedName>
    <definedName name="hsk" localSheetId="3">#REF!</definedName>
    <definedName name="hsk" localSheetId="1">#REF!</definedName>
    <definedName name="hsk">#REF!</definedName>
    <definedName name="HSKK35" localSheetId="5">#REF!</definedName>
    <definedName name="HSKK35" localSheetId="3">#REF!</definedName>
    <definedName name="HSKK35" localSheetId="1">#REF!</definedName>
    <definedName name="HSKK35">#REF!</definedName>
    <definedName name="HSLX" localSheetId="5">#REF!</definedName>
    <definedName name="HSLX" localSheetId="3">#REF!</definedName>
    <definedName name="HSLX" localSheetId="1">#REF!</definedName>
    <definedName name="HSLX">#REF!</definedName>
    <definedName name="HSLXH">1.7</definedName>
    <definedName name="HSLXP" localSheetId="5">#REF!</definedName>
    <definedName name="HSLXP" localSheetId="3">#REF!</definedName>
    <definedName name="HSLXP" localSheetId="1">#REF!</definedName>
    <definedName name="HSLXP">#REF!</definedName>
    <definedName name="hßm4" localSheetId="5">#REF!</definedName>
    <definedName name="hßm4" localSheetId="3">#REF!</definedName>
    <definedName name="hßm4" localSheetId="1">#REF!</definedName>
    <definedName name="hßm4">#REF!</definedName>
    <definedName name="hstb" localSheetId="5">#REF!</definedName>
    <definedName name="hstb" localSheetId="3">#REF!</definedName>
    <definedName name="hstb" localSheetId="1">#REF!</definedName>
    <definedName name="hstb">#REF!</definedName>
    <definedName name="hstdtk" localSheetId="5">#REF!</definedName>
    <definedName name="hstdtk" localSheetId="3">#REF!</definedName>
    <definedName name="hstdtk" localSheetId="1">#REF!</definedName>
    <definedName name="hstdtk">#REF!</definedName>
    <definedName name="hsthep" localSheetId="5">#REF!</definedName>
    <definedName name="hsthep" localSheetId="3">#REF!</definedName>
    <definedName name="hsthep" localSheetId="1">#REF!</definedName>
    <definedName name="hsthep">#REF!</definedName>
    <definedName name="HSVC1" localSheetId="5">#REF!</definedName>
    <definedName name="HSVC1" localSheetId="3">#REF!</definedName>
    <definedName name="HSVC1" localSheetId="1">#REF!</definedName>
    <definedName name="HSVC1">#REF!</definedName>
    <definedName name="HSVC2" localSheetId="5">#REF!</definedName>
    <definedName name="HSVC2" localSheetId="3">#REF!</definedName>
    <definedName name="HSVC2" localSheetId="1">#REF!</definedName>
    <definedName name="HSVC2">#REF!</definedName>
    <definedName name="HSVC3" localSheetId="5">#REF!</definedName>
    <definedName name="HSVC3" localSheetId="3">#REF!</definedName>
    <definedName name="HSVC3" localSheetId="1">#REF!</definedName>
    <definedName name="HSVC3">#REF!</definedName>
    <definedName name="hsvl" localSheetId="5">#REF!</definedName>
    <definedName name="hsvl" localSheetId="3">#REF!</definedName>
    <definedName name="hsvl" localSheetId="1">#REF!</definedName>
    <definedName name="hsvl">#REF!</definedName>
    <definedName name="HT" localSheetId="5">#REF!</definedName>
    <definedName name="HT" localSheetId="3">#REF!</definedName>
    <definedName name="HT" localSheetId="1">#REF!</definedName>
    <definedName name="HT">#REF!</definedName>
    <definedName name="HTML_CodePage" hidden="1">950</definedName>
    <definedName name="HTML_Control" localSheetId="12" hidden="1">{"'Sheet1'!$L$16"}</definedName>
    <definedName name="HTML_Control" localSheetId="5" hidden="1">{"'Sheet1'!$L$16"}</definedName>
    <definedName name="HTML_Control" localSheetId="3" hidden="1">{"'Sheet1'!$L$16"}</definedName>
    <definedName name="HTML_Control" localSheetId="1" hidden="1">{"'Sheet1'!$L$16"}</definedName>
    <definedName name="HTML_Control" localSheetId="13" hidden="1">{"'Sheet1'!$L$16"}</definedName>
    <definedName name="HTML_Control" localSheetId="2"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5">#REF!</definedName>
    <definedName name="HTNC" localSheetId="3">#REF!</definedName>
    <definedName name="HTNC" localSheetId="1">#REF!</definedName>
    <definedName name="HTNC">#REF!</definedName>
    <definedName name="HTVL" localSheetId="5">#REF!</definedName>
    <definedName name="HTVL" localSheetId="3">#REF!</definedName>
    <definedName name="HTVL" localSheetId="1">#REF!</definedName>
    <definedName name="HTVL">#REF!</definedName>
    <definedName name="HTHH" localSheetId="5">#REF!</definedName>
    <definedName name="HTHH" localSheetId="3">#REF!</definedName>
    <definedName name="HTHH" localSheetId="1">#REF!</definedName>
    <definedName name="HTHH">#REF!</definedName>
    <definedName name="huy" localSheetId="12">#REF!</definedName>
    <definedName name="huy" localSheetId="5">#REF!</definedName>
    <definedName name="huy" localSheetId="3">#REF!</definedName>
    <definedName name="huy" localSheetId="1" hidden="1">{"'Sheet1'!$L$16"}</definedName>
    <definedName name="huy" localSheetId="13">#REF!</definedName>
    <definedName name="huy" localSheetId="2" hidden="1">{"'Sheet1'!$L$16"}</definedName>
    <definedName name="huy">#REF!</definedName>
    <definedName name="I" localSheetId="5">#REF!</definedName>
    <definedName name="I" localSheetId="3">#REF!</definedName>
    <definedName name="I" localSheetId="1">#REF!</definedName>
    <definedName name="I">#REF!</definedName>
    <definedName name="IDLAB_COST" localSheetId="5">#REF!</definedName>
    <definedName name="IDLAB_COST" localSheetId="3">#REF!</definedName>
    <definedName name="IDLAB_COST" localSheetId="1">#REF!</definedName>
    <definedName name="IDLAB_COST">#REF!</definedName>
    <definedName name="IND_LAB" localSheetId="5">#REF!</definedName>
    <definedName name="IND_LAB" localSheetId="3">#REF!</definedName>
    <definedName name="IND_LAB" localSheetId="1">#REF!</definedName>
    <definedName name="IND_LAB">#REF!</definedName>
    <definedName name="INDMANP" localSheetId="5">#REF!</definedName>
    <definedName name="INDMANP" localSheetId="3">#REF!</definedName>
    <definedName name="INDMANP" localSheetId="1">#REF!</definedName>
    <definedName name="INDMANP">#REF!</definedName>
    <definedName name="j" localSheetId="5">#REF!</definedName>
    <definedName name="j" localSheetId="3">#REF!</definedName>
    <definedName name="j" localSheetId="1">#REF!</definedName>
    <definedName name="j">#REF!</definedName>
    <definedName name="j356C8" localSheetId="5">#REF!</definedName>
    <definedName name="j356C8" localSheetId="3">#REF!</definedName>
    <definedName name="j356C8" localSheetId="1">#REF!</definedName>
    <definedName name="j356C8">#REF!</definedName>
    <definedName name="K" localSheetId="5">#REF!</definedName>
    <definedName name="K" localSheetId="3">#REF!</definedName>
    <definedName name="K" localSheetId="1">#REF!</definedName>
    <definedName name="K">#REF!</definedName>
    <definedName name="k2b" localSheetId="5">#REF!</definedName>
    <definedName name="k2b" localSheetId="3">#REF!</definedName>
    <definedName name="k2b" localSheetId="1">#REF!</definedName>
    <definedName name="k2b">#REF!</definedName>
    <definedName name="kcong" localSheetId="5">#REF!</definedName>
    <definedName name="kcong" localSheetId="3">#REF!</definedName>
    <definedName name="kcong" localSheetId="1">#REF!</definedName>
    <definedName name="kcong">#REF!</definedName>
    <definedName name="KINH_PHI_DEN_BU" localSheetId="5">#REF!</definedName>
    <definedName name="KINH_PHI_DEN_BU" localSheetId="3">#REF!</definedName>
    <definedName name="KINH_PHI_DEN_BU" localSheetId="1">#REF!</definedName>
    <definedName name="KINH_PHI_DEN_BU">#REF!</definedName>
    <definedName name="KINH_PHI_DZ0.4KV" localSheetId="5">#REF!</definedName>
    <definedName name="KINH_PHI_DZ0.4KV" localSheetId="3">#REF!</definedName>
    <definedName name="KINH_PHI_DZ0.4KV" localSheetId="1">#REF!</definedName>
    <definedName name="KINH_PHI_DZ0.4KV">#REF!</definedName>
    <definedName name="KINH_PHI_KHAO_SAT__LAP_BCNCKT__TKKTTC" localSheetId="5">#REF!</definedName>
    <definedName name="KINH_PHI_KHAO_SAT__LAP_BCNCKT__TKKTTC" localSheetId="3">#REF!</definedName>
    <definedName name="KINH_PHI_KHAO_SAT__LAP_BCNCKT__TKKTTC" localSheetId="1">#REF!</definedName>
    <definedName name="KINH_PHI_KHAO_SAT__LAP_BCNCKT__TKKTTC">#REF!</definedName>
    <definedName name="KINH_PHI_KHO_BAI" localSheetId="5">#REF!</definedName>
    <definedName name="KINH_PHI_KHO_BAI" localSheetId="3">#REF!</definedName>
    <definedName name="KINH_PHI_KHO_BAI" localSheetId="1">#REF!</definedName>
    <definedName name="KINH_PHI_KHO_BAI">#REF!</definedName>
    <definedName name="KINH_PHI_TBA" localSheetId="5">#REF!</definedName>
    <definedName name="KINH_PHI_TBA" localSheetId="3">#REF!</definedName>
    <definedName name="KINH_PHI_TBA" localSheetId="1">#REF!</definedName>
    <definedName name="KINH_PHI_TBA">#REF!</definedName>
    <definedName name="kl_ME" localSheetId="5">#REF!</definedName>
    <definedName name="kl_ME" localSheetId="3">#REF!</definedName>
    <definedName name="kl_ME" localSheetId="1">#REF!</definedName>
    <definedName name="kl_ME">#REF!</definedName>
    <definedName name="KLTHDN" localSheetId="5">#REF!</definedName>
    <definedName name="KLTHDN" localSheetId="3">#REF!</definedName>
    <definedName name="KLTHDN" localSheetId="1">#REF!</definedName>
    <definedName name="KLTHDN">#REF!</definedName>
    <definedName name="KLVANKHUON" localSheetId="5">#REF!</definedName>
    <definedName name="KLVANKHUON" localSheetId="3">#REF!</definedName>
    <definedName name="KLVANKHUON" localSheetId="1">#REF!</definedName>
    <definedName name="KLVANKHUON">#REF!</definedName>
    <definedName name="kp1ph" localSheetId="5">#REF!</definedName>
    <definedName name="kp1ph" localSheetId="3">#REF!</definedName>
    <definedName name="kp1ph" localSheetId="1">#REF!</definedName>
    <definedName name="kp1ph">#REF!</definedName>
    <definedName name="KQ_Truong" localSheetId="5">#REF!</definedName>
    <definedName name="KQ_Truong" localSheetId="3">#REF!</definedName>
    <definedName name="KQ_Truong" localSheetId="1">#REF!</definedName>
    <definedName name="KQ_Truong">#REF!</definedName>
    <definedName name="KSTK" localSheetId="5">#REF!</definedName>
    <definedName name="KSTK" localSheetId="3">#REF!</definedName>
    <definedName name="KSTK" localSheetId="1">#REF!</definedName>
    <definedName name="KSTK">#REF!</definedName>
    <definedName name="KVC" localSheetId="5">#REF!</definedName>
    <definedName name="KVC" localSheetId="3">#REF!</definedName>
    <definedName name="KVC" localSheetId="1">#REF!</definedName>
    <definedName name="KVC">#REF!</definedName>
    <definedName name="KH_Chang" localSheetId="5">#REF!</definedName>
    <definedName name="KH_Chang" localSheetId="3">#REF!</definedName>
    <definedName name="KH_Chang" localSheetId="1">#REF!</definedName>
    <definedName name="KH_Chang">#REF!</definedName>
    <definedName name="Khac" localSheetId="5">#REF!</definedName>
    <definedName name="Khac" localSheetId="3">#REF!</definedName>
    <definedName name="Khac" localSheetId="1">#REF!</definedName>
    <definedName name="Khac" localSheetId="4">#REF!</definedName>
    <definedName name="Khac">#REF!</definedName>
    <definedName name="KHOI_LUONG_DAT_DAO_DAP" localSheetId="5">#REF!</definedName>
    <definedName name="KHOI_LUONG_DAT_DAO_DAP" localSheetId="3">#REF!</definedName>
    <definedName name="KHOI_LUONG_DAT_DAO_DAP" localSheetId="1">#REF!</definedName>
    <definedName name="KHOI_LUONG_DAT_DAO_DAP">#REF!</definedName>
    <definedName name="Khong_can_doi" localSheetId="5">#REF!</definedName>
    <definedName name="Khong_can_doi" localSheetId="3">#REF!</definedName>
    <definedName name="Khong_can_doi" localSheetId="1">#REF!</definedName>
    <definedName name="Khong_can_doi" localSheetId="4">#REF!</definedName>
    <definedName name="Khong_can_doi">#REF!</definedName>
    <definedName name="L" localSheetId="5">#REF!</definedName>
    <definedName name="L" localSheetId="3">#REF!</definedName>
    <definedName name="L" localSheetId="1">#REF!</definedName>
    <definedName name="L">#REF!</definedName>
    <definedName name="L_mong" localSheetId="5">#REF!</definedName>
    <definedName name="L_mong" localSheetId="3">#REF!</definedName>
    <definedName name="L_mong" localSheetId="1">#REF!</definedName>
    <definedName name="L_mong">#REF!</definedName>
    <definedName name="L63x6">5800</definedName>
    <definedName name="lan" localSheetId="5">#REF!</definedName>
    <definedName name="lan" localSheetId="3">#REF!</definedName>
    <definedName name="lan" localSheetId="1">#REF!</definedName>
    <definedName name="lan">#REF!</definedName>
    <definedName name="lanhto" localSheetId="5">#REF!</definedName>
    <definedName name="lanhto" localSheetId="3">#REF!</definedName>
    <definedName name="lanhto" localSheetId="1">#REF!</definedName>
    <definedName name="lanhto">#REF!</definedName>
    <definedName name="LAP_DAT_TBA" localSheetId="5">#REF!</definedName>
    <definedName name="LAP_DAT_TBA" localSheetId="3">#REF!</definedName>
    <definedName name="LAP_DAT_TBA" localSheetId="1">#REF!</definedName>
    <definedName name="LAP_DAT_TBA">#REF!</definedName>
    <definedName name="LBS_22">107800000</definedName>
    <definedName name="LIET_KE_VI_TRI_DZ0.4KV" localSheetId="5">#REF!</definedName>
    <definedName name="LIET_KE_VI_TRI_DZ0.4KV" localSheetId="3">#REF!</definedName>
    <definedName name="LIET_KE_VI_TRI_DZ0.4KV" localSheetId="1">#REF!</definedName>
    <definedName name="LIET_KE_VI_TRI_DZ0.4KV">#REF!</definedName>
    <definedName name="LIET_KE_VI_TRI_DZ22KV" localSheetId="5">#REF!</definedName>
    <definedName name="LIET_KE_VI_TRI_DZ22KV" localSheetId="3">#REF!</definedName>
    <definedName name="LIET_KE_VI_TRI_DZ22KV" localSheetId="1">#REF!</definedName>
    <definedName name="LIET_KE_VI_TRI_DZ22KV">#REF!</definedName>
    <definedName name="LK_hathe" localSheetId="5">#REF!</definedName>
    <definedName name="LK_hathe" localSheetId="3">#REF!</definedName>
    <definedName name="LK_hathe" localSheetId="1">#REF!</definedName>
    <definedName name="LK_hathe">#REF!</definedName>
    <definedName name="Lmk" localSheetId="5">#REF!</definedName>
    <definedName name="Lmk" localSheetId="3">#REF!</definedName>
    <definedName name="Lmk" localSheetId="1">#REF!</definedName>
    <definedName name="Lmk">#REF!</definedName>
    <definedName name="lntt" localSheetId="5">#REF!</definedName>
    <definedName name="lntt" localSheetId="3">#REF!</definedName>
    <definedName name="lntt" localSheetId="1">#REF!</definedName>
    <definedName name="lntt">#REF!</definedName>
    <definedName name="Loai_TD" localSheetId="5">#REF!</definedName>
    <definedName name="Loai_TD" localSheetId="3">#REF!</definedName>
    <definedName name="Loai_TD" localSheetId="1">#REF!</definedName>
    <definedName name="Loai_TD">#REF!</definedName>
    <definedName name="lVC" localSheetId="5">#REF!</definedName>
    <definedName name="lVC" localSheetId="3">#REF!</definedName>
    <definedName name="lVC" localSheetId="1">#REF!</definedName>
    <definedName name="lVC">#REF!</definedName>
    <definedName name="m">#REF!</definedName>
    <definedName name="M0.4" localSheetId="5">#REF!</definedName>
    <definedName name="M0.4" localSheetId="3">#REF!</definedName>
    <definedName name="M0.4" localSheetId="1">#REF!</definedName>
    <definedName name="M0.4">#REF!</definedName>
    <definedName name="M10aa1p">#REF!</definedName>
    <definedName name="M12aavl" localSheetId="5">#REF!</definedName>
    <definedName name="M12aavl" localSheetId="3">#REF!</definedName>
    <definedName name="M12aavl" localSheetId="1">#REF!</definedName>
    <definedName name="M12aavl">#REF!</definedName>
    <definedName name="M12ba3p" localSheetId="5">#REF!</definedName>
    <definedName name="M12ba3p" localSheetId="3">#REF!</definedName>
    <definedName name="M12ba3p" localSheetId="1">#REF!</definedName>
    <definedName name="M12ba3p">#REF!</definedName>
    <definedName name="M12bb1p" localSheetId="5">#REF!</definedName>
    <definedName name="M12bb1p" localSheetId="3">#REF!</definedName>
    <definedName name="M12bb1p" localSheetId="1">#REF!</definedName>
    <definedName name="M12bb1p">#REF!</definedName>
    <definedName name="M14bb1p" localSheetId="5">#REF!</definedName>
    <definedName name="M14bb1p" localSheetId="3">#REF!</definedName>
    <definedName name="M14bb1p" localSheetId="1">#REF!</definedName>
    <definedName name="M14bb1p">#REF!</definedName>
    <definedName name="M8a" localSheetId="5">#REF!</definedName>
    <definedName name="M8a" localSheetId="3">#REF!</definedName>
    <definedName name="M8a" localSheetId="1">#REF!</definedName>
    <definedName name="M8a">#REF!</definedName>
    <definedName name="M8aa" localSheetId="5">#REF!</definedName>
    <definedName name="M8aa" localSheetId="3">#REF!</definedName>
    <definedName name="M8aa" localSheetId="1">#REF!</definedName>
    <definedName name="M8aa">#REF!</definedName>
    <definedName name="m8aanc" localSheetId="5">#REF!</definedName>
    <definedName name="m8aanc" localSheetId="3">#REF!</definedName>
    <definedName name="m8aanc" localSheetId="1">#REF!</definedName>
    <definedName name="m8aanc">#REF!</definedName>
    <definedName name="m8aavl" localSheetId="5">#REF!</definedName>
    <definedName name="m8aavl" localSheetId="3">#REF!</definedName>
    <definedName name="m8aavl" localSheetId="1">#REF!</definedName>
    <definedName name="m8aavl">#REF!</definedName>
    <definedName name="Ma3pnc" localSheetId="5">#REF!</definedName>
    <definedName name="Ma3pnc" localSheetId="3">#REF!</definedName>
    <definedName name="Ma3pnc" localSheetId="1">#REF!</definedName>
    <definedName name="Ma3pnc">#REF!</definedName>
    <definedName name="Ma3pvl" localSheetId="5">#REF!</definedName>
    <definedName name="Ma3pvl" localSheetId="3">#REF!</definedName>
    <definedName name="Ma3pvl" localSheetId="1">#REF!</definedName>
    <definedName name="Ma3pvl">#REF!</definedName>
    <definedName name="Maa3pnc" localSheetId="5">#REF!</definedName>
    <definedName name="Maa3pnc" localSheetId="3">#REF!</definedName>
    <definedName name="Maa3pnc" localSheetId="1">#REF!</definedName>
    <definedName name="Maa3pnc">#REF!</definedName>
    <definedName name="Maa3pvl" localSheetId="5">#REF!</definedName>
    <definedName name="Maa3pvl" localSheetId="3">#REF!</definedName>
    <definedName name="Maa3pvl" localSheetId="1">#REF!</definedName>
    <definedName name="Maa3pvl">#REF!</definedName>
    <definedName name="Macro3">#REF!</definedName>
    <definedName name="MAJ_CON_EQP" localSheetId="5">#REF!</definedName>
    <definedName name="MAJ_CON_EQP" localSheetId="3">#REF!</definedName>
    <definedName name="MAJ_CON_EQP" localSheetId="1">#REF!</definedName>
    <definedName name="MAJ_CON_EQP">#REF!</definedName>
    <definedName name="MAVANKHUON" localSheetId="5">#REF!</definedName>
    <definedName name="MAVANKHUON" localSheetId="3">#REF!</definedName>
    <definedName name="MAVANKHUON" localSheetId="1">#REF!</definedName>
    <definedName name="MAVANKHUON">#REF!</definedName>
    <definedName name="MAVLTHDN" localSheetId="5">#REF!</definedName>
    <definedName name="MAVLTHDN" localSheetId="3">#REF!</definedName>
    <definedName name="MAVLTHDN" localSheetId="1">#REF!</definedName>
    <definedName name="MAVLTHDN">#REF!</definedName>
    <definedName name="Mba1p" localSheetId="5">#REF!</definedName>
    <definedName name="Mba1p" localSheetId="3">#REF!</definedName>
    <definedName name="Mba1p" localSheetId="1">#REF!</definedName>
    <definedName name="Mba1p">#REF!</definedName>
    <definedName name="Mba3p" localSheetId="5">#REF!</definedName>
    <definedName name="Mba3p" localSheetId="3">#REF!</definedName>
    <definedName name="Mba3p" localSheetId="1">#REF!</definedName>
    <definedName name="Mba3p">#REF!</definedName>
    <definedName name="Mbb3p" localSheetId="5">#REF!</definedName>
    <definedName name="Mbb3p" localSheetId="3">#REF!</definedName>
    <definedName name="Mbb3p" localSheetId="1">#REF!</definedName>
    <definedName name="Mbb3p">#REF!</definedName>
    <definedName name="mc" localSheetId="5">#REF!</definedName>
    <definedName name="mc" localSheetId="3">#REF!</definedName>
    <definedName name="mc" localSheetId="1">#REF!</definedName>
    <definedName name="mc">#REF!</definedName>
    <definedName name="MG_A" localSheetId="5">#REF!</definedName>
    <definedName name="MG_A" localSheetId="3">#REF!</definedName>
    <definedName name="MG_A" localSheetId="1">#REF!</definedName>
    <definedName name="MG_A">#REF!</definedName>
    <definedName name="MN" localSheetId="5">#REF!</definedName>
    <definedName name="MN" localSheetId="3">#REF!</definedName>
    <definedName name="MN" localSheetId="1">#REF!</definedName>
    <definedName name="MN">#REF!</definedName>
    <definedName name="mongbang" localSheetId="5">#REF!</definedName>
    <definedName name="mongbang" localSheetId="3">#REF!</definedName>
    <definedName name="mongbang" localSheetId="1">#REF!</definedName>
    <definedName name="mongbang">#REF!</definedName>
    <definedName name="mongdon" localSheetId="5">#REF!</definedName>
    <definedName name="mongdon" localSheetId="3">#REF!</definedName>
    <definedName name="mongdon" localSheetId="1">#REF!</definedName>
    <definedName name="mongdon">#REF!</definedName>
    <definedName name="Moùng" localSheetId="5">#REF!</definedName>
    <definedName name="Moùng" localSheetId="3">#REF!</definedName>
    <definedName name="Moùng" localSheetId="1">#REF!</definedName>
    <definedName name="Moùng">#REF!</definedName>
    <definedName name="MSCT" localSheetId="5">#REF!</definedName>
    <definedName name="MSCT" localSheetId="3">#REF!</definedName>
    <definedName name="MSCT" localSheetId="1">#REF!</definedName>
    <definedName name="MSCT">#REF!</definedName>
    <definedName name="mtcdg" localSheetId="5">#REF!</definedName>
    <definedName name="mtcdg" localSheetId="3">#REF!</definedName>
    <definedName name="mtcdg" localSheetId="1">#REF!</definedName>
    <definedName name="mtcdg">#REF!</definedName>
    <definedName name="MTMAC12" localSheetId="5">#REF!</definedName>
    <definedName name="MTMAC12" localSheetId="3">#REF!</definedName>
    <definedName name="MTMAC12" localSheetId="1">#REF!</definedName>
    <definedName name="MTMAC12">#REF!</definedName>
    <definedName name="mtram" localSheetId="5">#REF!</definedName>
    <definedName name="mtram" localSheetId="3">#REF!</definedName>
    <definedName name="mtram" localSheetId="1">#REF!</definedName>
    <definedName name="mtram">#REF!</definedName>
    <definedName name="myle" localSheetId="5">#REF!</definedName>
    <definedName name="myle" localSheetId="3">#REF!</definedName>
    <definedName name="myle" localSheetId="1">#REF!</definedName>
    <definedName name="myle">#REF!</definedName>
    <definedName name="n" localSheetId="5">#REF!</definedName>
    <definedName name="n" localSheetId="3">#REF!</definedName>
    <definedName name="n" localSheetId="1">#REF!</definedName>
    <definedName name="n">#REF!</definedName>
    <definedName name="n1pig" localSheetId="5">#REF!</definedName>
    <definedName name="n1pig" localSheetId="3">#REF!</definedName>
    <definedName name="n1pig" localSheetId="1">#REF!</definedName>
    <definedName name="n1pig">#REF!</definedName>
    <definedName name="N1pIGnc" localSheetId="5">#REF!</definedName>
    <definedName name="N1pIGnc" localSheetId="3">#REF!</definedName>
    <definedName name="N1pIGnc" localSheetId="1">#REF!</definedName>
    <definedName name="N1pIGnc">#REF!</definedName>
    <definedName name="N1pIGvc" localSheetId="5">#REF!</definedName>
    <definedName name="N1pIGvc" localSheetId="3">#REF!</definedName>
    <definedName name="N1pIGvc" localSheetId="1">#REF!</definedName>
    <definedName name="N1pIGvc">#REF!</definedName>
    <definedName name="N1pIGvl" localSheetId="5">#REF!</definedName>
    <definedName name="N1pIGvl" localSheetId="3">#REF!</definedName>
    <definedName name="N1pIGvl" localSheetId="1">#REF!</definedName>
    <definedName name="N1pIGvl">#REF!</definedName>
    <definedName name="n1pind" localSheetId="5">#REF!</definedName>
    <definedName name="n1pind" localSheetId="3">#REF!</definedName>
    <definedName name="n1pind" localSheetId="1">#REF!</definedName>
    <definedName name="n1pind">#REF!</definedName>
    <definedName name="N1pINDnc" localSheetId="5">#REF!</definedName>
    <definedName name="N1pINDnc" localSheetId="3">#REF!</definedName>
    <definedName name="N1pINDnc" localSheetId="1">#REF!</definedName>
    <definedName name="N1pINDnc">#REF!</definedName>
    <definedName name="N1pINDvc" localSheetId="5">#REF!</definedName>
    <definedName name="N1pINDvc" localSheetId="3">#REF!</definedName>
    <definedName name="N1pINDvc" localSheetId="1">#REF!</definedName>
    <definedName name="N1pINDvc">#REF!</definedName>
    <definedName name="N1pINDvl" localSheetId="5">#REF!</definedName>
    <definedName name="N1pINDvl" localSheetId="3">#REF!</definedName>
    <definedName name="N1pINDvl" localSheetId="1">#REF!</definedName>
    <definedName name="N1pINDvl">#REF!</definedName>
    <definedName name="n1pint" localSheetId="5">#REF!</definedName>
    <definedName name="n1pint" localSheetId="3">#REF!</definedName>
    <definedName name="n1pint" localSheetId="1">#REF!</definedName>
    <definedName name="n1pint">#REF!</definedName>
    <definedName name="n1ping" localSheetId="5">#REF!</definedName>
    <definedName name="n1ping" localSheetId="3">#REF!</definedName>
    <definedName name="n1ping" localSheetId="1">#REF!</definedName>
    <definedName name="n1ping">#REF!</definedName>
    <definedName name="N1pINGvc" localSheetId="5">#REF!</definedName>
    <definedName name="N1pINGvc" localSheetId="3">#REF!</definedName>
    <definedName name="N1pINGvc" localSheetId="1">#REF!</definedName>
    <definedName name="N1pINGvc">#REF!</definedName>
    <definedName name="nc" localSheetId="5">#REF!</definedName>
    <definedName name="nc" localSheetId="3">#REF!</definedName>
    <definedName name="nc" localSheetId="1">#REF!</definedName>
    <definedName name="nc">#REF!</definedName>
    <definedName name="nc_btm10" localSheetId="5">#REF!</definedName>
    <definedName name="nc_btm10" localSheetId="3">#REF!</definedName>
    <definedName name="nc_btm10" localSheetId="1">#REF!</definedName>
    <definedName name="nc_btm10">#REF!</definedName>
    <definedName name="nc_btm100" localSheetId="5">#REF!</definedName>
    <definedName name="nc_btm100" localSheetId="3">#REF!</definedName>
    <definedName name="nc_btm100" localSheetId="1">#REF!</definedName>
    <definedName name="nc_btm100">#REF!</definedName>
    <definedName name="nc3p" localSheetId="5">#REF!</definedName>
    <definedName name="nc3p" localSheetId="3">#REF!</definedName>
    <definedName name="nc3p" localSheetId="1">#REF!</definedName>
    <definedName name="nc3p">#REF!</definedName>
    <definedName name="NCBD100" localSheetId="5">#REF!</definedName>
    <definedName name="NCBD100" localSheetId="3">#REF!</definedName>
    <definedName name="NCBD100" localSheetId="1">#REF!</definedName>
    <definedName name="NCBD100">#REF!</definedName>
    <definedName name="NCBD200" localSheetId="5">#REF!</definedName>
    <definedName name="NCBD200" localSheetId="3">#REF!</definedName>
    <definedName name="NCBD200" localSheetId="1">#REF!</definedName>
    <definedName name="NCBD200">#REF!</definedName>
    <definedName name="NCBD250" localSheetId="5">#REF!</definedName>
    <definedName name="NCBD250" localSheetId="3">#REF!</definedName>
    <definedName name="NCBD250" localSheetId="1">#REF!</definedName>
    <definedName name="NCBD250">#REF!</definedName>
    <definedName name="NCcap0.7" localSheetId="5">#REF!</definedName>
    <definedName name="NCcap0.7" localSheetId="3">#REF!</definedName>
    <definedName name="NCcap0.7" localSheetId="1">#REF!</definedName>
    <definedName name="NCcap0.7">#REF!</definedName>
    <definedName name="NCcap1" localSheetId="5">#REF!</definedName>
    <definedName name="NCcap1" localSheetId="3">#REF!</definedName>
    <definedName name="NCcap1" localSheetId="1">#REF!</definedName>
    <definedName name="NCcap1">#REF!</definedName>
    <definedName name="NCCT3p" localSheetId="5">#REF!</definedName>
    <definedName name="NCCT3p" localSheetId="3">#REF!</definedName>
    <definedName name="NCCT3p" localSheetId="1">#REF!</definedName>
    <definedName name="NCCT3p">#REF!</definedName>
    <definedName name="ncdg" localSheetId="5">#REF!</definedName>
    <definedName name="ncdg" localSheetId="3">#REF!</definedName>
    <definedName name="ncdg" localSheetId="1">#REF!</definedName>
    <definedName name="ncdg">#REF!</definedName>
    <definedName name="NCKT" localSheetId="5">#REF!</definedName>
    <definedName name="NCKT" localSheetId="3">#REF!</definedName>
    <definedName name="NCKT" localSheetId="1">#REF!</definedName>
    <definedName name="NCKT">#REF!</definedName>
    <definedName name="nctram" localSheetId="5">#REF!</definedName>
    <definedName name="nctram" localSheetId="3">#REF!</definedName>
    <definedName name="nctram" localSheetId="1">#REF!</definedName>
    <definedName name="nctram">#REF!</definedName>
    <definedName name="NCVC100" localSheetId="5">#REF!</definedName>
    <definedName name="NCVC100" localSheetId="3">#REF!</definedName>
    <definedName name="NCVC100" localSheetId="1">#REF!</definedName>
    <definedName name="NCVC100">#REF!</definedName>
    <definedName name="NCVC200" localSheetId="5">#REF!</definedName>
    <definedName name="NCVC200" localSheetId="3">#REF!</definedName>
    <definedName name="NCVC200" localSheetId="1">#REF!</definedName>
    <definedName name="NCVC200">#REF!</definedName>
    <definedName name="NCVC250" localSheetId="5">#REF!</definedName>
    <definedName name="NCVC250" localSheetId="3">#REF!</definedName>
    <definedName name="NCVC250" localSheetId="1">#REF!</definedName>
    <definedName name="NCVC250">#REF!</definedName>
    <definedName name="NCVC3P" localSheetId="5">#REF!</definedName>
    <definedName name="NCVC3P" localSheetId="3">#REF!</definedName>
    <definedName name="NCVC3P" localSheetId="1">#REF!</definedName>
    <definedName name="NCVC3P">#REF!</definedName>
    <definedName name="NET" localSheetId="5">#REF!</definedName>
    <definedName name="NET" localSheetId="3">#REF!</definedName>
    <definedName name="NET" localSheetId="1">#REF!</definedName>
    <definedName name="NET">#REF!</definedName>
    <definedName name="NET_1" localSheetId="5">#REF!</definedName>
    <definedName name="NET_1" localSheetId="3">#REF!</definedName>
    <definedName name="NET_1" localSheetId="1">#REF!</definedName>
    <definedName name="NET_1">#REF!</definedName>
    <definedName name="NET_ANA" localSheetId="5">#REF!</definedName>
    <definedName name="NET_ANA" localSheetId="3">#REF!</definedName>
    <definedName name="NET_ANA" localSheetId="1">#REF!</definedName>
    <definedName name="NET_ANA">#REF!</definedName>
    <definedName name="NET_ANA_1" localSheetId="5">#REF!</definedName>
    <definedName name="NET_ANA_1" localSheetId="3">#REF!</definedName>
    <definedName name="NET_ANA_1" localSheetId="1">#REF!</definedName>
    <definedName name="NET_ANA_1">#REF!</definedName>
    <definedName name="NET_ANA_2" localSheetId="5">#REF!</definedName>
    <definedName name="NET_ANA_2" localSheetId="3">#REF!</definedName>
    <definedName name="NET_ANA_2" localSheetId="1">#REF!</definedName>
    <definedName name="NET_ANA_2">#REF!</definedName>
    <definedName name="nig" localSheetId="5">#REF!</definedName>
    <definedName name="nig" localSheetId="3">#REF!</definedName>
    <definedName name="nig" localSheetId="1">#REF!</definedName>
    <definedName name="nig">#REF!</definedName>
    <definedName name="nig1p" localSheetId="5">#REF!</definedName>
    <definedName name="nig1p" localSheetId="3">#REF!</definedName>
    <definedName name="nig1p" localSheetId="1">#REF!</definedName>
    <definedName name="nig1p">#REF!</definedName>
    <definedName name="nig3p" localSheetId="5">#REF!</definedName>
    <definedName name="nig3p" localSheetId="3">#REF!</definedName>
    <definedName name="nig3p" localSheetId="1">#REF!</definedName>
    <definedName name="nig3p">#REF!</definedName>
    <definedName name="NIGnc" localSheetId="5">#REF!</definedName>
    <definedName name="NIGnc" localSheetId="3">#REF!</definedName>
    <definedName name="NIGnc" localSheetId="1">#REF!</definedName>
    <definedName name="NIGnc">#REF!</definedName>
    <definedName name="nignc1p" localSheetId="5">#REF!</definedName>
    <definedName name="nignc1p" localSheetId="3">#REF!</definedName>
    <definedName name="nignc1p" localSheetId="1">#REF!</definedName>
    <definedName name="nignc1p">#REF!</definedName>
    <definedName name="NIGvc" localSheetId="5">#REF!</definedName>
    <definedName name="NIGvc" localSheetId="3">#REF!</definedName>
    <definedName name="NIGvc" localSheetId="1">#REF!</definedName>
    <definedName name="NIGvc">#REF!</definedName>
    <definedName name="NIGvl" localSheetId="5">#REF!</definedName>
    <definedName name="NIGvl" localSheetId="3">#REF!</definedName>
    <definedName name="NIGvl" localSheetId="1">#REF!</definedName>
    <definedName name="NIGvl">#REF!</definedName>
    <definedName name="nigvl1p" localSheetId="5">#REF!</definedName>
    <definedName name="nigvl1p" localSheetId="3">#REF!</definedName>
    <definedName name="nigvl1p" localSheetId="1">#REF!</definedName>
    <definedName name="nigvl1p">#REF!</definedName>
    <definedName name="nin" localSheetId="5">#REF!</definedName>
    <definedName name="nin" localSheetId="3">#REF!</definedName>
    <definedName name="nin" localSheetId="1">#REF!</definedName>
    <definedName name="nin">#REF!</definedName>
    <definedName name="nin1903p" localSheetId="5">#REF!</definedName>
    <definedName name="nin1903p" localSheetId="3">#REF!</definedName>
    <definedName name="nin1903p" localSheetId="1">#REF!</definedName>
    <definedName name="nin1903p">#REF!</definedName>
    <definedName name="nin3p" localSheetId="5">#REF!</definedName>
    <definedName name="nin3p" localSheetId="3">#REF!</definedName>
    <definedName name="nin3p" localSheetId="1">#REF!</definedName>
    <definedName name="nin3p">#REF!</definedName>
    <definedName name="nind" localSheetId="5">#REF!</definedName>
    <definedName name="nind" localSheetId="3">#REF!</definedName>
    <definedName name="nind" localSheetId="1">#REF!</definedName>
    <definedName name="nind">#REF!</definedName>
    <definedName name="nind1p" localSheetId="5">#REF!</definedName>
    <definedName name="nind1p" localSheetId="3">#REF!</definedName>
    <definedName name="nind1p" localSheetId="1">#REF!</definedName>
    <definedName name="nind1p">#REF!</definedName>
    <definedName name="nind3p" localSheetId="5">#REF!</definedName>
    <definedName name="nind3p" localSheetId="3">#REF!</definedName>
    <definedName name="nind3p" localSheetId="1">#REF!</definedName>
    <definedName name="nind3p">#REF!</definedName>
    <definedName name="NINDnc" localSheetId="5">#REF!</definedName>
    <definedName name="NINDnc" localSheetId="3">#REF!</definedName>
    <definedName name="NINDnc" localSheetId="1">#REF!</definedName>
    <definedName name="NINDnc">#REF!</definedName>
    <definedName name="nindnc1p" localSheetId="5">#REF!</definedName>
    <definedName name="nindnc1p" localSheetId="3">#REF!</definedName>
    <definedName name="nindnc1p" localSheetId="1">#REF!</definedName>
    <definedName name="nindnc1p">#REF!</definedName>
    <definedName name="NINDvc" localSheetId="5">#REF!</definedName>
    <definedName name="NINDvc" localSheetId="3">#REF!</definedName>
    <definedName name="NINDvc" localSheetId="1">#REF!</definedName>
    <definedName name="NINDvc">#REF!</definedName>
    <definedName name="NINDvl" localSheetId="5">#REF!</definedName>
    <definedName name="NINDvl" localSheetId="3">#REF!</definedName>
    <definedName name="NINDvl" localSheetId="1">#REF!</definedName>
    <definedName name="NINDvl">#REF!</definedName>
    <definedName name="nindvl1p" localSheetId="5">#REF!</definedName>
    <definedName name="nindvl1p" localSheetId="3">#REF!</definedName>
    <definedName name="nindvl1p" localSheetId="1">#REF!</definedName>
    <definedName name="nindvl1p">#REF!</definedName>
    <definedName name="NINnc" localSheetId="5">#REF!</definedName>
    <definedName name="NINnc" localSheetId="3">#REF!</definedName>
    <definedName name="NINnc" localSheetId="1">#REF!</definedName>
    <definedName name="NINnc">#REF!</definedName>
    <definedName name="nint1p" localSheetId="5">#REF!</definedName>
    <definedName name="nint1p" localSheetId="3">#REF!</definedName>
    <definedName name="nint1p" localSheetId="1">#REF!</definedName>
    <definedName name="nint1p">#REF!</definedName>
    <definedName name="nintnc1p" localSheetId="5">#REF!</definedName>
    <definedName name="nintnc1p" localSheetId="3">#REF!</definedName>
    <definedName name="nintnc1p" localSheetId="1">#REF!</definedName>
    <definedName name="nintnc1p">#REF!</definedName>
    <definedName name="nintvl1p" localSheetId="5">#REF!</definedName>
    <definedName name="nintvl1p" localSheetId="3">#REF!</definedName>
    <definedName name="nintvl1p" localSheetId="1">#REF!</definedName>
    <definedName name="nintvl1p">#REF!</definedName>
    <definedName name="NINvc" localSheetId="5">#REF!</definedName>
    <definedName name="NINvc" localSheetId="3">#REF!</definedName>
    <definedName name="NINvc" localSheetId="1">#REF!</definedName>
    <definedName name="NINvc">#REF!</definedName>
    <definedName name="NINvl" localSheetId="5">#REF!</definedName>
    <definedName name="NINvl" localSheetId="3">#REF!</definedName>
    <definedName name="NINvl" localSheetId="1">#REF!</definedName>
    <definedName name="NINvl">#REF!</definedName>
    <definedName name="ning1p" localSheetId="5">#REF!</definedName>
    <definedName name="ning1p" localSheetId="3">#REF!</definedName>
    <definedName name="ning1p" localSheetId="1">#REF!</definedName>
    <definedName name="ning1p">#REF!</definedName>
    <definedName name="ningnc1p" localSheetId="5">#REF!</definedName>
    <definedName name="ningnc1p" localSheetId="3">#REF!</definedName>
    <definedName name="ningnc1p" localSheetId="1">#REF!</definedName>
    <definedName name="ningnc1p">#REF!</definedName>
    <definedName name="ningvl1p" localSheetId="5">#REF!</definedName>
    <definedName name="ningvl1p" localSheetId="3">#REF!</definedName>
    <definedName name="ningvl1p" localSheetId="1">#REF!</definedName>
    <definedName name="ningvl1p">#REF!</definedName>
    <definedName name="nl" localSheetId="5">#REF!</definedName>
    <definedName name="nl" localSheetId="3">#REF!</definedName>
    <definedName name="nl" localSheetId="1">#REF!</definedName>
    <definedName name="nl">#REF!</definedName>
    <definedName name="nl1p" localSheetId="5">#REF!</definedName>
    <definedName name="nl1p" localSheetId="3">#REF!</definedName>
    <definedName name="nl1p" localSheetId="1">#REF!</definedName>
    <definedName name="nl1p">#REF!</definedName>
    <definedName name="nl3p" localSheetId="5">#REF!</definedName>
    <definedName name="nl3p" localSheetId="3">#REF!</definedName>
    <definedName name="nl3p" localSheetId="1">#REF!</definedName>
    <definedName name="nl3p">#REF!</definedName>
    <definedName name="nlht" localSheetId="5">#REF!</definedName>
    <definedName name="nlht" localSheetId="3">#REF!</definedName>
    <definedName name="nlht" localSheetId="1">#REF!</definedName>
    <definedName name="nlht">#REF!</definedName>
    <definedName name="NLTK1p" localSheetId="5">#REF!</definedName>
    <definedName name="NLTK1p" localSheetId="3">#REF!</definedName>
    <definedName name="NLTK1p" localSheetId="1">#REF!</definedName>
    <definedName name="NLTK1p">#REF!</definedName>
    <definedName name="nn" localSheetId="5">#REF!</definedName>
    <definedName name="nn" localSheetId="3">#REF!</definedName>
    <definedName name="nn" localSheetId="1">#REF!</definedName>
    <definedName name="nn">#REF!</definedName>
    <definedName name="nn1p" localSheetId="5">#REF!</definedName>
    <definedName name="nn1p" localSheetId="3">#REF!</definedName>
    <definedName name="nn1p" localSheetId="1">#REF!</definedName>
    <definedName name="nn1p">#REF!</definedName>
    <definedName name="nn3p" localSheetId="5">#REF!</definedName>
    <definedName name="nn3p" localSheetId="3">#REF!</definedName>
    <definedName name="nn3p" localSheetId="1">#REF!</definedName>
    <definedName name="nn3p">#REF!</definedName>
    <definedName name="No" localSheetId="5">#REF!</definedName>
    <definedName name="No" localSheetId="3">#REF!</definedName>
    <definedName name="No" localSheetId="1">#REF!</definedName>
    <definedName name="No">#REF!</definedName>
    <definedName name="NQD" localSheetId="5">#REF!</definedName>
    <definedName name="NQD" localSheetId="3">#REF!</definedName>
    <definedName name="NQD" localSheetId="1">#REF!</definedName>
    <definedName name="NQD" localSheetId="4">#REF!</definedName>
    <definedName name="NQD">#REF!</definedName>
    <definedName name="NQQH" localSheetId="12">#REF!</definedName>
    <definedName name="NQQH" localSheetId="1">#REF!</definedName>
    <definedName name="NQQH" localSheetId="13">'[1]Dt 2001'!#REF!</definedName>
    <definedName name="NQQH">#REF!</definedName>
    <definedName name="NSNN" localSheetId="12">#REF!</definedName>
    <definedName name="NSNN" localSheetId="1">#REF!</definedName>
    <definedName name="NSNN" localSheetId="13">'[1]Dt 2001'!#REF!</definedName>
    <definedName name="NSNN">#REF!</definedName>
    <definedName name="nx" localSheetId="5">#REF!</definedName>
    <definedName name="nx" localSheetId="3">#REF!</definedName>
    <definedName name="nx" localSheetId="1">#REF!</definedName>
    <definedName name="nx">#REF!</definedName>
    <definedName name="Ngay" localSheetId="12">#REF!</definedName>
    <definedName name="Ngay" localSheetId="5">#REF!</definedName>
    <definedName name="Ngay" localSheetId="3">#REF!</definedName>
    <definedName name="Ngay" localSheetId="1">#REF!</definedName>
    <definedName name="Ngay" localSheetId="13">#REF!</definedName>
    <definedName name="Ngay">#REF!</definedName>
    <definedName name="NH" localSheetId="5">#REF!</definedName>
    <definedName name="NH" localSheetId="3">#REF!</definedName>
    <definedName name="NH" localSheetId="1">#REF!</definedName>
    <definedName name="NH">#REF!</definedName>
    <definedName name="NHAÂN_COÂNG" localSheetId="12">BTRAM</definedName>
    <definedName name="NHAÂN_COÂNG" localSheetId="5">'CCTL 20-7'!BTRAM</definedName>
    <definedName name="NHAÂN_COÂNG" localSheetId="3">'Chi CĐ NSĐP 69-7'!BTRAM</definedName>
    <definedName name="NHAÂN_COÂNG" localSheetId="1">'DT thu 69-7'!BTRAM</definedName>
    <definedName name="NHAÂN_COÂNG" localSheetId="13">BTRAM</definedName>
    <definedName name="NHAÂN_COÂNG" localSheetId="4">BTRAM</definedName>
    <definedName name="NHAÂN_COÂNG">BTRAM</definedName>
    <definedName name="nhn" localSheetId="5">#REF!</definedName>
    <definedName name="nhn" localSheetId="3">#REF!</definedName>
    <definedName name="nhn" localSheetId="1">#REF!</definedName>
    <definedName name="nhn">#REF!</definedName>
    <definedName name="NHot" localSheetId="5">#REF!</definedName>
    <definedName name="NHot" localSheetId="3">#REF!</definedName>
    <definedName name="NHot" localSheetId="1">#REF!</definedName>
    <definedName name="NHot">#REF!</definedName>
    <definedName name="nhu" localSheetId="5">#REF!</definedName>
    <definedName name="nhu" localSheetId="3">#REF!</definedName>
    <definedName name="nhu" localSheetId="1">#REF!</definedName>
    <definedName name="nhu">#REF!</definedName>
    <definedName name="nhua" localSheetId="5">#REF!</definedName>
    <definedName name="nhua" localSheetId="3">#REF!</definedName>
    <definedName name="nhua" localSheetId="1">#REF!</definedName>
    <definedName name="nhua">#REF!</definedName>
    <definedName name="nhuad" localSheetId="5">#REF!</definedName>
    <definedName name="nhuad" localSheetId="3">#REF!</definedName>
    <definedName name="nhuad" localSheetId="1">#REF!</definedName>
    <definedName name="nhuad">#REF!</definedName>
    <definedName name="ophom" localSheetId="5">#REF!</definedName>
    <definedName name="ophom" localSheetId="3">#REF!</definedName>
    <definedName name="ophom" localSheetId="1">#REF!</definedName>
    <definedName name="ophom">#REF!</definedName>
    <definedName name="osc" localSheetId="5">#REF!</definedName>
    <definedName name="osc" localSheetId="3">#REF!</definedName>
    <definedName name="osc" localSheetId="1">#REF!</definedName>
    <definedName name="osc">#REF!</definedName>
    <definedName name="PA" localSheetId="5">#REF!</definedName>
    <definedName name="PA" localSheetId="3">#REF!</definedName>
    <definedName name="PA" localSheetId="1">#REF!</definedName>
    <definedName name="PA">#REF!</definedName>
    <definedName name="panen" localSheetId="5">#REF!</definedName>
    <definedName name="panen" localSheetId="3">#REF!</definedName>
    <definedName name="panen" localSheetId="1">#REF!</definedName>
    <definedName name="panen">#REF!</definedName>
    <definedName name="PC" localSheetId="12">#REF!</definedName>
    <definedName name="PC" localSheetId="1">#REF!</definedName>
    <definedName name="PC" localSheetId="13">'[1]Dt 2001'!#REF!</definedName>
    <definedName name="PC">#REF!</definedName>
    <definedName name="PLKL" localSheetId="5">#REF!</definedName>
    <definedName name="PLKL" localSheetId="3">#REF!</definedName>
    <definedName name="PLKL" localSheetId="1">#REF!</definedName>
    <definedName name="PLKL">#REF!</definedName>
    <definedName name="PRICE" localSheetId="5">#REF!</definedName>
    <definedName name="PRICE" localSheetId="3">#REF!</definedName>
    <definedName name="PRICE" localSheetId="1">#REF!</definedName>
    <definedName name="PRICE">#REF!</definedName>
    <definedName name="PRICE1" localSheetId="5">#REF!</definedName>
    <definedName name="PRICE1" localSheetId="3">#REF!</definedName>
    <definedName name="PRICE1" localSheetId="1">#REF!</definedName>
    <definedName name="PRICE1">#REF!</definedName>
    <definedName name="_xlnm.Print_Area" localSheetId="12">#REF!</definedName>
    <definedName name="_xlnm.Print_Area" localSheetId="13">#REF!</definedName>
    <definedName name="_xlnm.Print_Area">#REF!</definedName>
    <definedName name="PRINT_AREA_MI" localSheetId="5">#REF!</definedName>
    <definedName name="PRINT_AREA_MI" localSheetId="3">#REF!</definedName>
    <definedName name="PRINT_AREA_MI" localSheetId="13">#REF!</definedName>
    <definedName name="PRINT_AREA_MI" localSheetId="4">#REF!</definedName>
    <definedName name="PRINT_AREA_MI">#REF!</definedName>
    <definedName name="_xlnm.Print_Titles" localSheetId="12">'Bieu 32 Chi'!$5:$6</definedName>
    <definedName name="_xlnm.Print_Titles" localSheetId="3">'Chi CĐ NSĐP 69-7'!$8:$11</definedName>
    <definedName name="_xlnm.Print_Titles" localSheetId="1">'DT thu 69-7'!$5:$8</definedName>
    <definedName name="_xlnm.Print_Titles" localSheetId="0">'KTXH 69-7'!$6:$7</definedName>
    <definedName name="_xlnm.Print_Titles" localSheetId="13">'PL15 ND 31'!$4:$7</definedName>
    <definedName name="_xlnm.Print_Titles" localSheetId="2">'SẮC THUẾ 69-7'!$4:$6</definedName>
    <definedName name="_xlnm.Print_Titles" localSheetId="4">'vay, trả nợ 20-7'!$4:$6</definedName>
    <definedName name="_xlnm.Print_Titles">#N/A</definedName>
    <definedName name="PRINT_TITLES_MI" localSheetId="12">#REF!</definedName>
    <definedName name="PRINT_TITLES_MI" localSheetId="5">#REF!</definedName>
    <definedName name="PRINT_TITLES_MI" localSheetId="3">#REF!</definedName>
    <definedName name="PRINT_TITLES_MI" localSheetId="1">#REF!</definedName>
    <definedName name="PRINT_TITLES_MI" localSheetId="13">#REF!</definedName>
    <definedName name="PRINT_TITLES_MI">#REF!</definedName>
    <definedName name="PRINTA" localSheetId="5">#REF!</definedName>
    <definedName name="PRINTA" localSheetId="3">#REF!</definedName>
    <definedName name="PRINTA" localSheetId="1">#REF!</definedName>
    <definedName name="PRINTA">#REF!</definedName>
    <definedName name="PRINTB" localSheetId="5">#REF!</definedName>
    <definedName name="PRINTB" localSheetId="3">#REF!</definedName>
    <definedName name="PRINTB" localSheetId="1">#REF!</definedName>
    <definedName name="PRINTB">#REF!</definedName>
    <definedName name="PRINTC" localSheetId="5">#REF!</definedName>
    <definedName name="PRINTC" localSheetId="3">#REF!</definedName>
    <definedName name="PRINTC" localSheetId="1">#REF!</definedName>
    <definedName name="PRINTC">#REF!</definedName>
    <definedName name="PROPOSAL" localSheetId="5">#REF!</definedName>
    <definedName name="PROPOSAL" localSheetId="3">#REF!</definedName>
    <definedName name="PROPOSAL" localSheetId="1">#REF!</definedName>
    <definedName name="PROPOSAL">#REF!</definedName>
    <definedName name="pt" localSheetId="5">#REF!</definedName>
    <definedName name="pt" localSheetId="3">#REF!</definedName>
    <definedName name="pt" localSheetId="1">#REF!</definedName>
    <definedName name="pt">#REF!</definedName>
    <definedName name="PT_Duong" localSheetId="5">#REF!</definedName>
    <definedName name="PT_Duong" localSheetId="3">#REF!</definedName>
    <definedName name="PT_Duong" localSheetId="1">#REF!</definedName>
    <definedName name="PT_Duong">#REF!</definedName>
    <definedName name="ptdg" localSheetId="5">#REF!</definedName>
    <definedName name="ptdg" localSheetId="3">#REF!</definedName>
    <definedName name="ptdg" localSheetId="1">#REF!</definedName>
    <definedName name="ptdg">#REF!</definedName>
    <definedName name="PTDG_cau" localSheetId="5">#REF!</definedName>
    <definedName name="PTDG_cau" localSheetId="3">#REF!</definedName>
    <definedName name="PTDG_cau" localSheetId="1">#REF!</definedName>
    <definedName name="PTDG_cau">#REF!</definedName>
    <definedName name="PTNC" localSheetId="5">#REF!</definedName>
    <definedName name="PTNC" localSheetId="3">#REF!</definedName>
    <definedName name="PTNC" localSheetId="1">#REF!</definedName>
    <definedName name="PTNC">#REF!</definedName>
    <definedName name="pvd" localSheetId="5">#REF!</definedName>
    <definedName name="pvd" localSheetId="3">#REF!</definedName>
    <definedName name="pvd" localSheetId="1">#REF!</definedName>
    <definedName name="pvd">#REF!</definedName>
    <definedName name="Phan_cap" localSheetId="5">#REF!</definedName>
    <definedName name="Phan_cap" localSheetId="3">#REF!</definedName>
    <definedName name="Phan_cap" localSheetId="1">#REF!</definedName>
    <definedName name="Phan_cap" localSheetId="4">#REF!</definedName>
    <definedName name="Phan_cap">#REF!</definedName>
    <definedName name="PHAN_DIEN_DZ0.4KV" localSheetId="5">#REF!</definedName>
    <definedName name="PHAN_DIEN_DZ0.4KV" localSheetId="3">#REF!</definedName>
    <definedName name="PHAN_DIEN_DZ0.4KV" localSheetId="1">#REF!</definedName>
    <definedName name="PHAN_DIEN_DZ0.4KV">#REF!</definedName>
    <definedName name="PHAN_DIEN_TBA" localSheetId="5">#REF!</definedName>
    <definedName name="PHAN_DIEN_TBA" localSheetId="3">#REF!</definedName>
    <definedName name="PHAN_DIEN_TBA" localSheetId="1">#REF!</definedName>
    <definedName name="PHAN_DIEN_TBA">#REF!</definedName>
    <definedName name="PHAN_MUA_SAM_DZ0.4KV" localSheetId="5">#REF!</definedName>
    <definedName name="PHAN_MUA_SAM_DZ0.4KV" localSheetId="3">#REF!</definedName>
    <definedName name="PHAN_MUA_SAM_DZ0.4KV" localSheetId="1">#REF!</definedName>
    <definedName name="PHAN_MUA_SAM_DZ0.4KV">#REF!</definedName>
    <definedName name="Phi_le_phi" localSheetId="5">#REF!</definedName>
    <definedName name="Phi_le_phi" localSheetId="3">#REF!</definedName>
    <definedName name="Phi_le_phi" localSheetId="1">#REF!</definedName>
    <definedName name="Phi_le_phi" localSheetId="4">#REF!</definedName>
    <definedName name="Phi_le_phi">#REF!</definedName>
    <definedName name="phu_luc_vua" localSheetId="5">#REF!</definedName>
    <definedName name="phu_luc_vua" localSheetId="3">#REF!</definedName>
    <definedName name="phu_luc_vua" localSheetId="1">#REF!</definedName>
    <definedName name="phu_luc_vua">#REF!</definedName>
    <definedName name="q" localSheetId="2">#REF!</definedName>
    <definedName name="qtdm" localSheetId="5">#REF!</definedName>
    <definedName name="qtdm" localSheetId="3">#REF!</definedName>
    <definedName name="qtdm" localSheetId="1">#REF!</definedName>
    <definedName name="qtdm">#REF!</definedName>
    <definedName name="ra11p" localSheetId="5">#REF!</definedName>
    <definedName name="ra11p" localSheetId="3">#REF!</definedName>
    <definedName name="ra11p" localSheetId="1">#REF!</definedName>
    <definedName name="ra11p">#REF!</definedName>
    <definedName name="ra13p" localSheetId="5">#REF!</definedName>
    <definedName name="ra13p" localSheetId="3">#REF!</definedName>
    <definedName name="ra13p" localSheetId="1">#REF!</definedName>
    <definedName name="ra13p">#REF!</definedName>
    <definedName name="rack1" localSheetId="5">#REF!</definedName>
    <definedName name="rack1" localSheetId="3">#REF!</definedName>
    <definedName name="rack1" localSheetId="1">#REF!</definedName>
    <definedName name="rack1">#REF!</definedName>
    <definedName name="rack2" localSheetId="5">#REF!</definedName>
    <definedName name="rack2" localSheetId="3">#REF!</definedName>
    <definedName name="rack2" localSheetId="1">#REF!</definedName>
    <definedName name="rack2">#REF!</definedName>
    <definedName name="rack3" localSheetId="5">#REF!</definedName>
    <definedName name="rack3" localSheetId="3">#REF!</definedName>
    <definedName name="rack3" localSheetId="1">#REF!</definedName>
    <definedName name="rack3">#REF!</definedName>
    <definedName name="rack4" localSheetId="5">#REF!</definedName>
    <definedName name="rack4" localSheetId="3">#REF!</definedName>
    <definedName name="rack4" localSheetId="1">#REF!</definedName>
    <definedName name="rack4">#REF!</definedName>
    <definedName name="rate">14000</definedName>
    <definedName name="_xlnm.Recorder" localSheetId="5">#REF!</definedName>
    <definedName name="_xlnm.Recorder" localSheetId="3">#REF!</definedName>
    <definedName name="_xlnm.Recorder" localSheetId="1">#REF!</definedName>
    <definedName name="_xlnm.Recorder">#REF!</definedName>
    <definedName name="RECOUT">#N/A</definedName>
    <definedName name="RFP003A" localSheetId="5">#REF!</definedName>
    <definedName name="RFP003A" localSheetId="3">#REF!</definedName>
    <definedName name="RFP003A" localSheetId="1">#REF!</definedName>
    <definedName name="RFP003A">#REF!</definedName>
    <definedName name="RFP003B" localSheetId="5">#REF!</definedName>
    <definedName name="RFP003B" localSheetId="3">#REF!</definedName>
    <definedName name="RFP003B" localSheetId="1">#REF!</definedName>
    <definedName name="RFP003B">#REF!</definedName>
    <definedName name="RFP003C" localSheetId="5">#REF!</definedName>
    <definedName name="RFP003C" localSheetId="3">#REF!</definedName>
    <definedName name="RFP003C" localSheetId="1">#REF!</definedName>
    <definedName name="RFP003C">#REF!</definedName>
    <definedName name="RFP003D" localSheetId="5">#REF!</definedName>
    <definedName name="RFP003D" localSheetId="3">#REF!</definedName>
    <definedName name="RFP003D" localSheetId="1">#REF!</definedName>
    <definedName name="RFP003D">#REF!</definedName>
    <definedName name="RFP003E" localSheetId="5">#REF!</definedName>
    <definedName name="RFP003E" localSheetId="3">#REF!</definedName>
    <definedName name="RFP003E" localSheetId="1">#REF!</definedName>
    <definedName name="RFP003E">#REF!</definedName>
    <definedName name="RFP003F" localSheetId="5">#REF!</definedName>
    <definedName name="RFP003F" localSheetId="3">#REF!</definedName>
    <definedName name="RFP003F" localSheetId="1">#REF!</definedName>
    <definedName name="RFP003F">#REF!</definedName>
    <definedName name="RGHGSD" localSheetId="12" hidden="1">{"'Sheet1'!$L$16"}</definedName>
    <definedName name="RGHGSD" localSheetId="5" hidden="1">{"'Sheet1'!$L$16"}</definedName>
    <definedName name="RGHGSD" localSheetId="3" hidden="1">{"'Sheet1'!$L$16"}</definedName>
    <definedName name="RGHGSD" localSheetId="1" hidden="1">{"'Sheet1'!$L$16"}</definedName>
    <definedName name="RGHGSD" localSheetId="13" hidden="1">{"'Sheet1'!$L$16"}</definedName>
    <definedName name="RGHGSD" localSheetId="2" hidden="1">{"'Sheet1'!$L$16"}</definedName>
    <definedName name="RGHGSD" localSheetId="4" hidden="1">{"'Sheet1'!$L$16"}</definedName>
    <definedName name="RGHGSD" hidden="1">{"'Sheet1'!$L$16"}</definedName>
    <definedName name="rong1" localSheetId="5">#REF!</definedName>
    <definedName name="rong1" localSheetId="3">#REF!</definedName>
    <definedName name="rong1" localSheetId="1">#REF!</definedName>
    <definedName name="rong1">#REF!</definedName>
    <definedName name="rong2" localSheetId="5">#REF!</definedName>
    <definedName name="rong2" localSheetId="3">#REF!</definedName>
    <definedName name="rong2" localSheetId="1">#REF!</definedName>
    <definedName name="rong2">#REF!</definedName>
    <definedName name="rong3" localSheetId="5">#REF!</definedName>
    <definedName name="rong3" localSheetId="3">#REF!</definedName>
    <definedName name="rong3" localSheetId="1">#REF!</definedName>
    <definedName name="rong3">#REF!</definedName>
    <definedName name="rong4" localSheetId="5">#REF!</definedName>
    <definedName name="rong4" localSheetId="3">#REF!</definedName>
    <definedName name="rong4" localSheetId="1">#REF!</definedName>
    <definedName name="rong4">#REF!</definedName>
    <definedName name="rong5" localSheetId="5">#REF!</definedName>
    <definedName name="rong5" localSheetId="3">#REF!</definedName>
    <definedName name="rong5" localSheetId="1">#REF!</definedName>
    <definedName name="rong5">#REF!</definedName>
    <definedName name="rong6" localSheetId="5">#REF!</definedName>
    <definedName name="rong6" localSheetId="3">#REF!</definedName>
    <definedName name="rong6" localSheetId="1">#REF!</definedName>
    <definedName name="rong6">#REF!</definedName>
    <definedName name="san" localSheetId="5">#REF!</definedName>
    <definedName name="san" localSheetId="3">#REF!</definedName>
    <definedName name="san" localSheetId="1">#REF!</definedName>
    <definedName name="san">#REF!</definedName>
    <definedName name="sand" localSheetId="5">#REF!</definedName>
    <definedName name="sand" localSheetId="3">#REF!</definedName>
    <definedName name="sand" localSheetId="1">#REF!</definedName>
    <definedName name="sand">#REF!</definedName>
    <definedName name="SCT" localSheetId="5">#REF!</definedName>
    <definedName name="SCT" localSheetId="3">#REF!</definedName>
    <definedName name="SCT" localSheetId="1">#REF!</definedName>
    <definedName name="SCT">#REF!</definedName>
    <definedName name="SCH" localSheetId="5">#REF!</definedName>
    <definedName name="SCH" localSheetId="3">#REF!</definedName>
    <definedName name="SCH" localSheetId="1">#REF!</definedName>
    <definedName name="SCH">#REF!</definedName>
    <definedName name="sd1p" localSheetId="5">#REF!</definedName>
    <definedName name="sd1p" localSheetId="3">#REF!</definedName>
    <definedName name="sd1p" localSheetId="1">#REF!</definedName>
    <definedName name="sd1p">#REF!</definedName>
    <definedName name="sd3p" localSheetId="5">#REF!</definedName>
    <definedName name="sd3p" localSheetId="3">#REF!</definedName>
    <definedName name="sd3p" localSheetId="1">#REF!</definedName>
    <definedName name="sd3p">#REF!</definedName>
    <definedName name="SDMONG" localSheetId="5">#REF!</definedName>
    <definedName name="SDMONG" localSheetId="3">#REF!</definedName>
    <definedName name="SDMONG" localSheetId="1">#REF!</definedName>
    <definedName name="SDMONG">#REF!</definedName>
    <definedName name="sho" localSheetId="5">#REF!</definedName>
    <definedName name="sho" localSheetId="3">#REF!</definedName>
    <definedName name="sho" localSheetId="1">#REF!</definedName>
    <definedName name="sho">#REF!</definedName>
    <definedName name="sht" localSheetId="5">#REF!</definedName>
    <definedName name="sht" localSheetId="3">#REF!</definedName>
    <definedName name="sht" localSheetId="1">#REF!</definedName>
    <definedName name="sht">#REF!</definedName>
    <definedName name="sht1p" localSheetId="5">#REF!</definedName>
    <definedName name="sht1p" localSheetId="3">#REF!</definedName>
    <definedName name="sht1p" localSheetId="1">#REF!</definedName>
    <definedName name="sht1p">#REF!</definedName>
    <definedName name="sht3p" localSheetId="5">#REF!</definedName>
    <definedName name="sht3p" localSheetId="3">#REF!</definedName>
    <definedName name="sht3p" localSheetId="1">#REF!</definedName>
    <definedName name="sht3p">#REF!</definedName>
    <definedName name="SIZE" localSheetId="5">#REF!</definedName>
    <definedName name="SIZE" localSheetId="3">#REF!</definedName>
    <definedName name="SIZE" localSheetId="1">#REF!</definedName>
    <definedName name="SIZE">#REF!</definedName>
    <definedName name="SL_CRD" localSheetId="5">#REF!</definedName>
    <definedName name="SL_CRD" localSheetId="3">#REF!</definedName>
    <definedName name="SL_CRD" localSheetId="1">#REF!</definedName>
    <definedName name="SL_CRD">#REF!</definedName>
    <definedName name="SL_CRS" localSheetId="5">#REF!</definedName>
    <definedName name="SL_CRS" localSheetId="3">#REF!</definedName>
    <definedName name="SL_CRS" localSheetId="1">#REF!</definedName>
    <definedName name="SL_CRS">#REF!</definedName>
    <definedName name="SL_CS" localSheetId="5">#REF!</definedName>
    <definedName name="SL_CS" localSheetId="3">#REF!</definedName>
    <definedName name="SL_CS" localSheetId="1">#REF!</definedName>
    <definedName name="SL_CS">#REF!</definedName>
    <definedName name="SL_DD" localSheetId="5">#REF!</definedName>
    <definedName name="SL_DD" localSheetId="3">#REF!</definedName>
    <definedName name="SL_DD" localSheetId="1">#REF!</definedName>
    <definedName name="SL_DD">#REF!</definedName>
    <definedName name="slg" localSheetId="5">#REF!</definedName>
    <definedName name="slg" localSheetId="3">#REF!</definedName>
    <definedName name="slg" localSheetId="1">#REF!</definedName>
    <definedName name="slg">#REF!</definedName>
    <definedName name="soc3p" localSheetId="5">#REF!</definedName>
    <definedName name="soc3p" localSheetId="3">#REF!</definedName>
    <definedName name="soc3p" localSheetId="1">#REF!</definedName>
    <definedName name="soc3p">#REF!</definedName>
    <definedName name="Soi" localSheetId="5">#REF!</definedName>
    <definedName name="Soi" localSheetId="3">#REF!</definedName>
    <definedName name="Soi" localSheetId="1">#REF!</definedName>
    <definedName name="Soi">#REF!</definedName>
    <definedName name="soichon12" localSheetId="5">#REF!</definedName>
    <definedName name="soichon12" localSheetId="3">#REF!</definedName>
    <definedName name="soichon12" localSheetId="1">#REF!</definedName>
    <definedName name="soichon12">#REF!</definedName>
    <definedName name="soichon24" localSheetId="5">#REF!</definedName>
    <definedName name="soichon24" localSheetId="3">#REF!</definedName>
    <definedName name="soichon24" localSheetId="1">#REF!</definedName>
    <definedName name="soichon24">#REF!</definedName>
    <definedName name="soichon46" localSheetId="5">#REF!</definedName>
    <definedName name="soichon46" localSheetId="3">#REF!</definedName>
    <definedName name="soichon46" localSheetId="1">#REF!</definedName>
    <definedName name="soichon46">#REF!</definedName>
    <definedName name="solieu" localSheetId="5">#REF!</definedName>
    <definedName name="solieu" localSheetId="3">#REF!</definedName>
    <definedName name="solieu" localSheetId="1">#REF!</definedName>
    <definedName name="solieu">#REF!</definedName>
    <definedName name="SPEC" localSheetId="5">#REF!</definedName>
    <definedName name="SPEC" localSheetId="3">#REF!</definedName>
    <definedName name="SPEC" localSheetId="1">#REF!</definedName>
    <definedName name="SPEC">#REF!</definedName>
    <definedName name="SPECSUMMARY" localSheetId="5">#REF!</definedName>
    <definedName name="SPECSUMMARY" localSheetId="3">#REF!</definedName>
    <definedName name="SPECSUMMARY" localSheetId="1">#REF!</definedName>
    <definedName name="SPECSUMMARY">#REF!</definedName>
    <definedName name="ss" localSheetId="5">#REF!</definedName>
    <definedName name="ss" localSheetId="3">#REF!</definedName>
    <definedName name="ss" localSheetId="1">#REF!</definedName>
    <definedName name="ss">#REF!</definedName>
    <definedName name="sss" localSheetId="5">#REF!</definedName>
    <definedName name="sss" localSheetId="3">#REF!</definedName>
    <definedName name="sss" localSheetId="1">#REF!</definedName>
    <definedName name="sss">#REF!</definedName>
    <definedName name="st1p" localSheetId="5">#REF!</definedName>
    <definedName name="st1p" localSheetId="3">#REF!</definedName>
    <definedName name="st1p" localSheetId="1">#REF!</definedName>
    <definedName name="st1p">#REF!</definedName>
    <definedName name="st3p" localSheetId="5">#REF!</definedName>
    <definedName name="st3p" localSheetId="3">#REF!</definedName>
    <definedName name="st3p" localSheetId="1">#REF!</definedName>
    <definedName name="st3p">#REF!</definedName>
    <definedName name="Start_1" localSheetId="5">#REF!</definedName>
    <definedName name="Start_1" localSheetId="3">#REF!</definedName>
    <definedName name="Start_1" localSheetId="1">#REF!</definedName>
    <definedName name="Start_1">#REF!</definedName>
    <definedName name="Start_10" localSheetId="5">#REF!</definedName>
    <definedName name="Start_10" localSheetId="3">#REF!</definedName>
    <definedName name="Start_10" localSheetId="1">#REF!</definedName>
    <definedName name="Start_10">#REF!</definedName>
    <definedName name="Start_11" localSheetId="5">#REF!</definedName>
    <definedName name="Start_11" localSheetId="3">#REF!</definedName>
    <definedName name="Start_11" localSheetId="1">#REF!</definedName>
    <definedName name="Start_11">#REF!</definedName>
    <definedName name="Start_12" localSheetId="5">#REF!</definedName>
    <definedName name="Start_12" localSheetId="3">#REF!</definedName>
    <definedName name="Start_12" localSheetId="1">#REF!</definedName>
    <definedName name="Start_12">#REF!</definedName>
    <definedName name="Start_13" localSheetId="5">#REF!</definedName>
    <definedName name="Start_13" localSheetId="3">#REF!</definedName>
    <definedName name="Start_13" localSheetId="1">#REF!</definedName>
    <definedName name="Start_13">#REF!</definedName>
    <definedName name="Start_2" localSheetId="5">#REF!</definedName>
    <definedName name="Start_2" localSheetId="3">#REF!</definedName>
    <definedName name="Start_2" localSheetId="1">#REF!</definedName>
    <definedName name="Start_2">#REF!</definedName>
    <definedName name="Start_3" localSheetId="5">#REF!</definedName>
    <definedName name="Start_3" localSheetId="3">#REF!</definedName>
    <definedName name="Start_3" localSheetId="1">#REF!</definedName>
    <definedName name="Start_3">#REF!</definedName>
    <definedName name="Start_4" localSheetId="5">#REF!</definedName>
    <definedName name="Start_4" localSheetId="3">#REF!</definedName>
    <definedName name="Start_4" localSheetId="1">#REF!</definedName>
    <definedName name="Start_4">#REF!</definedName>
    <definedName name="Start_5" localSheetId="5">#REF!</definedName>
    <definedName name="Start_5" localSheetId="3">#REF!</definedName>
    <definedName name="Start_5" localSheetId="1">#REF!</definedName>
    <definedName name="Start_5">#REF!</definedName>
    <definedName name="Start_6" localSheetId="5">#REF!</definedName>
    <definedName name="Start_6" localSheetId="3">#REF!</definedName>
    <definedName name="Start_6" localSheetId="1">#REF!</definedName>
    <definedName name="Start_6">#REF!</definedName>
    <definedName name="Start_7" localSheetId="5">#REF!</definedName>
    <definedName name="Start_7" localSheetId="3">#REF!</definedName>
    <definedName name="Start_7" localSheetId="1">#REF!</definedName>
    <definedName name="Start_7">#REF!</definedName>
    <definedName name="Start_8" localSheetId="5">#REF!</definedName>
    <definedName name="Start_8" localSheetId="3">#REF!</definedName>
    <definedName name="Start_8" localSheetId="1">#REF!</definedName>
    <definedName name="Start_8">#REF!</definedName>
    <definedName name="Start_9" localSheetId="5">#REF!</definedName>
    <definedName name="Start_9" localSheetId="3">#REF!</definedName>
    <definedName name="Start_9" localSheetId="1">#REF!</definedName>
    <definedName name="Start_9">#REF!</definedName>
    <definedName name="SU" localSheetId="5">#REF!</definedName>
    <definedName name="SU" localSheetId="3">#REF!</definedName>
    <definedName name="SU" localSheetId="1">#REF!</definedName>
    <definedName name="SU">#REF!</definedName>
    <definedName name="sub" localSheetId="5">#REF!</definedName>
    <definedName name="sub" localSheetId="3">#REF!</definedName>
    <definedName name="sub" localSheetId="1">#REF!</definedName>
    <definedName name="sub">#REF!</definedName>
    <definedName name="SUMMARY" localSheetId="5">#REF!</definedName>
    <definedName name="SUMMARY" localSheetId="3">#REF!</definedName>
    <definedName name="SUMMARY" localSheetId="1">#REF!</definedName>
    <definedName name="SUMMARY">#REF!</definedName>
    <definedName name="sur" localSheetId="5">#REF!</definedName>
    <definedName name="sur" localSheetId="3">#REF!</definedName>
    <definedName name="sur" localSheetId="1">#REF!</definedName>
    <definedName name="sur">#REF!</definedName>
    <definedName name="t" localSheetId="5">#REF!</definedName>
    <definedName name="t" localSheetId="3">#REF!</definedName>
    <definedName name="t" localSheetId="1">#REF!</definedName>
    <definedName name="t">#REF!</definedName>
    <definedName name="t101p" localSheetId="5">#REF!</definedName>
    <definedName name="t101p" localSheetId="3">#REF!</definedName>
    <definedName name="t101p" localSheetId="1">#REF!</definedName>
    <definedName name="t101p">#REF!</definedName>
    <definedName name="t103p" localSheetId="5">#REF!</definedName>
    <definedName name="t103p" localSheetId="3">#REF!</definedName>
    <definedName name="t103p" localSheetId="1">#REF!</definedName>
    <definedName name="t103p">#REF!</definedName>
    <definedName name="t10m" localSheetId="5">#REF!</definedName>
    <definedName name="t10m" localSheetId="3">#REF!</definedName>
    <definedName name="t10m" localSheetId="1">#REF!</definedName>
    <definedName name="t10m">#REF!</definedName>
    <definedName name="t10nc1p" localSheetId="5">#REF!</definedName>
    <definedName name="t10nc1p" localSheetId="3">#REF!</definedName>
    <definedName name="t10nc1p" localSheetId="1">#REF!</definedName>
    <definedName name="t10nc1p">#REF!</definedName>
    <definedName name="t10vl1p" localSheetId="5">#REF!</definedName>
    <definedName name="t10vl1p" localSheetId="3">#REF!</definedName>
    <definedName name="t10vl1p" localSheetId="1">#REF!</definedName>
    <definedName name="t10vl1p">#REF!</definedName>
    <definedName name="t121p" localSheetId="5">#REF!</definedName>
    <definedName name="t121p" localSheetId="3">#REF!</definedName>
    <definedName name="t121p" localSheetId="1">#REF!</definedName>
    <definedName name="t121p">#REF!</definedName>
    <definedName name="t123p" localSheetId="5">#REF!</definedName>
    <definedName name="t123p" localSheetId="3">#REF!</definedName>
    <definedName name="t123p" localSheetId="1">#REF!</definedName>
    <definedName name="t123p">#REF!</definedName>
    <definedName name="T12nc" localSheetId="5">#REF!</definedName>
    <definedName name="T12nc" localSheetId="3">#REF!</definedName>
    <definedName name="T12nc" localSheetId="1">#REF!</definedName>
    <definedName name="T12nc">#REF!</definedName>
    <definedName name="t12nc3p" localSheetId="5">#REF!</definedName>
    <definedName name="t12nc3p" localSheetId="3">#REF!</definedName>
    <definedName name="t12nc3p" localSheetId="1">#REF!</definedName>
    <definedName name="t12nc3p">#REF!</definedName>
    <definedName name="T12vc" localSheetId="5">#REF!</definedName>
    <definedName name="T12vc" localSheetId="3">#REF!</definedName>
    <definedName name="T12vc" localSheetId="1">#REF!</definedName>
    <definedName name="T12vc">#REF!</definedName>
    <definedName name="T12vl" localSheetId="5">#REF!</definedName>
    <definedName name="T12vl" localSheetId="3">#REF!</definedName>
    <definedName name="T12vl" localSheetId="1">#REF!</definedName>
    <definedName name="T12vl">#REF!</definedName>
    <definedName name="t141p" localSheetId="5">#REF!</definedName>
    <definedName name="t141p" localSheetId="3">#REF!</definedName>
    <definedName name="t141p" localSheetId="1">#REF!</definedName>
    <definedName name="t141p">#REF!</definedName>
    <definedName name="t143p" localSheetId="5">#REF!</definedName>
    <definedName name="t143p" localSheetId="3">#REF!</definedName>
    <definedName name="t143p" localSheetId="1">#REF!</definedName>
    <definedName name="t143p">#REF!</definedName>
    <definedName name="t7m" localSheetId="5">#REF!</definedName>
    <definedName name="t7m" localSheetId="3">#REF!</definedName>
    <definedName name="t7m" localSheetId="1">#REF!</definedName>
    <definedName name="t7m">#REF!</definedName>
    <definedName name="t8m" localSheetId="5">#REF!</definedName>
    <definedName name="t8m" localSheetId="3">#REF!</definedName>
    <definedName name="t8m" localSheetId="1">#REF!</definedName>
    <definedName name="t8m">#REF!</definedName>
    <definedName name="Tæng_c_ng_suÊt_hiÖn_t_i">"THOP"</definedName>
    <definedName name="TAN">#REF!</definedName>
    <definedName name="TaxTV">10%</definedName>
    <definedName name="TaxXL">5%</definedName>
    <definedName name="TBA" localSheetId="5">#REF!</definedName>
    <definedName name="TBA" localSheetId="3">#REF!</definedName>
    <definedName name="TBA" localSheetId="1">#REF!</definedName>
    <definedName name="TBA">#REF!</definedName>
    <definedName name="tbtram" localSheetId="5">#REF!</definedName>
    <definedName name="tbtram" localSheetId="3">#REF!</definedName>
    <definedName name="tbtram" localSheetId="1">#REF!</definedName>
    <definedName name="tbtram">#REF!</definedName>
    <definedName name="TBXD" localSheetId="5">#REF!</definedName>
    <definedName name="TBXD" localSheetId="3">#REF!</definedName>
    <definedName name="TBXD" localSheetId="1">#REF!</definedName>
    <definedName name="TBXD">#REF!</definedName>
    <definedName name="TC" localSheetId="5">#REF!</definedName>
    <definedName name="TC" localSheetId="3">#REF!</definedName>
    <definedName name="TC" localSheetId="1">#REF!</definedName>
    <definedName name="TC">#REF!</definedName>
    <definedName name="TC_NHANH1" localSheetId="5">#REF!</definedName>
    <definedName name="TC_NHANH1" localSheetId="3">#REF!</definedName>
    <definedName name="TC_NHANH1" localSheetId="1">#REF!</definedName>
    <definedName name="TC_NHANH1">#REF!</definedName>
    <definedName name="TD" localSheetId="5">#REF!</definedName>
    <definedName name="TD" localSheetId="3">#REF!</definedName>
    <definedName name="TD" localSheetId="1">#REF!</definedName>
    <definedName name="TD">#REF!</definedName>
    <definedName name="TD12vl" localSheetId="5">#REF!</definedName>
    <definedName name="TD12vl" localSheetId="3">#REF!</definedName>
    <definedName name="TD12vl" localSheetId="1">#REF!</definedName>
    <definedName name="TD12vl">#REF!</definedName>
    <definedName name="TD1p1nc" localSheetId="5">#REF!</definedName>
    <definedName name="TD1p1nc" localSheetId="3">#REF!</definedName>
    <definedName name="TD1p1nc" localSheetId="1">#REF!</definedName>
    <definedName name="TD1p1nc">#REF!</definedName>
    <definedName name="td1p1vc" localSheetId="5">#REF!</definedName>
    <definedName name="td1p1vc" localSheetId="3">#REF!</definedName>
    <definedName name="td1p1vc" localSheetId="1">#REF!</definedName>
    <definedName name="td1p1vc">#REF!</definedName>
    <definedName name="TD1p1vl" localSheetId="5">#REF!</definedName>
    <definedName name="TD1p1vl" localSheetId="3">#REF!</definedName>
    <definedName name="TD1p1vl" localSheetId="1">#REF!</definedName>
    <definedName name="TD1p1vl">#REF!</definedName>
    <definedName name="td3p" localSheetId="5">#REF!</definedName>
    <definedName name="td3p" localSheetId="3">#REF!</definedName>
    <definedName name="td3p" localSheetId="1">#REF!</definedName>
    <definedName name="td3p">#REF!</definedName>
    <definedName name="TDctnc" localSheetId="5">#REF!</definedName>
    <definedName name="TDctnc" localSheetId="3">#REF!</definedName>
    <definedName name="TDctnc" localSheetId="1">#REF!</definedName>
    <definedName name="TDctnc">#REF!</definedName>
    <definedName name="TDctvc" localSheetId="5">#REF!</definedName>
    <definedName name="TDctvc" localSheetId="3">#REF!</definedName>
    <definedName name="TDctvc" localSheetId="1">#REF!</definedName>
    <definedName name="TDctvc">#REF!</definedName>
    <definedName name="TDctvl" localSheetId="5">#REF!</definedName>
    <definedName name="TDctvl" localSheetId="3">#REF!</definedName>
    <definedName name="TDctvl" localSheetId="1">#REF!</definedName>
    <definedName name="TDctvl">#REF!</definedName>
    <definedName name="tdia" localSheetId="5">#REF!</definedName>
    <definedName name="tdia" localSheetId="3">#REF!</definedName>
    <definedName name="tdia" localSheetId="1">#REF!</definedName>
    <definedName name="tdia">#REF!</definedName>
    <definedName name="tdnc1p" localSheetId="5">#REF!</definedName>
    <definedName name="tdnc1p" localSheetId="3">#REF!</definedName>
    <definedName name="tdnc1p" localSheetId="1">#REF!</definedName>
    <definedName name="tdnc1p">#REF!</definedName>
    <definedName name="tdt" localSheetId="5">#REF!</definedName>
    <definedName name="tdt" localSheetId="3">#REF!</definedName>
    <definedName name="tdt" localSheetId="1">#REF!</definedName>
    <definedName name="tdt">#REF!</definedName>
    <definedName name="tdtr2cnc" localSheetId="5">#REF!</definedName>
    <definedName name="tdtr2cnc" localSheetId="3">#REF!</definedName>
    <definedName name="tdtr2cnc" localSheetId="1">#REF!</definedName>
    <definedName name="tdtr2cnc">#REF!</definedName>
    <definedName name="tdtr2cvl" localSheetId="5">#REF!</definedName>
    <definedName name="tdtr2cvl" localSheetId="3">#REF!</definedName>
    <definedName name="tdtr2cvl" localSheetId="1">#REF!</definedName>
    <definedName name="tdtr2cvl">#REF!</definedName>
    <definedName name="tdvl1p" localSheetId="5">#REF!</definedName>
    <definedName name="tdvl1p" localSheetId="3">#REF!</definedName>
    <definedName name="tdvl1p" localSheetId="1">#REF!</definedName>
    <definedName name="tdvl1p">#REF!</definedName>
    <definedName name="tenck" localSheetId="5">#REF!</definedName>
    <definedName name="tenck" localSheetId="3">#REF!</definedName>
    <definedName name="tenck" localSheetId="1">#REF!</definedName>
    <definedName name="tenck">#REF!</definedName>
    <definedName name="Test5">#REF!</definedName>
    <definedName name="Tien" localSheetId="5">#REF!</definedName>
    <definedName name="Tien" localSheetId="3">#REF!</definedName>
    <definedName name="Tien" localSheetId="1">#REF!</definedName>
    <definedName name="Tien">#REF!</definedName>
    <definedName name="TIENLUONG" localSheetId="5">#REF!</definedName>
    <definedName name="TIENLUONG" localSheetId="3">#REF!</definedName>
    <definedName name="TIENLUONG" localSheetId="1">#REF!</definedName>
    <definedName name="TIENLUONG">#REF!</definedName>
    <definedName name="Tiepdiama">9500</definedName>
    <definedName name="TIEU_HAO_VAT_TU_DZ0.4KV" localSheetId="5">#REF!</definedName>
    <definedName name="TIEU_HAO_VAT_TU_DZ0.4KV" localSheetId="3">#REF!</definedName>
    <definedName name="TIEU_HAO_VAT_TU_DZ0.4KV" localSheetId="1">#REF!</definedName>
    <definedName name="TIEU_HAO_VAT_TU_DZ0.4KV">#REF!</definedName>
    <definedName name="TIEU_HAO_VAT_TU_DZ22KV" localSheetId="5">#REF!</definedName>
    <definedName name="TIEU_HAO_VAT_TU_DZ22KV" localSheetId="3">#REF!</definedName>
    <definedName name="TIEU_HAO_VAT_TU_DZ22KV" localSheetId="1">#REF!</definedName>
    <definedName name="TIEU_HAO_VAT_TU_DZ22KV">#REF!</definedName>
    <definedName name="TIEU_HAO_VAT_TU_TBA" localSheetId="5">#REF!</definedName>
    <definedName name="TIEU_HAO_VAT_TU_TBA" localSheetId="3">#REF!</definedName>
    <definedName name="TIEU_HAO_VAT_TU_TBA" localSheetId="1">#REF!</definedName>
    <definedName name="TIEU_HAO_VAT_TU_TBA">#REF!</definedName>
    <definedName name="TIT" localSheetId="5">#REF!</definedName>
    <definedName name="TIT" localSheetId="3">#REF!</definedName>
    <definedName name="TIT" localSheetId="1">#REF!</definedName>
    <definedName name="TIT">#REF!</definedName>
    <definedName name="TITAN" localSheetId="5">#REF!</definedName>
    <definedName name="TITAN" localSheetId="3">#REF!</definedName>
    <definedName name="TITAN" localSheetId="1">#REF!</definedName>
    <definedName name="TITAN">#REF!</definedName>
    <definedName name="tk" localSheetId="5">#REF!</definedName>
    <definedName name="tk" localSheetId="3">#REF!</definedName>
    <definedName name="tk" localSheetId="1">#REF!</definedName>
    <definedName name="tk">#REF!</definedName>
    <definedName name="TLAC120" localSheetId="5">#REF!</definedName>
    <definedName name="TLAC120" localSheetId="3">#REF!</definedName>
    <definedName name="TLAC120" localSheetId="1">#REF!</definedName>
    <definedName name="TLAC120">#REF!</definedName>
    <definedName name="TLAC35" localSheetId="5">#REF!</definedName>
    <definedName name="TLAC35" localSheetId="3">#REF!</definedName>
    <definedName name="TLAC35" localSheetId="1">#REF!</definedName>
    <definedName name="TLAC35">#REF!</definedName>
    <definedName name="TLAC50" localSheetId="5">#REF!</definedName>
    <definedName name="TLAC50" localSheetId="3">#REF!</definedName>
    <definedName name="TLAC50" localSheetId="1">#REF!</definedName>
    <definedName name="TLAC50">#REF!</definedName>
    <definedName name="TLAC70" localSheetId="5">#REF!</definedName>
    <definedName name="TLAC70" localSheetId="3">#REF!</definedName>
    <definedName name="TLAC70" localSheetId="1">#REF!</definedName>
    <definedName name="TLAC70">#REF!</definedName>
    <definedName name="TLAC95" localSheetId="5">#REF!</definedName>
    <definedName name="TLAC95" localSheetId="3">#REF!</definedName>
    <definedName name="TLAC95" localSheetId="1">#REF!</definedName>
    <definedName name="TLAC95">#REF!</definedName>
    <definedName name="Tle" localSheetId="5">#REF!</definedName>
    <definedName name="Tle" localSheetId="3">#REF!</definedName>
    <definedName name="Tle" localSheetId="1">#REF!</definedName>
    <definedName name="Tle">#REF!</definedName>
    <definedName name="Tonmai" localSheetId="5">#REF!</definedName>
    <definedName name="Tonmai" localSheetId="3">#REF!</definedName>
    <definedName name="Tonmai" localSheetId="1">#REF!</definedName>
    <definedName name="Tonmai">#REF!</definedName>
    <definedName name="Tong_co" localSheetId="5">#REF!</definedName>
    <definedName name="Tong_co" localSheetId="3">#REF!</definedName>
    <definedName name="Tong_co" localSheetId="1">#REF!</definedName>
    <definedName name="Tong_co">#REF!</definedName>
    <definedName name="TONG_GIA_TRI_CONG_TRINH" localSheetId="5">#REF!</definedName>
    <definedName name="TONG_GIA_TRI_CONG_TRINH" localSheetId="3">#REF!</definedName>
    <definedName name="TONG_GIA_TRI_CONG_TRINH" localSheetId="1">#REF!</definedName>
    <definedName name="TONG_GIA_TRI_CONG_TRINH">#REF!</definedName>
    <definedName name="TONG_HOP_THI_NGHIEM_DZ0.4KV" localSheetId="5">#REF!</definedName>
    <definedName name="TONG_HOP_THI_NGHIEM_DZ0.4KV" localSheetId="3">#REF!</definedName>
    <definedName name="TONG_HOP_THI_NGHIEM_DZ0.4KV" localSheetId="1">#REF!</definedName>
    <definedName name="TONG_HOP_THI_NGHIEM_DZ0.4KV">#REF!</definedName>
    <definedName name="TONG_HOP_THI_NGHIEM_DZ22KV" localSheetId="5">#REF!</definedName>
    <definedName name="TONG_HOP_THI_NGHIEM_DZ22KV" localSheetId="3">#REF!</definedName>
    <definedName name="TONG_HOP_THI_NGHIEM_DZ22KV" localSheetId="1">#REF!</definedName>
    <definedName name="TONG_HOP_THI_NGHIEM_DZ22KV">#REF!</definedName>
    <definedName name="TONG_KE_TBA" localSheetId="5">#REF!</definedName>
    <definedName name="TONG_KE_TBA" localSheetId="3">#REF!</definedName>
    <definedName name="TONG_KE_TBA" localSheetId="1">#REF!</definedName>
    <definedName name="TONG_KE_TBA">#REF!</definedName>
    <definedName name="Tong_no" localSheetId="5">#REF!</definedName>
    <definedName name="Tong_no" localSheetId="3">#REF!</definedName>
    <definedName name="Tong_no" localSheetId="1">#REF!</definedName>
    <definedName name="Tong_no">#REF!</definedName>
    <definedName name="tongbt" localSheetId="5">#REF!</definedName>
    <definedName name="tongbt" localSheetId="3">#REF!</definedName>
    <definedName name="tongbt" localSheetId="1">#REF!</definedName>
    <definedName name="tongbt">#REF!</definedName>
    <definedName name="tongcong" localSheetId="5">#REF!</definedName>
    <definedName name="tongcong" localSheetId="3">#REF!</definedName>
    <definedName name="tongcong" localSheetId="1">#REF!</definedName>
    <definedName name="tongcong">#REF!</definedName>
    <definedName name="tongdientich" localSheetId="5">#REF!</definedName>
    <definedName name="tongdientich" localSheetId="3">#REF!</definedName>
    <definedName name="tongdientich" localSheetId="1">#REF!</definedName>
    <definedName name="tongdientich">#REF!</definedName>
    <definedName name="TONGDUTOAN" localSheetId="5">#REF!</definedName>
    <definedName name="TONGDUTOAN" localSheetId="3">#REF!</definedName>
    <definedName name="TONGDUTOAN" localSheetId="1">#REF!</definedName>
    <definedName name="TONGDUTOAN">#REF!</definedName>
    <definedName name="tongthep" localSheetId="5">#REF!</definedName>
    <definedName name="tongthep" localSheetId="3">#REF!</definedName>
    <definedName name="tongthep" localSheetId="1">#REF!</definedName>
    <definedName name="tongthep">#REF!</definedName>
    <definedName name="tongthetich" localSheetId="5">#REF!</definedName>
    <definedName name="tongthetich" localSheetId="3">#REF!</definedName>
    <definedName name="tongthetich" localSheetId="1">#REF!</definedName>
    <definedName name="tongthetich">#REF!</definedName>
    <definedName name="TPLRP" localSheetId="5">#REF!</definedName>
    <definedName name="TPLRP" localSheetId="3">#REF!</definedName>
    <definedName name="TPLRP" localSheetId="1">#REF!</definedName>
    <definedName name="TPLRP">#REF!</definedName>
    <definedName name="TT_1P" localSheetId="5">#REF!</definedName>
    <definedName name="TT_1P" localSheetId="3">#REF!</definedName>
    <definedName name="TT_1P" localSheetId="1">#REF!</definedName>
    <definedName name="TT_1P">#REF!</definedName>
    <definedName name="TT_3p" localSheetId="5">#REF!</definedName>
    <definedName name="TT_3p" localSheetId="3">#REF!</definedName>
    <definedName name="TT_3p" localSheetId="1">#REF!</definedName>
    <definedName name="TT_3p">#REF!</definedName>
    <definedName name="ttbt" localSheetId="5">#REF!</definedName>
    <definedName name="ttbt" localSheetId="3">#REF!</definedName>
    <definedName name="ttbt" localSheetId="1">#REF!</definedName>
    <definedName name="ttbt">#REF!</definedName>
    <definedName name="TTDD1P" localSheetId="5">#REF!</definedName>
    <definedName name="TTDD1P" localSheetId="3">#REF!</definedName>
    <definedName name="TTDD1P" localSheetId="1">#REF!</definedName>
    <definedName name="TTDD1P">#REF!</definedName>
    <definedName name="TTDKKH" localSheetId="5">#REF!</definedName>
    <definedName name="TTDKKH" localSheetId="3">#REF!</definedName>
    <definedName name="TTDKKH" localSheetId="1">#REF!</definedName>
    <definedName name="TTDKKH">#REF!</definedName>
    <definedName name="tthi" localSheetId="5">#REF!</definedName>
    <definedName name="tthi" localSheetId="3">#REF!</definedName>
    <definedName name="tthi" localSheetId="1">#REF!</definedName>
    <definedName name="tthi">#REF!</definedName>
    <definedName name="ttronmk" localSheetId="5">#REF!</definedName>
    <definedName name="ttronmk" localSheetId="3">#REF!</definedName>
    <definedName name="ttronmk" localSheetId="1">#REF!</definedName>
    <definedName name="ttronmk">#REF!</definedName>
    <definedName name="tv75nc" localSheetId="5">#REF!</definedName>
    <definedName name="tv75nc" localSheetId="3">#REF!</definedName>
    <definedName name="tv75nc" localSheetId="1">#REF!</definedName>
    <definedName name="tv75nc">#REF!</definedName>
    <definedName name="tv75vl" localSheetId="5">#REF!</definedName>
    <definedName name="tv75vl" localSheetId="3">#REF!</definedName>
    <definedName name="tv75vl" localSheetId="1">#REF!</definedName>
    <definedName name="tv75vl">#REF!</definedName>
    <definedName name="TW" localSheetId="5">#REF!</definedName>
    <definedName name="TW" localSheetId="3">#REF!</definedName>
    <definedName name="TW" localSheetId="1">#REF!</definedName>
    <definedName name="TW" localSheetId="4">#REF!</definedName>
    <definedName name="TW">#REF!</definedName>
    <definedName name="ty_le" localSheetId="5">#REF!</definedName>
    <definedName name="ty_le" localSheetId="3">#REF!</definedName>
    <definedName name="ty_le" localSheetId="1">#REF!</definedName>
    <definedName name="ty_le">#REF!</definedName>
    <definedName name="ty_le_BTN" localSheetId="5">#REF!</definedName>
    <definedName name="ty_le_BTN" localSheetId="3">#REF!</definedName>
    <definedName name="ty_le_BTN" localSheetId="1">#REF!</definedName>
    <definedName name="ty_le_BTN">#REF!</definedName>
    <definedName name="Ty_le1" localSheetId="5">#REF!</definedName>
    <definedName name="Ty_le1" localSheetId="3">#REF!</definedName>
    <definedName name="Ty_le1" localSheetId="1">#REF!</definedName>
    <definedName name="Ty_le1">#REF!</definedName>
    <definedName name="thang" localSheetId="5">#REF!</definedName>
    <definedName name="thang" localSheetId="3">#REF!</definedName>
    <definedName name="thang" localSheetId="1">#REF!</definedName>
    <definedName name="thang">#REF!</definedName>
    <definedName name="thanhtien" localSheetId="5">#REF!</definedName>
    <definedName name="thanhtien" localSheetId="3">#REF!</definedName>
    <definedName name="thanhtien" localSheetId="1">#REF!</definedName>
    <definedName name="thanhtien">#REF!</definedName>
    <definedName name="THchon" localSheetId="5">#REF!</definedName>
    <definedName name="THchon" localSheetId="3">#REF!</definedName>
    <definedName name="THchon" localSheetId="1">#REF!</definedName>
    <definedName name="THchon">#REF!</definedName>
    <definedName name="thdt" localSheetId="5">#REF!</definedName>
    <definedName name="thdt" localSheetId="3">#REF!</definedName>
    <definedName name="thdt" localSheetId="1">#REF!</definedName>
    <definedName name="thdt">#REF!</definedName>
    <definedName name="THDT_HT_DAO_THUONG" localSheetId="5">#REF!</definedName>
    <definedName name="THDT_HT_DAO_THUONG" localSheetId="3">#REF!</definedName>
    <definedName name="THDT_HT_DAO_THUONG" localSheetId="1">#REF!</definedName>
    <definedName name="THDT_HT_DAO_THUONG">#REF!</definedName>
    <definedName name="THDT_HT_XOM_NOI" localSheetId="5">#REF!</definedName>
    <definedName name="THDT_HT_XOM_NOI" localSheetId="3">#REF!</definedName>
    <definedName name="THDT_HT_XOM_NOI" localSheetId="1">#REF!</definedName>
    <definedName name="THDT_HT_XOM_NOI">#REF!</definedName>
    <definedName name="THDT_NPP_XOM_NOI" localSheetId="5">#REF!</definedName>
    <definedName name="THDT_NPP_XOM_NOI" localSheetId="3">#REF!</definedName>
    <definedName name="THDT_NPP_XOM_NOI" localSheetId="1">#REF!</definedName>
    <definedName name="THDT_NPP_XOM_NOI">#REF!</definedName>
    <definedName name="THDT_TBA_XOM_NOI" localSheetId="5">#REF!</definedName>
    <definedName name="THDT_TBA_XOM_NOI" localSheetId="3">#REF!</definedName>
    <definedName name="THDT_TBA_XOM_NOI" localSheetId="1">#REF!</definedName>
    <definedName name="THDT_TBA_XOM_NOI">#REF!</definedName>
    <definedName name="thepban" localSheetId="5">#REF!</definedName>
    <definedName name="thepban" localSheetId="3">#REF!</definedName>
    <definedName name="thepban" localSheetId="1">#REF!</definedName>
    <definedName name="thepban">#REF!</definedName>
    <definedName name="thepgoc25_60" localSheetId="5">#REF!</definedName>
    <definedName name="thepgoc25_60" localSheetId="3">#REF!</definedName>
    <definedName name="thepgoc25_60" localSheetId="1">#REF!</definedName>
    <definedName name="thepgoc25_60">#REF!</definedName>
    <definedName name="thepgoc63_75" localSheetId="5">#REF!</definedName>
    <definedName name="thepgoc63_75" localSheetId="3">#REF!</definedName>
    <definedName name="thepgoc63_75" localSheetId="1">#REF!</definedName>
    <definedName name="thepgoc63_75">#REF!</definedName>
    <definedName name="thepgoc80_100" localSheetId="5">#REF!</definedName>
    <definedName name="thepgoc80_100" localSheetId="3">#REF!</definedName>
    <definedName name="thepgoc80_100" localSheetId="1">#REF!</definedName>
    <definedName name="thepgoc80_100">#REF!</definedName>
    <definedName name="thepma">10500</definedName>
    <definedName name="theptron12" localSheetId="5">#REF!</definedName>
    <definedName name="theptron12" localSheetId="3">#REF!</definedName>
    <definedName name="theptron12" localSheetId="1">#REF!</definedName>
    <definedName name="theptron12">#REF!</definedName>
    <definedName name="theptron14_22" localSheetId="5">#REF!</definedName>
    <definedName name="theptron14_22" localSheetId="3">#REF!</definedName>
    <definedName name="theptron14_22" localSheetId="1">#REF!</definedName>
    <definedName name="theptron14_22">#REF!</definedName>
    <definedName name="theptron6_8" localSheetId="5">#REF!</definedName>
    <definedName name="theptron6_8" localSheetId="3">#REF!</definedName>
    <definedName name="theptron6_8" localSheetId="1">#REF!</definedName>
    <definedName name="theptron6_8">#REF!</definedName>
    <definedName name="thetichck" localSheetId="5">#REF!</definedName>
    <definedName name="thetichck" localSheetId="3">#REF!</definedName>
    <definedName name="thetichck" localSheetId="1">#REF!</definedName>
    <definedName name="thetichck">#REF!</definedName>
    <definedName name="THGO1pnc" localSheetId="5">#REF!</definedName>
    <definedName name="THGO1pnc" localSheetId="3">#REF!</definedName>
    <definedName name="THGO1pnc" localSheetId="1">#REF!</definedName>
    <definedName name="THGO1pnc">#REF!</definedName>
    <definedName name="thht" localSheetId="5">#REF!</definedName>
    <definedName name="thht" localSheetId="3">#REF!</definedName>
    <definedName name="thht" localSheetId="1">#REF!</definedName>
    <definedName name="thht">#REF!</definedName>
    <definedName name="THI" localSheetId="5">#REF!</definedName>
    <definedName name="THI" localSheetId="3">#REF!</definedName>
    <definedName name="THI" localSheetId="1">#REF!</definedName>
    <definedName name="THI">#REF!</definedName>
    <definedName name="thkp3" localSheetId="5">#REF!</definedName>
    <definedName name="thkp3" localSheetId="3">#REF!</definedName>
    <definedName name="thkp3" localSheetId="1">#REF!</definedName>
    <definedName name="thkp3">#REF!</definedName>
    <definedName name="THOP">"THOP"</definedName>
    <definedName name="THT" localSheetId="5">#REF!</definedName>
    <definedName name="THT" localSheetId="3">#REF!</definedName>
    <definedName name="THT" localSheetId="1">#REF!</definedName>
    <definedName name="THT">#REF!</definedName>
    <definedName name="thtich1" localSheetId="5">#REF!</definedName>
    <definedName name="thtich1" localSheetId="3">#REF!</definedName>
    <definedName name="thtich1" localSheetId="1">#REF!</definedName>
    <definedName name="thtich1">#REF!</definedName>
    <definedName name="thtich2" localSheetId="5">#REF!</definedName>
    <definedName name="thtich2" localSheetId="3">#REF!</definedName>
    <definedName name="thtich2" localSheetId="1">#REF!</definedName>
    <definedName name="thtich2">#REF!</definedName>
    <definedName name="thtich3" localSheetId="5">#REF!</definedName>
    <definedName name="thtich3" localSheetId="3">#REF!</definedName>
    <definedName name="thtich3" localSheetId="1">#REF!</definedName>
    <definedName name="thtich3">#REF!</definedName>
    <definedName name="thtich4" localSheetId="5">#REF!</definedName>
    <definedName name="thtich4" localSheetId="3">#REF!</definedName>
    <definedName name="thtich4" localSheetId="1">#REF!</definedName>
    <definedName name="thtich4">#REF!</definedName>
    <definedName name="thtich5" localSheetId="5">#REF!</definedName>
    <definedName name="thtich5" localSheetId="3">#REF!</definedName>
    <definedName name="thtich5" localSheetId="1">#REF!</definedName>
    <definedName name="thtich5">#REF!</definedName>
    <definedName name="thtich6" localSheetId="5">#REF!</definedName>
    <definedName name="thtich6" localSheetId="3">#REF!</definedName>
    <definedName name="thtich6" localSheetId="1">#REF!</definedName>
    <definedName name="thtich6">#REF!</definedName>
    <definedName name="thtt" localSheetId="5">#REF!</definedName>
    <definedName name="thtt" localSheetId="3">#REF!</definedName>
    <definedName name="thtt" localSheetId="1">#REF!</definedName>
    <definedName name="thtt">#REF!</definedName>
    <definedName name="Tra_DM_su_dung" localSheetId="5">#REF!</definedName>
    <definedName name="Tra_DM_su_dung" localSheetId="3">#REF!</definedName>
    <definedName name="Tra_DM_su_dung" localSheetId="1">#REF!</definedName>
    <definedName name="Tra_DM_su_dung">#REF!</definedName>
    <definedName name="Tra_don_gia_KS" localSheetId="5">#REF!</definedName>
    <definedName name="Tra_don_gia_KS" localSheetId="3">#REF!</definedName>
    <definedName name="Tra_don_gia_KS" localSheetId="1">#REF!</definedName>
    <definedName name="Tra_don_gia_KS">#REF!</definedName>
    <definedName name="Tra_DTCT" localSheetId="5">#REF!</definedName>
    <definedName name="Tra_DTCT" localSheetId="3">#REF!</definedName>
    <definedName name="Tra_DTCT" localSheetId="1">#REF!</definedName>
    <definedName name="Tra_DTCT">#REF!</definedName>
    <definedName name="Tra_tim_hang_mucPT_trung" localSheetId="5">#REF!</definedName>
    <definedName name="Tra_tim_hang_mucPT_trung" localSheetId="3">#REF!</definedName>
    <definedName name="Tra_tim_hang_mucPT_trung" localSheetId="1">#REF!</definedName>
    <definedName name="Tra_tim_hang_mucPT_trung">#REF!</definedName>
    <definedName name="Tra_TL" localSheetId="5">#REF!</definedName>
    <definedName name="Tra_TL" localSheetId="3">#REF!</definedName>
    <definedName name="Tra_TL" localSheetId="1">#REF!</definedName>
    <definedName name="Tra_TL">#REF!</definedName>
    <definedName name="Tra_ty_le2" localSheetId="5">#REF!</definedName>
    <definedName name="Tra_ty_le2" localSheetId="3">#REF!</definedName>
    <definedName name="Tra_ty_le2" localSheetId="1">#REF!</definedName>
    <definedName name="Tra_ty_le2">#REF!</definedName>
    <definedName name="Tra_ty_le3" localSheetId="5">#REF!</definedName>
    <definedName name="Tra_ty_le3" localSheetId="3">#REF!</definedName>
    <definedName name="Tra_ty_le3" localSheetId="1">#REF!</definedName>
    <definedName name="Tra_ty_le3">#REF!</definedName>
    <definedName name="Tra_ty_le4" localSheetId="5">#REF!</definedName>
    <definedName name="Tra_ty_le4" localSheetId="3">#REF!</definedName>
    <definedName name="Tra_ty_le4" localSheetId="1">#REF!</definedName>
    <definedName name="Tra_ty_le4">#REF!</definedName>
    <definedName name="Tra_ty_le5" localSheetId="5">#REF!</definedName>
    <definedName name="Tra_ty_le5" localSheetId="3">#REF!</definedName>
    <definedName name="Tra_ty_le5" localSheetId="1">#REF!</definedName>
    <definedName name="Tra_ty_le5">#REF!</definedName>
    <definedName name="TRADE2" localSheetId="5">#REF!</definedName>
    <definedName name="TRADE2" localSheetId="3">#REF!</definedName>
    <definedName name="TRADE2" localSheetId="1">#REF!</definedName>
    <definedName name="TRADE2">#REF!</definedName>
    <definedName name="trt" localSheetId="5">#REF!</definedName>
    <definedName name="trt" localSheetId="3">#REF!</definedName>
    <definedName name="trt" localSheetId="1">#REF!</definedName>
    <definedName name="trt">#REF!</definedName>
    <definedName name="upnoc" localSheetId="5">#REF!</definedName>
    <definedName name="upnoc" localSheetId="3">#REF!</definedName>
    <definedName name="upnoc" localSheetId="1">#REF!</definedName>
    <definedName name="upnoc">#REF!</definedName>
    <definedName name="uu" localSheetId="5">#REF!</definedName>
    <definedName name="uu" localSheetId="3">#REF!</definedName>
    <definedName name="uu" localSheetId="1">#REF!</definedName>
    <definedName name="uu">#REF!</definedName>
    <definedName name="VAÄT_LIEÄU">"ATRAM"</definedName>
    <definedName name="Value0" localSheetId="5">#REF!</definedName>
    <definedName name="Value0" localSheetId="3">#REF!</definedName>
    <definedName name="Value0" localSheetId="1">#REF!</definedName>
    <definedName name="Value0">#REF!</definedName>
    <definedName name="Value1" localSheetId="5">#REF!</definedName>
    <definedName name="Value1" localSheetId="3">#REF!</definedName>
    <definedName name="Value1" localSheetId="1">#REF!</definedName>
    <definedName name="Value1">#REF!</definedName>
    <definedName name="Value10" localSheetId="5">#REF!</definedName>
    <definedName name="Value10" localSheetId="3">#REF!</definedName>
    <definedName name="Value10" localSheetId="1">#REF!</definedName>
    <definedName name="Value10">#REF!</definedName>
    <definedName name="Value11" localSheetId="5">#REF!</definedName>
    <definedName name="Value11" localSheetId="3">#REF!</definedName>
    <definedName name="Value11" localSheetId="1">#REF!</definedName>
    <definedName name="Value11">#REF!</definedName>
    <definedName name="Value12" localSheetId="5">#REF!</definedName>
    <definedName name="Value12" localSheetId="3">#REF!</definedName>
    <definedName name="Value12" localSheetId="1">#REF!</definedName>
    <definedName name="Value12">#REF!</definedName>
    <definedName name="Value13" localSheetId="5">#REF!</definedName>
    <definedName name="Value13" localSheetId="3">#REF!</definedName>
    <definedName name="Value13" localSheetId="1">#REF!</definedName>
    <definedName name="Value13">#REF!</definedName>
    <definedName name="Value14" localSheetId="5">#REF!</definedName>
    <definedName name="Value14" localSheetId="3">#REF!</definedName>
    <definedName name="Value14" localSheetId="1">#REF!</definedName>
    <definedName name="Value14">#REF!</definedName>
    <definedName name="Value15" localSheetId="5">#REF!</definedName>
    <definedName name="Value15" localSheetId="3">#REF!</definedName>
    <definedName name="Value15" localSheetId="1">#REF!</definedName>
    <definedName name="Value15">#REF!</definedName>
    <definedName name="Value16" localSheetId="5">#REF!</definedName>
    <definedName name="Value16" localSheetId="3">#REF!</definedName>
    <definedName name="Value16" localSheetId="1">#REF!</definedName>
    <definedName name="Value16">#REF!</definedName>
    <definedName name="Value17" localSheetId="5">#REF!</definedName>
    <definedName name="Value17" localSheetId="3">#REF!</definedName>
    <definedName name="Value17" localSheetId="1">#REF!</definedName>
    <definedName name="Value17">#REF!</definedName>
    <definedName name="Value18" localSheetId="5">#REF!</definedName>
    <definedName name="Value18" localSheetId="3">#REF!</definedName>
    <definedName name="Value18" localSheetId="1">#REF!</definedName>
    <definedName name="Value18">#REF!</definedName>
    <definedName name="Value19" localSheetId="5">#REF!</definedName>
    <definedName name="Value19" localSheetId="3">#REF!</definedName>
    <definedName name="Value19" localSheetId="1">#REF!</definedName>
    <definedName name="Value19">#REF!</definedName>
    <definedName name="Value2" localSheetId="5">#REF!</definedName>
    <definedName name="Value2" localSheetId="3">#REF!</definedName>
    <definedName name="Value2" localSheetId="1">#REF!</definedName>
    <definedName name="Value2">#REF!</definedName>
    <definedName name="Value20" localSheetId="5">#REF!</definedName>
    <definedName name="Value20" localSheetId="3">#REF!</definedName>
    <definedName name="Value20" localSheetId="1">#REF!</definedName>
    <definedName name="Value20">#REF!</definedName>
    <definedName name="Value21" localSheetId="5">#REF!</definedName>
    <definedName name="Value21" localSheetId="3">#REF!</definedName>
    <definedName name="Value21" localSheetId="1">#REF!</definedName>
    <definedName name="Value21">#REF!</definedName>
    <definedName name="Value22" localSheetId="5">#REF!</definedName>
    <definedName name="Value22" localSheetId="3">#REF!</definedName>
    <definedName name="Value22" localSheetId="1">#REF!</definedName>
    <definedName name="Value22">#REF!</definedName>
    <definedName name="Value23" localSheetId="5">#REF!</definedName>
    <definedName name="Value23" localSheetId="3">#REF!</definedName>
    <definedName name="Value23" localSheetId="1">#REF!</definedName>
    <definedName name="Value23">#REF!</definedName>
    <definedName name="Value24" localSheetId="5">#REF!</definedName>
    <definedName name="Value24" localSheetId="3">#REF!</definedName>
    <definedName name="Value24" localSheetId="1">#REF!</definedName>
    <definedName name="Value24">#REF!</definedName>
    <definedName name="Value25" localSheetId="5">#REF!</definedName>
    <definedName name="Value25" localSheetId="3">#REF!</definedName>
    <definedName name="Value25" localSheetId="1">#REF!</definedName>
    <definedName name="Value25">#REF!</definedName>
    <definedName name="Value26" localSheetId="5">#REF!</definedName>
    <definedName name="Value26" localSheetId="3">#REF!</definedName>
    <definedName name="Value26" localSheetId="1">#REF!</definedName>
    <definedName name="Value26">#REF!</definedName>
    <definedName name="Value27" localSheetId="5">#REF!</definedName>
    <definedName name="Value27" localSheetId="3">#REF!</definedName>
    <definedName name="Value27" localSheetId="1">#REF!</definedName>
    <definedName name="Value27">#REF!</definedName>
    <definedName name="Value28" localSheetId="5">#REF!</definedName>
    <definedName name="Value28" localSheetId="3">#REF!</definedName>
    <definedName name="Value28" localSheetId="1">#REF!</definedName>
    <definedName name="Value28">#REF!</definedName>
    <definedName name="Value29" localSheetId="5">#REF!</definedName>
    <definedName name="Value29" localSheetId="3">#REF!</definedName>
    <definedName name="Value29" localSheetId="1">#REF!</definedName>
    <definedName name="Value29">#REF!</definedName>
    <definedName name="Value3" localSheetId="5">#REF!</definedName>
    <definedName name="Value3" localSheetId="3">#REF!</definedName>
    <definedName name="Value3" localSheetId="1">#REF!</definedName>
    <definedName name="Value3">#REF!</definedName>
    <definedName name="Value30" localSheetId="5">#REF!</definedName>
    <definedName name="Value30" localSheetId="3">#REF!</definedName>
    <definedName name="Value30" localSheetId="1">#REF!</definedName>
    <definedName name="Value30">#REF!</definedName>
    <definedName name="Value31" localSheetId="5">#REF!</definedName>
    <definedName name="Value31" localSheetId="3">#REF!</definedName>
    <definedName name="Value31" localSheetId="1">#REF!</definedName>
    <definedName name="Value31">#REF!</definedName>
    <definedName name="Value32" localSheetId="5">#REF!</definedName>
    <definedName name="Value32" localSheetId="3">#REF!</definedName>
    <definedName name="Value32" localSheetId="1">#REF!</definedName>
    <definedName name="Value32">#REF!</definedName>
    <definedName name="Value33" localSheetId="5">#REF!</definedName>
    <definedName name="Value33" localSheetId="3">#REF!</definedName>
    <definedName name="Value33" localSheetId="1">#REF!</definedName>
    <definedName name="Value33">#REF!</definedName>
    <definedName name="Value34" localSheetId="5">#REF!</definedName>
    <definedName name="Value34" localSheetId="3">#REF!</definedName>
    <definedName name="Value34" localSheetId="1">#REF!</definedName>
    <definedName name="Value34">#REF!</definedName>
    <definedName name="Value35" localSheetId="5">#REF!</definedName>
    <definedName name="Value35" localSheetId="3">#REF!</definedName>
    <definedName name="Value35" localSheetId="1">#REF!</definedName>
    <definedName name="Value35">#REF!</definedName>
    <definedName name="Value36" localSheetId="5">#REF!</definedName>
    <definedName name="Value36" localSheetId="3">#REF!</definedName>
    <definedName name="Value36" localSheetId="1">#REF!</definedName>
    <definedName name="Value36">#REF!</definedName>
    <definedName name="Value37" localSheetId="5">#REF!</definedName>
    <definedName name="Value37" localSheetId="3">#REF!</definedName>
    <definedName name="Value37" localSheetId="1">#REF!</definedName>
    <definedName name="Value37">#REF!</definedName>
    <definedName name="Value38" localSheetId="5">#REF!</definedName>
    <definedName name="Value38" localSheetId="3">#REF!</definedName>
    <definedName name="Value38" localSheetId="1">#REF!</definedName>
    <definedName name="Value38">#REF!</definedName>
    <definedName name="Value39" localSheetId="5">#REF!</definedName>
    <definedName name="Value39" localSheetId="3">#REF!</definedName>
    <definedName name="Value39" localSheetId="1">#REF!</definedName>
    <definedName name="Value39">#REF!</definedName>
    <definedName name="Value4" localSheetId="5">#REF!</definedName>
    <definedName name="Value4" localSheetId="3">#REF!</definedName>
    <definedName name="Value4" localSheetId="1">#REF!</definedName>
    <definedName name="Value4">#REF!</definedName>
    <definedName name="Value40" localSheetId="5">#REF!</definedName>
    <definedName name="Value40" localSheetId="3">#REF!</definedName>
    <definedName name="Value40" localSheetId="1">#REF!</definedName>
    <definedName name="Value40">#REF!</definedName>
    <definedName name="Value41" localSheetId="5">#REF!</definedName>
    <definedName name="Value41" localSheetId="3">#REF!</definedName>
    <definedName name="Value41" localSheetId="1">#REF!</definedName>
    <definedName name="Value41">#REF!</definedName>
    <definedName name="Value42" localSheetId="5">#REF!</definedName>
    <definedName name="Value42" localSheetId="3">#REF!</definedName>
    <definedName name="Value42" localSheetId="1">#REF!</definedName>
    <definedName name="Value42">#REF!</definedName>
    <definedName name="Value43" localSheetId="5">#REF!</definedName>
    <definedName name="Value43" localSheetId="3">#REF!</definedName>
    <definedName name="Value43" localSheetId="1">#REF!</definedName>
    <definedName name="Value43">#REF!</definedName>
    <definedName name="Value44" localSheetId="5">#REF!</definedName>
    <definedName name="Value44" localSheetId="3">#REF!</definedName>
    <definedName name="Value44" localSheetId="1">#REF!</definedName>
    <definedName name="Value44">#REF!</definedName>
    <definedName name="Value45" localSheetId="5">#REF!</definedName>
    <definedName name="Value45" localSheetId="3">#REF!</definedName>
    <definedName name="Value45" localSheetId="1">#REF!</definedName>
    <definedName name="Value45">#REF!</definedName>
    <definedName name="Value46" localSheetId="5">#REF!</definedName>
    <definedName name="Value46" localSheetId="3">#REF!</definedName>
    <definedName name="Value46" localSheetId="1">#REF!</definedName>
    <definedName name="Value46">#REF!</definedName>
    <definedName name="Value47" localSheetId="5">#REF!</definedName>
    <definedName name="Value47" localSheetId="3">#REF!</definedName>
    <definedName name="Value47" localSheetId="1">#REF!</definedName>
    <definedName name="Value47">#REF!</definedName>
    <definedName name="Value48" localSheetId="5">#REF!</definedName>
    <definedName name="Value48" localSheetId="3">#REF!</definedName>
    <definedName name="Value48" localSheetId="1">#REF!</definedName>
    <definedName name="Value48">#REF!</definedName>
    <definedName name="Value49" localSheetId="5">#REF!</definedName>
    <definedName name="Value49" localSheetId="3">#REF!</definedName>
    <definedName name="Value49" localSheetId="1">#REF!</definedName>
    <definedName name="Value49">#REF!</definedName>
    <definedName name="Value5" localSheetId="5">#REF!</definedName>
    <definedName name="Value5" localSheetId="3">#REF!</definedName>
    <definedName name="Value5" localSheetId="1">#REF!</definedName>
    <definedName name="Value5">#REF!</definedName>
    <definedName name="Value50" localSheetId="5">#REF!</definedName>
    <definedName name="Value50" localSheetId="3">#REF!</definedName>
    <definedName name="Value50" localSheetId="1">#REF!</definedName>
    <definedName name="Value50">#REF!</definedName>
    <definedName name="Value51" localSheetId="5">#REF!</definedName>
    <definedName name="Value51" localSheetId="3">#REF!</definedName>
    <definedName name="Value51" localSheetId="1">#REF!</definedName>
    <definedName name="Value51">#REF!</definedName>
    <definedName name="Value52" localSheetId="5">#REF!</definedName>
    <definedName name="Value52" localSheetId="3">#REF!</definedName>
    <definedName name="Value52" localSheetId="1">#REF!</definedName>
    <definedName name="Value52">#REF!</definedName>
    <definedName name="Value53" localSheetId="5">#REF!</definedName>
    <definedName name="Value53" localSheetId="3">#REF!</definedName>
    <definedName name="Value53" localSheetId="1">#REF!</definedName>
    <definedName name="Value53">#REF!</definedName>
    <definedName name="Value54" localSheetId="5">#REF!</definedName>
    <definedName name="Value54" localSheetId="3">#REF!</definedName>
    <definedName name="Value54" localSheetId="1">#REF!</definedName>
    <definedName name="Value54">#REF!</definedName>
    <definedName name="Value55" localSheetId="5">#REF!</definedName>
    <definedName name="Value55" localSheetId="3">#REF!</definedName>
    <definedName name="Value55" localSheetId="1">#REF!</definedName>
    <definedName name="Value55">#REF!</definedName>
    <definedName name="Value6" localSheetId="5">#REF!</definedName>
    <definedName name="Value6" localSheetId="3">#REF!</definedName>
    <definedName name="Value6" localSheetId="1">#REF!</definedName>
    <definedName name="Value6">#REF!</definedName>
    <definedName name="Value7" localSheetId="5">#REF!</definedName>
    <definedName name="Value7" localSheetId="3">#REF!</definedName>
    <definedName name="Value7" localSheetId="1">#REF!</definedName>
    <definedName name="Value7">#REF!</definedName>
    <definedName name="Value8" localSheetId="5">#REF!</definedName>
    <definedName name="Value8" localSheetId="3">#REF!</definedName>
    <definedName name="Value8" localSheetId="1">#REF!</definedName>
    <definedName name="Value8">#REF!</definedName>
    <definedName name="Value9" localSheetId="5">#REF!</definedName>
    <definedName name="Value9" localSheetId="3">#REF!</definedName>
    <definedName name="Value9" localSheetId="1">#REF!</definedName>
    <definedName name="Value9">#REF!</definedName>
    <definedName name="VAN_CHUYEN_DUONG_DAI_DZ0.4KV" localSheetId="5">#REF!</definedName>
    <definedName name="VAN_CHUYEN_DUONG_DAI_DZ0.4KV" localSheetId="3">#REF!</definedName>
    <definedName name="VAN_CHUYEN_DUONG_DAI_DZ0.4KV" localSheetId="1">#REF!</definedName>
    <definedName name="VAN_CHUYEN_DUONG_DAI_DZ0.4KV">#REF!</definedName>
    <definedName name="VAN_CHUYEN_DUONG_DAI_DZ22KV" localSheetId="5">#REF!</definedName>
    <definedName name="VAN_CHUYEN_DUONG_DAI_DZ22KV" localSheetId="3">#REF!</definedName>
    <definedName name="VAN_CHUYEN_DUONG_DAI_DZ22KV" localSheetId="1">#REF!</definedName>
    <definedName name="VAN_CHUYEN_DUONG_DAI_DZ22KV">#REF!</definedName>
    <definedName name="VAN_CHUYEN_VAT_TU_CHUNG" localSheetId="5">#REF!</definedName>
    <definedName name="VAN_CHUYEN_VAT_TU_CHUNG" localSheetId="3">#REF!</definedName>
    <definedName name="VAN_CHUYEN_VAT_TU_CHUNG" localSheetId="1">#REF!</definedName>
    <definedName name="VAN_CHUYEN_VAT_TU_CHUNG">#REF!</definedName>
    <definedName name="VAN_TRUNG_CHUYEN_VAT_TU_CHUNG" localSheetId="5">#REF!</definedName>
    <definedName name="VAN_TRUNG_CHUYEN_VAT_TU_CHUNG" localSheetId="3">#REF!</definedName>
    <definedName name="VAN_TRUNG_CHUYEN_VAT_TU_CHUNG" localSheetId="1">#REF!</definedName>
    <definedName name="VAN_TRUNG_CHUYEN_VAT_TU_CHUNG">#REF!</definedName>
    <definedName name="vanchuyen" localSheetId="12">#REF!</definedName>
    <definedName name="vanchuyen" localSheetId="5">#REF!</definedName>
    <definedName name="vanchuyen" localSheetId="3">#REF!</definedName>
    <definedName name="vanchuyen" localSheetId="1">#REF!</definedName>
    <definedName name="vanchuyen" localSheetId="13">#REF!</definedName>
    <definedName name="vanchuyen">#REF!</definedName>
    <definedName name="VARIINST" localSheetId="5">#REF!</definedName>
    <definedName name="VARIINST" localSheetId="3">#REF!</definedName>
    <definedName name="VARIINST" localSheetId="1">#REF!</definedName>
    <definedName name="VARIINST">#REF!</definedName>
    <definedName name="VARIPURC" localSheetId="5">#REF!</definedName>
    <definedName name="VARIPURC" localSheetId="3">#REF!</definedName>
    <definedName name="VARIPURC" localSheetId="1">#REF!</definedName>
    <definedName name="VARIPURC">#REF!</definedName>
    <definedName name="vat" localSheetId="5">#REF!</definedName>
    <definedName name="vat" localSheetId="3">#REF!</definedName>
    <definedName name="vat" localSheetId="1">#REF!</definedName>
    <definedName name="vat">#REF!</definedName>
    <definedName name="VAT_LIEU_DEN_CHAN_CONG_TRINH" localSheetId="5">#REF!</definedName>
    <definedName name="VAT_LIEU_DEN_CHAN_CONG_TRINH" localSheetId="3">#REF!</definedName>
    <definedName name="VAT_LIEU_DEN_CHAN_CONG_TRINH" localSheetId="1">#REF!</definedName>
    <definedName name="VAT_LIEU_DEN_CHAN_CONG_TRINH">#REF!</definedName>
    <definedName name="vat_lieu_KVIII" localSheetId="5">#REF!</definedName>
    <definedName name="vat_lieu_KVIII" localSheetId="3">#REF!</definedName>
    <definedName name="vat_lieu_KVIII" localSheetId="1">#REF!</definedName>
    <definedName name="vat_lieu_KVIII">#REF!</definedName>
    <definedName name="Vattu" localSheetId="5">#REF!</definedName>
    <definedName name="Vattu" localSheetId="3">#REF!</definedName>
    <definedName name="Vattu" localSheetId="1">#REF!</definedName>
    <definedName name="Vattu">#REF!</definedName>
    <definedName name="vbtchongnuocm300" localSheetId="5">#REF!</definedName>
    <definedName name="vbtchongnuocm300" localSheetId="3">#REF!</definedName>
    <definedName name="vbtchongnuocm300" localSheetId="1">#REF!</definedName>
    <definedName name="vbtchongnuocm300">#REF!</definedName>
    <definedName name="vbtm150" localSheetId="5">#REF!</definedName>
    <definedName name="vbtm150" localSheetId="3">#REF!</definedName>
    <definedName name="vbtm150" localSheetId="1">#REF!</definedName>
    <definedName name="vbtm150">#REF!</definedName>
    <definedName name="vbtm300" localSheetId="5">#REF!</definedName>
    <definedName name="vbtm300" localSheetId="3">#REF!</definedName>
    <definedName name="vbtm300" localSheetId="1">#REF!</definedName>
    <definedName name="vbtm300">#REF!</definedName>
    <definedName name="vbtm400" localSheetId="5">#REF!</definedName>
    <definedName name="vbtm400" localSheetId="3">#REF!</definedName>
    <definedName name="vbtm400" localSheetId="1">#REF!</definedName>
    <definedName name="vbtm400">#REF!</definedName>
    <definedName name="VC" localSheetId="5">#REF!</definedName>
    <definedName name="VC" localSheetId="3">#REF!</definedName>
    <definedName name="VC" localSheetId="1">#REF!</definedName>
    <definedName name="VC">#REF!</definedName>
    <definedName name="vccot" localSheetId="5">#REF!</definedName>
    <definedName name="vccot" localSheetId="3">#REF!</definedName>
    <definedName name="vccot" localSheetId="1">#REF!</definedName>
    <definedName name="vccot">#REF!</definedName>
    <definedName name="vcdc" localSheetId="5">#REF!</definedName>
    <definedName name="vcdc" localSheetId="3">#REF!</definedName>
    <definedName name="vcdc" localSheetId="1">#REF!</definedName>
    <definedName name="vcdc">#REF!</definedName>
    <definedName name="vct" localSheetId="5">#REF!</definedName>
    <definedName name="vct" localSheetId="3">#REF!</definedName>
    <definedName name="vct" localSheetId="1">#REF!</definedName>
    <definedName name="vct">#REF!</definedName>
    <definedName name="vctb" localSheetId="5">#REF!</definedName>
    <definedName name="vctb" localSheetId="3">#REF!</definedName>
    <definedName name="vctb" localSheetId="1">#REF!</definedName>
    <definedName name="vctb">#REF!</definedName>
    <definedName name="VCVBT1" localSheetId="5">#REF!</definedName>
    <definedName name="VCVBT1" localSheetId="3">#REF!</definedName>
    <definedName name="VCVBT1" localSheetId="1">#REF!</definedName>
    <definedName name="VCVBT1">#REF!</definedName>
    <definedName name="VCVBT2" localSheetId="5">#REF!</definedName>
    <definedName name="VCVBT2" localSheetId="3">#REF!</definedName>
    <definedName name="VCVBT2" localSheetId="1">#REF!</definedName>
    <definedName name="VCVBT2">#REF!</definedName>
    <definedName name="VCHT" localSheetId="5">#REF!</definedName>
    <definedName name="VCHT" localSheetId="3">#REF!</definedName>
    <definedName name="VCHT" localSheetId="1">#REF!</definedName>
    <definedName name="VCHT">#REF!</definedName>
    <definedName name="vd3p" localSheetId="5">#REF!</definedName>
    <definedName name="vd3p" localSheetId="3">#REF!</definedName>
    <definedName name="vd3p" localSheetId="1">#REF!</definedName>
    <definedName name="vd3p">#REF!</definedName>
    <definedName name="vgk" localSheetId="5">#REF!</definedName>
    <definedName name="vgk" localSheetId="3">#REF!</definedName>
    <definedName name="vgk" localSheetId="1">#REF!</definedName>
    <definedName name="vgk">#REF!</definedName>
    <definedName name="vgt" localSheetId="5">#REF!</definedName>
    <definedName name="vgt" localSheetId="3">#REF!</definedName>
    <definedName name="vgt" localSheetId="1">#REF!</definedName>
    <definedName name="vgt">#REF!</definedName>
    <definedName name="vkcauthang" localSheetId="5">#REF!</definedName>
    <definedName name="vkcauthang" localSheetId="3">#REF!</definedName>
    <definedName name="vkcauthang" localSheetId="1">#REF!</definedName>
    <definedName name="vkcauthang">#REF!</definedName>
    <definedName name="vksan" localSheetId="5">#REF!</definedName>
    <definedName name="vksan" localSheetId="3">#REF!</definedName>
    <definedName name="vksan" localSheetId="1">#REF!</definedName>
    <definedName name="vksan">#REF!</definedName>
    <definedName name="vl" localSheetId="5">#REF!</definedName>
    <definedName name="vl" localSheetId="3">#REF!</definedName>
    <definedName name="vl" localSheetId="1">#REF!</definedName>
    <definedName name="vl">#REF!</definedName>
    <definedName name="vl3p" localSheetId="5">#REF!</definedName>
    <definedName name="vl3p" localSheetId="3">#REF!</definedName>
    <definedName name="vl3p" localSheetId="1">#REF!</definedName>
    <definedName name="vl3p">#REF!</definedName>
    <definedName name="Vlcap0.7" localSheetId="5">#REF!</definedName>
    <definedName name="Vlcap0.7" localSheetId="3">#REF!</definedName>
    <definedName name="Vlcap0.7" localSheetId="1">#REF!</definedName>
    <definedName name="Vlcap0.7">#REF!</definedName>
    <definedName name="VLcap1" localSheetId="5">#REF!</definedName>
    <definedName name="VLcap1" localSheetId="3">#REF!</definedName>
    <definedName name="VLcap1" localSheetId="1">#REF!</definedName>
    <definedName name="VLcap1">#REF!</definedName>
    <definedName name="VLCT3p" localSheetId="5">#REF!</definedName>
    <definedName name="VLCT3p" localSheetId="3">#REF!</definedName>
    <definedName name="VLCT3p" localSheetId="1">#REF!</definedName>
    <definedName name="VLCT3p">#REF!</definedName>
    <definedName name="vldg" localSheetId="5">#REF!</definedName>
    <definedName name="vldg" localSheetId="3">#REF!</definedName>
    <definedName name="vldg" localSheetId="1">#REF!</definedName>
    <definedName name="vldg">#REF!</definedName>
    <definedName name="vldn400" localSheetId="5">#REF!</definedName>
    <definedName name="vldn400" localSheetId="3">#REF!</definedName>
    <definedName name="vldn400" localSheetId="1">#REF!</definedName>
    <definedName name="vldn400">#REF!</definedName>
    <definedName name="vldn600" localSheetId="5">#REF!</definedName>
    <definedName name="vldn600" localSheetId="3">#REF!</definedName>
    <definedName name="vldn600" localSheetId="1">#REF!</definedName>
    <definedName name="vldn600">#REF!</definedName>
    <definedName name="VLIEU" localSheetId="5">#REF!</definedName>
    <definedName name="VLIEU" localSheetId="3">#REF!</definedName>
    <definedName name="VLIEU" localSheetId="1">#REF!</definedName>
    <definedName name="VLIEU">#REF!</definedName>
    <definedName name="VLM" localSheetId="5">#REF!</definedName>
    <definedName name="VLM" localSheetId="3">#REF!</definedName>
    <definedName name="VLM" localSheetId="1">#REF!</definedName>
    <definedName name="VLM">#REF!</definedName>
    <definedName name="vltram" localSheetId="5">#REF!</definedName>
    <definedName name="vltram" localSheetId="3">#REF!</definedName>
    <definedName name="vltram" localSheetId="1">#REF!</definedName>
    <definedName name="vltram">#REF!</definedName>
    <definedName name="vr3p" localSheetId="5">#REF!</definedName>
    <definedName name="vr3p" localSheetId="3">#REF!</definedName>
    <definedName name="vr3p" localSheetId="1">#REF!</definedName>
    <definedName name="vr3p">#REF!</definedName>
    <definedName name="Vua" localSheetId="5">#REF!</definedName>
    <definedName name="Vua" localSheetId="3">#REF!</definedName>
    <definedName name="Vua" localSheetId="1">#REF!</definedName>
    <definedName name="Vua">#REF!</definedName>
    <definedName name="W" localSheetId="5">#REF!</definedName>
    <definedName name="W" localSheetId="3">#REF!</definedName>
    <definedName name="W" localSheetId="1">#REF!</definedName>
    <definedName name="W">#REF!</definedName>
    <definedName name="wrn.chi._.tiÆt." localSheetId="12" hidden="1">{#N/A,#N/A,FALSE,"Chi tiÆt"}</definedName>
    <definedName name="wrn.chi._.tiÆt." localSheetId="5" hidden="1">{#N/A,#N/A,FALSE,"Chi tiÆt"}</definedName>
    <definedName name="wrn.chi._.tiÆt." localSheetId="3" hidden="1">{#N/A,#N/A,FALSE,"Chi tiÆt"}</definedName>
    <definedName name="wrn.chi._.tiÆt." localSheetId="1" hidden="1">{#N/A,#N/A,FALSE,"Chi tiÆt"}</definedName>
    <definedName name="wrn.chi._.tiÆt." localSheetId="13" hidden="1">{#N/A,#N/A,FALSE,"Chi tiÆt"}</definedName>
    <definedName name="wrn.chi._.tiÆt." localSheetId="2" hidden="1">{#N/A,#N/A,FALSE,"Chi tiÆt"}</definedName>
    <definedName name="wrn.chi._.tiÆt." localSheetId="4" hidden="1">{#N/A,#N/A,FALSE,"Chi tiÆt"}</definedName>
    <definedName name="wrn.chi._.tiÆt." hidden="1">{#N/A,#N/A,FALSE,"Chi tiÆt"}</definedName>
    <definedName name="X" localSheetId="12">#REF!</definedName>
    <definedName name="X" localSheetId="5">#REF!</definedName>
    <definedName name="X" localSheetId="3">#REF!</definedName>
    <definedName name="X" localSheetId="1">#REF!</definedName>
    <definedName name="X" localSheetId="13">#REF!</definedName>
    <definedName name="X">#REF!</definedName>
    <definedName name="x1pind" localSheetId="5">#REF!</definedName>
    <definedName name="x1pind" localSheetId="3">#REF!</definedName>
    <definedName name="x1pind" localSheetId="1">#REF!</definedName>
    <definedName name="x1pind">#REF!</definedName>
    <definedName name="X1pINDnc" localSheetId="5">#REF!</definedName>
    <definedName name="X1pINDnc" localSheetId="3">#REF!</definedName>
    <definedName name="X1pINDnc" localSheetId="1">#REF!</definedName>
    <definedName name="X1pINDnc">#REF!</definedName>
    <definedName name="X1pINDvc" localSheetId="5">#REF!</definedName>
    <definedName name="X1pINDvc" localSheetId="3">#REF!</definedName>
    <definedName name="X1pINDvc" localSheetId="1">#REF!</definedName>
    <definedName name="X1pINDvc">#REF!</definedName>
    <definedName name="X1pINDvl" localSheetId="5">#REF!</definedName>
    <definedName name="X1pINDvl" localSheetId="3">#REF!</definedName>
    <definedName name="X1pINDvl" localSheetId="1">#REF!</definedName>
    <definedName name="X1pINDvl">#REF!</definedName>
    <definedName name="x1pint" localSheetId="5">#REF!</definedName>
    <definedName name="x1pint" localSheetId="3">#REF!</definedName>
    <definedName name="x1pint" localSheetId="1">#REF!</definedName>
    <definedName name="x1pint">#REF!</definedName>
    <definedName name="x1ping" localSheetId="5">#REF!</definedName>
    <definedName name="x1ping" localSheetId="3">#REF!</definedName>
    <definedName name="x1ping" localSheetId="1">#REF!</definedName>
    <definedName name="x1ping">#REF!</definedName>
    <definedName name="X1pINGnc" localSheetId="5">#REF!</definedName>
    <definedName name="X1pINGnc" localSheetId="3">#REF!</definedName>
    <definedName name="X1pINGnc" localSheetId="1">#REF!</definedName>
    <definedName name="X1pINGnc">#REF!</definedName>
    <definedName name="X1pINGvc" localSheetId="5">#REF!</definedName>
    <definedName name="X1pINGvc" localSheetId="3">#REF!</definedName>
    <definedName name="X1pINGvc" localSheetId="1">#REF!</definedName>
    <definedName name="X1pINGvc">#REF!</definedName>
    <definedName name="X1pINGvl" localSheetId="5">#REF!</definedName>
    <definedName name="X1pINGvl" localSheetId="3">#REF!</definedName>
    <definedName name="X1pINGvl" localSheetId="1">#REF!</definedName>
    <definedName name="X1pINGvl">#REF!</definedName>
    <definedName name="XCCT">0.5</definedName>
    <definedName name="xd0.6" localSheetId="5">#REF!</definedName>
    <definedName name="xd0.6" localSheetId="3">#REF!</definedName>
    <definedName name="xd0.6" localSheetId="1">#REF!</definedName>
    <definedName name="xd0.6">#REF!</definedName>
    <definedName name="xd1.3" localSheetId="5">#REF!</definedName>
    <definedName name="xd1.3" localSheetId="3">#REF!</definedName>
    <definedName name="xd1.3" localSheetId="1">#REF!</definedName>
    <definedName name="xd1.3">#REF!</definedName>
    <definedName name="xd1.5" localSheetId="5">#REF!</definedName>
    <definedName name="xd1.5" localSheetId="3">#REF!</definedName>
    <definedName name="xd1.5" localSheetId="1">#REF!</definedName>
    <definedName name="xd1.5">#REF!</definedName>
    <definedName name="xfco" localSheetId="5">#REF!</definedName>
    <definedName name="xfco" localSheetId="3">#REF!</definedName>
    <definedName name="xfco" localSheetId="1">#REF!</definedName>
    <definedName name="xfco">#REF!</definedName>
    <definedName name="xfco3p" localSheetId="5">#REF!</definedName>
    <definedName name="xfco3p" localSheetId="3">#REF!</definedName>
    <definedName name="xfco3p" localSheetId="1">#REF!</definedName>
    <definedName name="xfco3p">#REF!</definedName>
    <definedName name="XFCOnc" localSheetId="5">#REF!</definedName>
    <definedName name="XFCOnc" localSheetId="3">#REF!</definedName>
    <definedName name="XFCOnc" localSheetId="1">#REF!</definedName>
    <definedName name="XFCOnc">#REF!</definedName>
    <definedName name="xfcotnc" localSheetId="5">#REF!</definedName>
    <definedName name="xfcotnc" localSheetId="3">#REF!</definedName>
    <definedName name="xfcotnc" localSheetId="1">#REF!</definedName>
    <definedName name="xfcotnc">#REF!</definedName>
    <definedName name="xfcotvl" localSheetId="5">#REF!</definedName>
    <definedName name="xfcotvl" localSheetId="3">#REF!</definedName>
    <definedName name="xfcotvl" localSheetId="1">#REF!</definedName>
    <definedName name="xfcotvl">#REF!</definedName>
    <definedName name="XFCOvl" localSheetId="5">#REF!</definedName>
    <definedName name="XFCOvl" localSheetId="3">#REF!</definedName>
    <definedName name="XFCOvl" localSheetId="1">#REF!</definedName>
    <definedName name="XFCOvl">#REF!</definedName>
    <definedName name="xgc100" localSheetId="5">#REF!</definedName>
    <definedName name="xgc100" localSheetId="3">#REF!</definedName>
    <definedName name="xgc100" localSheetId="1">#REF!</definedName>
    <definedName name="xgc100">#REF!</definedName>
    <definedName name="xgc150" localSheetId="5">#REF!</definedName>
    <definedName name="xgc150" localSheetId="3">#REF!</definedName>
    <definedName name="xgc150" localSheetId="1">#REF!</definedName>
    <definedName name="xgc150">#REF!</definedName>
    <definedName name="xgc200" localSheetId="5">#REF!</definedName>
    <definedName name="xgc200" localSheetId="3">#REF!</definedName>
    <definedName name="xgc200" localSheetId="1">#REF!</definedName>
    <definedName name="xgc200">#REF!</definedName>
    <definedName name="xh" localSheetId="5">#REF!</definedName>
    <definedName name="xh" localSheetId="3">#REF!</definedName>
    <definedName name="xh" localSheetId="1">#REF!</definedName>
    <definedName name="xh">#REF!</definedName>
    <definedName name="xhn" localSheetId="5">#REF!</definedName>
    <definedName name="xhn" localSheetId="3">#REF!</definedName>
    <definedName name="xhn" localSheetId="1">#REF!</definedName>
    <definedName name="xhn">#REF!</definedName>
    <definedName name="xig" localSheetId="5">#REF!</definedName>
    <definedName name="xig" localSheetId="3">#REF!</definedName>
    <definedName name="xig" localSheetId="1">#REF!</definedName>
    <definedName name="xig">#REF!</definedName>
    <definedName name="xig1" localSheetId="5">#REF!</definedName>
    <definedName name="xig1" localSheetId="3">#REF!</definedName>
    <definedName name="xig1" localSheetId="1">#REF!</definedName>
    <definedName name="xig1">#REF!</definedName>
    <definedName name="xig1p" localSheetId="5">#REF!</definedName>
    <definedName name="xig1p" localSheetId="3">#REF!</definedName>
    <definedName name="xig1p" localSheetId="1">#REF!</definedName>
    <definedName name="xig1p">#REF!</definedName>
    <definedName name="xig3p" localSheetId="5">#REF!</definedName>
    <definedName name="xig3p" localSheetId="3">#REF!</definedName>
    <definedName name="xig3p" localSheetId="1">#REF!</definedName>
    <definedName name="xig3p">#REF!</definedName>
    <definedName name="XIGnc" localSheetId="5">#REF!</definedName>
    <definedName name="XIGnc" localSheetId="3">#REF!</definedName>
    <definedName name="XIGnc" localSheetId="1">#REF!</definedName>
    <definedName name="XIGnc">#REF!</definedName>
    <definedName name="XIGvc" localSheetId="5">#REF!</definedName>
    <definedName name="XIGvc" localSheetId="3">#REF!</definedName>
    <definedName name="XIGvc" localSheetId="1">#REF!</definedName>
    <definedName name="XIGvc">#REF!</definedName>
    <definedName name="XIGvl" localSheetId="5">#REF!</definedName>
    <definedName name="XIGvl" localSheetId="3">#REF!</definedName>
    <definedName name="XIGvl" localSheetId="1">#REF!</definedName>
    <definedName name="XIGvl">#REF!</definedName>
    <definedName name="ximang" localSheetId="5">#REF!</definedName>
    <definedName name="ximang" localSheetId="3">#REF!</definedName>
    <definedName name="ximang" localSheetId="1">#REF!</definedName>
    <definedName name="ximang">#REF!</definedName>
    <definedName name="xin" localSheetId="5">#REF!</definedName>
    <definedName name="xin" localSheetId="3">#REF!</definedName>
    <definedName name="xin" localSheetId="1">#REF!</definedName>
    <definedName name="xin">#REF!</definedName>
    <definedName name="xin190" localSheetId="5">#REF!</definedName>
    <definedName name="xin190" localSheetId="3">#REF!</definedName>
    <definedName name="xin190" localSheetId="1">#REF!</definedName>
    <definedName name="xin190">#REF!</definedName>
    <definedName name="xin1903p" localSheetId="5">#REF!</definedName>
    <definedName name="xin1903p" localSheetId="3">#REF!</definedName>
    <definedName name="xin1903p" localSheetId="1">#REF!</definedName>
    <definedName name="xin1903p">#REF!</definedName>
    <definedName name="xin3p" localSheetId="5">#REF!</definedName>
    <definedName name="xin3p" localSheetId="3">#REF!</definedName>
    <definedName name="xin3p" localSheetId="1">#REF!</definedName>
    <definedName name="xin3p">#REF!</definedName>
    <definedName name="xind" localSheetId="5">#REF!</definedName>
    <definedName name="xind" localSheetId="3">#REF!</definedName>
    <definedName name="xind" localSheetId="1">#REF!</definedName>
    <definedName name="xind">#REF!</definedName>
    <definedName name="xind1p" localSheetId="5">#REF!</definedName>
    <definedName name="xind1p" localSheetId="3">#REF!</definedName>
    <definedName name="xind1p" localSheetId="1">#REF!</definedName>
    <definedName name="xind1p">#REF!</definedName>
    <definedName name="xind3p" localSheetId="5">#REF!</definedName>
    <definedName name="xind3p" localSheetId="3">#REF!</definedName>
    <definedName name="xind3p" localSheetId="1">#REF!</definedName>
    <definedName name="xind3p">#REF!</definedName>
    <definedName name="xindnc1p" localSheetId="5">#REF!</definedName>
    <definedName name="xindnc1p" localSheetId="3">#REF!</definedName>
    <definedName name="xindnc1p" localSheetId="1">#REF!</definedName>
    <definedName name="xindnc1p">#REF!</definedName>
    <definedName name="xindvl1p" localSheetId="5">#REF!</definedName>
    <definedName name="xindvl1p" localSheetId="3">#REF!</definedName>
    <definedName name="xindvl1p" localSheetId="1">#REF!</definedName>
    <definedName name="xindvl1p">#REF!</definedName>
    <definedName name="XINnc" localSheetId="5">#REF!</definedName>
    <definedName name="XINnc" localSheetId="3">#REF!</definedName>
    <definedName name="XINnc" localSheetId="1">#REF!</definedName>
    <definedName name="XINnc">#REF!</definedName>
    <definedName name="xint1p" localSheetId="5">#REF!</definedName>
    <definedName name="xint1p" localSheetId="3">#REF!</definedName>
    <definedName name="xint1p" localSheetId="1">#REF!</definedName>
    <definedName name="xint1p">#REF!</definedName>
    <definedName name="XINvc" localSheetId="5">#REF!</definedName>
    <definedName name="XINvc" localSheetId="3">#REF!</definedName>
    <definedName name="XINvc" localSheetId="1">#REF!</definedName>
    <definedName name="XINvc">#REF!</definedName>
    <definedName name="XINvl" localSheetId="5">#REF!</definedName>
    <definedName name="XINvl" localSheetId="3">#REF!</definedName>
    <definedName name="XINvl" localSheetId="1">#REF!</definedName>
    <definedName name="XINvl">#REF!</definedName>
    <definedName name="xing1p" localSheetId="5">#REF!</definedName>
    <definedName name="xing1p" localSheetId="3">#REF!</definedName>
    <definedName name="xing1p" localSheetId="1">#REF!</definedName>
    <definedName name="xing1p">#REF!</definedName>
    <definedName name="xingnc1p" localSheetId="5">#REF!</definedName>
    <definedName name="xingnc1p" localSheetId="3">#REF!</definedName>
    <definedName name="xingnc1p" localSheetId="1">#REF!</definedName>
    <definedName name="xingnc1p">#REF!</definedName>
    <definedName name="xingvl1p" localSheetId="5">#REF!</definedName>
    <definedName name="xingvl1p" localSheetId="3">#REF!</definedName>
    <definedName name="xingvl1p" localSheetId="1">#REF!</definedName>
    <definedName name="xingvl1p">#REF!</definedName>
    <definedName name="xit" localSheetId="5">#REF!</definedName>
    <definedName name="xit" localSheetId="3">#REF!</definedName>
    <definedName name="xit" localSheetId="1">#REF!</definedName>
    <definedName name="xit">#REF!</definedName>
    <definedName name="xit1" localSheetId="5">#REF!</definedName>
    <definedName name="xit1" localSheetId="3">#REF!</definedName>
    <definedName name="xit1" localSheetId="1">#REF!</definedName>
    <definedName name="xit1">#REF!</definedName>
    <definedName name="xit1p" localSheetId="5">#REF!</definedName>
    <definedName name="xit1p" localSheetId="3">#REF!</definedName>
    <definedName name="xit1p" localSheetId="1">#REF!</definedName>
    <definedName name="xit1p">#REF!</definedName>
    <definedName name="xit23p">#REF!</definedName>
    <definedName name="xit3p" localSheetId="5">#REF!</definedName>
    <definedName name="xit3p" localSheetId="3">#REF!</definedName>
    <definedName name="xit3p" localSheetId="1">#REF!</definedName>
    <definedName name="xit3p">#REF!</definedName>
    <definedName name="XITnc" localSheetId="5">#REF!</definedName>
    <definedName name="XITnc" localSheetId="3">#REF!</definedName>
    <definedName name="XITnc" localSheetId="1">#REF!</definedName>
    <definedName name="XITnc">#REF!</definedName>
    <definedName name="XITvc" localSheetId="5">#REF!</definedName>
    <definedName name="XITvc" localSheetId="3">#REF!</definedName>
    <definedName name="XITvc" localSheetId="1">#REF!</definedName>
    <definedName name="XITvc">#REF!</definedName>
    <definedName name="XITvl" localSheetId="5">#REF!</definedName>
    <definedName name="XITvl" localSheetId="3">#REF!</definedName>
    <definedName name="XITvl" localSheetId="1">#REF!</definedName>
    <definedName name="XITvl">#REF!</definedName>
    <definedName name="xk0.6" localSheetId="5">#REF!</definedName>
    <definedName name="xk0.6" localSheetId="3">#REF!</definedName>
    <definedName name="xk0.6" localSheetId="1">#REF!</definedName>
    <definedName name="xk0.6">#REF!</definedName>
    <definedName name="xk1.3" localSheetId="5">#REF!</definedName>
    <definedName name="xk1.3" localSheetId="3">#REF!</definedName>
    <definedName name="xk1.3" localSheetId="1">#REF!</definedName>
    <definedName name="xk1.3">#REF!</definedName>
    <definedName name="xk1.5" localSheetId="5">#REF!</definedName>
    <definedName name="xk1.5" localSheetId="3">#REF!</definedName>
    <definedName name="xk1.5" localSheetId="1">#REF!</definedName>
    <definedName name="xk1.5">#REF!</definedName>
    <definedName name="xld1.4" localSheetId="5">#REF!</definedName>
    <definedName name="xld1.4" localSheetId="3">#REF!</definedName>
    <definedName name="xld1.4" localSheetId="1">#REF!</definedName>
    <definedName name="xld1.4">#REF!</definedName>
    <definedName name="xlk1.4" localSheetId="5">#REF!</definedName>
    <definedName name="xlk1.4" localSheetId="3">#REF!</definedName>
    <definedName name="xlk1.4" localSheetId="1">#REF!</definedName>
    <definedName name="xlk1.4">#REF!</definedName>
    <definedName name="xmcax" localSheetId="5">#REF!</definedName>
    <definedName name="xmcax" localSheetId="3">#REF!</definedName>
    <definedName name="xmcax" localSheetId="1">#REF!</definedName>
    <definedName name="xmcax">#REF!</definedName>
    <definedName name="xn" localSheetId="5">#REF!</definedName>
    <definedName name="xn" localSheetId="3">#REF!</definedName>
    <definedName name="xn" localSheetId="1">#REF!</definedName>
    <definedName name="xn">#REF!</definedName>
    <definedName name="xx" localSheetId="5">#REF!</definedName>
    <definedName name="xx" localSheetId="3">#REF!</definedName>
    <definedName name="xx" localSheetId="1">#REF!</definedName>
    <definedName name="xx">#REF!</definedName>
    <definedName name="y" localSheetId="5">#REF!</definedName>
    <definedName name="y" localSheetId="3">#REF!</definedName>
    <definedName name="y" localSheetId="1">#REF!</definedName>
    <definedName name="y">#REF!</definedName>
    <definedName name="z" localSheetId="5">#REF!</definedName>
    <definedName name="z" localSheetId="3">#REF!</definedName>
    <definedName name="z" localSheetId="1">#REF!</definedName>
    <definedName name="z">#REF!</definedName>
    <definedName name="ZXD" localSheetId="5">#REF!</definedName>
    <definedName name="ZXD" localSheetId="3">#REF!</definedName>
    <definedName name="ZXD" localSheetId="1">#REF!</definedName>
    <definedName name="ZXD">#REF!</definedName>
    <definedName name="ZYX" localSheetId="5">#REF!</definedName>
    <definedName name="ZYX" localSheetId="3">#REF!</definedName>
    <definedName name="ZYX" localSheetId="1">#REF!</definedName>
    <definedName name="ZYX">#REF!</definedName>
    <definedName name="ZZZ" localSheetId="5">#REF!</definedName>
    <definedName name="ZZZ" localSheetId="3">#REF!</definedName>
    <definedName name="ZZZ" localSheetId="1">#REF!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1" i="4" l="1"/>
  <c r="F20" i="12" l="1"/>
  <c r="F44" i="12"/>
  <c r="L30" i="8"/>
  <c r="L20" i="4"/>
  <c r="E55" i="19" l="1"/>
  <c r="F55" i="19" s="1"/>
  <c r="E54" i="19"/>
  <c r="F54" i="19" s="1"/>
  <c r="F53" i="19" s="1"/>
  <c r="H53" i="19"/>
  <c r="G53" i="19"/>
  <c r="E53" i="19"/>
  <c r="D53" i="19"/>
  <c r="C53" i="19"/>
  <c r="D52" i="19"/>
  <c r="E52" i="19" s="1"/>
  <c r="F52" i="19" s="1"/>
  <c r="C48" i="19"/>
  <c r="G47" i="19"/>
  <c r="G45" i="19" s="1"/>
  <c r="C47" i="19"/>
  <c r="D47" i="19" s="1"/>
  <c r="E47" i="19" s="1"/>
  <c r="C46" i="19"/>
  <c r="H45" i="19"/>
  <c r="C44" i="19"/>
  <c r="D44" i="19" s="1"/>
  <c r="E44" i="19" s="1"/>
  <c r="F44" i="19" s="1"/>
  <c r="F43" i="19"/>
  <c r="D43" i="19"/>
  <c r="F42" i="19"/>
  <c r="D42" i="19"/>
  <c r="F41" i="19"/>
  <c r="D41" i="19"/>
  <c r="C40" i="19"/>
  <c r="H39" i="19"/>
  <c r="G39" i="19"/>
  <c r="E37" i="19"/>
  <c r="F37" i="19" s="1"/>
  <c r="F36" i="19"/>
  <c r="E36" i="19" s="1"/>
  <c r="G35" i="19"/>
  <c r="G33" i="19" s="1"/>
  <c r="G32" i="19" s="1"/>
  <c r="F34" i="19"/>
  <c r="E34" i="19" s="1"/>
  <c r="H33" i="19"/>
  <c r="D32" i="19"/>
  <c r="E31" i="19"/>
  <c r="H29" i="19"/>
  <c r="D29" i="19"/>
  <c r="F28" i="19"/>
  <c r="E27" i="19"/>
  <c r="F27" i="19" s="1"/>
  <c r="G26" i="19"/>
  <c r="C26" i="19"/>
  <c r="D26" i="19" s="1"/>
  <c r="H25" i="19"/>
  <c r="D25" i="19"/>
  <c r="E25" i="19" s="1"/>
  <c r="F25" i="19" s="1"/>
  <c r="H24" i="19"/>
  <c r="G24" i="19"/>
  <c r="D24" i="19"/>
  <c r="F23" i="19"/>
  <c r="H22" i="19"/>
  <c r="E21" i="19"/>
  <c r="F21" i="19" s="1"/>
  <c r="G20" i="19"/>
  <c r="F20" i="19" s="1"/>
  <c r="E20" i="19"/>
  <c r="G19" i="19"/>
  <c r="D19" i="19"/>
  <c r="E19" i="19" s="1"/>
  <c r="D18" i="19"/>
  <c r="E18" i="19" s="1"/>
  <c r="F17" i="19"/>
  <c r="H16" i="19"/>
  <c r="G16" i="19"/>
  <c r="H15" i="19"/>
  <c r="E15" i="19" s="1"/>
  <c r="F15" i="19" s="1"/>
  <c r="G15" i="19"/>
  <c r="D14" i="19"/>
  <c r="C14" i="19"/>
  <c r="C45" i="19" l="1"/>
  <c r="D22" i="19"/>
  <c r="D13" i="19" s="1"/>
  <c r="D12" i="19" s="1"/>
  <c r="E29" i="19"/>
  <c r="F29" i="19" s="1"/>
  <c r="H14" i="19"/>
  <c r="G37" i="12"/>
  <c r="F19" i="19"/>
  <c r="C22" i="19"/>
  <c r="C13" i="19" s="1"/>
  <c r="E24" i="19"/>
  <c r="F24" i="19" s="1"/>
  <c r="F33" i="19"/>
  <c r="C39" i="19"/>
  <c r="C38" i="19" s="1"/>
  <c r="H26" i="19"/>
  <c r="E26" i="19" s="1"/>
  <c r="F26" i="19" s="1"/>
  <c r="G22" i="19"/>
  <c r="F35" i="19"/>
  <c r="E35" i="19" s="1"/>
  <c r="G14" i="19"/>
  <c r="G13" i="19" s="1"/>
  <c r="G12" i="19" s="1"/>
  <c r="F47" i="19"/>
  <c r="E33" i="19"/>
  <c r="E32" i="19" s="1"/>
  <c r="F32" i="19"/>
  <c r="E16" i="19"/>
  <c r="F18" i="19"/>
  <c r="D30" i="19"/>
  <c r="G38" i="19"/>
  <c r="D46" i="19"/>
  <c r="H32" i="19"/>
  <c r="D40" i="19"/>
  <c r="F22" i="19" l="1"/>
  <c r="I32" i="19"/>
  <c r="C12" i="19"/>
  <c r="C11" i="19" s="1"/>
  <c r="C2" i="19" s="1"/>
  <c r="C30" i="19"/>
  <c r="H13" i="19"/>
  <c r="H30" i="19" s="1"/>
  <c r="G11" i="19"/>
  <c r="E14" i="19"/>
  <c r="F16" i="19"/>
  <c r="F14" i="19" s="1"/>
  <c r="F13" i="19" s="1"/>
  <c r="F12" i="19" s="1"/>
  <c r="E40" i="19"/>
  <c r="D39" i="19"/>
  <c r="E22" i="19"/>
  <c r="D45" i="19"/>
  <c r="E46" i="19"/>
  <c r="H12" i="19" l="1"/>
  <c r="H11" i="19" s="1"/>
  <c r="E13" i="19"/>
  <c r="E45" i="19"/>
  <c r="F46" i="19"/>
  <c r="F45" i="19" s="1"/>
  <c r="E30" i="19"/>
  <c r="E12" i="19"/>
  <c r="D38" i="19"/>
  <c r="D11" i="19" s="1"/>
  <c r="I11" i="19" s="1"/>
  <c r="F40" i="19"/>
  <c r="F39" i="19" s="1"/>
  <c r="F38" i="19" s="1"/>
  <c r="F11" i="19" s="1"/>
  <c r="E39" i="19"/>
  <c r="E38" i="19" l="1"/>
  <c r="E11" i="19"/>
  <c r="N47" i="8" l="1"/>
  <c r="H70" i="5"/>
  <c r="H53" i="5"/>
  <c r="J53" i="5"/>
  <c r="L42" i="8"/>
  <c r="Q42" i="8"/>
  <c r="P42" i="8"/>
  <c r="R45" i="8"/>
  <c r="S45" i="8"/>
  <c r="T45" i="8"/>
  <c r="U45" i="8"/>
  <c r="V45" i="8"/>
  <c r="W45" i="8"/>
  <c r="I65" i="5" l="1"/>
  <c r="I63" i="5"/>
  <c r="I64" i="5"/>
  <c r="I62" i="5"/>
  <c r="I70" i="5"/>
  <c r="H65" i="5"/>
  <c r="H64" i="5"/>
  <c r="H63" i="5"/>
  <c r="H62" i="5"/>
  <c r="H14" i="5"/>
  <c r="H26" i="5" l="1"/>
  <c r="R71" i="2" l="1"/>
  <c r="G35" i="12" l="1"/>
  <c r="I21" i="10"/>
  <c r="G38" i="12"/>
  <c r="H38" i="12"/>
  <c r="I38" i="12" l="1"/>
  <c r="I22" i="12" l="1"/>
  <c r="H22" i="12"/>
  <c r="G26" i="12"/>
  <c r="H29" i="11" l="1"/>
  <c r="H23" i="11"/>
  <c r="H26" i="11"/>
  <c r="H21" i="11" l="1"/>
  <c r="H14" i="11" l="1"/>
  <c r="M19" i="6"/>
  <c r="S19" i="6" s="1"/>
  <c r="M21" i="6"/>
  <c r="O21" i="6" l="1"/>
  <c r="P21" i="6" s="1"/>
  <c r="Q21" i="6" s="1"/>
  <c r="F21" i="6"/>
  <c r="I21" i="6" s="1"/>
  <c r="J21" i="6" s="1"/>
  <c r="K21" i="6" s="1"/>
  <c r="P20" i="6"/>
  <c r="Q20" i="6" s="1"/>
  <c r="O20" i="6"/>
  <c r="F20" i="6"/>
  <c r="I20" i="6" s="1"/>
  <c r="J20" i="6" s="1"/>
  <c r="K20" i="6" s="1"/>
  <c r="O19" i="6"/>
  <c r="P19" i="6" s="1"/>
  <c r="Q19" i="6" s="1"/>
  <c r="F19" i="6"/>
  <c r="I19" i="6" s="1"/>
  <c r="J19" i="6" s="1"/>
  <c r="K19" i="6" s="1"/>
  <c r="K18" i="6"/>
  <c r="L17" i="6"/>
  <c r="M17" i="6" s="1"/>
  <c r="M16" i="6" s="1"/>
  <c r="K17" i="6"/>
  <c r="Q16" i="6"/>
  <c r="P16" i="6"/>
  <c r="O16" i="6"/>
  <c r="N16" i="6"/>
  <c r="N14" i="6" s="1"/>
  <c r="L16" i="6"/>
  <c r="J16" i="6"/>
  <c r="K16" i="6" s="1"/>
  <c r="I16" i="6"/>
  <c r="F16" i="6"/>
  <c r="E16" i="6"/>
  <c r="E14" i="6" s="1"/>
  <c r="D16" i="6"/>
  <c r="D14" i="6" s="1"/>
  <c r="C16" i="6"/>
  <c r="C14" i="6" s="1"/>
  <c r="L15" i="6"/>
  <c r="I15" i="6"/>
  <c r="O13" i="6"/>
  <c r="P13" i="6" s="1"/>
  <c r="Q13" i="6" s="1"/>
  <c r="I13" i="6"/>
  <c r="J13" i="6" s="1"/>
  <c r="K13" i="6" s="1"/>
  <c r="O11" i="6"/>
  <c r="O10" i="6" s="1"/>
  <c r="D11" i="6"/>
  <c r="E11" i="6" s="1"/>
  <c r="E10" i="6" s="1"/>
  <c r="E8" i="6" s="1"/>
  <c r="N10" i="6"/>
  <c r="N8" i="6" s="1"/>
  <c r="M10" i="6"/>
  <c r="M8" i="6" s="1"/>
  <c r="L10" i="6"/>
  <c r="L8" i="6" s="1"/>
  <c r="C10" i="6"/>
  <c r="C8" i="6" s="1"/>
  <c r="L14" i="6" l="1"/>
  <c r="F11" i="6"/>
  <c r="D10" i="6"/>
  <c r="D8" i="6" s="1"/>
  <c r="O8" i="6"/>
  <c r="I14" i="6"/>
  <c r="F14" i="6"/>
  <c r="J15" i="6"/>
  <c r="M15" i="6"/>
  <c r="P11" i="6"/>
  <c r="F10" i="6" l="1"/>
  <c r="F8" i="6" s="1"/>
  <c r="I11" i="6"/>
  <c r="P10" i="6"/>
  <c r="P8" i="6" s="1"/>
  <c r="Q11" i="6"/>
  <c r="Q10" i="6" s="1"/>
  <c r="Q8" i="6" s="1"/>
  <c r="M14" i="6"/>
  <c r="O15" i="6"/>
  <c r="J14" i="6"/>
  <c r="K15" i="6"/>
  <c r="K14" i="6" s="1"/>
  <c r="J11" i="6" l="1"/>
  <c r="I10" i="6"/>
  <c r="I8" i="6" s="1"/>
  <c r="O14" i="6"/>
  <c r="P15" i="6"/>
  <c r="K11" i="6" l="1"/>
  <c r="K10" i="6" s="1"/>
  <c r="K8" i="6" s="1"/>
  <c r="J10" i="6"/>
  <c r="J8" i="6" s="1"/>
  <c r="Q15" i="6"/>
  <c r="Q14" i="6" s="1"/>
  <c r="P14" i="6"/>
  <c r="Q15" i="8"/>
  <c r="P15" i="8"/>
  <c r="L63" i="4" l="1"/>
  <c r="L62" i="4" s="1"/>
  <c r="J63" i="4"/>
  <c r="J62" i="4" s="1"/>
  <c r="K48" i="8" l="1"/>
  <c r="M45" i="8" l="1"/>
  <c r="L53" i="5" l="1"/>
  <c r="M53" i="5"/>
  <c r="P45" i="8" s="1"/>
  <c r="N53" i="5"/>
  <c r="Q45" i="8" s="1"/>
  <c r="M47" i="8"/>
  <c r="K44" i="8"/>
  <c r="O42" i="8"/>
  <c r="L74" i="5"/>
  <c r="L75" i="5"/>
  <c r="L76" i="5"/>
  <c r="L77" i="5"/>
  <c r="L78" i="5"/>
  <c r="L79" i="5"/>
  <c r="L73" i="5"/>
  <c r="L57" i="5"/>
  <c r="L49" i="5"/>
  <c r="L50" i="5"/>
  <c r="L51" i="5"/>
  <c r="L52" i="5"/>
  <c r="L54" i="5"/>
  <c r="L55" i="5"/>
  <c r="L56" i="5"/>
  <c r="L48" i="5"/>
  <c r="H66" i="5"/>
  <c r="H67" i="5"/>
  <c r="H68" i="5"/>
  <c r="H69" i="5"/>
  <c r="L45" i="5"/>
  <c r="L46" i="5"/>
  <c r="L47" i="5"/>
  <c r="I44" i="5"/>
  <c r="F29" i="12" s="1"/>
  <c r="J44" i="5"/>
  <c r="K44" i="5"/>
  <c r="O49" i="8" s="1"/>
  <c r="M44" i="5"/>
  <c r="N44" i="5"/>
  <c r="K53" i="5"/>
  <c r="H44" i="5"/>
  <c r="I26" i="5"/>
  <c r="J26" i="5"/>
  <c r="K26" i="5"/>
  <c r="M26" i="5"/>
  <c r="N26" i="5"/>
  <c r="H10" i="11"/>
  <c r="H11" i="11"/>
  <c r="G22" i="12"/>
  <c r="G23" i="12"/>
  <c r="H19" i="11"/>
  <c r="H25" i="11"/>
  <c r="I10" i="10"/>
  <c r="I12" i="10"/>
  <c r="I13" i="10"/>
  <c r="I19" i="10"/>
  <c r="R78" i="2"/>
  <c r="R81" i="2" s="1"/>
  <c r="M59" i="4" s="1"/>
  <c r="O13" i="2"/>
  <c r="O21" i="2"/>
  <c r="O27" i="2"/>
  <c r="O39" i="2"/>
  <c r="G16" i="9" s="1"/>
  <c r="O49" i="2"/>
  <c r="O52" i="2"/>
  <c r="K21" i="3" s="1"/>
  <c r="O72" i="2"/>
  <c r="K33" i="3" s="1"/>
  <c r="N13" i="2"/>
  <c r="F13" i="9" s="1"/>
  <c r="N21" i="2"/>
  <c r="N27" i="2"/>
  <c r="N39" i="2"/>
  <c r="F16" i="9" s="1"/>
  <c r="N49" i="2"/>
  <c r="J13" i="3" s="1"/>
  <c r="N52" i="2"/>
  <c r="N72" i="2"/>
  <c r="J33" i="3" s="1"/>
  <c r="M13" i="2"/>
  <c r="D13" i="9" s="1"/>
  <c r="M21" i="2"/>
  <c r="M27" i="2"/>
  <c r="M39" i="2"/>
  <c r="M49" i="2"/>
  <c r="I13" i="3" s="1"/>
  <c r="M52" i="2"/>
  <c r="I21" i="3" s="1"/>
  <c r="M72" i="2"/>
  <c r="I33" i="3" s="1"/>
  <c r="H36" i="12"/>
  <c r="I36" i="12" s="1"/>
  <c r="I23" i="12" s="1"/>
  <c r="P13" i="8"/>
  <c r="P14" i="8"/>
  <c r="O12" i="8"/>
  <c r="O10" i="8" s="1"/>
  <c r="Q13" i="8"/>
  <c r="Q14" i="8"/>
  <c r="H25" i="12"/>
  <c r="I25" i="12" s="1"/>
  <c r="T78" i="2"/>
  <c r="K29" i="11" s="1"/>
  <c r="J26" i="12"/>
  <c r="K26" i="12"/>
  <c r="L26" i="12"/>
  <c r="S78" i="2"/>
  <c r="R74" i="2"/>
  <c r="R75" i="2" s="1"/>
  <c r="S74" i="2"/>
  <c r="S75" i="2" s="1"/>
  <c r="T74" i="2"/>
  <c r="T75" i="2" s="1"/>
  <c r="F43" i="12"/>
  <c r="F37" i="12"/>
  <c r="F32" i="12" s="1"/>
  <c r="I29" i="10"/>
  <c r="J21" i="10"/>
  <c r="J30" i="10" s="1"/>
  <c r="H20" i="10"/>
  <c r="H19" i="10" s="1"/>
  <c r="H23" i="10"/>
  <c r="L49" i="8"/>
  <c r="N49" i="8" s="1"/>
  <c r="L44" i="4"/>
  <c r="L40" i="4" s="1"/>
  <c r="L25" i="8" s="1"/>
  <c r="L19" i="4"/>
  <c r="L18" i="4" s="1"/>
  <c r="J38" i="12"/>
  <c r="K38" i="12"/>
  <c r="L38" i="12"/>
  <c r="O23" i="4"/>
  <c r="N23" i="4"/>
  <c r="L54" i="2"/>
  <c r="L74" i="2"/>
  <c r="L72" i="2" s="1"/>
  <c r="Y75" i="2"/>
  <c r="Y76" i="2" s="1"/>
  <c r="X75" i="2"/>
  <c r="X76" i="2" s="1"/>
  <c r="P31" i="8"/>
  <c r="J30" i="11" s="1"/>
  <c r="Q31" i="8"/>
  <c r="K30" i="11" s="1"/>
  <c r="M60" i="4"/>
  <c r="O31" i="8" s="1"/>
  <c r="Q36" i="8"/>
  <c r="I43" i="12"/>
  <c r="K17" i="11" s="1"/>
  <c r="K22" i="11"/>
  <c r="P36" i="8"/>
  <c r="H45" i="12"/>
  <c r="H16" i="12" s="1"/>
  <c r="H12" i="12" s="1"/>
  <c r="I35" i="12"/>
  <c r="H35" i="12"/>
  <c r="F26" i="12"/>
  <c r="M29" i="8"/>
  <c r="N29" i="8"/>
  <c r="M30" i="8"/>
  <c r="N30" i="8"/>
  <c r="N33" i="8"/>
  <c r="M33" i="8"/>
  <c r="N71" i="5"/>
  <c r="O39" i="4" s="1"/>
  <c r="Q26" i="8" s="1"/>
  <c r="M71" i="5"/>
  <c r="N39" i="4" s="1"/>
  <c r="P26" i="8" s="1"/>
  <c r="G46" i="12"/>
  <c r="G43" i="12"/>
  <c r="F40" i="12"/>
  <c r="E43" i="12"/>
  <c r="E40" i="12"/>
  <c r="I40" i="12"/>
  <c r="H40" i="12"/>
  <c r="G40" i="12"/>
  <c r="E32" i="12"/>
  <c r="E30" i="12"/>
  <c r="E26" i="12"/>
  <c r="I16" i="12"/>
  <c r="I12" i="12" s="1"/>
  <c r="G16" i="12"/>
  <c r="G12" i="12" s="1"/>
  <c r="F16" i="12"/>
  <c r="F12" i="12" s="1"/>
  <c r="E16" i="12"/>
  <c r="E12" i="12" s="1"/>
  <c r="N50" i="8"/>
  <c r="M50" i="8"/>
  <c r="Q44" i="8"/>
  <c r="N45" i="8"/>
  <c r="P44" i="8"/>
  <c r="L72" i="5"/>
  <c r="K71" i="5"/>
  <c r="M39" i="4" s="1"/>
  <c r="H24" i="11" s="1"/>
  <c r="I24" i="11" s="1"/>
  <c r="I71" i="5"/>
  <c r="J71" i="5"/>
  <c r="H71" i="5"/>
  <c r="J70" i="5"/>
  <c r="J69" i="5"/>
  <c r="I69" i="5"/>
  <c r="K22" i="5" s="1"/>
  <c r="K69" i="5" s="1"/>
  <c r="M22" i="5" s="1"/>
  <c r="M69" i="5" s="1"/>
  <c r="N22" i="5" s="1"/>
  <c r="N69" i="5" s="1"/>
  <c r="J68" i="5"/>
  <c r="I68" i="5"/>
  <c r="K21" i="5" s="1"/>
  <c r="K68" i="5" s="1"/>
  <c r="M21" i="5" s="1"/>
  <c r="M68" i="5" s="1"/>
  <c r="N21" i="5" s="1"/>
  <c r="N68" i="5" s="1"/>
  <c r="J67" i="5"/>
  <c r="I67" i="5"/>
  <c r="K20" i="5" s="1"/>
  <c r="K67" i="5" s="1"/>
  <c r="M20" i="5" s="1"/>
  <c r="M67" i="5" s="1"/>
  <c r="N20" i="5" s="1"/>
  <c r="N67" i="5" s="1"/>
  <c r="J66" i="5"/>
  <c r="I66" i="5"/>
  <c r="K19" i="5" s="1"/>
  <c r="K66" i="5" s="1"/>
  <c r="M19" i="5" s="1"/>
  <c r="M66" i="5" s="1"/>
  <c r="N19" i="5" s="1"/>
  <c r="N66" i="5" s="1"/>
  <c r="J65" i="5"/>
  <c r="K18" i="5"/>
  <c r="J64" i="5"/>
  <c r="J62" i="5"/>
  <c r="J63" i="5"/>
  <c r="K17" i="5"/>
  <c r="K64" i="5" s="1"/>
  <c r="K16" i="5"/>
  <c r="K63" i="5" s="1"/>
  <c r="H8" i="5"/>
  <c r="K42" i="8" s="1"/>
  <c r="M42" i="8" s="1"/>
  <c r="L8" i="5"/>
  <c r="I43" i="5"/>
  <c r="I42" i="5" s="1"/>
  <c r="J43" i="5"/>
  <c r="J42" i="5" s="1"/>
  <c r="N32" i="5"/>
  <c r="N31" i="5" s="1"/>
  <c r="M32" i="5"/>
  <c r="M31" i="5" s="1"/>
  <c r="K32" i="5"/>
  <c r="K31" i="5" s="1"/>
  <c r="I32" i="5"/>
  <c r="I31" i="5" s="1"/>
  <c r="J32" i="5"/>
  <c r="J31" i="5" s="1"/>
  <c r="H32" i="5"/>
  <c r="H31" i="5" s="1"/>
  <c r="J14" i="5"/>
  <c r="J11" i="5" s="1"/>
  <c r="J12" i="5" s="1"/>
  <c r="I14" i="5"/>
  <c r="H11" i="5"/>
  <c r="N46" i="8"/>
  <c r="M46" i="8"/>
  <c r="K66" i="4"/>
  <c r="K65" i="4"/>
  <c r="L64" i="4"/>
  <c r="J64" i="4"/>
  <c r="F68" i="17"/>
  <c r="J67" i="17"/>
  <c r="D67" i="17"/>
  <c r="I65" i="17"/>
  <c r="D66" i="17"/>
  <c r="H65" i="17"/>
  <c r="G65" i="17"/>
  <c r="F65" i="17"/>
  <c r="C65" i="17"/>
  <c r="D65" i="17" s="1"/>
  <c r="J63" i="17"/>
  <c r="F63" i="17"/>
  <c r="H63" i="17" s="1"/>
  <c r="J62" i="17"/>
  <c r="F62" i="17"/>
  <c r="M61" i="17"/>
  <c r="I61" i="17"/>
  <c r="G61" i="17"/>
  <c r="D61" i="17"/>
  <c r="C61" i="17"/>
  <c r="J60" i="17"/>
  <c r="D60" i="17"/>
  <c r="F60" i="17" s="1"/>
  <c r="E60" i="17" s="1"/>
  <c r="D59" i="17"/>
  <c r="J59" i="17"/>
  <c r="M58" i="17"/>
  <c r="H58" i="17"/>
  <c r="G58" i="17"/>
  <c r="C58" i="17"/>
  <c r="C56" i="17" s="1"/>
  <c r="D57" i="17"/>
  <c r="E55" i="17"/>
  <c r="I54" i="17"/>
  <c r="I53" i="17"/>
  <c r="F54" i="17"/>
  <c r="F52" i="17" s="1"/>
  <c r="E52" i="17" s="1"/>
  <c r="E53" i="17"/>
  <c r="M52" i="17"/>
  <c r="D52" i="17"/>
  <c r="C52" i="17"/>
  <c r="I51" i="17"/>
  <c r="L50" i="17"/>
  <c r="E50" i="17"/>
  <c r="I49" i="17"/>
  <c r="F49" i="17"/>
  <c r="E49" i="17" s="1"/>
  <c r="K48" i="17"/>
  <c r="H48" i="17"/>
  <c r="E48" i="17" s="1"/>
  <c r="D47" i="17"/>
  <c r="F47" i="17" s="1"/>
  <c r="E47" i="17" s="1"/>
  <c r="H46" i="17"/>
  <c r="F46" i="17"/>
  <c r="F45" i="17"/>
  <c r="E45" i="17" s="1"/>
  <c r="H44" i="17"/>
  <c r="F44" i="17"/>
  <c r="F43" i="17"/>
  <c r="E43" i="17" s="1"/>
  <c r="F42" i="17"/>
  <c r="E42" i="17" s="1"/>
  <c r="F41" i="17"/>
  <c r="E41" i="17" s="1"/>
  <c r="H40" i="17"/>
  <c r="F40" i="17"/>
  <c r="H39" i="17"/>
  <c r="D39" i="17"/>
  <c r="J39" i="17" s="1"/>
  <c r="L39" i="17" s="1"/>
  <c r="F38" i="17"/>
  <c r="E38" i="17" s="1"/>
  <c r="F37" i="17"/>
  <c r="E37" i="17" s="1"/>
  <c r="F36" i="17"/>
  <c r="M34" i="17"/>
  <c r="G34" i="17"/>
  <c r="I33" i="17"/>
  <c r="F33" i="17"/>
  <c r="E33" i="17" s="1"/>
  <c r="L32" i="17"/>
  <c r="I32" i="17"/>
  <c r="F32" i="17"/>
  <c r="E32" i="17" s="1"/>
  <c r="L31" i="17"/>
  <c r="I31" i="17"/>
  <c r="F31" i="17"/>
  <c r="E31" i="17" s="1"/>
  <c r="L30" i="17"/>
  <c r="I30" i="17"/>
  <c r="H30" i="17"/>
  <c r="H20" i="17" s="1"/>
  <c r="F30" i="17"/>
  <c r="L29" i="17"/>
  <c r="I29" i="17"/>
  <c r="F29" i="17"/>
  <c r="E29" i="17" s="1"/>
  <c r="L28" i="17"/>
  <c r="I28" i="17"/>
  <c r="F28" i="17"/>
  <c r="E28" i="17" s="1"/>
  <c r="L27" i="17"/>
  <c r="I27" i="17"/>
  <c r="F27" i="17"/>
  <c r="E27" i="17" s="1"/>
  <c r="L26" i="17"/>
  <c r="I26" i="17"/>
  <c r="F26" i="17"/>
  <c r="E26" i="17" s="1"/>
  <c r="L25" i="17"/>
  <c r="I25" i="17"/>
  <c r="F25" i="17"/>
  <c r="E25" i="17" s="1"/>
  <c r="I24" i="17"/>
  <c r="F24" i="17"/>
  <c r="E24" i="17" s="1"/>
  <c r="I23" i="17"/>
  <c r="F23" i="17"/>
  <c r="E23" i="17" s="1"/>
  <c r="L22" i="17"/>
  <c r="I22" i="17"/>
  <c r="I21" i="17"/>
  <c r="F22" i="17"/>
  <c r="L21" i="17"/>
  <c r="F21" i="17"/>
  <c r="E21" i="17" s="1"/>
  <c r="J20" i="17"/>
  <c r="D20" i="17"/>
  <c r="G20" i="17"/>
  <c r="L19" i="17"/>
  <c r="I19" i="17"/>
  <c r="F19" i="17"/>
  <c r="E19" i="17" s="1"/>
  <c r="H18" i="17"/>
  <c r="E18" i="17" s="1"/>
  <c r="I17" i="17"/>
  <c r="E17" i="17"/>
  <c r="L16" i="17"/>
  <c r="H16" i="17"/>
  <c r="F16" i="17"/>
  <c r="L15" i="17"/>
  <c r="K15" i="17"/>
  <c r="F15" i="17"/>
  <c r="E15" i="17" s="1"/>
  <c r="M14" i="17"/>
  <c r="G14" i="17"/>
  <c r="G12" i="17" s="1"/>
  <c r="G10" i="17" s="1"/>
  <c r="D14" i="17"/>
  <c r="D12" i="17" s="1"/>
  <c r="D10" i="17" s="1"/>
  <c r="C14" i="17"/>
  <c r="C12" i="17" s="1"/>
  <c r="C10" i="17" s="1"/>
  <c r="C8" i="17" s="1"/>
  <c r="M10" i="17"/>
  <c r="J42" i="17"/>
  <c r="L42" i="17" s="1"/>
  <c r="J20" i="10"/>
  <c r="J10" i="11" s="1"/>
  <c r="J45" i="17"/>
  <c r="I45" i="17" s="1"/>
  <c r="I50" i="17"/>
  <c r="I58" i="17"/>
  <c r="J14" i="17"/>
  <c r="J12" i="17" s="1"/>
  <c r="K17" i="17"/>
  <c r="L54" i="17"/>
  <c r="L48" i="17"/>
  <c r="L17" i="17"/>
  <c r="J43" i="17"/>
  <c r="I43" i="17" s="1"/>
  <c r="I16" i="17"/>
  <c r="J40" i="17"/>
  <c r="L40" i="17" s="1"/>
  <c r="J37" i="17"/>
  <c r="L37" i="17" s="1"/>
  <c r="J57" i="17"/>
  <c r="K16" i="17"/>
  <c r="K49" i="17"/>
  <c r="J41" i="17"/>
  <c r="I41" i="17" s="1"/>
  <c r="K50" i="17"/>
  <c r="J65" i="17"/>
  <c r="J46" i="17"/>
  <c r="I46" i="17" s="1"/>
  <c r="J52" i="17"/>
  <c r="L52" i="17" s="1"/>
  <c r="J44" i="17"/>
  <c r="L44" i="17" s="1"/>
  <c r="K67" i="17"/>
  <c r="L49" i="17"/>
  <c r="J36" i="17"/>
  <c r="K36" i="17" s="1"/>
  <c r="J38" i="17"/>
  <c r="L38" i="17" s="1"/>
  <c r="F14" i="11"/>
  <c r="F13" i="11" s="1"/>
  <c r="I30" i="10"/>
  <c r="G21" i="10"/>
  <c r="G19" i="10" s="1"/>
  <c r="G23" i="9"/>
  <c r="F23" i="9"/>
  <c r="K77" i="2"/>
  <c r="K76" i="2"/>
  <c r="G23" i="3" s="1"/>
  <c r="G22" i="3" s="1"/>
  <c r="K75" i="2"/>
  <c r="K74" i="2"/>
  <c r="K73" i="2"/>
  <c r="K70" i="2"/>
  <c r="K71" i="2"/>
  <c r="K56" i="2"/>
  <c r="K54" i="2"/>
  <c r="K53" i="2"/>
  <c r="K52" i="2" s="1"/>
  <c r="G21" i="3" s="1"/>
  <c r="K51" i="2"/>
  <c r="K50" i="2"/>
  <c r="K48" i="2"/>
  <c r="G15" i="3" s="1"/>
  <c r="K47" i="2"/>
  <c r="G26" i="3" s="1"/>
  <c r="K45" i="2"/>
  <c r="G20" i="3" s="1"/>
  <c r="K30" i="2"/>
  <c r="K28" i="2"/>
  <c r="K26" i="2"/>
  <c r="K23" i="2"/>
  <c r="K22" i="2"/>
  <c r="K19" i="2"/>
  <c r="K16" i="2"/>
  <c r="K14" i="2"/>
  <c r="J72" i="2"/>
  <c r="K72" i="2" s="1"/>
  <c r="J49" i="2"/>
  <c r="E53" i="1"/>
  <c r="E52" i="1"/>
  <c r="E51" i="1"/>
  <c r="E50" i="1"/>
  <c r="E49" i="1"/>
  <c r="E48" i="1"/>
  <c r="E47" i="1"/>
  <c r="E35" i="1"/>
  <c r="E34" i="1"/>
  <c r="F34" i="1" s="1"/>
  <c r="E33" i="1"/>
  <c r="F33" i="1" s="1"/>
  <c r="E32" i="1"/>
  <c r="F30" i="1"/>
  <c r="E30" i="1"/>
  <c r="E29" i="1"/>
  <c r="L23" i="1"/>
  <c r="G23" i="1"/>
  <c r="F23" i="1"/>
  <c r="E23" i="1"/>
  <c r="D23" i="1"/>
  <c r="A23" i="1"/>
  <c r="A24" i="1" s="1"/>
  <c r="G21" i="1"/>
  <c r="E21" i="1"/>
  <c r="G19" i="1"/>
  <c r="E19" i="1"/>
  <c r="L17" i="1"/>
  <c r="K17" i="1"/>
  <c r="J17" i="1"/>
  <c r="I17" i="1"/>
  <c r="H17" i="1"/>
  <c r="E17" i="1"/>
  <c r="F16" i="1"/>
  <c r="D16" i="1"/>
  <c r="E16" i="1" s="1"/>
  <c r="G13" i="1"/>
  <c r="N21" i="4"/>
  <c r="N22" i="4"/>
  <c r="O21" i="4"/>
  <c r="O22" i="4"/>
  <c r="Q59" i="4"/>
  <c r="N85" i="2"/>
  <c r="O85" i="2" s="1"/>
  <c r="K31" i="3"/>
  <c r="J31" i="3"/>
  <c r="T12" i="11"/>
  <c r="E39" i="18"/>
  <c r="E38" i="18"/>
  <c r="F37" i="18"/>
  <c r="F36" i="18"/>
  <c r="F35" i="18"/>
  <c r="D34" i="18"/>
  <c r="C34" i="18"/>
  <c r="D33" i="18"/>
  <c r="F33" i="18" s="1"/>
  <c r="F32" i="18"/>
  <c r="G31" i="18"/>
  <c r="A31" i="18"/>
  <c r="E29" i="18"/>
  <c r="D29" i="18"/>
  <c r="C29" i="18"/>
  <c r="F28" i="18"/>
  <c r="F27" i="18"/>
  <c r="F26" i="18"/>
  <c r="G24" i="18"/>
  <c r="F23" i="18"/>
  <c r="A22" i="18"/>
  <c r="A23" i="18" s="1"/>
  <c r="A24" i="18" s="1"/>
  <c r="A25" i="18" s="1"/>
  <c r="A26" i="18" s="1"/>
  <c r="G21" i="18"/>
  <c r="G18" i="18"/>
  <c r="F17" i="18"/>
  <c r="F16" i="18"/>
  <c r="A15" i="18"/>
  <c r="E13" i="18"/>
  <c r="D13" i="18"/>
  <c r="C13" i="18"/>
  <c r="C10" i="18"/>
  <c r="D8" i="18"/>
  <c r="G14" i="18"/>
  <c r="F24" i="18"/>
  <c r="G27" i="18"/>
  <c r="L49" i="2"/>
  <c r="H13" i="3" s="1"/>
  <c r="L27" i="8"/>
  <c r="M27" i="8" s="1"/>
  <c r="L13" i="8"/>
  <c r="L14" i="8"/>
  <c r="M14" i="8" s="1"/>
  <c r="H31" i="3"/>
  <c r="G31" i="3"/>
  <c r="K87" i="2"/>
  <c r="G18" i="3" s="1"/>
  <c r="G86" i="2"/>
  <c r="G85" i="2"/>
  <c r="K84" i="2"/>
  <c r="O84" i="2"/>
  <c r="E84" i="2"/>
  <c r="K83" i="2"/>
  <c r="E83" i="2"/>
  <c r="J82" i="2"/>
  <c r="I82" i="2"/>
  <c r="F17" i="3" s="1"/>
  <c r="H82" i="2"/>
  <c r="G82" i="2"/>
  <c r="F82" i="2"/>
  <c r="D82" i="2"/>
  <c r="D81" i="2" s="1"/>
  <c r="D74" i="2"/>
  <c r="D72" i="2" s="1"/>
  <c r="S73" i="2"/>
  <c r="H72" i="2"/>
  <c r="G72" i="2"/>
  <c r="F72" i="2"/>
  <c r="D33" i="3" s="1"/>
  <c r="E72" i="2"/>
  <c r="K58" i="2"/>
  <c r="H58" i="2"/>
  <c r="H56" i="2" s="1"/>
  <c r="I56" i="2"/>
  <c r="F29" i="3" s="1"/>
  <c r="G56" i="2"/>
  <c r="E29" i="3" s="1"/>
  <c r="F56" i="2"/>
  <c r="D29" i="3" s="1"/>
  <c r="H54" i="2"/>
  <c r="H52" i="2" s="1"/>
  <c r="G54" i="2"/>
  <c r="G52" i="2" s="1"/>
  <c r="E21" i="3" s="1"/>
  <c r="L52" i="2"/>
  <c r="H21" i="3" s="1"/>
  <c r="J52" i="2"/>
  <c r="I52" i="2"/>
  <c r="F21" i="3" s="1"/>
  <c r="F52" i="2"/>
  <c r="D21" i="3" s="1"/>
  <c r="E52" i="2"/>
  <c r="I51" i="2"/>
  <c r="H49" i="2"/>
  <c r="G49" i="2"/>
  <c r="E13" i="3" s="1"/>
  <c r="F49" i="2"/>
  <c r="D13" i="3" s="1"/>
  <c r="E49" i="2"/>
  <c r="D49" i="2"/>
  <c r="D16" i="9"/>
  <c r="L39" i="2"/>
  <c r="C16" i="9" s="1"/>
  <c r="K39" i="2"/>
  <c r="J39" i="2"/>
  <c r="I39" i="2"/>
  <c r="H39" i="2"/>
  <c r="G39" i="2"/>
  <c r="F39" i="2"/>
  <c r="E39" i="2"/>
  <c r="D39" i="2"/>
  <c r="F15" i="9"/>
  <c r="D15" i="9"/>
  <c r="L27" i="2"/>
  <c r="C15" i="9" s="1"/>
  <c r="J27" i="2"/>
  <c r="I27" i="2"/>
  <c r="H27" i="2"/>
  <c r="G27" i="2"/>
  <c r="F27" i="2"/>
  <c r="E27" i="2"/>
  <c r="D27" i="2"/>
  <c r="G14" i="9"/>
  <c r="F14" i="9"/>
  <c r="L21" i="2"/>
  <c r="J21" i="2"/>
  <c r="I21" i="2"/>
  <c r="H21" i="2"/>
  <c r="G21" i="2"/>
  <c r="F21" i="2"/>
  <c r="E21" i="2"/>
  <c r="D21" i="2"/>
  <c r="F20" i="2"/>
  <c r="F13" i="2" s="1"/>
  <c r="G13" i="9"/>
  <c r="L13" i="2"/>
  <c r="C13" i="9" s="1"/>
  <c r="J13" i="2"/>
  <c r="I13" i="2"/>
  <c r="H13" i="2"/>
  <c r="G13" i="2"/>
  <c r="E13" i="2"/>
  <c r="D13" i="2"/>
  <c r="F51" i="8"/>
  <c r="E51" i="8"/>
  <c r="J49" i="8"/>
  <c r="F49" i="8"/>
  <c r="E49" i="8"/>
  <c r="J50" i="8"/>
  <c r="I50" i="8"/>
  <c r="F50" i="8"/>
  <c r="E50" i="8"/>
  <c r="G48" i="8"/>
  <c r="D48" i="8"/>
  <c r="C48" i="8"/>
  <c r="J47" i="8"/>
  <c r="I47" i="8"/>
  <c r="J46" i="8"/>
  <c r="I46" i="8"/>
  <c r="F46" i="8"/>
  <c r="E46" i="8"/>
  <c r="J45" i="8"/>
  <c r="I45" i="8"/>
  <c r="F45" i="8"/>
  <c r="E45" i="8"/>
  <c r="H44" i="8"/>
  <c r="J44" i="8" s="1"/>
  <c r="G44" i="8"/>
  <c r="D44" i="8"/>
  <c r="C44" i="8"/>
  <c r="F44" i="8" s="1"/>
  <c r="J43" i="8"/>
  <c r="F43" i="8"/>
  <c r="E43" i="8"/>
  <c r="J42" i="8"/>
  <c r="F42" i="8"/>
  <c r="E42" i="8"/>
  <c r="N41" i="8"/>
  <c r="M41" i="8"/>
  <c r="J41" i="8"/>
  <c r="I41" i="8"/>
  <c r="F41" i="8"/>
  <c r="E41" i="8"/>
  <c r="N40" i="8"/>
  <c r="M40" i="8"/>
  <c r="M39" i="8" s="1"/>
  <c r="J40" i="8"/>
  <c r="I40" i="8"/>
  <c r="I39" i="8" s="1"/>
  <c r="Q39" i="8"/>
  <c r="P39" i="8"/>
  <c r="L39" i="8"/>
  <c r="K39" i="8"/>
  <c r="N39" i="8" s="1"/>
  <c r="H39" i="8"/>
  <c r="G39" i="8"/>
  <c r="F39" i="8"/>
  <c r="E39" i="8"/>
  <c r="N38" i="8"/>
  <c r="F38" i="8"/>
  <c r="E38" i="8"/>
  <c r="N37" i="8"/>
  <c r="M37" i="8"/>
  <c r="J37" i="8"/>
  <c r="H37" i="8"/>
  <c r="I37" i="8" s="1"/>
  <c r="F37" i="8"/>
  <c r="K34" i="8"/>
  <c r="J36" i="8"/>
  <c r="I36" i="8"/>
  <c r="D36" i="8"/>
  <c r="Q35" i="8"/>
  <c r="N35" i="8"/>
  <c r="J35" i="8"/>
  <c r="I35" i="8"/>
  <c r="F35" i="8"/>
  <c r="E35" i="8"/>
  <c r="E24" i="8"/>
  <c r="E25" i="8"/>
  <c r="E26" i="8"/>
  <c r="E27" i="8"/>
  <c r="E28" i="8"/>
  <c r="H34" i="8"/>
  <c r="G34" i="8"/>
  <c r="G15" i="8" s="1"/>
  <c r="I15" i="8" s="1"/>
  <c r="C34" i="8"/>
  <c r="C15" i="8" s="1"/>
  <c r="N28" i="8"/>
  <c r="M28" i="8"/>
  <c r="J28" i="8"/>
  <c r="I28" i="8"/>
  <c r="F28" i="8"/>
  <c r="J27" i="8"/>
  <c r="F27" i="8"/>
  <c r="J26" i="8"/>
  <c r="F26" i="8"/>
  <c r="J25" i="8"/>
  <c r="F25" i="8"/>
  <c r="J24" i="8"/>
  <c r="F24" i="8"/>
  <c r="H23" i="8"/>
  <c r="G23" i="8"/>
  <c r="G21" i="8" s="1"/>
  <c r="C23" i="8"/>
  <c r="C21" i="8" s="1"/>
  <c r="M20" i="8"/>
  <c r="Q38" i="8"/>
  <c r="P38" i="8"/>
  <c r="O38" i="8"/>
  <c r="N19" i="8"/>
  <c r="H38" i="8"/>
  <c r="J38" i="8" s="1"/>
  <c r="F19" i="8"/>
  <c r="E19" i="8"/>
  <c r="N18" i="8"/>
  <c r="M18" i="8"/>
  <c r="J18" i="8"/>
  <c r="I18" i="8"/>
  <c r="F18" i="8"/>
  <c r="E18" i="8"/>
  <c r="N17" i="8"/>
  <c r="M17" i="8"/>
  <c r="J17" i="8"/>
  <c r="I17" i="8"/>
  <c r="F17" i="8"/>
  <c r="E17" i="8"/>
  <c r="N16" i="8"/>
  <c r="M16" i="8"/>
  <c r="J16" i="8"/>
  <c r="I16" i="8"/>
  <c r="F16" i="8"/>
  <c r="E16" i="8"/>
  <c r="N15" i="8"/>
  <c r="M15" i="8"/>
  <c r="J14" i="8"/>
  <c r="I14" i="8"/>
  <c r="I13" i="8"/>
  <c r="I11" i="8"/>
  <c r="I19" i="8"/>
  <c r="F14" i="8"/>
  <c r="E14" i="8"/>
  <c r="J13" i="8"/>
  <c r="F13" i="8"/>
  <c r="E13" i="8"/>
  <c r="K12" i="8"/>
  <c r="K10" i="8" s="1"/>
  <c r="H12" i="8"/>
  <c r="H10" i="8" s="1"/>
  <c r="H9" i="8" s="1"/>
  <c r="G12" i="8"/>
  <c r="D12" i="8"/>
  <c r="D10" i="8" s="1"/>
  <c r="C12" i="8"/>
  <c r="N11" i="8"/>
  <c r="M11" i="8"/>
  <c r="J11" i="8"/>
  <c r="F11" i="8"/>
  <c r="E11" i="8"/>
  <c r="I62" i="4"/>
  <c r="H62" i="4"/>
  <c r="O54" i="4"/>
  <c r="J53" i="4"/>
  <c r="G53" i="4"/>
  <c r="H44" i="4"/>
  <c r="H40" i="4" s="1"/>
  <c r="F44" i="4"/>
  <c r="F40" i="4" s="1"/>
  <c r="E44" i="4"/>
  <c r="E40" i="4" s="1"/>
  <c r="E16" i="4"/>
  <c r="D44" i="4"/>
  <c r="D40" i="4" s="1"/>
  <c r="D14" i="4" s="1"/>
  <c r="D13" i="4" s="1"/>
  <c r="J40" i="4"/>
  <c r="J7" i="4" s="1"/>
  <c r="I40" i="4"/>
  <c r="G40" i="4"/>
  <c r="G7" i="4" s="1"/>
  <c r="L25" i="4"/>
  <c r="I25" i="4"/>
  <c r="H25" i="4"/>
  <c r="F25" i="4"/>
  <c r="E25" i="4"/>
  <c r="D25" i="4"/>
  <c r="F23" i="4"/>
  <c r="F22" i="4"/>
  <c r="F20" i="4"/>
  <c r="J19" i="4"/>
  <c r="J25" i="4" s="1"/>
  <c r="I19" i="4"/>
  <c r="I18" i="4" s="1"/>
  <c r="I16" i="4" s="1"/>
  <c r="I14" i="4" s="1"/>
  <c r="H19" i="4"/>
  <c r="H18" i="4" s="1"/>
  <c r="H16" i="4" s="1"/>
  <c r="G19" i="4"/>
  <c r="G18" i="4" s="1"/>
  <c r="G16" i="4" s="1"/>
  <c r="E19" i="4"/>
  <c r="D19" i="4"/>
  <c r="F17" i="4"/>
  <c r="D16" i="4"/>
  <c r="J23" i="8"/>
  <c r="N36" i="8"/>
  <c r="K25" i="4"/>
  <c r="K19" i="4"/>
  <c r="K18" i="4" s="1"/>
  <c r="K16" i="4" s="1"/>
  <c r="D23" i="8"/>
  <c r="I27" i="8"/>
  <c r="L34" i="8"/>
  <c r="J19" i="8"/>
  <c r="I24" i="8"/>
  <c r="I26" i="8"/>
  <c r="G10" i="8"/>
  <c r="L38" i="8"/>
  <c r="M38" i="8" s="1"/>
  <c r="M19" i="8"/>
  <c r="I25" i="8"/>
  <c r="M35" i="8"/>
  <c r="M36" i="8"/>
  <c r="I42" i="8"/>
  <c r="I43" i="8"/>
  <c r="H48" i="8"/>
  <c r="I49" i="8"/>
  <c r="D23" i="9"/>
  <c r="H29" i="3"/>
  <c r="I31" i="3"/>
  <c r="G27" i="10"/>
  <c r="G13" i="10"/>
  <c r="G12" i="10"/>
  <c r="C30" i="9"/>
  <c r="C22" i="9"/>
  <c r="C21" i="9"/>
  <c r="C20" i="9"/>
  <c r="C19" i="9"/>
  <c r="C17" i="9"/>
  <c r="H36" i="3"/>
  <c r="H35" i="3"/>
  <c r="H30" i="3"/>
  <c r="H28" i="3"/>
  <c r="H27" i="3"/>
  <c r="H26" i="3"/>
  <c r="H23" i="3"/>
  <c r="H22" i="3" s="1"/>
  <c r="H20" i="3"/>
  <c r="H18" i="3"/>
  <c r="H16" i="3"/>
  <c r="H15" i="3"/>
  <c r="H14" i="3"/>
  <c r="H12" i="3"/>
  <c r="H11" i="3"/>
  <c r="G36" i="3"/>
  <c r="G33" i="3"/>
  <c r="G30" i="3"/>
  <c r="G29" i="3"/>
  <c r="G28" i="3"/>
  <c r="G27" i="3"/>
  <c r="G12" i="3"/>
  <c r="E35" i="3"/>
  <c r="E30" i="3"/>
  <c r="E28" i="3"/>
  <c r="E27" i="3"/>
  <c r="E26" i="3"/>
  <c r="E23" i="3"/>
  <c r="E22" i="3" s="1"/>
  <c r="E20" i="3"/>
  <c r="E18" i="3"/>
  <c r="E16" i="3"/>
  <c r="E15" i="3"/>
  <c r="E14" i="3"/>
  <c r="E12" i="3"/>
  <c r="E11" i="3"/>
  <c r="H13" i="10"/>
  <c r="J25" i="11"/>
  <c r="K13" i="10"/>
  <c r="J13" i="10"/>
  <c r="K25" i="11"/>
  <c r="F17" i="9"/>
  <c r="G17" i="9"/>
  <c r="F19" i="9"/>
  <c r="G19" i="9"/>
  <c r="F21" i="9"/>
  <c r="G21" i="9"/>
  <c r="F22" i="9"/>
  <c r="G22" i="9"/>
  <c r="F30" i="9"/>
  <c r="G30" i="9"/>
  <c r="E12" i="9"/>
  <c r="E24" i="9"/>
  <c r="E25" i="9"/>
  <c r="E26" i="9"/>
  <c r="D17" i="9"/>
  <c r="D19" i="9"/>
  <c r="E19" i="9" s="1"/>
  <c r="D21" i="9"/>
  <c r="D22" i="9"/>
  <c r="D30" i="9"/>
  <c r="D31" i="9" s="1"/>
  <c r="I11" i="3"/>
  <c r="J11" i="3"/>
  <c r="K11" i="3"/>
  <c r="I12" i="3"/>
  <c r="J12" i="3"/>
  <c r="K12" i="3"/>
  <c r="I14" i="3"/>
  <c r="J14" i="3"/>
  <c r="K14" i="3"/>
  <c r="I15" i="3"/>
  <c r="J15" i="3"/>
  <c r="K15" i="3"/>
  <c r="I16" i="3"/>
  <c r="J16" i="3"/>
  <c r="K16" i="3"/>
  <c r="I20" i="3"/>
  <c r="J20" i="3"/>
  <c r="K20" i="3"/>
  <c r="K19" i="3" s="1"/>
  <c r="I23" i="3"/>
  <c r="I22" i="3" s="1"/>
  <c r="J23" i="3"/>
  <c r="J22" i="3" s="1"/>
  <c r="K23" i="3"/>
  <c r="K22" i="3" s="1"/>
  <c r="I26" i="3"/>
  <c r="J26" i="3"/>
  <c r="K26" i="3"/>
  <c r="I27" i="3"/>
  <c r="J27" i="3"/>
  <c r="K27" i="3"/>
  <c r="I28" i="3"/>
  <c r="J28" i="3"/>
  <c r="K28" i="3"/>
  <c r="I30" i="3"/>
  <c r="J30" i="3"/>
  <c r="K30" i="3"/>
  <c r="I35" i="3"/>
  <c r="I32" i="3" s="1"/>
  <c r="J35" i="3"/>
  <c r="K35" i="3"/>
  <c r="I36" i="3"/>
  <c r="J36" i="3"/>
  <c r="K36" i="3"/>
  <c r="F11" i="3"/>
  <c r="F12" i="3"/>
  <c r="F13" i="3"/>
  <c r="F14" i="3"/>
  <c r="F15" i="3"/>
  <c r="F16" i="3"/>
  <c r="F18" i="3"/>
  <c r="F20" i="3"/>
  <c r="F19" i="3" s="1"/>
  <c r="F23" i="3"/>
  <c r="F22" i="3" s="1"/>
  <c r="F26" i="3"/>
  <c r="F27" i="3"/>
  <c r="F28" i="3"/>
  <c r="F30" i="3"/>
  <c r="F33" i="3"/>
  <c r="F35" i="3"/>
  <c r="F36" i="3"/>
  <c r="J21" i="3"/>
  <c r="F20" i="9"/>
  <c r="J29" i="3"/>
  <c r="D20" i="9"/>
  <c r="I29" i="3"/>
  <c r="G18" i="9"/>
  <c r="K13" i="3"/>
  <c r="G20" i="9"/>
  <c r="K29" i="3"/>
  <c r="C14" i="9"/>
  <c r="I25" i="11"/>
  <c r="F19" i="11"/>
  <c r="F10" i="11"/>
  <c r="G10" i="11" s="1"/>
  <c r="H35" i="10"/>
  <c r="H33" i="10" s="1"/>
  <c r="D30" i="10"/>
  <c r="D29" i="10"/>
  <c r="D13" i="10"/>
  <c r="D12" i="10"/>
  <c r="F11" i="11"/>
  <c r="I11" i="11" s="1"/>
  <c r="H30" i="10"/>
  <c r="E36" i="3"/>
  <c r="D36" i="3"/>
  <c r="D30" i="3"/>
  <c r="D28" i="3"/>
  <c r="D27" i="3"/>
  <c r="D26" i="3"/>
  <c r="D23" i="3"/>
  <c r="D22" i="3" s="1"/>
  <c r="D20" i="3"/>
  <c r="D18" i="3"/>
  <c r="D16" i="3"/>
  <c r="D15" i="3"/>
  <c r="D14" i="3"/>
  <c r="D12" i="3"/>
  <c r="D11" i="3"/>
  <c r="P13" i="16"/>
  <c r="Q13" i="16"/>
  <c r="R13" i="16"/>
  <c r="S13" i="16"/>
  <c r="T13" i="16"/>
  <c r="U13" i="16"/>
  <c r="P14" i="16"/>
  <c r="Q14" i="16"/>
  <c r="R14" i="16"/>
  <c r="S14" i="16"/>
  <c r="T14" i="16"/>
  <c r="U14" i="16"/>
  <c r="P15" i="16"/>
  <c r="Q15" i="16"/>
  <c r="R15" i="16"/>
  <c r="S15" i="16"/>
  <c r="T15" i="16"/>
  <c r="U15" i="16"/>
  <c r="P16" i="16"/>
  <c r="Q16" i="16"/>
  <c r="R16" i="16"/>
  <c r="S16" i="16"/>
  <c r="T16" i="16"/>
  <c r="U16" i="16"/>
  <c r="P17" i="16"/>
  <c r="Q17" i="16"/>
  <c r="R17" i="16"/>
  <c r="S17" i="16"/>
  <c r="T17" i="16"/>
  <c r="U17" i="16"/>
  <c r="P18" i="16"/>
  <c r="Q18" i="16"/>
  <c r="R18" i="16"/>
  <c r="S18" i="16"/>
  <c r="T18" i="16"/>
  <c r="U18" i="16"/>
  <c r="P19" i="16"/>
  <c r="Q19" i="16"/>
  <c r="R19" i="16"/>
  <c r="S19" i="16"/>
  <c r="T19" i="16"/>
  <c r="U19" i="16"/>
  <c r="P20" i="16"/>
  <c r="Q20" i="16"/>
  <c r="R20" i="16"/>
  <c r="S20" i="16"/>
  <c r="T20" i="16"/>
  <c r="U20" i="16"/>
  <c r="P21" i="16"/>
  <c r="Q21" i="16"/>
  <c r="R21" i="16"/>
  <c r="S21" i="16"/>
  <c r="T21" i="16"/>
  <c r="U21" i="16"/>
  <c r="P22" i="16"/>
  <c r="Q22" i="16"/>
  <c r="R22" i="16"/>
  <c r="S22" i="16"/>
  <c r="T22" i="16"/>
  <c r="U22" i="16"/>
  <c r="P23" i="16"/>
  <c r="Q23" i="16"/>
  <c r="R23" i="16"/>
  <c r="S23" i="16"/>
  <c r="T23" i="16"/>
  <c r="U23" i="16"/>
  <c r="P24" i="16"/>
  <c r="Q24" i="16"/>
  <c r="R24" i="16"/>
  <c r="S24" i="16"/>
  <c r="T24" i="16"/>
  <c r="U24" i="16"/>
  <c r="P25" i="16"/>
  <c r="Q25" i="16"/>
  <c r="R25" i="16"/>
  <c r="S25" i="16"/>
  <c r="T25" i="16"/>
  <c r="U25" i="16"/>
  <c r="P26" i="16"/>
  <c r="Q26" i="16"/>
  <c r="R26" i="16"/>
  <c r="S26" i="16"/>
  <c r="T26" i="16"/>
  <c r="U26" i="16"/>
  <c r="P27" i="16"/>
  <c r="Q27" i="16"/>
  <c r="R27" i="16"/>
  <c r="S27" i="16"/>
  <c r="T27" i="16"/>
  <c r="U27" i="16"/>
  <c r="P28" i="16"/>
  <c r="Q28" i="16"/>
  <c r="R28" i="16"/>
  <c r="S28" i="16"/>
  <c r="T28" i="16"/>
  <c r="U28" i="16"/>
  <c r="P29" i="16"/>
  <c r="Q29" i="16"/>
  <c r="R29" i="16"/>
  <c r="S29" i="16"/>
  <c r="T29" i="16"/>
  <c r="U29" i="16"/>
  <c r="P30" i="16"/>
  <c r="Q30" i="16"/>
  <c r="R30" i="16"/>
  <c r="S30" i="16"/>
  <c r="T30" i="16"/>
  <c r="U30" i="16"/>
  <c r="P31" i="16"/>
  <c r="Q31" i="16"/>
  <c r="R31" i="16"/>
  <c r="S31" i="16"/>
  <c r="T31" i="16"/>
  <c r="U31" i="16"/>
  <c r="P32" i="16"/>
  <c r="Q32" i="16"/>
  <c r="R32" i="16"/>
  <c r="S32" i="16"/>
  <c r="T32" i="16"/>
  <c r="U32" i="16"/>
  <c r="P33" i="16"/>
  <c r="Q33" i="16"/>
  <c r="R33" i="16"/>
  <c r="S33" i="16"/>
  <c r="T33" i="16"/>
  <c r="U33" i="16"/>
  <c r="P34" i="16"/>
  <c r="Q34" i="16"/>
  <c r="R34" i="16"/>
  <c r="S34" i="16"/>
  <c r="T34" i="16"/>
  <c r="U34" i="16"/>
  <c r="P35" i="16"/>
  <c r="Q35" i="16"/>
  <c r="R35" i="16"/>
  <c r="S35" i="16"/>
  <c r="T35" i="16"/>
  <c r="U35" i="16"/>
  <c r="P36" i="16"/>
  <c r="Q36" i="16"/>
  <c r="R36" i="16"/>
  <c r="S36" i="16"/>
  <c r="T36" i="16"/>
  <c r="U36" i="16"/>
  <c r="P37" i="16"/>
  <c r="Q37" i="16"/>
  <c r="R37" i="16"/>
  <c r="S37" i="16"/>
  <c r="T37" i="16"/>
  <c r="U37" i="16"/>
  <c r="P38" i="16"/>
  <c r="Q38" i="16"/>
  <c r="R38" i="16"/>
  <c r="S38" i="16"/>
  <c r="T38" i="16"/>
  <c r="U38" i="16"/>
  <c r="P39" i="16"/>
  <c r="Q39" i="16"/>
  <c r="R39" i="16"/>
  <c r="S39" i="16"/>
  <c r="T39" i="16"/>
  <c r="U39" i="16"/>
  <c r="P40" i="16"/>
  <c r="Q40" i="16"/>
  <c r="R40" i="16"/>
  <c r="S40" i="16"/>
  <c r="T40" i="16"/>
  <c r="U40" i="16"/>
  <c r="P41" i="16"/>
  <c r="Q41" i="16"/>
  <c r="R41" i="16"/>
  <c r="S41" i="16"/>
  <c r="T41" i="16"/>
  <c r="U41" i="16"/>
  <c r="P42" i="16"/>
  <c r="Q42" i="16"/>
  <c r="R42" i="16"/>
  <c r="S42" i="16"/>
  <c r="T42" i="16"/>
  <c r="U42" i="16"/>
  <c r="P43" i="16"/>
  <c r="Q43" i="16"/>
  <c r="R43" i="16"/>
  <c r="S43" i="16"/>
  <c r="T43" i="16"/>
  <c r="U43" i="16"/>
  <c r="P44" i="16"/>
  <c r="Q44" i="16"/>
  <c r="R44" i="16"/>
  <c r="S44" i="16"/>
  <c r="T44" i="16"/>
  <c r="U44" i="16"/>
  <c r="P45" i="16"/>
  <c r="Q45" i="16"/>
  <c r="R45" i="16"/>
  <c r="S45" i="16"/>
  <c r="T45" i="16"/>
  <c r="U45" i="16"/>
  <c r="P46" i="16"/>
  <c r="Q46" i="16"/>
  <c r="R46" i="16"/>
  <c r="S46" i="16"/>
  <c r="T46" i="16"/>
  <c r="U46" i="16"/>
  <c r="P47" i="16"/>
  <c r="Q47" i="16"/>
  <c r="R47" i="16"/>
  <c r="S47" i="16"/>
  <c r="T47" i="16"/>
  <c r="U47" i="16"/>
  <c r="P48" i="16"/>
  <c r="Q48" i="16"/>
  <c r="R48" i="16"/>
  <c r="S48" i="16"/>
  <c r="T48" i="16"/>
  <c r="U48" i="16"/>
  <c r="P49" i="16"/>
  <c r="Q49" i="16"/>
  <c r="R49" i="16"/>
  <c r="S49" i="16"/>
  <c r="T49" i="16"/>
  <c r="U49" i="16"/>
  <c r="P50" i="16"/>
  <c r="Q50" i="16"/>
  <c r="R50" i="16"/>
  <c r="S50" i="16"/>
  <c r="T50" i="16"/>
  <c r="U50" i="16"/>
  <c r="P51" i="16"/>
  <c r="Q51" i="16"/>
  <c r="R51" i="16"/>
  <c r="S51" i="16"/>
  <c r="T51" i="16"/>
  <c r="U51" i="16"/>
  <c r="P52" i="16"/>
  <c r="Q52" i="16"/>
  <c r="R52" i="16"/>
  <c r="S52" i="16"/>
  <c r="T52" i="16"/>
  <c r="U52" i="16"/>
  <c r="P53" i="16"/>
  <c r="Q53" i="16"/>
  <c r="R53" i="16"/>
  <c r="S53" i="16"/>
  <c r="T53" i="16"/>
  <c r="U53" i="16"/>
  <c r="P54" i="16"/>
  <c r="Q54" i="16"/>
  <c r="R54" i="16"/>
  <c r="S54" i="16"/>
  <c r="T54" i="16"/>
  <c r="U54" i="16"/>
  <c r="P55" i="16"/>
  <c r="Q55" i="16"/>
  <c r="R55" i="16"/>
  <c r="S55" i="16"/>
  <c r="T55" i="16"/>
  <c r="U55" i="16"/>
  <c r="P56" i="16"/>
  <c r="Q56" i="16"/>
  <c r="R56" i="16"/>
  <c r="S56" i="16"/>
  <c r="T56" i="16"/>
  <c r="U56" i="16"/>
  <c r="P57" i="16"/>
  <c r="Q57" i="16"/>
  <c r="R57" i="16"/>
  <c r="S57" i="16"/>
  <c r="T57" i="16"/>
  <c r="U57" i="16"/>
  <c r="P58" i="16"/>
  <c r="Q58" i="16"/>
  <c r="R58" i="16"/>
  <c r="S58" i="16"/>
  <c r="T58" i="16"/>
  <c r="U58" i="16"/>
  <c r="P59" i="16"/>
  <c r="Q59" i="16"/>
  <c r="R59" i="16"/>
  <c r="S59" i="16"/>
  <c r="T59" i="16"/>
  <c r="U59" i="16"/>
  <c r="P60" i="16"/>
  <c r="Q60" i="16"/>
  <c r="R60" i="16"/>
  <c r="S60" i="16"/>
  <c r="T60" i="16"/>
  <c r="U60" i="16"/>
  <c r="P61" i="16"/>
  <c r="Q61" i="16"/>
  <c r="R61" i="16"/>
  <c r="S61" i="16"/>
  <c r="T61" i="16"/>
  <c r="U61" i="16"/>
  <c r="P62" i="16"/>
  <c r="Q62" i="16"/>
  <c r="R62" i="16"/>
  <c r="S62" i="16"/>
  <c r="T62" i="16"/>
  <c r="U62" i="16"/>
  <c r="P63" i="16"/>
  <c r="Q63" i="16"/>
  <c r="R63" i="16"/>
  <c r="S63" i="16"/>
  <c r="T63" i="16"/>
  <c r="U63" i="16"/>
  <c r="P64" i="16"/>
  <c r="Q64" i="16"/>
  <c r="R64" i="16"/>
  <c r="S64" i="16"/>
  <c r="T64" i="16"/>
  <c r="U64" i="16"/>
  <c r="P65" i="16"/>
  <c r="Q65" i="16"/>
  <c r="R65" i="16"/>
  <c r="S65" i="16"/>
  <c r="T65" i="16"/>
  <c r="U65" i="16"/>
  <c r="P66" i="16"/>
  <c r="Q66" i="16"/>
  <c r="R66" i="16"/>
  <c r="S66" i="16"/>
  <c r="T66" i="16"/>
  <c r="U66" i="16"/>
  <c r="P67" i="16"/>
  <c r="Q67" i="16"/>
  <c r="R67" i="16"/>
  <c r="S67" i="16"/>
  <c r="T67" i="16"/>
  <c r="U67" i="16"/>
  <c r="P68" i="16"/>
  <c r="Q68" i="16"/>
  <c r="R68" i="16"/>
  <c r="S68" i="16"/>
  <c r="T68" i="16"/>
  <c r="U68" i="16"/>
  <c r="P69" i="16"/>
  <c r="Q69" i="16"/>
  <c r="R69" i="16"/>
  <c r="S69" i="16"/>
  <c r="T69" i="16"/>
  <c r="U69" i="16"/>
  <c r="P70" i="16"/>
  <c r="Q70" i="16"/>
  <c r="R70" i="16"/>
  <c r="S70" i="16"/>
  <c r="T70" i="16"/>
  <c r="U70" i="16"/>
  <c r="P71" i="16"/>
  <c r="Q71" i="16"/>
  <c r="R71" i="16"/>
  <c r="S71" i="16"/>
  <c r="T71" i="16"/>
  <c r="U71" i="16"/>
  <c r="P72" i="16"/>
  <c r="Q72" i="16"/>
  <c r="R72" i="16"/>
  <c r="S72" i="16"/>
  <c r="T72" i="16"/>
  <c r="U72" i="16"/>
  <c r="P73" i="16"/>
  <c r="Q73" i="16"/>
  <c r="R73" i="16"/>
  <c r="S73" i="16"/>
  <c r="T73" i="16"/>
  <c r="U73" i="16"/>
  <c r="P74" i="16"/>
  <c r="Q74" i="16"/>
  <c r="R74" i="16"/>
  <c r="S74" i="16"/>
  <c r="T74" i="16"/>
  <c r="U74" i="16"/>
  <c r="P75" i="16"/>
  <c r="Q75" i="16"/>
  <c r="R75" i="16"/>
  <c r="S75" i="16"/>
  <c r="T75" i="16"/>
  <c r="U75" i="16"/>
  <c r="P76" i="16"/>
  <c r="Q76" i="16"/>
  <c r="R76" i="16"/>
  <c r="S76" i="16"/>
  <c r="T76" i="16"/>
  <c r="U76" i="16"/>
  <c r="P77" i="16"/>
  <c r="Q77" i="16"/>
  <c r="R77" i="16"/>
  <c r="S77" i="16"/>
  <c r="T77" i="16"/>
  <c r="U77" i="16"/>
  <c r="P78" i="16"/>
  <c r="Q78" i="16"/>
  <c r="R78" i="16"/>
  <c r="S78" i="16"/>
  <c r="T78" i="16"/>
  <c r="U78" i="16"/>
  <c r="P79" i="16"/>
  <c r="Q79" i="16"/>
  <c r="R79" i="16"/>
  <c r="S79" i="16"/>
  <c r="T79" i="16"/>
  <c r="U79" i="16"/>
  <c r="P80" i="16"/>
  <c r="Q80" i="16"/>
  <c r="R80" i="16"/>
  <c r="S80" i="16"/>
  <c r="T80" i="16"/>
  <c r="U80" i="16"/>
  <c r="P81" i="16"/>
  <c r="Q81" i="16"/>
  <c r="R81" i="16"/>
  <c r="S81" i="16"/>
  <c r="T81" i="16"/>
  <c r="U81" i="16"/>
  <c r="P82" i="16"/>
  <c r="Q82" i="16"/>
  <c r="R82" i="16"/>
  <c r="S82" i="16"/>
  <c r="T82" i="16"/>
  <c r="U82" i="16"/>
  <c r="P83" i="16"/>
  <c r="Q83" i="16"/>
  <c r="R83" i="16"/>
  <c r="S83" i="16"/>
  <c r="T83" i="16"/>
  <c r="U83" i="16"/>
  <c r="P84" i="16"/>
  <c r="Q84" i="16"/>
  <c r="R84" i="16"/>
  <c r="S84" i="16"/>
  <c r="T84" i="16"/>
  <c r="U84" i="16"/>
  <c r="P85" i="16"/>
  <c r="Q85" i="16"/>
  <c r="R85" i="16"/>
  <c r="S85" i="16"/>
  <c r="T85" i="16"/>
  <c r="U85" i="16"/>
  <c r="P86" i="16"/>
  <c r="Q86" i="16"/>
  <c r="R86" i="16"/>
  <c r="S86" i="16"/>
  <c r="T86" i="16"/>
  <c r="U86" i="16"/>
  <c r="P87" i="16"/>
  <c r="Q87" i="16"/>
  <c r="R87" i="16"/>
  <c r="S87" i="16"/>
  <c r="T87" i="16"/>
  <c r="U87" i="16"/>
  <c r="P88" i="16"/>
  <c r="Q88" i="16"/>
  <c r="R88" i="16"/>
  <c r="S88" i="16"/>
  <c r="T88" i="16"/>
  <c r="U88" i="16"/>
  <c r="P89" i="16"/>
  <c r="Q89" i="16"/>
  <c r="R89" i="16"/>
  <c r="S89" i="16"/>
  <c r="T89" i="16"/>
  <c r="U89" i="16"/>
  <c r="P90" i="16"/>
  <c r="Q90" i="16"/>
  <c r="R90" i="16"/>
  <c r="S90" i="16"/>
  <c r="T90" i="16"/>
  <c r="U90" i="16"/>
  <c r="P91" i="16"/>
  <c r="Q91" i="16"/>
  <c r="R91" i="16"/>
  <c r="S91" i="16"/>
  <c r="T91" i="16"/>
  <c r="U91" i="16"/>
  <c r="P92" i="16"/>
  <c r="Q92" i="16"/>
  <c r="R92" i="16"/>
  <c r="S92" i="16"/>
  <c r="T92" i="16"/>
  <c r="U92" i="16"/>
  <c r="P93" i="16"/>
  <c r="Q93" i="16"/>
  <c r="R93" i="16"/>
  <c r="S93" i="16"/>
  <c r="T93" i="16"/>
  <c r="U93" i="16"/>
  <c r="P94" i="16"/>
  <c r="Q94" i="16"/>
  <c r="R94" i="16"/>
  <c r="S94" i="16"/>
  <c r="T94" i="16"/>
  <c r="U94" i="16"/>
  <c r="P95" i="16"/>
  <c r="Q95" i="16"/>
  <c r="R95" i="16"/>
  <c r="S95" i="16"/>
  <c r="T95" i="16"/>
  <c r="U95" i="16"/>
  <c r="P96" i="16"/>
  <c r="Q96" i="16"/>
  <c r="R96" i="16"/>
  <c r="S96" i="16"/>
  <c r="T96" i="16"/>
  <c r="U96" i="16"/>
  <c r="P97" i="16"/>
  <c r="Q97" i="16"/>
  <c r="R97" i="16"/>
  <c r="S97" i="16"/>
  <c r="T97" i="16"/>
  <c r="U97" i="16"/>
  <c r="P98" i="16"/>
  <c r="Q98" i="16"/>
  <c r="R98" i="16"/>
  <c r="S98" i="16"/>
  <c r="T98" i="16"/>
  <c r="U98" i="16"/>
  <c r="P99" i="16"/>
  <c r="Q99" i="16"/>
  <c r="R99" i="16"/>
  <c r="S99" i="16"/>
  <c r="T99" i="16"/>
  <c r="U99" i="16"/>
  <c r="P100" i="16"/>
  <c r="Q100" i="16"/>
  <c r="R100" i="16"/>
  <c r="S100" i="16"/>
  <c r="T100" i="16"/>
  <c r="U100" i="16"/>
  <c r="P101" i="16"/>
  <c r="Q101" i="16"/>
  <c r="R101" i="16"/>
  <c r="S101" i="16"/>
  <c r="T101" i="16"/>
  <c r="U101" i="16"/>
  <c r="P102" i="16"/>
  <c r="Q102" i="16"/>
  <c r="R102" i="16"/>
  <c r="S102" i="16"/>
  <c r="T102" i="16"/>
  <c r="U102" i="16"/>
  <c r="P103" i="16"/>
  <c r="Q103" i="16"/>
  <c r="R103" i="16"/>
  <c r="S103" i="16"/>
  <c r="T103" i="16"/>
  <c r="U103" i="16"/>
  <c r="P104" i="16"/>
  <c r="Q104" i="16"/>
  <c r="R104" i="16"/>
  <c r="S104" i="16"/>
  <c r="T104" i="16"/>
  <c r="U104" i="16"/>
  <c r="P105" i="16"/>
  <c r="Q105" i="16"/>
  <c r="R105" i="16"/>
  <c r="S105" i="16"/>
  <c r="T105" i="16"/>
  <c r="U105" i="16"/>
  <c r="P106" i="16"/>
  <c r="Q106" i="16"/>
  <c r="R106" i="16"/>
  <c r="S106" i="16"/>
  <c r="T106" i="16"/>
  <c r="U106" i="16"/>
  <c r="P107" i="16"/>
  <c r="Q107" i="16"/>
  <c r="R107" i="16"/>
  <c r="S107" i="16"/>
  <c r="T107" i="16"/>
  <c r="U107" i="16"/>
  <c r="P108" i="16"/>
  <c r="Q108" i="16"/>
  <c r="R108" i="16"/>
  <c r="S108" i="16"/>
  <c r="T108" i="16"/>
  <c r="U108" i="16"/>
  <c r="P109" i="16"/>
  <c r="Q109" i="16"/>
  <c r="R109" i="16"/>
  <c r="S109" i="16"/>
  <c r="T109" i="16"/>
  <c r="U109" i="16"/>
  <c r="P110" i="16"/>
  <c r="Q110" i="16"/>
  <c r="R110" i="16"/>
  <c r="S110" i="16"/>
  <c r="T110" i="16"/>
  <c r="U110" i="16"/>
  <c r="P111" i="16"/>
  <c r="Q111" i="16"/>
  <c r="R111" i="16"/>
  <c r="S111" i="16"/>
  <c r="T111" i="16"/>
  <c r="U111" i="16"/>
  <c r="P112" i="16"/>
  <c r="Q112" i="16"/>
  <c r="R112" i="16"/>
  <c r="S112" i="16"/>
  <c r="T112" i="16"/>
  <c r="U112" i="16"/>
  <c r="P113" i="16"/>
  <c r="Q113" i="16"/>
  <c r="R113" i="16"/>
  <c r="S113" i="16"/>
  <c r="T113" i="16"/>
  <c r="U113" i="16"/>
  <c r="P114" i="16"/>
  <c r="Q114" i="16"/>
  <c r="R114" i="16"/>
  <c r="S114" i="16"/>
  <c r="T114" i="16"/>
  <c r="U114" i="16"/>
  <c r="P115" i="16"/>
  <c r="Q115" i="16"/>
  <c r="R115" i="16"/>
  <c r="S115" i="16"/>
  <c r="T115" i="16"/>
  <c r="U115" i="16"/>
  <c r="P116" i="16"/>
  <c r="Q116" i="16"/>
  <c r="R116" i="16"/>
  <c r="S116" i="16"/>
  <c r="T116" i="16"/>
  <c r="U116" i="16"/>
  <c r="P117" i="16"/>
  <c r="Q117" i="16"/>
  <c r="R117" i="16"/>
  <c r="S117" i="16"/>
  <c r="T117" i="16"/>
  <c r="U117" i="16"/>
  <c r="P118" i="16"/>
  <c r="Q118" i="16"/>
  <c r="R118" i="16"/>
  <c r="S118" i="16"/>
  <c r="T118" i="16"/>
  <c r="U118" i="16"/>
  <c r="P119" i="16"/>
  <c r="Q119" i="16"/>
  <c r="R119" i="16"/>
  <c r="S119" i="16"/>
  <c r="T119" i="16"/>
  <c r="U119" i="16"/>
  <c r="P120" i="16"/>
  <c r="Q120" i="16"/>
  <c r="R120" i="16"/>
  <c r="S120" i="16"/>
  <c r="T120" i="16"/>
  <c r="U120" i="16"/>
  <c r="P121" i="16"/>
  <c r="Q121" i="16"/>
  <c r="R121" i="16"/>
  <c r="S121" i="16"/>
  <c r="T121" i="16"/>
  <c r="U121" i="16"/>
  <c r="P122" i="16"/>
  <c r="Q122" i="16"/>
  <c r="R122" i="16"/>
  <c r="S122" i="16"/>
  <c r="T122" i="16"/>
  <c r="U122" i="16"/>
  <c r="P123" i="16"/>
  <c r="Q123" i="16"/>
  <c r="R123" i="16"/>
  <c r="S123" i="16"/>
  <c r="T123" i="16"/>
  <c r="U123" i="16"/>
  <c r="P124" i="16"/>
  <c r="Q124" i="16"/>
  <c r="R124" i="16"/>
  <c r="S124" i="16"/>
  <c r="T124" i="16"/>
  <c r="U124" i="16"/>
  <c r="P125" i="16"/>
  <c r="Q125" i="16"/>
  <c r="R125" i="16"/>
  <c r="S125" i="16"/>
  <c r="T125" i="16"/>
  <c r="U125" i="16"/>
  <c r="P126" i="16"/>
  <c r="Q126" i="16"/>
  <c r="R126" i="16"/>
  <c r="S126" i="16"/>
  <c r="T126" i="16"/>
  <c r="U126" i="16"/>
  <c r="P127" i="16"/>
  <c r="Q127" i="16"/>
  <c r="R127" i="16"/>
  <c r="S127" i="16"/>
  <c r="T127" i="16"/>
  <c r="U127" i="16"/>
  <c r="P128" i="16"/>
  <c r="Q128" i="16"/>
  <c r="R128" i="16"/>
  <c r="S128" i="16"/>
  <c r="T128" i="16"/>
  <c r="U128" i="16"/>
  <c r="P129" i="16"/>
  <c r="Q129" i="16"/>
  <c r="R129" i="16"/>
  <c r="S129" i="16"/>
  <c r="T129" i="16"/>
  <c r="U129" i="16"/>
  <c r="P130" i="16"/>
  <c r="Q130" i="16"/>
  <c r="R130" i="16"/>
  <c r="S130" i="16"/>
  <c r="T130" i="16"/>
  <c r="U130" i="16"/>
  <c r="P131" i="16"/>
  <c r="Q131" i="16"/>
  <c r="R131" i="16"/>
  <c r="S131" i="16"/>
  <c r="T131" i="16"/>
  <c r="U131" i="16"/>
  <c r="P132" i="16"/>
  <c r="Q132" i="16"/>
  <c r="R132" i="16"/>
  <c r="S132" i="16"/>
  <c r="T132" i="16"/>
  <c r="U132" i="16"/>
  <c r="P133" i="16"/>
  <c r="Q133" i="16"/>
  <c r="R133" i="16"/>
  <c r="S133" i="16"/>
  <c r="T133" i="16"/>
  <c r="U133" i="16"/>
  <c r="P134" i="16"/>
  <c r="Q134" i="16"/>
  <c r="R134" i="16"/>
  <c r="S134" i="16"/>
  <c r="T134" i="16"/>
  <c r="U134" i="16"/>
  <c r="P135" i="16"/>
  <c r="Q135" i="16"/>
  <c r="R135" i="16"/>
  <c r="S135" i="16"/>
  <c r="T135" i="16"/>
  <c r="U135" i="16"/>
  <c r="P136" i="16"/>
  <c r="Q136" i="16"/>
  <c r="R136" i="16"/>
  <c r="S136" i="16"/>
  <c r="T136" i="16"/>
  <c r="U136" i="16"/>
  <c r="P137" i="16"/>
  <c r="Q137" i="16"/>
  <c r="R137" i="16"/>
  <c r="S137" i="16"/>
  <c r="T137" i="16"/>
  <c r="U137" i="16"/>
  <c r="P138" i="16"/>
  <c r="Q138" i="16"/>
  <c r="R138" i="16"/>
  <c r="S138" i="16"/>
  <c r="T138" i="16"/>
  <c r="U138" i="16"/>
  <c r="P139" i="16"/>
  <c r="Q139" i="16"/>
  <c r="R139" i="16"/>
  <c r="S139" i="16"/>
  <c r="T139" i="16"/>
  <c r="U139" i="16"/>
  <c r="P140" i="16"/>
  <c r="Q140" i="16"/>
  <c r="R140" i="16"/>
  <c r="S140" i="16"/>
  <c r="T140" i="16"/>
  <c r="U140" i="16"/>
  <c r="P141" i="16"/>
  <c r="Q141" i="16"/>
  <c r="R141" i="16"/>
  <c r="S141" i="16"/>
  <c r="T141" i="16"/>
  <c r="U141" i="16"/>
  <c r="P142" i="16"/>
  <c r="Q142" i="16"/>
  <c r="R142" i="16"/>
  <c r="S142" i="16"/>
  <c r="T142" i="16"/>
  <c r="U142" i="16"/>
  <c r="P143" i="16"/>
  <c r="Q143" i="16"/>
  <c r="R143" i="16"/>
  <c r="S143" i="16"/>
  <c r="T143" i="16"/>
  <c r="U143" i="16"/>
  <c r="P144" i="16"/>
  <c r="Q144" i="16"/>
  <c r="R144" i="16"/>
  <c r="S144" i="16"/>
  <c r="T144" i="16"/>
  <c r="U144" i="16"/>
  <c r="P145" i="16"/>
  <c r="Q145" i="16"/>
  <c r="R145" i="16"/>
  <c r="S145" i="16"/>
  <c r="T145" i="16"/>
  <c r="U145" i="16"/>
  <c r="P146" i="16"/>
  <c r="Q146" i="16"/>
  <c r="R146" i="16"/>
  <c r="S146" i="16"/>
  <c r="T146" i="16"/>
  <c r="U146" i="16"/>
  <c r="P147" i="16"/>
  <c r="Q147" i="16"/>
  <c r="R147" i="16"/>
  <c r="S147" i="16"/>
  <c r="T147" i="16"/>
  <c r="U147" i="16"/>
  <c r="P148" i="16"/>
  <c r="Q148" i="16"/>
  <c r="R148" i="16"/>
  <c r="S148" i="16"/>
  <c r="T148" i="16"/>
  <c r="U148" i="16"/>
  <c r="P149" i="16"/>
  <c r="Q149" i="16"/>
  <c r="R149" i="16"/>
  <c r="S149" i="16"/>
  <c r="T149" i="16"/>
  <c r="U149" i="16"/>
  <c r="P150" i="16"/>
  <c r="Q150" i="16"/>
  <c r="R150" i="16"/>
  <c r="S150" i="16"/>
  <c r="T150" i="16"/>
  <c r="U150" i="16"/>
  <c r="P151" i="16"/>
  <c r="Q151" i="16"/>
  <c r="R151" i="16"/>
  <c r="S151" i="16"/>
  <c r="T151" i="16"/>
  <c r="U151" i="16"/>
  <c r="P152" i="16"/>
  <c r="Q152" i="16"/>
  <c r="R152" i="16"/>
  <c r="S152" i="16"/>
  <c r="T152" i="16"/>
  <c r="U152" i="16"/>
  <c r="P153" i="16"/>
  <c r="Q153" i="16"/>
  <c r="R153" i="16"/>
  <c r="S153" i="16"/>
  <c r="T153" i="16"/>
  <c r="U153" i="16"/>
  <c r="P154" i="16"/>
  <c r="Q154" i="16"/>
  <c r="R154" i="16"/>
  <c r="S154" i="16"/>
  <c r="T154" i="16"/>
  <c r="U154" i="16"/>
  <c r="P155" i="16"/>
  <c r="Q155" i="16"/>
  <c r="R155" i="16"/>
  <c r="S155" i="16"/>
  <c r="T155" i="16"/>
  <c r="U155" i="16"/>
  <c r="P156" i="16"/>
  <c r="Q156" i="16"/>
  <c r="R156" i="16"/>
  <c r="S156" i="16"/>
  <c r="T156" i="16"/>
  <c r="U156" i="16"/>
  <c r="P157" i="16"/>
  <c r="Q157" i="16"/>
  <c r="R157" i="16"/>
  <c r="S157" i="16"/>
  <c r="T157" i="16"/>
  <c r="U157" i="16"/>
  <c r="P158" i="16"/>
  <c r="Q158" i="16"/>
  <c r="R158" i="16"/>
  <c r="S158" i="16"/>
  <c r="T158" i="16"/>
  <c r="U158" i="16"/>
  <c r="Q12" i="16"/>
  <c r="R12" i="16"/>
  <c r="S12" i="16"/>
  <c r="T12" i="16"/>
  <c r="U12" i="16"/>
  <c r="P12" i="16"/>
  <c r="D35" i="3"/>
  <c r="I36" i="10"/>
  <c r="I35" i="10" s="1"/>
  <c r="D35" i="10"/>
  <c r="C35" i="10"/>
  <c r="G30" i="10"/>
  <c r="C30" i="10"/>
  <c r="G29" i="10"/>
  <c r="C29" i="10"/>
  <c r="D19" i="10"/>
  <c r="C19" i="10"/>
  <c r="C11" i="10"/>
  <c r="C9" i="10" s="1"/>
  <c r="G35" i="10"/>
  <c r="G26" i="11"/>
  <c r="G25" i="11"/>
  <c r="G23" i="11"/>
  <c r="G22" i="11"/>
  <c r="G21" i="11"/>
  <c r="C19" i="11"/>
  <c r="C17" i="11"/>
  <c r="G16" i="11"/>
  <c r="C9" i="11"/>
  <c r="I23" i="11"/>
  <c r="C32" i="3"/>
  <c r="C22" i="3"/>
  <c r="C19" i="3"/>
  <c r="C10" i="3"/>
  <c r="E33" i="3"/>
  <c r="E17" i="3"/>
  <c r="C25" i="3"/>
  <c r="N34" i="11"/>
  <c r="M19" i="4"/>
  <c r="Q10" i="4" s="1"/>
  <c r="O56" i="4"/>
  <c r="K27" i="11"/>
  <c r="E21" i="9"/>
  <c r="C18" i="9"/>
  <c r="N27" i="8"/>
  <c r="H85" i="2"/>
  <c r="J12" i="10"/>
  <c r="K40" i="4"/>
  <c r="K25" i="8" s="1"/>
  <c r="K23" i="8" s="1"/>
  <c r="J18" i="4"/>
  <c r="J16" i="4" s="1"/>
  <c r="J14" i="4" s="1"/>
  <c r="J13" i="4" s="1"/>
  <c r="I18" i="3"/>
  <c r="L82" i="2"/>
  <c r="H17" i="3" s="1"/>
  <c r="N82" i="2"/>
  <c r="J17" i="3" s="1"/>
  <c r="O83" i="2"/>
  <c r="O82" i="2" s="1"/>
  <c r="M82" i="2"/>
  <c r="I17" i="3" s="1"/>
  <c r="G17" i="18"/>
  <c r="F18" i="18"/>
  <c r="D10" i="18"/>
  <c r="G15" i="18"/>
  <c r="F21" i="18"/>
  <c r="G23" i="18"/>
  <c r="C20" i="18"/>
  <c r="E10" i="18"/>
  <c r="E9" i="18" s="1"/>
  <c r="H9" i="18" s="1"/>
  <c r="E25" i="18" s="1"/>
  <c r="F25" i="18" s="1"/>
  <c r="F30" i="18"/>
  <c r="E34" i="18"/>
  <c r="G30" i="18"/>
  <c r="F15" i="18"/>
  <c r="G12" i="18"/>
  <c r="F12" i="18"/>
  <c r="F31" i="18"/>
  <c r="I17" i="11"/>
  <c r="F14" i="18"/>
  <c r="D20" i="18"/>
  <c r="F11" i="18"/>
  <c r="G11" i="18"/>
  <c r="H27" i="10"/>
  <c r="J18" i="3"/>
  <c r="K18" i="3"/>
  <c r="O36" i="8"/>
  <c r="O34" i="8" s="1"/>
  <c r="M40" i="4"/>
  <c r="O25" i="8" s="1"/>
  <c r="R10" i="4" s="1"/>
  <c r="I11" i="18"/>
  <c r="J10" i="18"/>
  <c r="K16" i="11"/>
  <c r="I21" i="11"/>
  <c r="L60" i="17" l="1"/>
  <c r="L48" i="8"/>
  <c r="M48" i="8" s="1"/>
  <c r="G8" i="17"/>
  <c r="M49" i="8"/>
  <c r="G39" i="12"/>
  <c r="C28" i="10"/>
  <c r="C26" i="10" s="1"/>
  <c r="C34" i="10" s="1"/>
  <c r="C33" i="10" s="1"/>
  <c r="M38" i="4"/>
  <c r="P36" i="4"/>
  <c r="P34" i="4"/>
  <c r="P32" i="4"/>
  <c r="P37" i="4"/>
  <c r="P35" i="4"/>
  <c r="P33" i="4"/>
  <c r="M7" i="4"/>
  <c r="D28" i="10"/>
  <c r="D26" i="10" s="1"/>
  <c r="D34" i="10" s="1"/>
  <c r="D33" i="10" s="1"/>
  <c r="I28" i="10"/>
  <c r="I26" i="10" s="1"/>
  <c r="L45" i="17"/>
  <c r="E44" i="17"/>
  <c r="L39" i="4"/>
  <c r="L26" i="8" s="1"/>
  <c r="N26" i="8" s="1"/>
  <c r="H23" i="12"/>
  <c r="M43" i="5"/>
  <c r="M42" i="5" s="1"/>
  <c r="J19" i="10"/>
  <c r="G28" i="10"/>
  <c r="G26" i="10" s="1"/>
  <c r="G34" i="10" s="1"/>
  <c r="G33" i="10" s="1"/>
  <c r="G10" i="18"/>
  <c r="L46" i="17"/>
  <c r="M18" i="4"/>
  <c r="R14" i="4" s="1"/>
  <c r="C18" i="10"/>
  <c r="C17" i="10" s="1"/>
  <c r="I40" i="17"/>
  <c r="I44" i="8"/>
  <c r="K65" i="17"/>
  <c r="P12" i="8"/>
  <c r="G32" i="12"/>
  <c r="G30" i="12"/>
  <c r="J36" i="10"/>
  <c r="K36" i="10" s="1"/>
  <c r="K35" i="10" s="1"/>
  <c r="F13" i="18"/>
  <c r="K27" i="2"/>
  <c r="I42" i="17"/>
  <c r="G56" i="17"/>
  <c r="G7" i="17" s="1"/>
  <c r="H12" i="5"/>
  <c r="K43" i="8"/>
  <c r="E29" i="12"/>
  <c r="E20" i="12" s="1"/>
  <c r="E15" i="12" s="1"/>
  <c r="E13" i="12" s="1"/>
  <c r="H43" i="5"/>
  <c r="H42" i="5" s="1"/>
  <c r="I14" i="17"/>
  <c r="I12" i="17" s="1"/>
  <c r="I10" i="17" s="1"/>
  <c r="D34" i="17"/>
  <c r="M56" i="17"/>
  <c r="O50" i="8"/>
  <c r="O45" i="8"/>
  <c r="J47" i="17"/>
  <c r="L47" i="17" s="1"/>
  <c r="N42" i="8"/>
  <c r="K65" i="5"/>
  <c r="M18" i="5" s="1"/>
  <c r="M65" i="5" s="1"/>
  <c r="N18" i="5" s="1"/>
  <c r="N65" i="5" s="1"/>
  <c r="L71" i="5"/>
  <c r="M25" i="5"/>
  <c r="M24" i="5" s="1"/>
  <c r="H25" i="5"/>
  <c r="H24" i="5" s="1"/>
  <c r="K25" i="5"/>
  <c r="K24" i="5" s="1"/>
  <c r="I25" i="5"/>
  <c r="I24" i="5" s="1"/>
  <c r="N25" i="5"/>
  <c r="N24" i="5" s="1"/>
  <c r="J25" i="5"/>
  <c r="J24" i="5" s="1"/>
  <c r="K24" i="11"/>
  <c r="F10" i="18"/>
  <c r="O24" i="8"/>
  <c r="G11" i="11"/>
  <c r="E44" i="8"/>
  <c r="E82" i="2"/>
  <c r="E81" i="2" s="1"/>
  <c r="G14" i="3"/>
  <c r="G35" i="3"/>
  <c r="F12" i="11"/>
  <c r="T13" i="11" s="1"/>
  <c r="L43" i="17"/>
  <c r="F39" i="17"/>
  <c r="E39" i="17" s="1"/>
  <c r="T81" i="2"/>
  <c r="O59" i="4" s="1"/>
  <c r="Q30" i="8" s="1"/>
  <c r="I26" i="12" s="1"/>
  <c r="M66" i="4"/>
  <c r="G19" i="11"/>
  <c r="J10" i="8"/>
  <c r="H19" i="3"/>
  <c r="J29" i="10"/>
  <c r="J28" i="10" s="1"/>
  <c r="I39" i="17"/>
  <c r="L57" i="17"/>
  <c r="D11" i="10"/>
  <c r="D9" i="10" s="1"/>
  <c r="J12" i="2"/>
  <c r="D12" i="2"/>
  <c r="D11" i="2" s="1"/>
  <c r="D10" i="2" s="1"/>
  <c r="E15" i="9"/>
  <c r="I12" i="2"/>
  <c r="K82" i="2"/>
  <c r="G17" i="3" s="1"/>
  <c r="K20" i="10"/>
  <c r="E30" i="17"/>
  <c r="E46" i="17"/>
  <c r="L59" i="17"/>
  <c r="J61" i="17"/>
  <c r="L67" i="17"/>
  <c r="E39" i="12"/>
  <c r="I19" i="11"/>
  <c r="E20" i="9"/>
  <c r="D19" i="18"/>
  <c r="I34" i="10"/>
  <c r="I33" i="10" s="1"/>
  <c r="N25" i="8"/>
  <c r="M26" i="8"/>
  <c r="D18" i="9"/>
  <c r="E19" i="3"/>
  <c r="F32" i="3"/>
  <c r="G81" i="2"/>
  <c r="M86" i="2"/>
  <c r="N86" i="2" s="1"/>
  <c r="O86" i="2" s="1"/>
  <c r="O81" i="2" s="1"/>
  <c r="K25" i="3"/>
  <c r="J19" i="3"/>
  <c r="E17" i="9"/>
  <c r="E22" i="9"/>
  <c r="G32" i="3"/>
  <c r="K32" i="3"/>
  <c r="D25" i="3"/>
  <c r="I25" i="3"/>
  <c r="G25" i="3"/>
  <c r="G19" i="3"/>
  <c r="G12" i="2"/>
  <c r="L16" i="5"/>
  <c r="R13" i="11"/>
  <c r="F39" i="12"/>
  <c r="G27" i="12"/>
  <c r="H30" i="11"/>
  <c r="K14" i="4"/>
  <c r="K38" i="17"/>
  <c r="C7" i="17"/>
  <c r="K37" i="12"/>
  <c r="G29" i="18"/>
  <c r="M56" i="4"/>
  <c r="M55" i="4" s="1"/>
  <c r="O28" i="8" s="1"/>
  <c r="J10" i="3"/>
  <c r="J24" i="11"/>
  <c r="N34" i="8"/>
  <c r="G14" i="4"/>
  <c r="G13" i="4" s="1"/>
  <c r="F19" i="4"/>
  <c r="F18" i="4" s="1"/>
  <c r="F16" i="4" s="1"/>
  <c r="F14" i="4" s="1"/>
  <c r="F13" i="4" s="1"/>
  <c r="I34" i="8"/>
  <c r="E12" i="2"/>
  <c r="F12" i="2"/>
  <c r="K13" i="2"/>
  <c r="F14" i="17"/>
  <c r="F12" i="17" s="1"/>
  <c r="F10" i="17" s="1"/>
  <c r="K59" i="17"/>
  <c r="J32" i="3"/>
  <c r="O48" i="8"/>
  <c r="C19" i="18"/>
  <c r="E13" i="9"/>
  <c r="F29" i="18"/>
  <c r="F18" i="9"/>
  <c r="F23" i="8"/>
  <c r="E16" i="9"/>
  <c r="H86" i="2"/>
  <c r="I86" i="2" s="1"/>
  <c r="J86" i="2" s="1"/>
  <c r="K86" i="2" s="1"/>
  <c r="L86" i="2" s="1"/>
  <c r="C9" i="18"/>
  <c r="G11" i="3"/>
  <c r="K49" i="2"/>
  <c r="G13" i="3" s="1"/>
  <c r="F57" i="17"/>
  <c r="E65" i="17"/>
  <c r="G24" i="12"/>
  <c r="M65" i="4"/>
  <c r="M63" i="4" s="1"/>
  <c r="M62" i="4" s="1"/>
  <c r="D32" i="3"/>
  <c r="F30" i="12"/>
  <c r="I39" i="12"/>
  <c r="S81" i="2"/>
  <c r="N59" i="4" s="1"/>
  <c r="P30" i="8" s="1"/>
  <c r="H26" i="12" s="1"/>
  <c r="J29" i="11"/>
  <c r="I85" i="2"/>
  <c r="J85" i="2" s="1"/>
  <c r="J27" i="11"/>
  <c r="E32" i="3"/>
  <c r="E10" i="3"/>
  <c r="E25" i="3"/>
  <c r="I38" i="8"/>
  <c r="E14" i="4"/>
  <c r="E13" i="4" s="1"/>
  <c r="D19" i="3"/>
  <c r="F34" i="18"/>
  <c r="H27" i="11"/>
  <c r="I27" i="11" s="1"/>
  <c r="K37" i="17"/>
  <c r="H14" i="17"/>
  <c r="H12" i="17" s="1"/>
  <c r="H10" i="17" s="1"/>
  <c r="I20" i="17"/>
  <c r="O21" i="17" s="1"/>
  <c r="I52" i="17"/>
  <c r="M25" i="8"/>
  <c r="I19" i="3"/>
  <c r="H10" i="3"/>
  <c r="C8" i="9" s="1"/>
  <c r="H21" i="8"/>
  <c r="J21" i="8" s="1"/>
  <c r="J34" i="8"/>
  <c r="Q12" i="8"/>
  <c r="I11" i="10"/>
  <c r="I9" i="10" s="1"/>
  <c r="I18" i="10" s="1"/>
  <c r="I20" i="18"/>
  <c r="I9" i="18"/>
  <c r="I10" i="3"/>
  <c r="N56" i="4"/>
  <c r="H25" i="3"/>
  <c r="G51" i="8"/>
  <c r="I47" i="17"/>
  <c r="R76" i="2"/>
  <c r="R77" i="2" s="1"/>
  <c r="R79" i="2" s="1"/>
  <c r="R83" i="2" s="1"/>
  <c r="R85" i="2" s="1"/>
  <c r="C9" i="3"/>
  <c r="C8" i="3" s="1"/>
  <c r="H29" i="10"/>
  <c r="H28" i="10" s="1"/>
  <c r="H26" i="10" s="1"/>
  <c r="M34" i="8"/>
  <c r="Q34" i="8"/>
  <c r="I38" i="17"/>
  <c r="D8" i="17"/>
  <c r="S8" i="17" s="1"/>
  <c r="H43" i="12"/>
  <c r="J17" i="11" s="1"/>
  <c r="G29" i="12"/>
  <c r="T76" i="2"/>
  <c r="S76" i="2"/>
  <c r="S77" i="2" s="1"/>
  <c r="S79" i="2" s="1"/>
  <c r="S83" i="2" s="1"/>
  <c r="S85" i="2" s="1"/>
  <c r="L16" i="4"/>
  <c r="L14" i="4" s="1"/>
  <c r="L24" i="8"/>
  <c r="H33" i="3"/>
  <c r="H32" i="3" s="1"/>
  <c r="L12" i="2"/>
  <c r="E40" i="17"/>
  <c r="H34" i="17"/>
  <c r="J25" i="3"/>
  <c r="F39" i="18"/>
  <c r="G39" i="18"/>
  <c r="K10" i="11"/>
  <c r="K29" i="10"/>
  <c r="K70" i="5"/>
  <c r="M23" i="5" s="1"/>
  <c r="M70" i="5" s="1"/>
  <c r="N23" i="5" s="1"/>
  <c r="N70" i="5" s="1"/>
  <c r="F25" i="3"/>
  <c r="O30" i="8"/>
  <c r="J35" i="10"/>
  <c r="E22" i="17"/>
  <c r="E20" i="17" s="1"/>
  <c r="F20" i="17"/>
  <c r="K17" i="3"/>
  <c r="K10" i="3" s="1"/>
  <c r="H14" i="4"/>
  <c r="D17" i="3"/>
  <c r="D10" i="3" s="1"/>
  <c r="F81" i="2"/>
  <c r="F10" i="3"/>
  <c r="I36" i="17"/>
  <c r="H9" i="11"/>
  <c r="I10" i="11"/>
  <c r="L36" i="17"/>
  <c r="F24" i="12"/>
  <c r="F18" i="12"/>
  <c r="F15" i="12"/>
  <c r="I11" i="5"/>
  <c r="N14" i="17"/>
  <c r="E57" i="17"/>
  <c r="L14" i="17"/>
  <c r="K14" i="17"/>
  <c r="D58" i="17"/>
  <c r="D56" i="17" s="1"/>
  <c r="F59" i="17"/>
  <c r="L64" i="5"/>
  <c r="M17" i="5"/>
  <c r="H17" i="10"/>
  <c r="O12" i="2"/>
  <c r="I61" i="5"/>
  <c r="K15" i="5"/>
  <c r="K62" i="5" s="1"/>
  <c r="F9" i="11"/>
  <c r="I12" i="8"/>
  <c r="I10" i="8" s="1"/>
  <c r="I9" i="8" s="1"/>
  <c r="M16" i="4"/>
  <c r="J9" i="18"/>
  <c r="K9" i="8"/>
  <c r="G16" i="3"/>
  <c r="N14" i="8"/>
  <c r="G15" i="9"/>
  <c r="L12" i="8"/>
  <c r="H12" i="10"/>
  <c r="H11" i="10" s="1"/>
  <c r="H9" i="10" s="1"/>
  <c r="M13" i="8"/>
  <c r="M12" i="8" s="1"/>
  <c r="M10" i="8" s="1"/>
  <c r="M9" i="8" s="1"/>
  <c r="N13" i="8"/>
  <c r="L41" i="17"/>
  <c r="I56" i="17"/>
  <c r="L17" i="5"/>
  <c r="O47" i="8"/>
  <c r="L32" i="5"/>
  <c r="L31" i="5" s="1"/>
  <c r="H61" i="5"/>
  <c r="H58" i="5" s="1"/>
  <c r="H59" i="5" s="1"/>
  <c r="J11" i="11"/>
  <c r="J9" i="11" s="1"/>
  <c r="K21" i="10"/>
  <c r="N12" i="2"/>
  <c r="O65" i="4"/>
  <c r="Q49" i="8"/>
  <c r="I29" i="12"/>
  <c r="K32" i="11" s="1"/>
  <c r="L44" i="5"/>
  <c r="L12" i="17"/>
  <c r="K12" i="17"/>
  <c r="G13" i="18"/>
  <c r="D9" i="18"/>
  <c r="C14" i="11"/>
  <c r="G17" i="11"/>
  <c r="K21" i="2"/>
  <c r="H12" i="2"/>
  <c r="G38" i="18"/>
  <c r="F38" i="18"/>
  <c r="J10" i="17"/>
  <c r="M8" i="17"/>
  <c r="M7" i="17" s="1"/>
  <c r="E36" i="17"/>
  <c r="F34" i="17"/>
  <c r="F8" i="17" s="1"/>
  <c r="J58" i="17"/>
  <c r="J56" i="17" s="1"/>
  <c r="K60" i="17"/>
  <c r="F61" i="17"/>
  <c r="H62" i="17"/>
  <c r="H61" i="17" s="1"/>
  <c r="H56" i="17" s="1"/>
  <c r="J61" i="5"/>
  <c r="J58" i="5" s="1"/>
  <c r="J59" i="5" s="1"/>
  <c r="N65" i="4"/>
  <c r="P49" i="8"/>
  <c r="H29" i="12"/>
  <c r="J32" i="11" s="1"/>
  <c r="N43" i="5"/>
  <c r="N42" i="5" s="1"/>
  <c r="L20" i="17"/>
  <c r="E22" i="18"/>
  <c r="E18" i="9"/>
  <c r="I23" i="8"/>
  <c r="J39" i="8"/>
  <c r="I37" i="17"/>
  <c r="L65" i="17"/>
  <c r="E16" i="17"/>
  <c r="E14" i="17" s="1"/>
  <c r="E12" i="17" s="1"/>
  <c r="E10" i="17" s="1"/>
  <c r="K63" i="4"/>
  <c r="K62" i="4" s="1"/>
  <c r="K13" i="4" s="1"/>
  <c r="K64" i="4"/>
  <c r="M12" i="2"/>
  <c r="D14" i="9"/>
  <c r="E14" i="9" s="1"/>
  <c r="K43" i="5"/>
  <c r="K42" i="5" s="1"/>
  <c r="L42" i="5" s="1"/>
  <c r="O66" i="4"/>
  <c r="Q50" i="8"/>
  <c r="J11" i="10"/>
  <c r="G11" i="10"/>
  <c r="G9" i="10" s="1"/>
  <c r="G18" i="10" s="1"/>
  <c r="G17" i="10" s="1"/>
  <c r="J12" i="8"/>
  <c r="K57" i="17"/>
  <c r="N66" i="4"/>
  <c r="P50" i="8"/>
  <c r="I44" i="17"/>
  <c r="K23" i="11"/>
  <c r="K19" i="11" s="1"/>
  <c r="K12" i="10"/>
  <c r="K11" i="10" s="1"/>
  <c r="E48" i="8"/>
  <c r="I14" i="11"/>
  <c r="K22" i="8"/>
  <c r="K21" i="8" s="1"/>
  <c r="D9" i="8"/>
  <c r="F36" i="8"/>
  <c r="D34" i="8"/>
  <c r="E36" i="8"/>
  <c r="E34" i="8" s="1"/>
  <c r="P34" i="8"/>
  <c r="U10" i="8"/>
  <c r="O9" i="8"/>
  <c r="R10" i="8" s="1"/>
  <c r="F15" i="8"/>
  <c r="E15" i="8"/>
  <c r="R9" i="4"/>
  <c r="I48" i="8"/>
  <c r="J48" i="8"/>
  <c r="G9" i="8"/>
  <c r="J9" i="8" s="1"/>
  <c r="J15" i="8"/>
  <c r="C10" i="8"/>
  <c r="C9" i="8" s="1"/>
  <c r="E12" i="8"/>
  <c r="E10" i="8" s="1"/>
  <c r="F12" i="8"/>
  <c r="E23" i="8"/>
  <c r="L44" i="8"/>
  <c r="N48" i="8"/>
  <c r="H51" i="8"/>
  <c r="F48" i="8"/>
  <c r="K51" i="8"/>
  <c r="O44" i="8" l="1"/>
  <c r="E11" i="2"/>
  <c r="E10" i="2" s="1"/>
  <c r="G20" i="12"/>
  <c r="L24" i="5"/>
  <c r="L13" i="4"/>
  <c r="J34" i="17"/>
  <c r="J8" i="17" s="1"/>
  <c r="M81" i="2"/>
  <c r="D27" i="9" s="1"/>
  <c r="F17" i="12"/>
  <c r="G11" i="2"/>
  <c r="G10" i="2" s="1"/>
  <c r="N81" i="2"/>
  <c r="H8" i="17"/>
  <c r="I12" i="5"/>
  <c r="L43" i="8"/>
  <c r="M64" i="5"/>
  <c r="I58" i="5"/>
  <c r="I59" i="5" s="1"/>
  <c r="Q48" i="8"/>
  <c r="E11" i="12"/>
  <c r="E9" i="12" s="1"/>
  <c r="E18" i="12"/>
  <c r="E17" i="12" s="1"/>
  <c r="H5" i="8"/>
  <c r="G15" i="12"/>
  <c r="G13" i="12" s="1"/>
  <c r="F11" i="2"/>
  <c r="F10" i="2" s="1"/>
  <c r="G10" i="3"/>
  <c r="G9" i="3" s="1"/>
  <c r="G8" i="3" s="1"/>
  <c r="O23" i="8"/>
  <c r="D9" i="3"/>
  <c r="D8" i="3" s="1"/>
  <c r="K12" i="2"/>
  <c r="R13" i="2" s="1"/>
  <c r="J9" i="3"/>
  <c r="J8" i="3" s="1"/>
  <c r="F8" i="9"/>
  <c r="F9" i="3"/>
  <c r="F8" i="3" s="1"/>
  <c r="E9" i="3"/>
  <c r="E8" i="3" s="1"/>
  <c r="P1" i="10"/>
  <c r="R84" i="2"/>
  <c r="R86" i="2" s="1"/>
  <c r="O1" i="10"/>
  <c r="E34" i="17"/>
  <c r="E8" i="17" s="1"/>
  <c r="H81" i="2"/>
  <c r="H11" i="2" s="1"/>
  <c r="H10" i="2" s="1"/>
  <c r="D7" i="17"/>
  <c r="I9" i="3"/>
  <c r="I8" i="3" s="1"/>
  <c r="D8" i="9"/>
  <c r="M64" i="4"/>
  <c r="H39" i="12"/>
  <c r="E61" i="17"/>
  <c r="J23" i="11"/>
  <c r="J19" i="11" s="1"/>
  <c r="S84" i="2"/>
  <c r="M16" i="5"/>
  <c r="L63" i="5"/>
  <c r="I23" i="10"/>
  <c r="H32" i="11" s="1"/>
  <c r="O33" i="8"/>
  <c r="P48" i="8"/>
  <c r="K85" i="2"/>
  <c r="J81" i="2"/>
  <c r="J11" i="2" s="1"/>
  <c r="J10" i="2" s="1"/>
  <c r="I21" i="8"/>
  <c r="I81" i="2"/>
  <c r="I11" i="2" s="1"/>
  <c r="I10" i="2" s="1"/>
  <c r="H9" i="3"/>
  <c r="H8" i="3" s="1"/>
  <c r="F27" i="9"/>
  <c r="T77" i="2"/>
  <c r="T79" i="2" s="1"/>
  <c r="T83" i="2" s="1"/>
  <c r="T85" i="2" s="1"/>
  <c r="L56" i="17"/>
  <c r="K56" i="17"/>
  <c r="F22" i="18"/>
  <c r="F20" i="18" s="1"/>
  <c r="H22" i="18"/>
  <c r="E20" i="18"/>
  <c r="G22" i="18"/>
  <c r="U27" i="2"/>
  <c r="U26" i="2"/>
  <c r="P12" i="2"/>
  <c r="R12" i="2" s="1"/>
  <c r="U13" i="2"/>
  <c r="F9" i="9"/>
  <c r="N11" i="2"/>
  <c r="N10" i="2" s="1"/>
  <c r="N1" i="2"/>
  <c r="N12" i="8"/>
  <c r="L10" i="8"/>
  <c r="M14" i="4"/>
  <c r="M6" i="4"/>
  <c r="V26" i="2"/>
  <c r="V27" i="2"/>
  <c r="Q12" i="2"/>
  <c r="X12" i="2"/>
  <c r="V13" i="2"/>
  <c r="O11" i="2"/>
  <c r="O10" i="2" s="1"/>
  <c r="G9" i="9"/>
  <c r="O1" i="2"/>
  <c r="I9" i="11"/>
  <c r="G14" i="11"/>
  <c r="C13" i="11"/>
  <c r="P23" i="17"/>
  <c r="P21" i="17"/>
  <c r="P30" i="17"/>
  <c r="P27" i="17"/>
  <c r="P25" i="17"/>
  <c r="P28" i="17"/>
  <c r="P33" i="17"/>
  <c r="P24" i="17"/>
  <c r="P22" i="17"/>
  <c r="P29" i="17"/>
  <c r="P31" i="17"/>
  <c r="P26" i="17"/>
  <c r="P32" i="17"/>
  <c r="K9" i="3"/>
  <c r="K8" i="3" s="1"/>
  <c r="G8" i="9"/>
  <c r="G9" i="18"/>
  <c r="F9" i="18"/>
  <c r="K11" i="11"/>
  <c r="K9" i="11" s="1"/>
  <c r="K30" i="10"/>
  <c r="K28" i="10" s="1"/>
  <c r="G9" i="11"/>
  <c r="F8" i="11"/>
  <c r="L34" i="17"/>
  <c r="G27" i="9"/>
  <c r="Y81" i="2"/>
  <c r="E21" i="8"/>
  <c r="L43" i="5"/>
  <c r="K10" i="17"/>
  <c r="L10" i="17"/>
  <c r="K14" i="5"/>
  <c r="L15" i="5"/>
  <c r="F58" i="17"/>
  <c r="E59" i="17"/>
  <c r="I34" i="17"/>
  <c r="M24" i="8"/>
  <c r="M23" i="8" s="1"/>
  <c r="M22" i="8" s="1"/>
  <c r="M21" i="8" s="1"/>
  <c r="N24" i="8"/>
  <c r="L23" i="8"/>
  <c r="N63" i="4"/>
  <c r="N62" i="4" s="1"/>
  <c r="N64" i="4"/>
  <c r="H7" i="17"/>
  <c r="S86" i="2"/>
  <c r="T27" i="2"/>
  <c r="T13" i="2"/>
  <c r="T21" i="2" s="1"/>
  <c r="M1" i="2"/>
  <c r="M11" i="2"/>
  <c r="M10" i="2" s="1"/>
  <c r="D9" i="9"/>
  <c r="L58" i="17"/>
  <c r="K58" i="17"/>
  <c r="O63" i="4"/>
  <c r="O62" i="4" s="1"/>
  <c r="O64" i="4"/>
  <c r="F13" i="12"/>
  <c r="F11" i="12"/>
  <c r="F9" i="12" s="1"/>
  <c r="K19" i="10"/>
  <c r="S27" i="2"/>
  <c r="S13" i="2"/>
  <c r="C9" i="9"/>
  <c r="L1" i="2"/>
  <c r="H13" i="11"/>
  <c r="I13" i="11" s="1"/>
  <c r="F10" i="8"/>
  <c r="I26" i="11"/>
  <c r="M44" i="8"/>
  <c r="N44" i="8"/>
  <c r="E9" i="8"/>
  <c r="F9" i="8"/>
  <c r="M50" i="4"/>
  <c r="M48" i="4"/>
  <c r="M45" i="4"/>
  <c r="M47" i="4"/>
  <c r="M52" i="4"/>
  <c r="M51" i="4"/>
  <c r="M49" i="4"/>
  <c r="M46" i="4"/>
  <c r="D21" i="8"/>
  <c r="F21" i="8" s="1"/>
  <c r="F34" i="8"/>
  <c r="J51" i="8"/>
  <c r="I51" i="8"/>
  <c r="F28" i="9" l="1"/>
  <c r="O22" i="8"/>
  <c r="O21" i="8" s="1"/>
  <c r="X81" i="2"/>
  <c r="P2" i="10"/>
  <c r="K34" i="17"/>
  <c r="M63" i="5"/>
  <c r="N16" i="5" s="1"/>
  <c r="N63" i="5" s="1"/>
  <c r="T26" i="2"/>
  <c r="K1" i="2"/>
  <c r="M2" i="2" s="1"/>
  <c r="R27" i="2"/>
  <c r="T28" i="2" s="1"/>
  <c r="N43" i="8"/>
  <c r="M43" i="8"/>
  <c r="L51" i="8"/>
  <c r="N17" i="5"/>
  <c r="N64" i="5" s="1"/>
  <c r="G18" i="12"/>
  <c r="J18" i="12" s="1"/>
  <c r="I17" i="10"/>
  <c r="S12" i="2"/>
  <c r="U12" i="2" s="1"/>
  <c r="G11" i="12"/>
  <c r="G9" i="12" s="1"/>
  <c r="M25" i="4"/>
  <c r="P25" i="4" s="1"/>
  <c r="L85" i="2"/>
  <c r="L81" i="2" s="1"/>
  <c r="K81" i="2"/>
  <c r="H12" i="11"/>
  <c r="I12" i="11" s="1"/>
  <c r="U28" i="2"/>
  <c r="T84" i="2"/>
  <c r="T86" i="2" s="1"/>
  <c r="L22" i="8"/>
  <c r="L21" i="8" s="1"/>
  <c r="N21" i="8" s="1"/>
  <c r="N23" i="8"/>
  <c r="K11" i="5"/>
  <c r="L14" i="5"/>
  <c r="G6" i="9"/>
  <c r="G11" i="9" s="1"/>
  <c r="G10" i="9"/>
  <c r="P2" i="4"/>
  <c r="M13" i="4"/>
  <c r="G28" i="9"/>
  <c r="D10" i="9"/>
  <c r="D6" i="9"/>
  <c r="D11" i="9" s="1"/>
  <c r="O34" i="17"/>
  <c r="I8" i="17"/>
  <c r="N2" i="2"/>
  <c r="E19" i="18"/>
  <c r="J20" i="18"/>
  <c r="G20" i="18"/>
  <c r="C12" i="11"/>
  <c r="G13" i="11"/>
  <c r="Q11" i="8"/>
  <c r="K10" i="10"/>
  <c r="K9" i="10" s="1"/>
  <c r="K18" i="10" s="1"/>
  <c r="V14" i="2"/>
  <c r="V21" i="2"/>
  <c r="E58" i="17"/>
  <c r="E56" i="17" s="1"/>
  <c r="E7" i="17" s="1"/>
  <c r="F56" i="17"/>
  <c r="F7" i="17" s="1"/>
  <c r="V28" i="2"/>
  <c r="F10" i="9"/>
  <c r="F6" i="9"/>
  <c r="F11" i="9" s="1"/>
  <c r="L8" i="17"/>
  <c r="J7" i="17"/>
  <c r="K8" i="17"/>
  <c r="K23" i="10"/>
  <c r="Q33" i="8"/>
  <c r="P11" i="8"/>
  <c r="U21" i="2"/>
  <c r="U14" i="2"/>
  <c r="J10" i="10"/>
  <c r="J9" i="10" s="1"/>
  <c r="J18" i="10" s="1"/>
  <c r="L8" i="11"/>
  <c r="L9" i="8"/>
  <c r="N9" i="8" s="1"/>
  <c r="N10" i="8"/>
  <c r="E9" i="9"/>
  <c r="C10" i="9"/>
  <c r="P33" i="8"/>
  <c r="J23" i="10"/>
  <c r="L62" i="5"/>
  <c r="M15" i="5"/>
  <c r="M62" i="5" s="1"/>
  <c r="M61" i="5" s="1"/>
  <c r="K61" i="5"/>
  <c r="O2" i="2"/>
  <c r="T12" i="2"/>
  <c r="V12" i="2" s="1"/>
  <c r="D37" i="8"/>
  <c r="M53" i="4"/>
  <c r="J20" i="12" l="1"/>
  <c r="O43" i="8"/>
  <c r="O51" i="8" s="1"/>
  <c r="P43" i="8" s="1"/>
  <c r="P51" i="8" s="1"/>
  <c r="Q43" i="8" s="1"/>
  <c r="Q51" i="8" s="1"/>
  <c r="N51" i="8"/>
  <c r="M51" i="8"/>
  <c r="L11" i="5"/>
  <c r="K12" i="5"/>
  <c r="G17" i="12"/>
  <c r="H8" i="11"/>
  <c r="V8" i="11" s="1"/>
  <c r="K11" i="2"/>
  <c r="K10" i="2" s="1"/>
  <c r="C27" i="9"/>
  <c r="D28" i="9"/>
  <c r="L11" i="2"/>
  <c r="L10" i="2" s="1"/>
  <c r="G12" i="11"/>
  <c r="C8" i="11"/>
  <c r="G8" i="11" s="1"/>
  <c r="D32" i="9"/>
  <c r="D7" i="9"/>
  <c r="D29" i="9"/>
  <c r="G7" i="9"/>
  <c r="G32" i="9"/>
  <c r="K58" i="5"/>
  <c r="L61" i="5"/>
  <c r="J27" i="10"/>
  <c r="J26" i="10" s="1"/>
  <c r="J34" i="10" s="1"/>
  <c r="J33" i="10" s="1"/>
  <c r="P10" i="8"/>
  <c r="V22" i="2"/>
  <c r="M14" i="5"/>
  <c r="M11" i="5" s="1"/>
  <c r="M12" i="5" s="1"/>
  <c r="R1" i="10"/>
  <c r="K26" i="11"/>
  <c r="K17" i="10"/>
  <c r="F7" i="9"/>
  <c r="F32" i="9"/>
  <c r="F29" i="9"/>
  <c r="K27" i="10"/>
  <c r="K26" i="10" s="1"/>
  <c r="K34" i="10" s="1"/>
  <c r="K33" i="10" s="1"/>
  <c r="Q10" i="8"/>
  <c r="F19" i="18"/>
  <c r="G19" i="18"/>
  <c r="G29" i="9"/>
  <c r="U22" i="2"/>
  <c r="K7" i="17"/>
  <c r="L7" i="17"/>
  <c r="Q1" i="10"/>
  <c r="Q2" i="10" s="1"/>
  <c r="J17" i="10"/>
  <c r="J26" i="11"/>
  <c r="T8" i="17"/>
  <c r="I7" i="17"/>
  <c r="D22" i="10"/>
  <c r="D18" i="10" s="1"/>
  <c r="D17" i="10" s="1"/>
  <c r="E37" i="8"/>
  <c r="V9" i="11" l="1"/>
  <c r="Q12" i="11"/>
  <c r="M8" i="11"/>
  <c r="I8" i="11"/>
  <c r="E27" i="9"/>
  <c r="C6" i="9"/>
  <c r="C28" i="9"/>
  <c r="T10" i="8"/>
  <c r="Q9" i="8"/>
  <c r="O55" i="4" s="1"/>
  <c r="Q28" i="8" s="1"/>
  <c r="W10" i="8"/>
  <c r="L58" i="5"/>
  <c r="K59" i="5"/>
  <c r="P9" i="8"/>
  <c r="S10" i="8"/>
  <c r="V10" i="8"/>
  <c r="V11" i="8" s="1"/>
  <c r="N55" i="4"/>
  <c r="P28" i="8" s="1"/>
  <c r="N15" i="5"/>
  <c r="N62" i="5" s="1"/>
  <c r="M58" i="5"/>
  <c r="M59" i="5" s="1"/>
  <c r="R2" i="10"/>
  <c r="C11" i="9" l="1"/>
  <c r="C32" i="9"/>
  <c r="E6" i="9"/>
  <c r="C29" i="9"/>
  <c r="C7" i="9"/>
  <c r="N42" i="4"/>
  <c r="N41" i="4"/>
  <c r="N43" i="4"/>
  <c r="N44" i="4"/>
  <c r="N20" i="4"/>
  <c r="V13" i="8"/>
  <c r="N51" i="4"/>
  <c r="N49" i="4"/>
  <c r="N48" i="4"/>
  <c r="N52" i="4"/>
  <c r="N50" i="4"/>
  <c r="N46" i="4"/>
  <c r="N45" i="4"/>
  <c r="N47" i="4"/>
  <c r="W11" i="8"/>
  <c r="N61" i="5"/>
  <c r="N58" i="5" s="1"/>
  <c r="N59" i="5" s="1"/>
  <c r="N14" i="5"/>
  <c r="N11" i="5" s="1"/>
  <c r="N12" i="5" s="1"/>
  <c r="O49" i="4" l="1"/>
  <c r="O47" i="4"/>
  <c r="O45" i="4"/>
  <c r="O20" i="4"/>
  <c r="O19" i="4" s="1"/>
  <c r="H24" i="12"/>
  <c r="H37" i="12"/>
  <c r="N19" i="4"/>
  <c r="O46" i="4"/>
  <c r="O44" i="4"/>
  <c r="N53" i="4"/>
  <c r="O50" i="4"/>
  <c r="O43" i="4"/>
  <c r="O52" i="4"/>
  <c r="O41" i="4"/>
  <c r="N40" i="4"/>
  <c r="O51" i="4"/>
  <c r="O48" i="4"/>
  <c r="O42" i="4"/>
  <c r="O53" i="4" l="1"/>
  <c r="P24" i="8"/>
  <c r="N18" i="4"/>
  <c r="N16" i="4" s="1"/>
  <c r="R8" i="4"/>
  <c r="H20" i="12"/>
  <c r="I24" i="12"/>
  <c r="I20" i="12" s="1"/>
  <c r="O40" i="4"/>
  <c r="Q25" i="8" s="1"/>
  <c r="Q24" i="8"/>
  <c r="O18" i="4"/>
  <c r="H32" i="12"/>
  <c r="H30" i="12"/>
  <c r="I37" i="12"/>
  <c r="N7" i="4"/>
  <c r="P25" i="8"/>
  <c r="I32" i="12" l="1"/>
  <c r="I30" i="12"/>
  <c r="N28" i="4"/>
  <c r="N27" i="4"/>
  <c r="N35" i="4"/>
  <c r="N32" i="4"/>
  <c r="N31" i="4"/>
  <c r="N36" i="4"/>
  <c r="N30" i="4"/>
  <c r="N37" i="4"/>
  <c r="N29" i="4"/>
  <c r="N33" i="4"/>
  <c r="N34" i="4"/>
  <c r="N26" i="4"/>
  <c r="Q23" i="8"/>
  <c r="H15" i="12"/>
  <c r="H18" i="12"/>
  <c r="L20" i="12"/>
  <c r="I15" i="12"/>
  <c r="I18" i="12"/>
  <c r="O16" i="4"/>
  <c r="O14" i="4" s="1"/>
  <c r="Q11" i="4"/>
  <c r="P23" i="8"/>
  <c r="P22" i="8" s="1"/>
  <c r="P21" i="8" s="1"/>
  <c r="O36" i="4" l="1"/>
  <c r="O32" i="4"/>
  <c r="K14" i="11"/>
  <c r="K13" i="11" s="1"/>
  <c r="K12" i="11" s="1"/>
  <c r="I17" i="12"/>
  <c r="L18" i="12"/>
  <c r="O31" i="4"/>
  <c r="O26" i="4"/>
  <c r="N25" i="4"/>
  <c r="O34" i="4"/>
  <c r="O35" i="4"/>
  <c r="R23" i="8"/>
  <c r="Q22" i="8"/>
  <c r="Q21" i="8" s="1"/>
  <c r="I11" i="12"/>
  <c r="I9" i="12" s="1"/>
  <c r="I13" i="12"/>
  <c r="N6" i="4"/>
  <c r="N14" i="4"/>
  <c r="O33" i="4"/>
  <c r="O27" i="4"/>
  <c r="O28" i="4"/>
  <c r="O37" i="4"/>
  <c r="O29" i="4"/>
  <c r="J14" i="11"/>
  <c r="J13" i="11" s="1"/>
  <c r="J12" i="11" s="1"/>
  <c r="K20" i="12"/>
  <c r="K18" i="12"/>
  <c r="H17" i="12"/>
  <c r="O13" i="4"/>
  <c r="R13" i="4"/>
  <c r="R2" i="4"/>
  <c r="H13" i="12"/>
  <c r="H11" i="12"/>
  <c r="H9" i="12" s="1"/>
  <c r="O30" i="4"/>
  <c r="K8" i="11" l="1"/>
  <c r="O8" i="11" s="1"/>
  <c r="J8" i="11"/>
  <c r="N8" i="11" s="1"/>
  <c r="N13" i="4"/>
  <c r="Q13" i="4"/>
  <c r="Q2" i="4"/>
  <c r="O25" i="4"/>
  <c r="R8" i="11" l="1"/>
  <c r="Q8" i="11"/>
</calcChain>
</file>

<file path=xl/sharedStrings.xml><?xml version="1.0" encoding="utf-8"?>
<sst xmlns="http://schemas.openxmlformats.org/spreadsheetml/2006/main" count="1868" uniqueCount="823">
  <si>
    <t>STT</t>
  </si>
  <si>
    <t>NỘI DUNG</t>
  </si>
  <si>
    <t>ĐƠN VỊ 
TÍNH</t>
  </si>
  <si>
    <t>KẾ HOẠCH</t>
  </si>
  <si>
    <t>ƯỚC THỰC HIỆN</t>
  </si>
  <si>
    <t xml:space="preserve">Tổng sản phẩm trong nước của địa phương (GRDP) giá hiện hành </t>
  </si>
  <si>
    <t>Tỷ đồng</t>
  </si>
  <si>
    <t xml:space="preserve">Tốc độ tăng trưởng GRDP </t>
  </si>
  <si>
    <t>%</t>
  </si>
  <si>
    <t xml:space="preserve">Cơ cấu kinh tế </t>
  </si>
  <si>
    <t xml:space="preserve"> - Nông, lâm, ngư nghiệp</t>
  </si>
  <si>
    <t xml:space="preserve"> - Công nghiệp, xâu dựng</t>
  </si>
  <si>
    <t xml:space="preserve"> - Dịch vụ</t>
  </si>
  <si>
    <t>Chỉ số giá tiêu dùng (CPI)</t>
  </si>
  <si>
    <t>Vốn đầu tư phát triển toàn xã hội trên địa bàn</t>
  </si>
  <si>
    <t xml:space="preserve">Tỷ lệ so với GRDP </t>
  </si>
  <si>
    <t>Kim ngạch xuất khẩu hàng hóa</t>
  </si>
  <si>
    <t>Triệu USD</t>
  </si>
  <si>
    <t xml:space="preserve">Tốc độ tăng trưởng </t>
  </si>
  <si>
    <t xml:space="preserve">Kim ngạch nhập khẩu hàng hóa </t>
  </si>
  <si>
    <t>Tốc độ tăng trưởng</t>
  </si>
  <si>
    <t xml:space="preserve">Dân số </t>
  </si>
  <si>
    <t>Triệu đồng</t>
  </si>
  <si>
    <t>Mức giảm tỷ lệ hộ nghèo</t>
  </si>
  <si>
    <t>Tỷ lệ hộ nghèo</t>
  </si>
  <si>
    <t>Giáo dục, đào tạo</t>
  </si>
  <si>
    <t>Người</t>
  </si>
  <si>
    <t>- Số học sinh</t>
  </si>
  <si>
    <t xml:space="preserve">Trong đó: </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</si>
  <si>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</si>
  <si>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</si>
  <si>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</si>
  <si>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</si>
  <si>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Trường</t>
  </si>
  <si>
    <t>Y tế:</t>
  </si>
  <si>
    <t>- Cơ sở khám chữa bệnh</t>
  </si>
  <si>
    <t>Cơ sở</t>
  </si>
  <si>
    <t>- Số giường bệnh</t>
  </si>
  <si>
    <t>Giường</t>
  </si>
  <si>
    <t>Trong đó:</t>
  </si>
  <si>
    <t>+ Giường bệnh cấp tỉnh</t>
  </si>
  <si>
    <t>+ Giường bệnh cấp huyện</t>
  </si>
  <si>
    <t>+ Giường phòng khám khu vực</t>
  </si>
  <si>
    <t>+ Giường y tế xã phường</t>
  </si>
  <si>
    <t>- Số đối tượng mua BHYT</t>
  </si>
  <si>
    <t>+ Trẻ em dưới 6 tuổi</t>
  </si>
  <si>
    <t>+ Đối tượng bảo trợ xã hội</t>
  </si>
  <si>
    <t>+ Người thuộc hộ nghèo</t>
  </si>
  <si>
    <t>+ Kinh phí mua thẻ khám chữa bệnh người nghèo, người dân tộc thiểu số, người sống vùng có điều kiện KTXH ĐBKK</t>
  </si>
  <si>
    <t>+ Người hiến bộ phận cơ thể</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</si>
  <si>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</si>
  <si>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</si>
  <si>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</si>
  <si>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xml:space="preserve">+ Người thuộc hộ gia đình nông, lâm, ngư nghiệp có mức sống trung bình </t>
  </si>
  <si>
    <t>Đơn vị: Triệu đồng</t>
  </si>
  <si>
    <t>Thực hiện năm … (n-2)</t>
  </si>
  <si>
    <t>DỰ KIẾN 03 NĂM KẾ HOẠCH</t>
  </si>
  <si>
    <t>DỰ TOÁN TTgCP giao</t>
  </si>
  <si>
    <t>DỰ TOÁN HĐND cấp tỉnh quyết định</t>
  </si>
  <si>
    <t xml:space="preserve">ĐÁNH GIÁ THỰC HIỆN </t>
  </si>
  <si>
    <t>I</t>
  </si>
  <si>
    <t>- Thuế giá trị gia tăng</t>
  </si>
  <si>
    <t>Trong đó: Thu từ hoạt động thăm dò, khai thác dầu khí</t>
  </si>
  <si>
    <t>- Thuế thu nhập doanh nghiệp</t>
  </si>
  <si>
    <t xml:space="preserve">- Thuế tiêu thụ đặc biệt </t>
  </si>
  <si>
    <t>Trong đó: Thu từ cơ sở kinh doanh nhập khẩu tiếp tục bán ra trong nước</t>
  </si>
  <si>
    <t>- Thuế tài nguyên</t>
  </si>
  <si>
    <t>Trong đó: Thuế tài nguyên dầu, khí</t>
  </si>
  <si>
    <t>Thu từ khu vực doanh nghiệp nhà nước do địa phương quản lý</t>
  </si>
  <si>
    <t>Thu từ khu vực doanh nghiệp có vốn đầu tư nước ngoài</t>
  </si>
  <si>
    <t>Trong đó: Thu từ hoạt động thăm dò và khai thác dầu, khí</t>
  </si>
  <si>
    <t>- Thu từ khí thiên nhiên</t>
  </si>
  <si>
    <t>Trong đó: - Thu từ cơ sở kinh doanh nhập khẩu tiếp tục bán ra trong nước</t>
  </si>
  <si>
    <t>- Tiền thuê mặt đất, mặt nước</t>
  </si>
  <si>
    <t>Thu từ khu vực kinh tế ngoài quốc doanh</t>
  </si>
  <si>
    <t xml:space="preserve">Lệ phí trước bạ </t>
  </si>
  <si>
    <t>Thuế sử dụng đất nông nghiệp</t>
  </si>
  <si>
    <t>Thuế sử dụng đất phi nông nghiệp</t>
  </si>
  <si>
    <t>Thuế thu nhập cá nhân</t>
  </si>
  <si>
    <t>Thuế bảo vệ môi trường</t>
  </si>
  <si>
    <t>Trong đó: - Thu từ hàng hóa nhập khẩu</t>
  </si>
  <si>
    <t>Phí, lệ phí</t>
  </si>
  <si>
    <t>Bao gồm: - Phí, lệ phí do cơ quan nhà nước trung ương thu</t>
  </si>
  <si>
    <t xml:space="preserve">                 - Phí, lệ phí do cơ quan nhà nước địa phương thu</t>
  </si>
  <si>
    <t>Trong đó: - Thu do cơ quan, tổ chức, đơn vị thuộc Trung ương quản lý</t>
  </si>
  <si>
    <t>Thu tiền thuê đất, mặt nước</t>
  </si>
  <si>
    <t>Thu tiền sử dụng khu vực biển</t>
  </si>
  <si>
    <t>Trong đó: - Thuộc thẩm quyền giao của trung ương</t>
  </si>
  <si>
    <t xml:space="preserve">                -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</si>
  <si>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</si>
  <si>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</si>
  <si>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</si>
  <si>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</si>
  <si>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</si>
  <si>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</si>
  <si>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</si>
  <si>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</si>
  <si>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</si>
  <si>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</si>
  <si>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</si>
  <si>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Thu từ quỹ đất công ích và thu hoa lợi công sản khác</t>
  </si>
  <si>
    <t>Thu cổ tức và lợi nhuận sau thuế (địa phương hưởng 100%)</t>
  </si>
  <si>
    <t>Thu từ hoạt động xổ số kiến thiết (kể cả hoạt động xổ số điện toán)</t>
  </si>
  <si>
    <t>II</t>
  </si>
  <si>
    <t>III</t>
  </si>
  <si>
    <t>THU TỪ HOẠT ĐỘNG XUẤT, NHẬP KHẨU</t>
  </si>
  <si>
    <t>Thuế xuất khẩu</t>
  </si>
  <si>
    <t>Thuế nhập khẩu</t>
  </si>
  <si>
    <t>Thuế tiêu thụ đặc biệt</t>
  </si>
  <si>
    <t xml:space="preserve">Thuế giá trị gia tăng </t>
  </si>
  <si>
    <t>DỰ TOÁN</t>
  </si>
  <si>
    <t>4=3/2</t>
  </si>
  <si>
    <t>Các khoản thu từ thuế</t>
  </si>
  <si>
    <t>Thuế GTGT thu từ hàng hóa SX-KD trong nước</t>
  </si>
  <si>
    <t>Thuế TTĐB thu từ hàng hóa sản xuất trong nước</t>
  </si>
  <si>
    <t>Thuế BVMT thu từ hàng hóa SX-KD trong nước</t>
  </si>
  <si>
    <t>Thuế thu nhập doanh nghiệp</t>
  </si>
  <si>
    <t>Thuế tài nguyên</t>
  </si>
  <si>
    <t>Các khoản phí, lệ phí</t>
  </si>
  <si>
    <t>Lệ phí trước bạ</t>
  </si>
  <si>
    <t>Các loại phí, lệ phí</t>
  </si>
  <si>
    <t>Thu cổ tức, lợi nhuận được chia, lợi nhuận sau thuế, chênh lệch thu, chi của NHNN</t>
  </si>
  <si>
    <t>Thu cổ tức, lợi nhuận được chia, lợi nhuận sau thuế</t>
  </si>
  <si>
    <t>Thu chênh lệch thu, chi của NHNN</t>
  </si>
  <si>
    <t>IV</t>
  </si>
  <si>
    <t>Các khoản thu về nhà đất</t>
  </si>
  <si>
    <t>Thu tiền cho thuê đất, mặt nước, mặt biển</t>
  </si>
  <si>
    <t>Thu tiền sử dụng đất</t>
  </si>
  <si>
    <t>Thu tiền cho thuê và tiền bán nhà ở thuộc sở hữu nhà nước</t>
  </si>
  <si>
    <t>V</t>
  </si>
  <si>
    <t>Thu khác</t>
  </si>
  <si>
    <t>Thu cấp quyền khai thác khoáng sản</t>
  </si>
  <si>
    <t>Thu bán tài sản nhà nước</t>
  </si>
  <si>
    <t>Các khoản thu khác còn lại</t>
  </si>
  <si>
    <t>Dự toán năm n-1</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</si>
  <si>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</si>
  <si>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</si>
  <si>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</si>
  <si>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</si>
  <si>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</si>
  <si>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</si>
  <si>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còn lại (1-1.1)</t>
  </si>
  <si>
    <t>1.2.1</t>
  </si>
  <si>
    <t>Chi đầu tư phát triển của các dự án phân theo nguồn vốn</t>
  </si>
  <si>
    <t>a</t>
  </si>
  <si>
    <t>Chi đầu tư XDCB vốn trong nước</t>
  </si>
  <si>
    <t>b</t>
  </si>
  <si>
    <t>Chi đầu tư từ nguồn thu tiền sử dụng đất</t>
  </si>
  <si>
    <t>c</t>
  </si>
  <si>
    <t>Chi đầu tư từ nguồn thu xổ số kiến thiết</t>
  </si>
  <si>
    <t>d</t>
  </si>
  <si>
    <t>1.2.2</t>
  </si>
  <si>
    <t>Chi đầu tư phát triển phân theo lĩnh vực</t>
  </si>
  <si>
    <t>Chi giáo dục - đào tạo và dạy nghề</t>
  </si>
  <si>
    <t>Chi khoa học và công nghệ</t>
  </si>
  <si>
    <t>Chi thường xuyên</t>
  </si>
  <si>
    <t>Chi bổ sung quỹ dự trữ tài chính</t>
  </si>
  <si>
    <t>Dự phòng ngân sách</t>
  </si>
  <si>
    <t>A</t>
  </si>
  <si>
    <t>MỨC DƯ NỢ VAY TỐI ĐA CỦA NSĐP</t>
  </si>
  <si>
    <t>B</t>
  </si>
  <si>
    <t>BỘI CHI NGÂN SÁCH ĐỊA PHƯƠNG</t>
  </si>
  <si>
    <t>C</t>
  </si>
  <si>
    <t>KẾ HOẠCH VAY, TRẢ NỢ GỐC</t>
  </si>
  <si>
    <t>Tổng dư nợ đầu năm</t>
  </si>
  <si>
    <t>Tỷ lệ mức dư nợ đầu kỳ so với mức dư nợ vay tối đa của ngân sách địa phương (%)</t>
  </si>
  <si>
    <t>Trái phiếu chính quyền địa phương</t>
  </si>
  <si>
    <t>Nợ gốc phải trả phân theo nguồn vay</t>
  </si>
  <si>
    <t>Tổng mức vay trong năm</t>
  </si>
  <si>
    <t>Tổng dư nợ cuối năm</t>
  </si>
  <si>
    <t>Tỷ lệ mức dư nợ cuối kỳ so với mức dư nợ vay tối đa của ngân sách địa phương (%)</t>
  </si>
  <si>
    <t>D</t>
  </si>
  <si>
    <t xml:space="preserve">Trả nợ lãi, phí </t>
  </si>
  <si>
    <t>DỰ KIẾN NHU CẦU, NGUỒN VÀ SỐ BỔ SUNG CHI THỰC HIỆN CẢI CÁCH TIỀN LƯƠNG</t>
  </si>
  <si>
    <t>KINH PHÍ TĂNG THÊM</t>
  </si>
  <si>
    <t>3=2-1</t>
  </si>
  <si>
    <t>-</t>
  </si>
  <si>
    <t>Tổng chi quỹ lương theo tiền lương cơ sở đã dự kiến</t>
  </si>
  <si>
    <t>50% tăng thu NSĐP</t>
  </si>
  <si>
    <t>- 50% tăng thu NSĐP dự toán năm nay so năm trước</t>
  </si>
  <si>
    <t>Thu sự nghiệp khác</t>
  </si>
  <si>
    <t>Thu từ khu vực doanh nghiệp nhà nước do Trung ương quản lý</t>
  </si>
  <si>
    <t>NĂM 2017</t>
  </si>
  <si>
    <t>NĂM 2018</t>
  </si>
  <si>
    <t>NĂM 2019</t>
  </si>
  <si>
    <t>NĂM 2020</t>
  </si>
  <si>
    <t>1</t>
  </si>
  <si>
    <t>2</t>
  </si>
  <si>
    <t>3</t>
  </si>
  <si>
    <t>4</t>
  </si>
  <si>
    <t>5</t>
  </si>
  <si>
    <t>TỔNG THU NSNN TRÊN ĐỊA BÀN</t>
  </si>
  <si>
    <t>đ</t>
  </si>
  <si>
    <t>e</t>
  </si>
  <si>
    <t>g</t>
  </si>
  <si>
    <t>h</t>
  </si>
  <si>
    <t>k</t>
  </si>
  <si>
    <t>Chi hoạt động kinh tế</t>
  </si>
  <si>
    <t>l</t>
  </si>
  <si>
    <t>Chi hoạt động quản lý nhà nước, Đảng, đoàn thể</t>
  </si>
  <si>
    <t>m</t>
  </si>
  <si>
    <t>Chi bảo đảm xã hội</t>
  </si>
  <si>
    <t>n</t>
  </si>
  <si>
    <t>Chi khác</t>
  </si>
  <si>
    <t>Chi quốc phòng an ninh</t>
  </si>
  <si>
    <t>Chi sự nghiệp y tế, dân số và gia đình</t>
  </si>
  <si>
    <t>Chi sự nghiệp văn hóa thông tin</t>
  </si>
  <si>
    <t>Chi sự nghiệp phát thanh, truyền hình</t>
  </si>
  <si>
    <t>Chi sự nghiệp thể dục thể thao</t>
  </si>
  <si>
    <t>Chi sự nghiệp bảo vệ môi trường</t>
  </si>
  <si>
    <t>Tổng chi quỹ lương theo tiền lương cơ sở đã được quyết định trước 31/12/2017</t>
  </si>
  <si>
    <t>Thuế XNK</t>
  </si>
  <si>
    <t>- Riêng Thuế NK, thuế SP trừ trợ cấp SP</t>
  </si>
  <si>
    <t>Nội dung</t>
  </si>
  <si>
    <t>Thực hiện năm 2016</t>
  </si>
  <si>
    <t>Dự toán</t>
  </si>
  <si>
    <t>Vay lại từ nguồn Chính phủ vay ngoài nước</t>
  </si>
  <si>
    <t>Vay tín dụng ưu đãi (Kiên cố hóa kênh mương đường GTNT)</t>
  </si>
  <si>
    <t>Trả nợ gốc vay trong năm</t>
  </si>
  <si>
    <t>Vay trả nợ gốc</t>
  </si>
  <si>
    <t>+</t>
  </si>
  <si>
    <t>Dự án Sữa chữa và nâng cao an toàn đập</t>
  </si>
  <si>
    <t>Hỗ trợ phát triển khu vực biên giới - Tiểu dự án tỉnh Kon Tum</t>
  </si>
  <si>
    <t>Mở rộng quy mô vệ sinh và nước sạch nông thôn dựa trên kết quả</t>
  </si>
  <si>
    <t xml:space="preserve">Vay lại từ nguồn Chính phủ vay ngoài nước </t>
  </si>
  <si>
    <t>Vay tín dụng ưu đãi (Kiên cố hóa kênh mương đường GTNT) (2)</t>
  </si>
  <si>
    <t>Ghi chú:</t>
  </si>
  <si>
    <t xml:space="preserve">      - Thu do cơ quan, tổ chức, đơn vị thuộc địa phương quản lý</t>
  </si>
  <si>
    <t>TỔNG SÔ (A+B)</t>
  </si>
  <si>
    <t>Thu NSĐP được hưởng theo phân cấp</t>
  </si>
  <si>
    <t>Thu bổ sung từ ngân sách cấp trên</t>
  </si>
  <si>
    <t xml:space="preserve">Thuế XNK </t>
  </si>
  <si>
    <t>Thuế GTGT thu từ hoạt động XNK</t>
  </si>
  <si>
    <t>UBND TỈNH KON TUM</t>
  </si>
  <si>
    <t>Kon Tum, ngày         tháng          năm 2017</t>
  </si>
  <si>
    <t xml:space="preserve">              TM/ỦY BAN NHÂN DÂN </t>
  </si>
  <si>
    <t xml:space="preserve">                        CHỦ TỊCH</t>
  </si>
  <si>
    <t>Biểu số 10</t>
  </si>
  <si>
    <t>So sánh</t>
  </si>
  <si>
    <t>Tuyệt đối</t>
  </si>
  <si>
    <t>Tương đối</t>
  </si>
  <si>
    <t>3= 2-1</t>
  </si>
  <si>
    <t>4= 2/1</t>
  </si>
  <si>
    <t>Thu bổ sung cân đối ngân sách</t>
  </si>
  <si>
    <t>Thu bổ sung có mục tiêu</t>
  </si>
  <si>
    <t>Thu từ quỹ dự trữ tài chính</t>
  </si>
  <si>
    <t>Thu kết dư</t>
  </si>
  <si>
    <t xml:space="preserve">Thu chuyển nguồn từ năm trước chuyển sang </t>
  </si>
  <si>
    <t>Tổng chi cân đối ngân sách địa phương</t>
  </si>
  <si>
    <t>3.</t>
  </si>
  <si>
    <t>Chi trả nợ lãi các khoản do chính quyền địa phương vay</t>
  </si>
  <si>
    <t xml:space="preserve">Chi các chương trình mục tiêu </t>
  </si>
  <si>
    <t>Chi các chương trình mục tiêu quốc gia</t>
  </si>
  <si>
    <t>Chi các chương trình mục tiêu, nhiệm vụ</t>
  </si>
  <si>
    <t>Chi chuyển nguồn sang năm sau</t>
  </si>
  <si>
    <t>TỔNG MỨC VAY, TRẢ NỢ CỦA NSĐP</t>
  </si>
  <si>
    <t>Hạn mức dư nợ vay tối đa của NSĐP</t>
  </si>
  <si>
    <t>Mức dư nợ đầu kỳ (năm)</t>
  </si>
  <si>
    <t>Trả nợ gốc vay của NSĐP</t>
  </si>
  <si>
    <t>Từ nguồn vay để trả nợ gốc</t>
  </si>
  <si>
    <t>Từ nguồn bội thu, tăng thu, tiết kiệm chi, kết dư ngân sách cấp tỉnh</t>
  </si>
  <si>
    <t>Tổng mức vay của NSĐP</t>
  </si>
  <si>
    <t>Vay để bù đắp bội chi</t>
  </si>
  <si>
    <t>Mức dư nợ cuối kỳ (năm)</t>
  </si>
  <si>
    <t>3=2/1</t>
  </si>
  <si>
    <t>TỔNG THU NGÂN SÁCH NHÀ NƯỚC</t>
  </si>
  <si>
    <t>Tỷ lệ thu từ thuế, phí so với GRDP (%)</t>
  </si>
  <si>
    <t xml:space="preserve">Thu nội địa </t>
  </si>
  <si>
    <t>Tốc độ tăng thu (%)</t>
  </si>
  <si>
    <t>Tỷ trọng trong tổng thu NSNN (%)</t>
  </si>
  <si>
    <t>Thu từ khu vực doanh nghiệp nhà nước do trung ương quản lý (1)</t>
  </si>
  <si>
    <t>Thu từ khu vực doanh nghiệp nhà nước do địa phương quản lý (2)</t>
  </si>
  <si>
    <t>Thu từ khu vực doanh nghiệp có vốn đầu tư nước ngoài (3)</t>
  </si>
  <si>
    <t>Thu từ khu vực kinh tế ngoài quốc doanh (4)</t>
  </si>
  <si>
    <t>Thu từ hoạt động xổ số kiến thiết</t>
  </si>
  <si>
    <t xml:space="preserve">Thu từ dầu thô </t>
  </si>
  <si>
    <t xml:space="preserve">Thu từ hoạt động xuất, nhập khẩu </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</si>
  <si>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</si>
  <si>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</si>
  <si>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</si>
  <si>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</si>
  <si>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NGÂN SÁCH CẤP TỈNH</t>
  </si>
  <si>
    <t>Nguồn thu ngân sách</t>
  </si>
  <si>
    <t>Thu ngân sách được hưởng theo phân cấp</t>
  </si>
  <si>
    <t>Thu chuyển nguồn từ năm trước chuyển sang</t>
  </si>
  <si>
    <t>Chi ngân sách</t>
  </si>
  <si>
    <t>Chi thuộc nhiệm vụ của ngân sách cấp tỉnh</t>
  </si>
  <si>
    <t>Chi bổ sung cho ngân sách cấp dưới</t>
  </si>
  <si>
    <t>Chi bổ sung cân đối ngân sách</t>
  </si>
  <si>
    <t>Chi bổ sung có mục tiêu</t>
  </si>
  <si>
    <t>NGÂN SÁCH HUYỆN</t>
  </si>
  <si>
    <t>Chi thuộc nhiệm vụ của ngân sách huyện</t>
  </si>
  <si>
    <t>Ghi chú: (1) Năm N là năm dự toán ngân sách; theo đó, các năm N-1, N+1 và N+2 là năm trước, năm sau và năm sau nữa của năm dự toán ngân sách.</t>
  </si>
  <si>
    <t>TỔNG CHI NGÂN SÁCH CẤP TỈNH</t>
  </si>
  <si>
    <t>CHI BỔ SUNG CHO NGÂN SÁCH HUYỆN</t>
  </si>
  <si>
    <t>CHI NGÂN SÁCH CẤP TỈNH THEO LĨNH VỰC</t>
  </si>
  <si>
    <t xml:space="preserve">Chi đầu tư cho các dự án </t>
  </si>
  <si>
    <t>CHI ĐẦU TƯ PHÁT TRIỂN</t>
  </si>
  <si>
    <t>CHI ĐẦU TƯ CỦA NGÂN SÁCH CẤP TỈNH VÀ NGÂN SÁCH HUYỆN (1)</t>
  </si>
  <si>
    <t>Đầu tư từ nguồn thu sử dụng đất</t>
  </si>
  <si>
    <t>Đầu tư từ nguồn thu xổ số kiến thiết</t>
  </si>
  <si>
    <t>Vốn cân đối địa phương theo tiêu chí, định mức</t>
  </si>
  <si>
    <t>Ngân sách huyện</t>
  </si>
  <si>
    <t>Đầu tư từ nguồn thu xổ số kiến thiết (nếu có)</t>
  </si>
  <si>
    <t>- Vốn trong nước</t>
  </si>
  <si>
    <t>- Vốn nước ngoài</t>
  </si>
  <si>
    <t>Các chương trình mục tiêu quốc gia</t>
  </si>
  <si>
    <t>DỰ PHÒNG THEO LUẬT ĐẦU TƯ CÔNG</t>
  </si>
  <si>
    <t>Dự toán năm 2017</t>
  </si>
  <si>
    <t>Dự toán ngân sách năm 2018</t>
  </si>
  <si>
    <t>Biểu số 01</t>
  </si>
  <si>
    <t>Biểu số 02</t>
  </si>
  <si>
    <t xml:space="preserve">              - Thu từ hàng hóa sản xuất trong nước</t>
  </si>
  <si>
    <t xml:space="preserve">               - Giấy phép do Ủy ban nhân dân cấp tỉnh cấp</t>
  </si>
  <si>
    <t>Biểu số 03</t>
  </si>
  <si>
    <t>Biểu số 05</t>
  </si>
  <si>
    <t>Biểu số 04</t>
  </si>
  <si>
    <t>Biểu số 06</t>
  </si>
  <si>
    <t>Biểu số 07</t>
  </si>
  <si>
    <t>Chi trả nợ lãi vay</t>
  </si>
  <si>
    <t>Tỷ lệ thu NSNN so với GRDP (%)</t>
  </si>
  <si>
    <t>Biểu mẫu số 08</t>
  </si>
  <si>
    <t>TỔNG CỘNG (A+B)</t>
  </si>
  <si>
    <t>Trần chi</t>
  </si>
  <si>
    <t>Ngân sách cấp tỉnh</t>
  </si>
  <si>
    <t>Chi khác ngân sách</t>
  </si>
  <si>
    <t>Chi tạo nguồn thực hiện CCTL từ tăng thu dự toán</t>
  </si>
  <si>
    <t>Chi từ nguồn ĐP giao tăng thu phí SD kết cấu hạ tầng</t>
  </si>
  <si>
    <t>Chi bảo vệ môi trường</t>
  </si>
  <si>
    <t>Chi y tế, dân số và gia đình</t>
  </si>
  <si>
    <t>Chi văn hóa thông tin</t>
  </si>
  <si>
    <t>Chi phát thanh, truyền hình</t>
  </si>
  <si>
    <t>Chi thể dục thể thao</t>
  </si>
  <si>
    <t>Chi thường xuyên khác còn lại</t>
  </si>
  <si>
    <t>Chi chuyển nguồn</t>
  </si>
  <si>
    <t>Chương trình MTQG giảm nghèo bền vững</t>
  </si>
  <si>
    <t>Chương trình mục tiêu quốc gia xây dựng Nông thôn mới</t>
  </si>
  <si>
    <t>Các chương trình mục tiêu</t>
  </si>
  <si>
    <t>Biểu số 11</t>
  </si>
  <si>
    <t>Chi thường xuyên cân đối</t>
  </si>
  <si>
    <t>Chi bổ sung Quỹ dự trữ tài chính</t>
  </si>
  <si>
    <t>Dự phòng</t>
  </si>
  <si>
    <t>VI</t>
  </si>
  <si>
    <t>28-29</t>
  </si>
  <si>
    <t>26-27</t>
  </si>
  <si>
    <t>24-25</t>
  </si>
  <si>
    <t>25-26</t>
  </si>
  <si>
    <t>39-40</t>
  </si>
  <si>
    <t>7-8</t>
  </si>
  <si>
    <t>8-9</t>
  </si>
  <si>
    <t>3-4</t>
  </si>
  <si>
    <t>Bội thu NSĐP tạo nguồn trả nợ vay gốc</t>
  </si>
  <si>
    <t>Biểu số 09</t>
  </si>
  <si>
    <t xml:space="preserve">Nguồn thu ngân sách </t>
  </si>
  <si>
    <t>Thu bổ sung cân đối ngân sách trung ương</t>
  </si>
  <si>
    <t>Thu bổ sung thực hiện tiền lương</t>
  </si>
  <si>
    <t>Tổng thu cân đối ngân sách địa phương</t>
  </si>
  <si>
    <t>TỔNG NGUỒN THU NSĐP</t>
  </si>
  <si>
    <t>TỔNG CHI NSĐP</t>
  </si>
  <si>
    <t>Thu bổ sung có mục tiêu từ ngân sách trung ương để thực hiện các Chương trình MTQG, Chương trình mục tiêu và nhiệm vụ khác</t>
  </si>
  <si>
    <t>Chi quản lý qua ngân sách (ghi thu ghi chi viện trợ)</t>
  </si>
  <si>
    <t>Tổng chi quỹ tiền lương</t>
  </si>
  <si>
    <t>Điều chỉnh quỹ tiền lương</t>
  </si>
  <si>
    <t>Tổng nguồn kinh phí thực hiện CCTL của NSĐP</t>
  </si>
  <si>
    <t>10% tiết kiệm chi thường xuyên NSĐP</t>
  </si>
  <si>
    <t>Thu cổ tức, lợi nhuận sau thuế</t>
  </si>
  <si>
    <t>Thu viện trợ, tài trợ</t>
  </si>
  <si>
    <t>KHO BẠC NHÀ NƯỚC 3010-KBNN Kon Tum</t>
  </si>
  <si>
    <t>Mẫu số B2-01/NS-Tabmis</t>
  </si>
  <si>
    <t>Nguồn dữ liệu TABMIS</t>
  </si>
  <si>
    <t>(QĐ…./QĐ-BTC ngày ….)</t>
  </si>
  <si>
    <t>BÁO CÁO THU VÀ VAY CỦA NGÂN SÁCH NHÀ NƯỚC NIÊN ĐỘ 2017</t>
  </si>
  <si>
    <t>Từ ngày hiệu lực: 01/12/2017  Đến ngày hiệu lực: 31/12/2017</t>
  </si>
  <si>
    <t>Địa bàn: 62TTT-Tổng Tỉnh Kon Tum</t>
  </si>
  <si>
    <t>Đơn vị: Đồng</t>
  </si>
  <si>
    <t>Chỉ tiêu</t>
  </si>
  <si>
    <t>Thực hiện trong kỳ</t>
  </si>
  <si>
    <t>Lũy kế thực hiện từ đầu năm</t>
  </si>
  <si>
    <t>NSNN</t>
  </si>
  <si>
    <t>NSTW</t>
  </si>
  <si>
    <t>NSĐP</t>
  </si>
  <si>
    <t>Chia ra</t>
  </si>
  <si>
    <t>NS cấp tỉnh</t>
  </si>
  <si>
    <t>NS cấp huyện</t>
  </si>
  <si>
    <t>NS cấp xã</t>
  </si>
  <si>
    <t>1=2+3</t>
  </si>
  <si>
    <t>3=4+5+6</t>
  </si>
  <si>
    <t>7=8+9</t>
  </si>
  <si>
    <t>9=10+11+12</t>
  </si>
  <si>
    <t>TỔNG SỐ (=A+B+C+D+E+F)</t>
  </si>
  <si>
    <t>THU NGÂN SÁCH NHÀ NƯỚC</t>
  </si>
  <si>
    <t>Thu nội địa thường xuyên</t>
  </si>
  <si>
    <t>Thu từ kinh tế quốc doanh</t>
  </si>
  <si>
    <t>Thuế giá trị gia tăng hàng sản xuất - kinh doanh trong nước</t>
  </si>
  <si>
    <t xml:space="preserve"> </t>
  </si>
  <si>
    <t>Thuế tiêu thụ đặc biệt hàng sản xuất trong nước</t>
  </si>
  <si>
    <t>1.3</t>
  </si>
  <si>
    <t>1.4</t>
  </si>
  <si>
    <t>Thu từ thu nhập sau thuế</t>
  </si>
  <si>
    <t>1.5</t>
  </si>
  <si>
    <t>Tr.đó:  - Tài nguyên khí</t>
  </si>
  <si>
    <t xml:space="preserve"> - Tài nguyên nước thuỷ điện</t>
  </si>
  <si>
    <t>1.6</t>
  </si>
  <si>
    <t>Thuế môn bài</t>
  </si>
  <si>
    <t>1.7</t>
  </si>
  <si>
    <t>Thu chênh lệch thu chi Ngân hàng nhà nước</t>
  </si>
  <si>
    <t>1.8</t>
  </si>
  <si>
    <t>Thu từ doanh nghiệp đầu tư nước ngoài (không kể thu từ dầu thô)</t>
  </si>
  <si>
    <t>2.1</t>
  </si>
  <si>
    <t>2.2</t>
  </si>
  <si>
    <t>2.3</t>
  </si>
  <si>
    <t>2.4</t>
  </si>
  <si>
    <t>Thu từ khí thiên nhiên</t>
  </si>
  <si>
    <t>2.5</t>
  </si>
  <si>
    <t>2.6</t>
  </si>
  <si>
    <t>2.7</t>
  </si>
  <si>
    <t>2.8</t>
  </si>
  <si>
    <t>Thu từ khu vực công thương nghiệp - ngoài quốc doanh</t>
  </si>
  <si>
    <t>3.1</t>
  </si>
  <si>
    <t>3.2</t>
  </si>
  <si>
    <t>3.3</t>
  </si>
  <si>
    <t>3.4</t>
  </si>
  <si>
    <t>3.5</t>
  </si>
  <si>
    <t>3.6</t>
  </si>
  <si>
    <t>Thuế bảo vệ môi trường do cơ quan Thuế thực hiện</t>
  </si>
  <si>
    <t xml:space="preserve"> Tr.đó: - Học phí</t>
  </si>
  <si>
    <t xml:space="preserve">           - Viện phí</t>
  </si>
  <si>
    <t xml:space="preserve">           - Phí chợ</t>
  </si>
  <si>
    <t xml:space="preserve">           - Phí vệ sinh</t>
  </si>
  <si>
    <t xml:space="preserve">           - Phí Bảo vệ môi trường đối với khai thác khoáng sản (trừ dầu thô và khí thiên nhiên)</t>
  </si>
  <si>
    <t>8.1</t>
  </si>
  <si>
    <t>8.2</t>
  </si>
  <si>
    <t>8.3</t>
  </si>
  <si>
    <t>9.1</t>
  </si>
  <si>
    <t>9.2</t>
  </si>
  <si>
    <t>Thuế chuyển quyền sử dụng đất</t>
  </si>
  <si>
    <t>9.3</t>
  </si>
  <si>
    <t>9.4</t>
  </si>
  <si>
    <t>9.5</t>
  </si>
  <si>
    <t>9.6</t>
  </si>
  <si>
    <t>Thu tại xã</t>
  </si>
  <si>
    <t>10.1</t>
  </si>
  <si>
    <t>Thu hoa lợi từ quỹ đất công ích và đất công</t>
  </si>
  <si>
    <t>Tr.đó: thu đền bị thiệt hại khi Nhà nước thu hồi đất công</t>
  </si>
  <si>
    <t>10.2</t>
  </si>
  <si>
    <t>Thu tiền cho thuê quầy bán hàng</t>
  </si>
  <si>
    <t>10.3</t>
  </si>
  <si>
    <t>Thu hồi khoản chi năm trước</t>
  </si>
  <si>
    <t>10.4</t>
  </si>
  <si>
    <t>Tr.đó: Thu phạt an toàn giao thông</t>
  </si>
  <si>
    <t>10.5</t>
  </si>
  <si>
    <t>Thu khác tại xã</t>
  </si>
  <si>
    <t>11.1</t>
  </si>
  <si>
    <t>Thu chênh lệch tỷ giá ngoại tệ</t>
  </si>
  <si>
    <t>11.2</t>
  </si>
  <si>
    <t>Thu chênh lệch trái phiếu</t>
  </si>
  <si>
    <t>11.3</t>
  </si>
  <si>
    <t>Thu tiền phạt (không kể phạt tại xã)</t>
  </si>
  <si>
    <t>Tr.đó: Phạt vi phạm an toàn giao thông</t>
  </si>
  <si>
    <t>11.4</t>
  </si>
  <si>
    <t>Thu tịch thu (không kể tịch thu tại xã)</t>
  </si>
  <si>
    <t>Tr.đó: Tịch thu chống lậu</t>
  </si>
  <si>
    <t>11.5</t>
  </si>
  <si>
    <t>Thu hồi các khoản chi năm trước</t>
  </si>
  <si>
    <t>11.6</t>
  </si>
  <si>
    <t>Thu tiền bán hàng hóa vật tư dự trữ</t>
  </si>
  <si>
    <t>11.7</t>
  </si>
  <si>
    <t>11.8</t>
  </si>
  <si>
    <t>Thu nhập từ vốn góp của nhà nước</t>
  </si>
  <si>
    <t>11.9</t>
  </si>
  <si>
    <t>Thu khác còn lại (không kể thu khác tại xã)</t>
  </si>
  <si>
    <t>Thu xổ số kiến thiết</t>
  </si>
  <si>
    <t>12.1</t>
  </si>
  <si>
    <t>Thuế giá trị gia tăng</t>
  </si>
  <si>
    <t>12.2</t>
  </si>
  <si>
    <t>12.3</t>
  </si>
  <si>
    <t>12.4</t>
  </si>
  <si>
    <t>12.5</t>
  </si>
  <si>
    <t>12.6</t>
  </si>
  <si>
    <t>Thu từ các quỹ của doanh nghiệp xổ số kiến thiết theo quy định</t>
  </si>
  <si>
    <t>Thu về dầu thô</t>
  </si>
  <si>
    <t xml:space="preserve">   Thuế thu nhập doanh nghiệp</t>
  </si>
  <si>
    <t>Lợi nhuận sau thuế được chia của Chính phủ Việt Nam</t>
  </si>
  <si>
    <t>Dầu lãi được chia của Chính phủ Việt Nam</t>
  </si>
  <si>
    <t>Thu về condensate</t>
  </si>
  <si>
    <t>Thuế đặc biệt</t>
  </si>
  <si>
    <t>Phụ thu về dầu và khí</t>
  </si>
  <si>
    <t>Thu về khí thiên nhiên (không bao gồm doanh  nghiệp có vốn đầu tư nước ngoài)</t>
  </si>
  <si>
    <t>Thu Hải quan</t>
  </si>
  <si>
    <t>Thuế tiêu thụ đặc biệt hàng nhập khẩu</t>
  </si>
  <si>
    <t>Thuế giá trị gia tăng hàng nhập khẩu</t>
  </si>
  <si>
    <t>Thuế bổ sung đối với hàng hoá nhập khẩu vào Việt Nam</t>
  </si>
  <si>
    <t>Thu chênh lệch giá hàng xuất nhập khẩu</t>
  </si>
  <si>
    <t>Thuế bảo vệ môi trường do cơ quan Hải quan thực hiện</t>
  </si>
  <si>
    <t>Thu viện trợ</t>
  </si>
  <si>
    <t xml:space="preserve">   Tr.đó: Viện trợ để cho vay lại</t>
  </si>
  <si>
    <t>Các khoản huy động đóng góp xây dựng cơ sở hạ tầng</t>
  </si>
  <si>
    <t>Các khoản huy động đóng góp khác</t>
  </si>
  <si>
    <t>Thu hồi vốn của nhà nước và thu từ quỹ dự trữ tài chính</t>
  </si>
  <si>
    <t>Thu từ các khoản cho vay của ngân sách</t>
  </si>
  <si>
    <t>Thu nợ gốc cho vay</t>
  </si>
  <si>
    <t>Thu lãi cho vay</t>
  </si>
  <si>
    <t>VII</t>
  </si>
  <si>
    <t>Tạm thu ngân sách</t>
  </si>
  <si>
    <t>VAY CỦA NGÂN SÁCH NHÀ NƯỚC</t>
  </si>
  <si>
    <t>Vay bù đắp bội chi NSNN</t>
  </si>
  <si>
    <t>Vay trong nước bù đắp bội chi NSNN</t>
  </si>
  <si>
    <t>Vay trong nước khác</t>
  </si>
  <si>
    <t>Vay ngoài nước bù đắp bội chi NSNN</t>
  </si>
  <si>
    <t>Vay nước ngoài về cho vay lại</t>
  </si>
  <si>
    <t>Vay cho mục đích khác</t>
  </si>
  <si>
    <t>Vay trong nước dùng cho mục đích khác</t>
  </si>
  <si>
    <t>Phát hành Công trái XDTQ</t>
  </si>
  <si>
    <t>Phát hành trái phiếu Chính phủ (dùng cho mục tiêu cụ thể)</t>
  </si>
  <si>
    <t>Vay ngoài nước để dùng cho mục đích khác</t>
  </si>
  <si>
    <t>Huy động đầu tư theo quy định khoản 3 điều 8 Luật NSNN</t>
  </si>
  <si>
    <t>Tạm vay của NSNN</t>
  </si>
  <si>
    <t>Tạm ứng từ Ngân hàng Nhà nước theo lệnh của Chính phủ</t>
  </si>
  <si>
    <t>Tạm vay khác</t>
  </si>
  <si>
    <t>THU CHUYỂN GIAO NGÂN SÁCH</t>
  </si>
  <si>
    <t>I.1</t>
  </si>
  <si>
    <t>Bổ sung cân đối</t>
  </si>
  <si>
    <t>I.2</t>
  </si>
  <si>
    <t>Bổ sung có mục tiêu</t>
  </si>
  <si>
    <t>I.2.1</t>
  </si>
  <si>
    <t>Bổ sung có mục tiêu bằng nguồn vốn trong nước</t>
  </si>
  <si>
    <t>I.2.2</t>
  </si>
  <si>
    <t>Bổ sung có mục tiêu bằng nguồn vốn ngoài nước</t>
  </si>
  <si>
    <t>Thu từ ngân sách cấp dưới nộp lên</t>
  </si>
  <si>
    <t>Tạm thu chuyển giao ngân sách</t>
  </si>
  <si>
    <t>Các khoản thu không có trong công thức</t>
  </si>
  <si>
    <t>THU CHUYỂN NGUỒN</t>
  </si>
  <si>
    <t>Thu chuyển nguồn</t>
  </si>
  <si>
    <t>E</t>
  </si>
  <si>
    <t>THU KẾT DƯ NGÂN SÁCH</t>
  </si>
  <si>
    <t>Thu kết dư ngân sách</t>
  </si>
  <si>
    <t>Người Lập Biểu</t>
  </si>
  <si>
    <t>Kế toán trưởng</t>
  </si>
  <si>
    <t>Giám đốc</t>
  </si>
  <si>
    <t>gfe</t>
  </si>
  <si>
    <t>fwe</t>
  </si>
  <si>
    <t>Tr.đó: - Thu từ hoạt động thăm dò phát triển mỏ và khai thác dầu khí</t>
  </si>
  <si>
    <t>- Từ hoạt động thăm dò phát triển mỏ và khai thác dầu khí</t>
  </si>
  <si>
    <t>Tr.đó: từ hoạt động thăm dò phát triển mỏ và khai thác dầu khí</t>
  </si>
  <si>
    <t>Tr.đó: - Từ thăm dò phát triển mỏ và khai thác dầu khí</t>
  </si>
  <si>
    <t>Thu tiền thuê mặt đất mặt nước mặt biển</t>
  </si>
  <si>
    <t>Tr.đó: Từ hoạt động thăm dò phát triển mỏ và khai thác dầu khí</t>
  </si>
  <si>
    <t>Thu phí lệ phí</t>
  </si>
  <si>
    <t xml:space="preserve">           - Phí thuộc lĩnh vực GTVT trừ phí hoa tiêu đường biển thủy nội địa  hàng không và phí sd kết cấu hạ tầng đường sắt quốc gia</t>
  </si>
  <si>
    <t xml:space="preserve">           - Phí tham quan danh lam thắng cảnh di tích lịch sử công trình văn hóa</t>
  </si>
  <si>
    <t>Thu phí lệ phí trung ương</t>
  </si>
  <si>
    <t>Thu phí lệ phí tỉnh huyện</t>
  </si>
  <si>
    <t>Thu phí lệ phí xã</t>
  </si>
  <si>
    <t>Các khoản thu về nhà đất và khoáng sản</t>
  </si>
  <si>
    <t>Thu tiền thuê mặt đất mặt nước (không kể thu từ khu vực đầu tư nước ngoài)</t>
  </si>
  <si>
    <t>Thu tiền bán thuê khấu hao nhà ở thuộc sở hữu nhà nước</t>
  </si>
  <si>
    <t>Thu phạt tịch thu</t>
  </si>
  <si>
    <t>Thu tiền cho thuê bán tài sản khác</t>
  </si>
  <si>
    <t>Phí lệ phỉ hải quan</t>
  </si>
  <si>
    <t>Các khoản huy động đóng góp</t>
  </si>
  <si>
    <t>Thu từ bán cổ phần vốn góp của Nhà nước nộp ngân sách</t>
  </si>
  <si>
    <t>Vay tín phiếu trái phiếu</t>
  </si>
  <si>
    <t>q ngày 02 tháng 01 năm 2018</t>
  </si>
  <si>
    <t>- Thu khác</t>
  </si>
  <si>
    <t xml:space="preserve">THỰC HIỆN </t>
  </si>
  <si>
    <t>THỰC HIỆN</t>
  </si>
  <si>
    <t>Thực hiện năm 2017</t>
  </si>
  <si>
    <t>Ước thực hiện năm 2018</t>
  </si>
  <si>
    <t>Năm 2018</t>
  </si>
  <si>
    <t>Ước thực hiện</t>
  </si>
  <si>
    <t>Kế hoạch</t>
  </si>
  <si>
    <t>UTH</t>
  </si>
  <si>
    <t>NĂM 2021</t>
  </si>
  <si>
    <t>6</t>
  </si>
  <si>
    <t>DỰ KIẾN NĂM 2021</t>
  </si>
  <si>
    <t>Năm 2017</t>
  </si>
  <si>
    <t>thực hiện</t>
  </si>
  <si>
    <t>Ước thực hiện 2018</t>
  </si>
  <si>
    <t>Kế hoạch năm 2017</t>
  </si>
  <si>
    <t>Ước thực hiện năm 2017</t>
  </si>
  <si>
    <t xml:space="preserve">ƯỚC THỰC HIỆN </t>
  </si>
  <si>
    <t>So sánh năm 2019 với ước thực hiện năm 2018 (%)</t>
  </si>
  <si>
    <t>NĂM 2022</t>
  </si>
  <si>
    <t xml:space="preserve">Ghi chú: </t>
  </si>
  <si>
    <t>DỰ KIẾN NĂM 2022</t>
  </si>
  <si>
    <t>Dự kiến năm 2022</t>
  </si>
  <si>
    <t>Đầu tư các dự án bằng nguồn vốn trong nước</t>
  </si>
  <si>
    <t>Đầu tư các dự án bằng nguồn vốn ngoài nước</t>
  </si>
  <si>
    <t>Ghi chú: Đối với năm 2021 - 2022 không xây dựng kế hoạch chi cho các CTMTQG, Chương trình mục tiêu giai đoạn 2016-2020 theo hướng dẫn của Bộ Tài chính tại Thông tư số 38/2019/TT-BTC, ngày 28/6/2019 (điểm b, khoản 3 Điều 16).</t>
  </si>
  <si>
    <t>Tổng chi quỹ lương do tăng tiền lương cơ sở (từ 1.210.000đ lên 1.490.000đ)</t>
  </si>
  <si>
    <t>Chi nguồn giao tăng thu từ các dự án khai thác quỹ đất so với dự toán Trưng ương giao (phân bổ cho các dự án, nhiệm vụ theo tiến độ nguồn thu thực tế)</t>
  </si>
  <si>
    <t>* Ghi chú: Các chỉ tiêu kinh tế - xã hội cập nhật đến thời điểm báo cáo, địa phương sẽ tiếp tục cập nhật và báo cáo bổ sung sau khi các chỉ tiêu kinh tế - xã hội được ban hành chính thức.</t>
  </si>
  <si>
    <t>Số liệu không xóa</t>
  </si>
  <si>
    <t>Thu từ các dự án khai thác quỹ đất so với dự toán Trung ương giao (phân bổ cho các dự án, nhiệm vụ theo tiến độ nguồn thu thực tế)</t>
  </si>
  <si>
    <t xml:space="preserve"> Tr:đó, Chi từ nguồn bội chi ngân sách địa phương</t>
  </si>
  <si>
    <t>Chi tăng cường hạ tầng khu KT cửa khẩu Bờ Y (từ nguồn thu phí sử dụng hạ tầng Khu)</t>
  </si>
  <si>
    <t>Trong đó: Phí sử dụng các công trình kết cấu hạ tầng (đối với phương tiện ra, vào cửa khẩu) trong khu kinh tế cửa khẩu Bờ Y</t>
  </si>
  <si>
    <t>Chi từ nguồn bội chi ngân sách địa phương</t>
  </si>
  <si>
    <t>TỔNG SỐ VAY TRONG NĂM</t>
  </si>
  <si>
    <t>Vay để trả nợ gốc</t>
  </si>
  <si>
    <t>Chi từ nguồn bội chi NSĐP</t>
  </si>
  <si>
    <t>CHI TỪ NGUỒN BỘI CHI NSĐP</t>
  </si>
  <si>
    <t>Tổng chi cân đối NSĐP (Bao gồm bội chi NSĐP) (I.1+I.2)</t>
  </si>
  <si>
    <t>Tăng thu từ các dự án khai thác quỹ đất so với dự toán Trung ương giao (phân bổ cho các dự án, nhiệm vụ theo tiến độ nguồn thu thực tế)</t>
  </si>
  <si>
    <t>Thực hiện</t>
  </si>
  <si>
    <t>Dự toán HĐND cấp tỉnh quyết định</t>
  </si>
  <si>
    <t>Thu huy động đóng góp</t>
  </si>
  <si>
    <t>Vay của ngân sách địa phương</t>
  </si>
  <si>
    <t xml:space="preserve">TỔNG SỐ: </t>
  </si>
  <si>
    <t>NĂM 2023</t>
  </si>
  <si>
    <t>TỔNG THU NSNN TRÊN ĐỊA BÀN (I+II)</t>
  </si>
  <si>
    <t>THU NỘI ĐỊA (1)</t>
  </si>
  <si>
    <t xml:space="preserve">Tiền sử dụng đất </t>
  </si>
  <si>
    <t>Các khoản huy động đóng góp, viện trợ (Ghi thu ghi chi quản lý qua ngân sách)</t>
  </si>
  <si>
    <t xml:space="preserve">Chi quốc phòng </t>
  </si>
  <si>
    <t>Chi  an ninh</t>
  </si>
  <si>
    <t>i</t>
  </si>
  <si>
    <t>Ước thực hiện (1)</t>
  </si>
  <si>
    <t>DỰ KIẾN THU CÂN ĐỐI NGÂN SÁCH NHÀ NƯỚC THEO SẮC THUẾ GIAI ĐOẠN 03 NĂM 2021-2023</t>
  </si>
  <si>
    <t>DỰ KIẾN NĂM 2023</t>
  </si>
  <si>
    <t>KẾ HOẠCH VAY VÀ TRẢ NỢ NGÂN SÁCH TỈNH GIAI ĐOẠN 3 NĂM 2021-2023</t>
  </si>
  <si>
    <t>Dự kiến năm 2023</t>
  </si>
  <si>
    <t>Dự toán ngân sách năm 2021</t>
  </si>
  <si>
    <t>Dự kiến ngân sách năm 2023</t>
  </si>
  <si>
    <t>Ước thực hiện năm 2020</t>
  </si>
  <si>
    <t>Dự toán năm 2020</t>
  </si>
  <si>
    <t>- Số cán bộ quản lý, giáo viên và nhân viên</t>
  </si>
  <si>
    <t>+ Số giáo viên</t>
  </si>
  <si>
    <t>Chi tạo nguồn thực hiện CCTL</t>
  </si>
  <si>
    <t>Biểu số 32</t>
  </si>
  <si>
    <t>Bổ sung trong năm (dự phòng, nguồn tăng thu, nguồn khác…)</t>
  </si>
  <si>
    <t>Dự toán năm 2021</t>
  </si>
  <si>
    <t>Tr đó: DT 2020 tính theo tiền lương 1.490.000đ</t>
  </si>
  <si>
    <t>DT bổ sung  tiền lương năm 2020</t>
  </si>
  <si>
    <t>2a</t>
  </si>
  <si>
    <t>2b</t>
  </si>
  <si>
    <t>2c</t>
  </si>
  <si>
    <t>5=4/1</t>
  </si>
  <si>
    <t>6=4/2</t>
  </si>
  <si>
    <t>TỔNG CHI NGÂN SÁCH ĐỊA PHƯƠNG QUẢN LÝ (I+II)</t>
  </si>
  <si>
    <t>CHI CÂN ĐỐI NGÂN SÁCH ĐỊA PHƯƠNG (Bao gồm cả bội chi NSĐP)</t>
  </si>
  <si>
    <t>Chi đầu tư từ nguồn tăng thu, các nguồn vốn khác</t>
  </si>
  <si>
    <t>Phòng TCĐT</t>
  </si>
  <si>
    <t>Chi quốc phòng</t>
  </si>
  <si>
    <t>Chi an ninh</t>
  </si>
  <si>
    <t xml:space="preserve">Chi thể dục thể thao </t>
  </si>
  <si>
    <t>Chi tạo nguồn cải cách tiền lương</t>
  </si>
  <si>
    <t>Chi nguồn tăng thu so DT trung ương giao</t>
  </si>
  <si>
    <t>Chi từ nguồn tăng thu từ các dự án khai thác quỹ đất so với dự toán Trung ương giao (phân bổ chi đầu tư các dự án, nhiệm vụ theo tiến độ nguồn thu thực tế)</t>
  </si>
  <si>
    <t>Chi từ nguồn bổ sung có mục tiêu</t>
  </si>
  <si>
    <t>Chi đầu tư thực hiện các chương trình mục tiêu, nhiệm vụ</t>
  </si>
  <si>
    <t>Chi từ nguồn hỗ trợ thực hiện các chế độ, chính sách theo quy định và một số chương trình mục tiêu</t>
  </si>
  <si>
    <t xml:space="preserve"> - Vốn ngoài nước</t>
  </si>
  <si>
    <t xml:space="preserve"> - Vốn trong nước</t>
  </si>
  <si>
    <t>Chi thực hiện 02 chương trình Mục tiêu quốc gia (2)</t>
  </si>
  <si>
    <t>CTMTQG xây dựng nông thôn mới</t>
  </si>
  <si>
    <t>CTMTQG giảm nghèo bền vững</t>
  </si>
  <si>
    <t>BỘI THU NGÂN SÁCH ĐỊA PHƯƠNG ĐỂ TẠO NGUỒN CHI TRẢ NỢ GỐC</t>
  </si>
  <si>
    <t>Ghi chú: (1) bao gồm chi trả nợ gốc, lãi, phí và chưa bao gồm chi từ nguồn bội chi (nếu có).</t>
  </si>
  <si>
    <t>Kon Tum, ngày ... tháng 8 năm 2018</t>
  </si>
  <si>
    <t>TM. ỦY BAN NHÂN DÂN</t>
  </si>
  <si>
    <t>CHỦ TỊCH</t>
  </si>
  <si>
    <t>Biểu mẫu số 15</t>
  </si>
  <si>
    <t xml:space="preserve"> CÂN ĐỐI NGÂN SÁCH ĐỊA PHƯƠNG NĂM 2021</t>
  </si>
  <si>
    <t>ĐVT: Triệu đồng</t>
  </si>
  <si>
    <t>S</t>
  </si>
  <si>
    <t>So sánh (3)</t>
  </si>
  <si>
    <t>T</t>
  </si>
  <si>
    <t>Tương đối (%)</t>
  </si>
  <si>
    <t>4=3-2</t>
  </si>
  <si>
    <t>5=3/2</t>
  </si>
  <si>
    <t>Thu NSĐP hưởng 100%</t>
  </si>
  <si>
    <t>Thu NSĐP hưởng từ các khoản thu phân chia</t>
  </si>
  <si>
    <t>Tổng chi cân đối NSĐP</t>
  </si>
  <si>
    <t>Chi đầu tư phát triển  (1)</t>
  </si>
  <si>
    <t xml:space="preserve">Chi thường xuyên </t>
  </si>
  <si>
    <t>Chi trả nợ lãi các khoản do chính quyền địa phương vay (2)</t>
  </si>
  <si>
    <t>Chi bổ sung quỹ dự trữ tài chính (2)</t>
  </si>
  <si>
    <t>Chi tạo nguồn, điều chỉnh tiền lương</t>
  </si>
  <si>
    <t>Chi các chương trình mục tiêu</t>
  </si>
  <si>
    <t>BỘI CHI NSĐP/BỘI THU NSĐP (2)</t>
  </si>
  <si>
    <t>CHI TRẢ NỢ GỐC CỦA NSĐP (2)</t>
  </si>
  <si>
    <t xml:space="preserve">Phòng TCĐT </t>
  </si>
  <si>
    <t>TỔNG MỨC VAY CỦA NSĐP (2)</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</si>
  <si>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</si>
  <si>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 xml:space="preserve">         (2) Theo quy định tại Điều 7, Điều 11 Luật NSNN, ngân sách huyện, xã không có nhiệm vụ chi trả nợ lãi vay, thu - chi quỹ dự trữ tài chính, bội chi NSĐP, vay và chi trả nợ gốc. Bội chi NSĐP sau khi Bộ Tài chính giao chính thức sẽ điều chỉnh cho phù hợp.</t>
  </si>
  <si>
    <t xml:space="preserve">         (3) Đối với các chỉ tiêu thu NSĐP, so sánh dự toán năm kế hoạch với ước thực hiện năm hiện hành. </t>
  </si>
  <si>
    <t xml:space="preserve">              Đối với các chỉ tiêu chi NSĐP, so sánh dự toán năm kế hoạch với dự toán năm hiện hành.</t>
  </si>
  <si>
    <t>Ghi chú: Ngân sách huyện, xã không có nhiệm vụ chi bổ sung quỹ dự trữ tài chính.</t>
  </si>
  <si>
    <t>Kon Tum, ngày ….... tháng …..... năm 2020</t>
  </si>
  <si>
    <t>Dữ liệu không xóa được</t>
  </si>
  <si>
    <t>- 70% tăng thu NSĐP thực hiện năm trước so dự toán năm trước (dự kiến)</t>
  </si>
  <si>
    <t>TỔNG CỘNG CHI CÂN ĐỐI NSĐP (bao gồm cả bội chi NSĐP) (I+II)</t>
  </si>
  <si>
    <t>Chi đầu tư từ nguồn tăng thu, các nguồn khác</t>
  </si>
  <si>
    <t xml:space="preserve">    (1) Thực hiện năm 2020 bao gồm nhiệm vụ chi chuyển nguồn từ năm trước sang</t>
  </si>
  <si>
    <t xml:space="preserve">Chi các chương trình mục tiêu, nhiệm vụ </t>
  </si>
  <si>
    <t>Chi tạo nguồn thực hiện CCTL từ tăng thu dự toán ngân sách cấp tỉnh</t>
  </si>
  <si>
    <t>Chi nguồn giao tăng thu từ các dự án khai thác quỹ đất so với dự toán Trung ương giao (phân bổ cho các dự án, nhiệm vụ theo tiến độ nguồn thu thực tế)</t>
  </si>
  <si>
    <t>GRDP bình quân đầu người</t>
  </si>
  <si>
    <t>f</t>
  </si>
  <si>
    <t xml:space="preserve">CHI ĐẦU TƯ CÁC CHƯƠNG TRÌNH MỤC TIÊU </t>
  </si>
  <si>
    <r>
      <t xml:space="preserve">Ghi chú: </t>
    </r>
    <r>
      <rPr>
        <i/>
        <sz val="12"/>
        <rFont val="Arial Narrow"/>
        <family val="2"/>
      </rPr>
      <t>(1) Chưa bao gồm chi đầu tư cho các chương trình mục tiêu quốc gia và các chương trình mục tiêu tại mục II.</t>
    </r>
  </si>
  <si>
    <t>BIỂU TỔNG HỢP DỰ TOÁN THU NSNN NĂM GIAI ĐOẠN 2022-2024</t>
  </si>
  <si>
    <t xml:space="preserve">NĂM 2022 </t>
  </si>
  <si>
    <t>NĂM 2024</t>
  </si>
  <si>
    <t>Thu viện trợ thuộc nguồn thu NSĐP</t>
  </si>
  <si>
    <t>DỰ TOÁN CHI CÂN ĐỐI NGÂN SÁCH ĐỊA PHƯƠNG GIAI ĐOẠN 03 NĂM 2022-2024</t>
  </si>
  <si>
    <t>Chi từ nguồn viện trợ thuộc nguồn thu NSĐP</t>
  </si>
  <si>
    <t>Trong đó: Trích 2% bổ sung nguồn dự phòng từ tăng thu từ các dự án khai thác quỹ đất theo quy định</t>
  </si>
  <si>
    <t>DỰ KIẾN CÂN ĐỐI NGÂN SÁCH ĐỊA PHƯƠNG GIAI ĐOẠN 03 NĂM 2022- 2024</t>
  </si>
  <si>
    <t>Dự toán ngân sách năm 2022</t>
  </si>
  <si>
    <t>Dự kiến ngân sách năm 2024</t>
  </si>
  <si>
    <t>Ước thực hiện năm 2021</t>
  </si>
  <si>
    <t>DỰ KIẾN CÂN ĐỐI NGUỒN THU, CHI NGÂN SÁCH CẤP TỈNH VÀ NGÂN SÁCH HUYỆN GIAI ĐOẠN 03 NĂM 2022 - 2024</t>
  </si>
  <si>
    <t>Ước thực hiện 2021</t>
  </si>
  <si>
    <t>DỰ KIẾN CHI NGÂN SÁCH CẤP TỈNH THEO CƠ CẤU CHI GIAI ĐOẠN 03 NĂM 2022 - 2024</t>
  </si>
  <si>
    <t>VIII</t>
  </si>
  <si>
    <t>DỰ KIẾN KẾ HOẠCH ĐẦU TƯ VỐN NGÂN SÁCH ĐỊA PHƯƠNG GIAI ĐOẠN 03 NĂM 2022-2024</t>
  </si>
  <si>
    <t>Kế hoạch năm 2021</t>
  </si>
  <si>
    <t>BIỂU TỔNG HỢP DỰ TOÁN CHI NSĐP NĂM 2022</t>
  </si>
  <si>
    <t>Dự toán năm 2021 trung ương giao</t>
  </si>
  <si>
    <t>Dự toán năm 2021 địa phương giao</t>
  </si>
  <si>
    <t>Theo DT giao 2021</t>
  </si>
  <si>
    <t>Lương năm 2021</t>
  </si>
  <si>
    <t>Dự toán năm 2022</t>
  </si>
  <si>
    <t>%SS với DT 2021 trung ương giao</t>
  </si>
  <si>
    <t>%SS với DT 2021 địa phương giao</t>
  </si>
  <si>
    <t>Chi đầu tư từ nguồn thu phí sử dụng hạ tầng</t>
  </si>
  <si>
    <t>Chi trả nợ gốc, lãi do chính quyền địa phương vay</t>
  </si>
  <si>
    <t>Kon Tum, ngày ….... tháng …... năm 2021</t>
  </si>
  <si>
    <t>Năm 2021</t>
  </si>
  <si>
    <t>Dự kiến năm 2024</t>
  </si>
  <si>
    <t>Dự án Sửa chữa và nâng cao an toàn đập</t>
  </si>
  <si>
    <t>Chương trình “Mở rộng quy mô nước sạch và vệ sinh nông thôn dựa trên kết quả đầu ra"</t>
  </si>
  <si>
    <t>Dự án Phát triển Khu vực biên giới tiểu dự án tỉnh Kon Tum</t>
  </si>
  <si>
    <t>Dự án Hiện đại hóa thủy lợi thích ứng biến đổi khí hậu sử dụng vốn ODA</t>
  </si>
  <si>
    <t>Dự án vay vốn WB giai đoạn 2021-2025 (Chương trình đảm bảo an toàn hồ chứa GĐ 2021-2025)</t>
  </si>
  <si>
    <t>Dự án cải thiện cơ sở hạ tầng môi trường đô thị giảm thiểu tác động biến đổi khí hậu thành phố Kon Tum</t>
  </si>
  <si>
    <t>Dự án Giảm thiểu tác động của dịch bệnh Corrona tới kinh tế và xã hội thông qua bảo vệ, phục hồi và phát triển rừng ở vùng Tây Nguyên</t>
  </si>
  <si>
    <t>Dự án Phát triển bền vững chuỗi giá trị nông nghiệp tỉnh Kon Tum</t>
  </si>
  <si>
    <t>Trong đó: Trích 2% bổ sung nguồn dự phòng từ nguồn thu tiền cho thuê đất, bán tài sản trên đất theo quy định</t>
  </si>
  <si>
    <t>Trong đó: Ghi thu, ghi chi tiền thuê đất, sử dụng đất nhà đầu tư tự nguyện ứng trước đền bù GPMB</t>
  </si>
  <si>
    <t>Tỉnh</t>
  </si>
  <si>
    <t>Huyện</t>
  </si>
  <si>
    <t>DP huyện</t>
  </si>
  <si>
    <t>DP tỉnh</t>
  </si>
  <si>
    <t>Tổng chi trừ DP</t>
  </si>
  <si>
    <t>Chi tỉnh</t>
  </si>
  <si>
    <t>Chi huyện</t>
  </si>
  <si>
    <t>Tổng chi tỉnh cả GTGC</t>
  </si>
  <si>
    <t>Chi nguồn giao tăng thu từ các dự án khai thác quỹ đất so với dự toán Trung ương giao điều tiết ngân sách thành phố Kon Tum hưởng (phân bổ cho các dự án, nhiệm vụ theo tiến độ nguồn thu thực tế)</t>
  </si>
  <si>
    <t>DỰ BÁO MỘT SỐ CHỈ TIÊU KINH TẾ - XÃ HỘI CHỦ YẾU GIAI ĐOẠN 03 NĂM 2022-2024</t>
  </si>
  <si>
    <t xml:space="preserve"> NĂM 2024</t>
  </si>
  <si>
    <t>&gt;=10</t>
  </si>
  <si>
    <t>21-22</t>
  </si>
  <si>
    <t>43-44</t>
  </si>
  <si>
    <t>&gt;50</t>
  </si>
  <si>
    <t>&gt;4</t>
  </si>
  <si>
    <t>&lt;=6,12</t>
  </si>
  <si>
    <t>*</t>
  </si>
  <si>
    <t>Vay chi đầu tư phát triển</t>
  </si>
  <si>
    <t>Nguồn 50% phần ngân sách nhà nước giảm chi hỗ trợ hoạt động thường xuyên trong lĩnh vực hành chính và các đơn vị sự nghiệp</t>
  </si>
  <si>
    <t>Từ nguồn học phí ( kể cả cấp bù)</t>
  </si>
  <si>
    <t>File gốc trình HĐND</t>
  </si>
  <si>
    <t>Biểu 03/TT</t>
  </si>
  <si>
    <t>DỰ TOÁN CHI  NGÂN SÁCH ĐỊA PHƯƠNG NĂM 2022</t>
  </si>
  <si>
    <t>(Kèm theo Tờ trình số            /TTr-UBND ngày      tháng       năm 2021 của Ủy ban nhân dân tỉnh Kon Tum)</t>
  </si>
  <si>
    <t>Nội dung chi</t>
  </si>
  <si>
    <t>Dự toán Trung ương giao 2022</t>
  </si>
  <si>
    <t>Dự toán chi ngân sách địa phương giao 2022</t>
  </si>
  <si>
    <t>Bao gồm</t>
  </si>
  <si>
    <t>Ngân sách  tỉnh</t>
  </si>
  <si>
    <t>Trong đó</t>
  </si>
  <si>
    <t>Bổ sung mục tiêu huyện</t>
  </si>
  <si>
    <t>Tổng chi ngân sách địa phương quản lý (I+II)</t>
  </si>
  <si>
    <t>Tổng chi cân đối ngân sách địa phương (Bao gồm cả bội chi) (I.1+I.2)</t>
  </si>
  <si>
    <t>Chi cân đối ngân sách địa phương</t>
  </si>
  <si>
    <t xml:space="preserve">Chi đầu tư phát triển </t>
  </si>
  <si>
    <t>Chi đầu tư xây dựng cơ bản vốn trong nước</t>
  </si>
  <si>
    <t xml:space="preserve">Chi đầu tư từ nguồn thu sử dụng đất </t>
  </si>
  <si>
    <t>Bổ sung Quỹ phát triển đất (2%)</t>
  </si>
  <si>
    <t>Chi sự nghiệp quản lý đất đai từ nguồn 10% tiền sử dụng đất</t>
  </si>
  <si>
    <t>Chi thường xuyên (1)</t>
  </si>
  <si>
    <t>Trong đó: Tiết kiệm chi thường xuyên tạo nguồn cải cách tiền lương</t>
  </si>
  <si>
    <t>Chi sự nghiệp giáo dục - đào tạo và dạy nghề</t>
  </si>
  <si>
    <t>Chi sự nghiệp khoa học và công nghệ</t>
  </si>
  <si>
    <t>Chi thường xuyên các lĩnh vực sự nghiệp  khác</t>
  </si>
  <si>
    <t xml:space="preserve">Chi trả nợ lãi </t>
  </si>
  <si>
    <t>Chi bổ sung quỹ dự trữ tài chính địa phương</t>
  </si>
  <si>
    <t>Tỷ lệ dự phòng trên chi cân đối NS (%)</t>
  </si>
  <si>
    <t>Trong đó: 2% bổ sung nguồn dự phòng từ nguồn tăng thu so với Trung ương giao</t>
  </si>
  <si>
    <t>Chi nguồn giao tăng thu so dự toán Trung ương giao</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</si>
  <si>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t>
  </si>
  <si>
    <t>Trong đó: - Đã bao gồm 70% tăng thu từ nguồn thu tiền thuê đất, bán tài sản trên đất tạo nguồn CCTL theo quy định</t>
  </si>
  <si>
    <t xml:space="preserve">                - Trích 10% thu tiền sử dụng đất, tiền thuê đất để đầu tư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</si>
  <si>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 xml:space="preserve">              - Trích 2% bổ sung Quỹ phát triển đất tỉnh từ nguồn thu tiền sử dụng đất giao tăng thu</t>
  </si>
  <si>
    <t xml:space="preserve">Chi từ nguồn bổ sung có mục tiêu từ ngân sách trung ương </t>
  </si>
  <si>
    <t>Chi đầu tư thực hiện các mục tiêu, nhiệm vụ</t>
  </si>
  <si>
    <t>Vốn trong nước</t>
  </si>
  <si>
    <t>Vốn đầu tư theo ngành, lĩnh vực</t>
  </si>
  <si>
    <t>Thu hồi các khoản vốn ứng trước (2)</t>
  </si>
  <si>
    <t xml:space="preserve">Vốn nước ngoài </t>
  </si>
  <si>
    <t xml:space="preserve">Chi từ nguồn vốn sự nghiệp thực hiện các chế độ, nhiệm vụ và chính sách theo quy định </t>
  </si>
  <si>
    <t>Chưa bao gồm KP PGCM: 2.760 tr.đ</t>
  </si>
  <si>
    <t>Vốn ngoài nước</t>
  </si>
  <si>
    <t>Chi thực hiện 02 chương trình Mục tiêu quốc gia</t>
  </si>
  <si>
    <t>CT MTQG xây dựng nông thôn mới</t>
  </si>
  <si>
    <t>CT MTQG giảm nghèo bền vững</t>
  </si>
  <si>
    <t>Chi đầu tư từ nguồn vốn ngoài nước</t>
  </si>
  <si>
    <t>Bội chi ngân sách địa phương (2)</t>
  </si>
  <si>
    <t>Tổng số vay trong năm  (3)</t>
  </si>
  <si>
    <t>Vay để bì đắp bội chi</t>
  </si>
  <si>
    <t xml:space="preserve">              (1) Dự toán chi giáo dục - đào tạo và dạy nghề; chi sự nghiệp khoa học và công nghệ là mức chi tối thiểu; chi sự nghiệp bảo vệ môi trường, HĐND huyện căn cứ vào chỉ tiêu hướng dẫn, tình hình thực tế địa phương quyết định cho phù hợp.</t>
  </si>
  <si>
    <t xml:space="preserve">              (2) Là mức tối đa địa phương được bội chi ngân sách địa phương</t>
  </si>
  <si>
    <t xml:space="preserve">              (3) Là mức tối đa địa phương được vay trong năm</t>
  </si>
  <si>
    <t>Dự kiến kế hoạch đầu tư giai đoạn 2022-2024</t>
  </si>
  <si>
    <t>DỰ KIẾN THU NGÂN SÁCH NHÀ NƯỚC THEO LĨNH VỰC GIAI ĐOẠN 03 NĂM 2022 - 2024</t>
  </si>
  <si>
    <t>So sánh năm 2022 với ước thực hiện năm 2021 (%)</t>
  </si>
  <si>
    <t>Nợ gốc trả theo nguồn trả nợ</t>
  </si>
  <si>
    <t>Tăng thu, tiết kiệm chi, kết dư ngân sách cấp tỉnh</t>
  </si>
  <si>
    <t>(1)</t>
  </si>
  <si>
    <t>(2)</t>
  </si>
  <si>
    <t>Chi trả nợ gốc, lãi vay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</si>
</sst>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0\ _₫"/>
    <numFmt numFmtId="173" formatCode="#,##0;[Red]\-#,##0\ \ ;&quot;&quot;;@"/>
    <numFmt numFmtId="174" formatCode="#,###;[Red]\-#,###"/>
    <numFmt numFmtId="175" formatCode="_-&quot;€&quot;* #,##0_-;\-&quot;€&quot;* #,##0_-;_-&quot;€&quot;* &quot;-&quot;_-;_-@_-"/>
    <numFmt numFmtId="176" formatCode="&quot;\&quot;#,##0.00;[Red]&quot;\&quot;&quot;\&quot;&quot;\&quot;&quot;\&quot;&quot;\&quot;&quot;\&quot;\-#,##0.00"/>
    <numFmt numFmtId="177" formatCode="&quot;\&quot;#,##0;[Red]&quot;\&quot;&quot;\&quot;\-#,##0"/>
    <numFmt numFmtId="178" formatCode="_-* #,##0\ &quot;€&quot;_-;\-* #,##0\ &quot;€&quot;_-;_-* &quot;-&quot;\ &quot;€&quot;_-;_-@_-"/>
    <numFmt numFmtId="179" formatCode="_-* #,##0\ _F_-;\-* #,##0\ _F_-;_-* &quot;-&quot;\ _F_-;_-@_-"/>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000"/>
    <numFmt numFmtId="185" formatCode="#,##0.0_);\(#,##0.0\)"/>
    <numFmt numFmtId="186" formatCode="_(* #,##0.0000_);_(* \(#,##0.0000\);_(* &quot;-&quot;??_);_(@_)"/>
    <numFmt numFmtId="187" formatCode="0.0%;[Red]\(0.0%\)"/>
    <numFmt numFmtId="188" formatCode="_ * #,##0.00_)&quot;£&quot;_ ;_ * \(#,##0.00\)&quot;£&quot;_ ;_ * &quot;-&quot;??_)&quot;£&quot;_ ;_ @_ "/>
    <numFmt numFmtId="189" formatCode="_-&quot;$&quot;* #,##0.00_-;\-&quot;$&quot;* #,##0.00_-;_-&quot;$&quot;* &quot;-&quot;??_-;_-@_-"/>
    <numFmt numFmtId="190" formatCode="0.0%;\(0.0%\)"/>
    <numFmt numFmtId="191" formatCode="_(* #,##0_);_(* \(#,##0\);_(* &quot;-&quot;??_);_(@_)"/>
    <numFmt numFmtId="192" formatCode="0.000_)"/>
    <numFmt numFmtId="193" formatCode="_-* #,##0.00\ _V_N_D_-;\-* #,##0.00\ _V_N_D_-;_-* &quot;-&quot;??\ _V_N_D_-;_-@_-"/>
    <numFmt numFmtId="194" formatCode="&quot;C&quot;#,##0.00_);\(&quot;C&quot;#,##0.00\)"/>
    <numFmt numFmtId="195" formatCode="_ &quot;\&quot;* #,##0.00_ ;_ &quot;\&quot;* &quot;\&quot;&quot;\&quot;&quot;\&quot;&quot;\&quot;&quot;\&quot;&quot;\&quot;&quot;\&quot;&quot;\&quot;&quot;\&quot;\-#,##0.00_ ;_ &quot;\&quot;* &quot;-&quot;??_ ;_ @_ "/>
    <numFmt numFmtId="196" formatCode="&quot;C&quot;#,##0_);\(&quot;C&quot;#,##0\)"/>
    <numFmt numFmtId="197" formatCode="&quot;$&quot;\ \ \ \ #,##0_);\(&quot;$&quot;\ \ \ #,##0\)"/>
    <numFmt numFmtId="198" formatCode="&quot;$&quot;\ \ \ \ \ #,##0_);\(&quot;$&quot;\ \ \ \ \ #,##0\)"/>
    <numFmt numFmtId="199" formatCode="&quot;C&quot;#,##0_);[Red]\(&quot;C&quot;#,##0\)"/>
    <numFmt numFmtId="200" formatCode="_-[$€-2]* #,##0.00_-;\-[$€-2]* #,##0.00_-;_-[$€-2]* &quot;-&quot;??_-"/>
    <numFmt numFmtId="201" formatCode="#,###;\-#,###;&quot;&quot;;_(@_)"/>
    <numFmt numFmtId="202" formatCode="#,##0_ ;[Red]\-#,##0\ "/>
    <numFmt numFmtId="203" formatCode="#,##0\ &quot;$&quot;_);[Red]\(#,##0\ &quot;$&quot;\)"/>
    <numFmt numFmtId="204" formatCode="&quot;$&quot;###,0&quot;.&quot;00_);[Red]\(&quot;$&quot;###,0&quot;.&quot;00\)"/>
    <numFmt numFmtId="205" formatCode="&quot;\&quot;#,##0;[Red]\-&quot;\&quot;#,##0"/>
    <numFmt numFmtId="206" formatCode="&quot;\&quot;#,##0.00;\-&quot;\&quot;#,##0.00"/>
    <numFmt numFmtId="207" formatCode="#,##0.000_);\(#,##0.000\)"/>
    <numFmt numFmtId="208" formatCode="#,##0.00\ &quot;F&quot;;[Red]\-#,##0.00\ &quot;F&quot;"/>
    <numFmt numFmtId="209" formatCode="#,##0\ &quot;F&quot;;\-#,##0\ &quot;F&quot;"/>
    <numFmt numFmtId="210" formatCode="#,##0\ &quot;F&quot;;[Red]\-#,##0\ &quot;F&quot;"/>
    <numFmt numFmtId="211" formatCode="_-* #,##0\ &quot;F&quot;_-;\-* #,##0\ &quot;F&quot;_-;_-* &quot;-&quot;\ &quot;F&quot;_-;_-@_-"/>
    <numFmt numFmtId="212" formatCode="0.000\ "/>
    <numFmt numFmtId="213" formatCode="#,##0\ &quot;Lt&quot;;[Red]\-#,##0\ &quot;Lt&quot;"/>
    <numFmt numFmtId="214" formatCode="#,##0.00\ &quot;F&quot;;\-#,##0.00\ &quot;F&quot;"/>
    <numFmt numFmtId="215" formatCode="_-* #,##0\ &quot;DM&quot;_-;\-* #,##0\ &quot;DM&quot;_-;_-* &quot;-&quot;\ &quot;DM&quot;_-;_-@_-"/>
    <numFmt numFmtId="216" formatCode="_-* #,##0.00\ &quot;DM&quot;_-;\-* #,##0.00\ &quot;DM&quot;_-;_-* &quot;-&quot;??\ &quot;DM&quot;_-;_-@_-"/>
    <numFmt numFmtId="217" formatCode="&quot;\&quot;#,##0.00;[Red]&quot;\&quot;\-#,##0.00"/>
    <numFmt numFmtId="218" formatCode="&quot;\&quot;#,##0;[Red]&quot;\&quot;\-#,##0"/>
    <numFmt numFmtId="219" formatCode="_-&quot;$&quot;* #,##0_-;\-&quot;$&quot;* #,##0_-;_-&quot;$&quot;* &quot;-&quot;_-;_-@_-"/>
    <numFmt numFmtId="220" formatCode="_(* #,##0.00_);_(* \(#,##0.00\);_(* \-??_);_(@_)"/>
    <numFmt numFmtId="221" formatCode="_(* #,##0_);_(* \(#,##0\);_(* \-??_);_(@_)"/>
    <numFmt numFmtId="222" formatCode="_-* #,##0\ _₫_-;\-* #,##0\ _₫_-;_-* &quot;-&quot;??\ _₫_-;_-@_-"/>
    <numFmt numFmtId="223" formatCode="_-* #,##0.0\ _₫_-;\-* #,##0.0\ _₫_-;_-* &quot;-&quot;??\ _₫_-;_-@_-"/>
    <numFmt numFmtId="224" formatCode="_(* #,##0.0000_);_(* \(#,##0.0000\);_(* &quot;-&quot;_);_(@_)"/>
    <numFmt numFmtId="225" formatCode="0.0000"/>
    <numFmt numFmtId="226" formatCode="_-* #,##0.0000\ _₫_-;\-* #,##0.0000\ _₫_-;_-* &quot;-&quot;??\ _₫_-;_-@_-"/>
    <numFmt numFmtId="227" formatCode="_-* #,##0.000\ _₫_-;\-* #,##0.000\ _₫_-;_-* &quot;-&quot;??\ _₫_-;_-@_-"/>
    <numFmt numFmtId="228" formatCode="#,##0_ ;\-#,##0\ "/>
    <numFmt numFmtId="229" formatCode="_(* #,##0.00000_);_(* \(#,##0.00000\);_(* &quot;-&quot;??_);_(@_)"/>
    <numFmt numFmtId="230" formatCode="0.0%"/>
    <numFmt numFmtId="231" formatCode="_(* #,##0.00_);_(* \(#,##0.00\);_(* &quot;-&quot;_);_(@_)"/>
    <numFmt numFmtId="232" formatCode="_(* #,##0.000_);_(* \(#,##0.000\);_(* &quot;-&quot;_);_(@_)"/>
    <numFmt numFmtId="233" formatCode="_(* #,##0.0_);_(* \(#,##0.0\);_(* &quot;-&quot;_);_(@_)"/>
    <numFmt numFmtId="234" formatCode="#,##0.00_ ;\-#,##0.00\ "/>
    <numFmt numFmtId="235" formatCode="_(* #,##0.000_);_(* \(#,##0.000\);_(* &quot;-&quot;??_);_(@_)"/>
    <numFmt numFmtId="236" formatCode="0.0"/>
    <numFmt numFmtId="237" formatCode="_(* #,##0.0_);_(* \(#,##0.0\);_(* \-??_);_(@_)"/>
    <numFmt numFmtId="238" formatCode="0.E+00"/>
  </numFmts>
  <fonts count="253">
    <font>
      <sz val="11"/>
      <color theme="1"/>
      <name val="Arial"/>
      <family val="2"/>
      <charset val="163"/>
      <scheme val="minor"/>
    </font>
    <font>
      <sz val="11"/>
      <color theme="1"/>
      <name val="Arial"/>
      <family val="2"/>
      <scheme val="minor"/>
    </font>
    <font>
      <sz val="12"/>
      <name val=".VnTime"/>
      <family val="2"/>
    </font>
    <font>
      <sz val="11"/>
      <name val=".VnArial Narrow"/>
      <family val="2"/>
    </font>
    <font>
      <sz val="12"/>
      <name val=".VnArial Narrow"/>
      <family val="2"/>
    </font>
    <font>
      <sz val="12"/>
      <name val="Times New Roman"/>
      <family val="1"/>
    </font>
    <font>
      <sz val="13"/>
      <name val="Times New Roman"/>
      <family val="1"/>
    </font>
    <font>
      <sz val="14"/>
      <name val="Times New Roman"/>
      <family val="1"/>
    </font>
    <font>
      <sz val="12"/>
      <name val="VNI-Times"/>
    </font>
    <font>
      <sz val="12"/>
      <name val="돋움체"/>
      <family val="3"/>
      <charset val="129"/>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0"/>
      <name val=".VnArial"/>
      <family val="2"/>
    </font>
    <font>
      <sz val="11"/>
      <name val="Tms Rmn"/>
    </font>
    <font>
      <sz val="11"/>
      <color indexed="8"/>
      <name val="Calibri"/>
      <family val="2"/>
    </font>
    <font>
      <sz val="10"/>
      <name val="MS Serif"/>
      <family val="1"/>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9"/>
      <name val="Arial"/>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b/>
      <sz val="11"/>
      <name val="Arial"/>
      <family val="2"/>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1"/>
      <color theme="1"/>
      <name val="Arial"/>
      <family val="2"/>
      <charset val="163"/>
      <scheme val="minor"/>
    </font>
    <font>
      <sz val="12"/>
      <name val="Arial Narrow"/>
      <family val="2"/>
    </font>
    <font>
      <b/>
      <sz val="12"/>
      <name val="Arial Narrow"/>
      <family val="2"/>
    </font>
    <font>
      <i/>
      <sz val="12"/>
      <name val="Arial Narrow"/>
      <family val="2"/>
    </font>
    <font>
      <sz val="11"/>
      <name val="Arial Narrow"/>
      <family val="2"/>
    </font>
    <font>
      <sz val="11"/>
      <color rgb="FF000000"/>
      <name val="Arial"/>
      <family val="2"/>
    </font>
    <font>
      <sz val="12"/>
      <color theme="1"/>
      <name val="Arial"/>
      <family val="2"/>
    </font>
    <font>
      <b/>
      <sz val="16"/>
      <color rgb="FF000000"/>
      <name val="Arial"/>
      <family val="2"/>
    </font>
    <font>
      <sz val="10"/>
      <color rgb="FF000000"/>
      <name val="Arial"/>
      <family val="2"/>
    </font>
    <font>
      <b/>
      <sz val="11"/>
      <color rgb="FFFF0000"/>
      <name val="Arial Narrow"/>
      <family val="2"/>
    </font>
    <font>
      <b/>
      <sz val="13"/>
      <name val="Arial Narrow"/>
      <family val="2"/>
    </font>
    <font>
      <sz val="13"/>
      <name val="Arial Narrow"/>
      <family val="2"/>
    </font>
    <font>
      <sz val="11"/>
      <color rgb="FFFF0000"/>
      <name val="Arial Narrow"/>
      <family val="2"/>
    </font>
    <font>
      <sz val="12"/>
      <color theme="1"/>
      <name val="Times New Roman"/>
      <family val="2"/>
    </font>
    <font>
      <b/>
      <sz val="11"/>
      <name val="Arial Narrow"/>
      <family val="2"/>
    </font>
    <font>
      <b/>
      <sz val="12"/>
      <name val="VnSouthernU"/>
    </font>
    <font>
      <u/>
      <sz val="12"/>
      <name val="Arial Narrow"/>
      <family val="2"/>
    </font>
    <font>
      <b/>
      <sz val="12"/>
      <name val=".VnArialH"/>
      <family val="2"/>
    </font>
    <font>
      <b/>
      <sz val="12"/>
      <name val="Times New Roman"/>
      <family val="1"/>
    </font>
    <font>
      <sz val="12"/>
      <name val=".VnArialH"/>
      <family val="2"/>
    </font>
    <font>
      <b/>
      <u/>
      <sz val="12"/>
      <name val=".VnArialH"/>
      <family val="2"/>
    </font>
    <font>
      <b/>
      <u/>
      <sz val="12"/>
      <name val="VnTime"/>
      <family val="2"/>
    </font>
    <font>
      <sz val="12"/>
      <name val="VNTime"/>
    </font>
    <font>
      <i/>
      <sz val="12"/>
      <name val="VnTime"/>
    </font>
    <font>
      <b/>
      <u/>
      <sz val="12"/>
      <name val="VnTime"/>
    </font>
    <font>
      <b/>
      <i/>
      <sz val="12"/>
      <name val="Arial Narrow"/>
      <family val="2"/>
    </font>
    <font>
      <b/>
      <u/>
      <sz val="12"/>
      <name val="Arial Narrow"/>
      <family val="2"/>
    </font>
    <font>
      <b/>
      <strike/>
      <sz val="12"/>
      <name val="Arial Narrow"/>
      <family val="2"/>
    </font>
    <font>
      <sz val="10"/>
      <name val="Arial Narrow"/>
      <family val="2"/>
    </font>
    <font>
      <i/>
      <sz val="10"/>
      <name val="Arial Narrow"/>
      <family val="2"/>
    </font>
    <font>
      <b/>
      <sz val="10"/>
      <name val="Arial Narrow"/>
      <family val="2"/>
    </font>
    <font>
      <b/>
      <i/>
      <sz val="10"/>
      <name val="Arial Narrow"/>
      <family val="2"/>
    </font>
    <font>
      <b/>
      <sz val="14"/>
      <name val="Arial Narrow"/>
      <family val="2"/>
    </font>
    <font>
      <sz val="12"/>
      <color rgb="FFFF0000"/>
      <name val="Arial Narrow"/>
      <family val="2"/>
    </font>
    <font>
      <strike/>
      <sz val="12"/>
      <name val="Arial Narrow"/>
      <family val="2"/>
    </font>
    <font>
      <sz val="11"/>
      <color rgb="FF7030A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charset val="163"/>
      <scheme val="minor"/>
    </font>
    <font>
      <sz val="11"/>
      <name val="Times New Roman"/>
      <family val="1"/>
    </font>
    <font>
      <b/>
      <sz val="11"/>
      <name val="Times New Roman"/>
      <family val="1"/>
    </font>
    <font>
      <sz val="11"/>
      <color theme="1"/>
      <name val="Times New Roman"/>
      <family val="1"/>
    </font>
    <font>
      <sz val="11"/>
      <color theme="0"/>
      <name val="Times New Roman"/>
      <family val="1"/>
    </font>
    <font>
      <i/>
      <sz val="11"/>
      <name val="Times New Roman"/>
      <family val="1"/>
    </font>
    <font>
      <b/>
      <sz val="11"/>
      <color theme="1"/>
      <name val="Times New Roman"/>
      <family val="1"/>
    </font>
    <font>
      <b/>
      <sz val="11"/>
      <color theme="0"/>
      <name val="Times New Roman"/>
      <family val="1"/>
    </font>
    <font>
      <sz val="11"/>
      <color rgb="FFFF0000"/>
      <name val="Times New Roman"/>
      <family val="1"/>
    </font>
    <font>
      <i/>
      <sz val="10"/>
      <name val="Times New Roman"/>
      <family val="1"/>
    </font>
    <font>
      <b/>
      <i/>
      <sz val="11"/>
      <name val="Times New Roman"/>
      <family val="1"/>
    </font>
    <font>
      <b/>
      <sz val="10"/>
      <name val="Times New Roman"/>
      <family val="1"/>
    </font>
    <font>
      <i/>
      <sz val="10"/>
      <color theme="1"/>
      <name val="Times New Roman"/>
      <family val="1"/>
    </font>
    <font>
      <b/>
      <sz val="10"/>
      <color theme="1"/>
      <name val="Times New Roman"/>
      <family val="1"/>
    </font>
    <font>
      <b/>
      <sz val="12"/>
      <name val="Times New Roman"/>
      <family val="1"/>
      <charset val="163"/>
    </font>
    <font>
      <sz val="12"/>
      <name val="Times New Roman"/>
      <family val="1"/>
      <charset val="163"/>
    </font>
    <font>
      <b/>
      <sz val="14"/>
      <name val="Times New Roman"/>
      <family val="1"/>
      <charset val="163"/>
    </font>
    <font>
      <i/>
      <sz val="14"/>
      <name val="Times New Roman"/>
      <family val="1"/>
      <charset val="163"/>
    </font>
    <font>
      <sz val="14"/>
      <name val="Times New Roman"/>
      <family val="1"/>
      <charset val="163"/>
    </font>
    <font>
      <sz val="13"/>
      <name val="Times New Roman"/>
      <family val="1"/>
      <charset val="163"/>
    </font>
    <font>
      <b/>
      <sz val="11"/>
      <name val="Times New Roman"/>
      <family val="1"/>
      <charset val="163"/>
    </font>
    <font>
      <b/>
      <sz val="14"/>
      <name val="Times New Romanh"/>
      <charset val="163"/>
    </font>
    <font>
      <b/>
      <sz val="14"/>
      <name val="Times New Roman"/>
      <family val="1"/>
    </font>
    <font>
      <i/>
      <sz val="12"/>
      <name val="Times New Roman"/>
      <family val="1"/>
    </font>
    <font>
      <b/>
      <i/>
      <sz val="14"/>
      <name val="Times New Roman"/>
      <family val="1"/>
    </font>
    <font>
      <i/>
      <sz val="14"/>
      <name val="Times New Roman"/>
      <family val="1"/>
    </font>
    <font>
      <i/>
      <sz val="12"/>
      <name val="Times New Roman"/>
      <family val="1"/>
      <charset val="163"/>
    </font>
    <font>
      <b/>
      <sz val="16"/>
      <color rgb="FFFF0000"/>
      <name val="Arial Narrow"/>
      <family val="2"/>
    </font>
    <font>
      <b/>
      <sz val="12"/>
      <name val=".VnTime"/>
      <family val="2"/>
      <charset val="163"/>
    </font>
    <font>
      <sz val="12"/>
      <name val=".VnTime"/>
      <family val="2"/>
      <charset val="163"/>
    </font>
    <font>
      <b/>
      <sz val="12"/>
      <name val="Arial Narrow"/>
      <family val="2"/>
      <charset val="163"/>
    </font>
    <font>
      <sz val="12"/>
      <name val="Arial Narrow"/>
      <family val="2"/>
      <charset val="163"/>
    </font>
    <font>
      <b/>
      <sz val="12"/>
      <name val="VnSouthernU"/>
      <charset val="163"/>
    </font>
    <font>
      <u/>
      <sz val="12"/>
      <name val="Arial Narrow"/>
      <family val="2"/>
      <charset val="163"/>
    </font>
    <font>
      <i/>
      <sz val="12"/>
      <name val="Arial Narrow"/>
      <family val="2"/>
      <charset val="163"/>
    </font>
    <font>
      <b/>
      <sz val="12"/>
      <name val=".VnArialH"/>
      <family val="2"/>
      <charset val="163"/>
    </font>
    <font>
      <sz val="12"/>
      <name val=".VnArialH"/>
      <family val="2"/>
      <charset val="163"/>
    </font>
    <font>
      <b/>
      <u/>
      <sz val="12"/>
      <name val=".VnArialH"/>
      <family val="2"/>
      <charset val="163"/>
    </font>
    <font>
      <b/>
      <u/>
      <sz val="12"/>
      <name val="VnTime"/>
      <family val="2"/>
      <charset val="163"/>
    </font>
    <font>
      <sz val="12"/>
      <name val="VNTime"/>
      <charset val="163"/>
    </font>
    <font>
      <i/>
      <sz val="12"/>
      <name val="VnTime"/>
      <charset val="163"/>
    </font>
    <font>
      <b/>
      <u/>
      <sz val="12"/>
      <name val="VnTime"/>
      <charset val="163"/>
    </font>
    <font>
      <b/>
      <i/>
      <sz val="12"/>
      <name val="Arial Narrow"/>
      <family val="2"/>
      <charset val="163"/>
    </font>
    <font>
      <i/>
      <u/>
      <sz val="12"/>
      <name val="VnTime"/>
      <charset val="163"/>
    </font>
    <font>
      <i/>
      <sz val="12"/>
      <name val="VnTime"/>
      <family val="2"/>
      <charset val="163"/>
    </font>
    <font>
      <b/>
      <sz val="12"/>
      <name val="VNTime"/>
      <family val="2"/>
      <charset val="163"/>
    </font>
    <font>
      <u/>
      <sz val="12"/>
      <name val="VnTime"/>
      <family val="2"/>
      <charset val="163"/>
    </font>
    <font>
      <b/>
      <sz val="12"/>
      <color theme="0"/>
      <name val="Arial Narrow"/>
      <family val="2"/>
    </font>
    <font>
      <sz val="12"/>
      <color theme="0"/>
      <name val="Arial Narrow"/>
      <family val="2"/>
    </font>
    <font>
      <i/>
      <sz val="12"/>
      <color theme="0"/>
      <name val="Arial Narrow"/>
      <family val="2"/>
    </font>
    <font>
      <sz val="12"/>
      <color theme="0"/>
      <name val=".VnTime"/>
      <family val="2"/>
      <charset val="163"/>
    </font>
    <font>
      <sz val="12"/>
      <color theme="0"/>
      <name val="Arial Narrow"/>
      <family val="2"/>
      <charset val="163"/>
    </font>
    <font>
      <b/>
      <sz val="12"/>
      <color theme="0"/>
      <name val="VnSouthernU"/>
      <charset val="163"/>
    </font>
    <font>
      <b/>
      <sz val="12"/>
      <color theme="0"/>
      <name val=".VnArialH"/>
      <family val="2"/>
      <charset val="163"/>
    </font>
    <font>
      <sz val="12"/>
      <color theme="0"/>
      <name val=".VnArialH"/>
      <family val="2"/>
      <charset val="163"/>
    </font>
    <font>
      <b/>
      <u/>
      <sz val="12"/>
      <color theme="0"/>
      <name val=".VnArialH"/>
      <family val="2"/>
      <charset val="163"/>
    </font>
    <font>
      <b/>
      <u/>
      <sz val="12"/>
      <color theme="0"/>
      <name val="VnTime"/>
      <family val="2"/>
      <charset val="163"/>
    </font>
    <font>
      <sz val="12"/>
      <color theme="0"/>
      <name val="VNTime"/>
      <charset val="163"/>
    </font>
    <font>
      <i/>
      <sz val="12"/>
      <color theme="0"/>
      <name val="VnTime"/>
      <charset val="163"/>
    </font>
    <font>
      <b/>
      <u/>
      <sz val="12"/>
      <color theme="0"/>
      <name val="VnTime"/>
      <charset val="163"/>
    </font>
    <font>
      <i/>
      <u/>
      <sz val="12"/>
      <color theme="0"/>
      <name val="VnTime"/>
      <charset val="163"/>
    </font>
    <font>
      <i/>
      <sz val="12"/>
      <color theme="0"/>
      <name val="VnTime"/>
      <family val="2"/>
      <charset val="163"/>
    </font>
    <font>
      <b/>
      <sz val="12"/>
      <color theme="0"/>
      <name val="VNTime"/>
      <family val="2"/>
      <charset val="163"/>
    </font>
    <font>
      <u/>
      <sz val="12"/>
      <color theme="0"/>
      <name val="VnTime"/>
      <family val="2"/>
      <charset val="163"/>
    </font>
    <font>
      <sz val="11"/>
      <name val="Arial Narrow"/>
      <family val="2"/>
      <charset val="163"/>
    </font>
    <font>
      <b/>
      <sz val="11"/>
      <name val="Arial Narrow"/>
      <family val="2"/>
      <charset val="163"/>
    </font>
    <font>
      <i/>
      <sz val="11"/>
      <name val="Arial Narrow"/>
      <family val="2"/>
      <charset val="163"/>
    </font>
    <font>
      <b/>
      <sz val="10"/>
      <name val="Arial"/>
      <family val="2"/>
      <charset val="163"/>
    </font>
    <font>
      <b/>
      <i/>
      <sz val="11"/>
      <name val="Arial Narrow"/>
      <family val="2"/>
      <charset val="163"/>
    </font>
    <font>
      <sz val="11"/>
      <name val="Arial"/>
      <family val="2"/>
      <charset val="163"/>
      <scheme val="minor"/>
    </font>
    <font>
      <sz val="12"/>
      <color rgb="FFFF0000"/>
      <name val=".VnTime"/>
      <family val="2"/>
      <charset val="163"/>
    </font>
    <font>
      <b/>
      <sz val="12"/>
      <color rgb="FFFF0000"/>
      <name val="Arial Narrow"/>
      <family val="2"/>
      <charset val="163"/>
    </font>
    <font>
      <sz val="12"/>
      <color rgb="FFFF0000"/>
      <name val="Arial Narrow"/>
      <family val="2"/>
      <charset val="163"/>
    </font>
    <font>
      <b/>
      <sz val="12"/>
      <color rgb="FFFF0000"/>
      <name val="VnSouthernU"/>
      <charset val="163"/>
    </font>
    <font>
      <b/>
      <sz val="12"/>
      <color rgb="FFFF0000"/>
      <name val="Times New Roman"/>
      <family val="1"/>
      <charset val="163"/>
    </font>
    <font>
      <i/>
      <sz val="12"/>
      <color rgb="FFFF0000"/>
      <name val="Arial Narrow"/>
      <family val="2"/>
      <charset val="163"/>
    </font>
    <font>
      <i/>
      <sz val="12"/>
      <color rgb="FFFF0000"/>
      <name val="VnTime"/>
      <charset val="163"/>
    </font>
    <font>
      <b/>
      <u/>
      <sz val="12"/>
      <color rgb="FFFF0000"/>
      <name val="VnTime"/>
      <charset val="163"/>
    </font>
    <font>
      <i/>
      <u/>
      <sz val="12"/>
      <color rgb="FFFF0000"/>
      <name val="VnTime"/>
      <charset val="163"/>
    </font>
    <font>
      <b/>
      <sz val="11"/>
      <color rgb="FFFF0000"/>
      <name val="Times New Roman"/>
      <family val="1"/>
    </font>
    <font>
      <b/>
      <sz val="11"/>
      <color rgb="FF0000CC"/>
      <name val="Times New Roman"/>
      <family val="1"/>
    </font>
    <font>
      <b/>
      <sz val="12"/>
      <color theme="0"/>
      <name val="Arial Narrow"/>
      <family val="2"/>
      <charset val="163"/>
    </font>
    <font>
      <sz val="10"/>
      <color theme="0"/>
      <name val=".VnTime"/>
      <family val="2"/>
      <charset val="163"/>
    </font>
    <font>
      <sz val="10"/>
      <color theme="0"/>
      <name val="Arial Narrow"/>
      <family val="2"/>
    </font>
    <font>
      <sz val="10"/>
      <color rgb="FFFF0000"/>
      <name val="Arial Narrow"/>
      <family val="2"/>
    </font>
    <font>
      <b/>
      <sz val="10"/>
      <color theme="0"/>
      <name val="Arial Narrow"/>
      <family val="2"/>
    </font>
    <font>
      <b/>
      <sz val="16"/>
      <name val="Arial Narrow"/>
      <family val="2"/>
    </font>
    <font>
      <sz val="14"/>
      <name val="Arial Narrow"/>
      <family val="2"/>
    </font>
    <font>
      <b/>
      <sz val="16"/>
      <name val="Arial Narrow"/>
      <family val="2"/>
      <charset val="163"/>
    </font>
    <font>
      <i/>
      <sz val="11"/>
      <name val="Arial"/>
      <family val="2"/>
      <charset val="163"/>
      <scheme val="minor"/>
    </font>
    <font>
      <sz val="12"/>
      <color rgb="FF7030A0"/>
      <name val="Arial Narrow"/>
      <family val="2"/>
    </font>
    <font>
      <b/>
      <sz val="12"/>
      <color rgb="FFFF0000"/>
      <name val="Arial Narrow"/>
      <family val="2"/>
    </font>
    <font>
      <sz val="12"/>
      <color rgb="FF0000CC"/>
      <name val="Arial Narrow"/>
      <family val="2"/>
    </font>
    <font>
      <i/>
      <sz val="11"/>
      <name val="Arial Narrow"/>
      <family val="2"/>
    </font>
    <font>
      <b/>
      <sz val="12"/>
      <color theme="0"/>
      <name val="Times New Roman"/>
      <family val="1"/>
      <charset val="163"/>
    </font>
    <font>
      <b/>
      <sz val="16"/>
      <color theme="0"/>
      <name val="Times New Roman"/>
      <family val="1"/>
      <charset val="163"/>
    </font>
    <font>
      <sz val="12"/>
      <color theme="0"/>
      <name val="VnTime"/>
      <family val="2"/>
      <charset val="163"/>
    </font>
    <font>
      <i/>
      <sz val="12"/>
      <color theme="0"/>
      <name val="Arial Narrow"/>
      <family val="2"/>
      <charset val="163"/>
    </font>
    <font>
      <b/>
      <sz val="13"/>
      <name val="Arial Narrow"/>
      <family val="2"/>
      <charset val="163"/>
    </font>
    <font>
      <strike/>
      <sz val="12"/>
      <name val="Cambria"/>
      <family val="1"/>
    </font>
    <font>
      <strike/>
      <sz val="11"/>
      <name val="Cambria"/>
      <family val="1"/>
    </font>
    <font>
      <strike/>
      <sz val="10"/>
      <name val="Cambria"/>
      <family val="1"/>
    </font>
    <font>
      <i/>
      <sz val="14"/>
      <name val="Arial Narrow"/>
      <family val="2"/>
    </font>
    <font>
      <sz val="10"/>
      <name val="Arial Narrow"/>
      <family val="2"/>
      <charset val="163"/>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indexed="64"/>
      </left>
      <right/>
      <top style="dotted">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76">
    <xf numFmtId="0" fontId="0" fillId="0" borderId="0"/>
    <xf numFmtId="0" fontId="2" fillId="0" borderId="0"/>
    <xf numFmtId="0" fontId="2" fillId="0" borderId="0"/>
    <xf numFmtId="0" fontId="3" fillId="0" borderId="0"/>
    <xf numFmtId="0" fontId="4" fillId="0" borderId="0"/>
    <xf numFmtId="0" fontId="2" fillId="0" borderId="0"/>
    <xf numFmtId="175" fontId="8" fillId="0" borderId="0" applyFont="0" applyFill="0" applyBorder="0" applyAlignment="0" applyProtection="0"/>
    <xf numFmtId="0" fontId="2" fillId="0" borderId="0" applyNumberFormat="0" applyFill="0" applyBorder="0" applyAlignment="0" applyProtection="0"/>
    <xf numFmtId="3" fontId="9" fillId="0" borderId="1"/>
    <xf numFmtId="176" fontId="10" fillId="0" borderId="0" applyFont="0" applyFill="0" applyBorder="0" applyAlignment="0" applyProtection="0"/>
    <xf numFmtId="0" fontId="11" fillId="0" borderId="0" applyFont="0" applyFill="0" applyBorder="0" applyAlignment="0" applyProtection="0"/>
    <xf numFmtId="177" fontId="10" fillId="0" borderId="0" applyFont="0" applyFill="0" applyBorder="0" applyAlignment="0" applyProtection="0"/>
    <xf numFmtId="0" fontId="10" fillId="0" borderId="0" applyNumberForma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165" fontId="14" fillId="0" borderId="0" applyFont="0" applyFill="0" applyBorder="0" applyAlignment="0" applyProtection="0"/>
    <xf numFmtId="0" fontId="1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6" fillId="0" borderId="0"/>
    <xf numFmtId="0" fontId="10" fillId="0" borderId="0" applyNumberForma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8" fillId="0" borderId="0"/>
    <xf numFmtId="0" fontId="18" fillId="0" borderId="0"/>
    <xf numFmtId="0" fontId="18" fillId="0" borderId="0"/>
    <xf numFmtId="179" fontId="2" fillId="0" borderId="0" applyFont="0" applyFill="0" applyBorder="0" applyAlignment="0" applyProtection="0"/>
    <xf numFmtId="0" fontId="19" fillId="0" borderId="0">
      <alignment vertical="top"/>
    </xf>
    <xf numFmtId="0" fontId="19" fillId="0" borderId="0">
      <alignment vertical="top"/>
    </xf>
    <xf numFmtId="0" fontId="20" fillId="0" borderId="0"/>
    <xf numFmtId="0" fontId="18" fillId="0" borderId="0"/>
    <xf numFmtId="178" fontId="17"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0" fontId="17" fillId="0" borderId="0" applyFont="0" applyFill="0" applyBorder="0" applyAlignment="0" applyProtection="0"/>
    <xf numFmtId="41" fontId="8"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43" fontId="8" fillId="0" borderId="0" applyFont="0" applyFill="0" applyBorder="0" applyAlignment="0" applyProtection="0"/>
    <xf numFmtId="179" fontId="17"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79" fontId="17" fillId="0" borderId="0" applyFont="0" applyFill="0" applyBorder="0" applyAlignment="0" applyProtection="0"/>
    <xf numFmtId="0" fontId="17" fillId="0" borderId="0" applyFont="0" applyFill="0" applyBorder="0" applyAlignment="0" applyProtection="0"/>
    <xf numFmtId="41" fontId="8" fillId="0" borderId="0" applyFont="0" applyFill="0" applyBorder="0" applyAlignment="0" applyProtection="0"/>
    <xf numFmtId="175" fontId="8" fillId="0" borderId="0" applyFont="0" applyFill="0" applyBorder="0" applyAlignment="0" applyProtection="0"/>
    <xf numFmtId="0" fontId="21" fillId="0" borderId="0"/>
    <xf numFmtId="41" fontId="8" fillId="0" borderId="0" applyFont="0" applyFill="0" applyBorder="0" applyAlignment="0" applyProtection="0"/>
    <xf numFmtId="179" fontId="17" fillId="0" borderId="0" applyFont="0" applyFill="0" applyBorder="0" applyAlignment="0" applyProtection="0"/>
    <xf numFmtId="0" fontId="17"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80" fontId="22" fillId="0" borderId="0" applyFont="0" applyFill="0" applyBorder="0" applyAlignment="0" applyProtection="0"/>
    <xf numFmtId="0" fontId="10" fillId="0" borderId="0"/>
    <xf numFmtId="0" fontId="23" fillId="0" borderId="0"/>
    <xf numFmtId="0" fontId="10" fillId="0" borderId="0"/>
    <xf numFmtId="1" fontId="24" fillId="0" borderId="1" applyBorder="0" applyAlignment="0">
      <alignment horizontal="center"/>
    </xf>
    <xf numFmtId="3" fontId="9" fillId="0" borderId="1"/>
    <xf numFmtId="3" fontId="9" fillId="0" borderId="1"/>
    <xf numFmtId="180"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0" fontId="25" fillId="3" borderId="0"/>
    <xf numFmtId="0" fontId="25" fillId="3" borderId="0"/>
    <xf numFmtId="0" fontId="25" fillId="3" borderId="0"/>
    <xf numFmtId="9" fontId="26" fillId="0" borderId="0" applyFont="0" applyFill="0" applyBorder="0" applyAlignment="0" applyProtection="0"/>
    <xf numFmtId="0" fontId="27" fillId="3" borderId="0"/>
    <xf numFmtId="0" fontId="2" fillId="0" borderId="0"/>
    <xf numFmtId="0" fontId="28" fillId="3" borderId="0"/>
    <xf numFmtId="0" fontId="29" fillId="0" borderId="0">
      <alignment wrapText="1"/>
    </xf>
    <xf numFmtId="0" fontId="30" fillId="0" borderId="0"/>
    <xf numFmtId="180" fontId="31" fillId="0" borderId="0" applyFont="0" applyFill="0" applyBorder="0" applyAlignment="0" applyProtection="0"/>
    <xf numFmtId="0" fontId="32" fillId="0" borderId="0" applyFont="0" applyFill="0" applyBorder="0" applyAlignment="0" applyProtection="0"/>
    <xf numFmtId="180" fontId="33" fillId="0" borderId="0" applyFont="0" applyFill="0" applyBorder="0" applyAlignment="0" applyProtection="0"/>
    <xf numFmtId="181" fontId="31" fillId="0" borderId="0" applyFont="0" applyFill="0" applyBorder="0" applyAlignment="0" applyProtection="0"/>
    <xf numFmtId="0" fontId="32" fillId="0" borderId="0" applyFont="0" applyFill="0" applyBorder="0" applyAlignment="0" applyProtection="0"/>
    <xf numFmtId="181" fontId="33" fillId="0" borderId="0" applyFont="0" applyFill="0" applyBorder="0" applyAlignment="0" applyProtection="0"/>
    <xf numFmtId="0" fontId="34" fillId="0" borderId="0">
      <alignment horizontal="center" wrapText="1"/>
      <protection locked="0"/>
    </xf>
    <xf numFmtId="182" fontId="31" fillId="0" borderId="0" applyFont="0" applyFill="0" applyBorder="0" applyAlignment="0" applyProtection="0"/>
    <xf numFmtId="0" fontId="32" fillId="0" borderId="0" applyFont="0" applyFill="0" applyBorder="0" applyAlignment="0" applyProtection="0"/>
    <xf numFmtId="182" fontId="33" fillId="0" borderId="0" applyFont="0" applyFill="0" applyBorder="0" applyAlignment="0" applyProtection="0"/>
    <xf numFmtId="183" fontId="31" fillId="0" borderId="0" applyFont="0" applyFill="0" applyBorder="0" applyAlignment="0" applyProtection="0"/>
    <xf numFmtId="0" fontId="32" fillId="0" borderId="0" applyFont="0" applyFill="0" applyBorder="0" applyAlignment="0" applyProtection="0"/>
    <xf numFmtId="183" fontId="33" fillId="0" borderId="0" applyFont="0" applyFill="0" applyBorder="0" applyAlignment="0" applyProtection="0"/>
    <xf numFmtId="175" fontId="8" fillId="0" borderId="0" applyFont="0" applyFill="0" applyBorder="0" applyAlignment="0" applyProtection="0"/>
    <xf numFmtId="0" fontId="35" fillId="0" borderId="0" applyNumberFormat="0" applyFill="0" applyBorder="0" applyAlignment="0" applyProtection="0"/>
    <xf numFmtId="0" fontId="32" fillId="0" borderId="0"/>
    <xf numFmtId="0" fontId="36" fillId="0" borderId="0"/>
    <xf numFmtId="0" fontId="32" fillId="0" borderId="0"/>
    <xf numFmtId="0" fontId="37" fillId="0" borderId="0"/>
    <xf numFmtId="0" fontId="38" fillId="0" borderId="0"/>
    <xf numFmtId="184" fontId="39" fillId="0" borderId="0" applyFill="0" applyBorder="0" applyAlignment="0"/>
    <xf numFmtId="185" fontId="40" fillId="0" borderId="0" applyFill="0" applyBorder="0" applyAlignment="0"/>
    <xf numFmtId="186" fontId="40" fillId="0" borderId="0" applyFill="0" applyBorder="0" applyAlignment="0"/>
    <xf numFmtId="187" fontId="40" fillId="0" borderId="0" applyFill="0" applyBorder="0" applyAlignment="0"/>
    <xf numFmtId="188" fontId="39" fillId="0" borderId="0" applyFill="0" applyBorder="0" applyAlignment="0"/>
    <xf numFmtId="189" fontId="40" fillId="0" borderId="0" applyFill="0" applyBorder="0" applyAlignment="0"/>
    <xf numFmtId="190" fontId="40" fillId="0" borderId="0" applyFill="0" applyBorder="0" applyAlignment="0"/>
    <xf numFmtId="185" fontId="40" fillId="0" borderId="0" applyFill="0" applyBorder="0" applyAlignment="0"/>
    <xf numFmtId="0" fontId="41" fillId="0" borderId="0"/>
    <xf numFmtId="191" fontId="42" fillId="0" borderId="0" applyFont="0" applyFill="0" applyBorder="0" applyAlignment="0" applyProtection="0"/>
    <xf numFmtId="192" fontId="43" fillId="0" borderId="0"/>
    <xf numFmtId="192" fontId="43" fillId="0" borderId="0"/>
    <xf numFmtId="192" fontId="43" fillId="0" borderId="0"/>
    <xf numFmtId="192" fontId="43" fillId="0" borderId="0"/>
    <xf numFmtId="192" fontId="43" fillId="0" borderId="0"/>
    <xf numFmtId="192" fontId="43" fillId="0" borderId="0"/>
    <xf numFmtId="192" fontId="43" fillId="0" borderId="0"/>
    <xf numFmtId="192" fontId="43" fillId="0" borderId="0"/>
    <xf numFmtId="189" fontId="40" fillId="0" borderId="0" applyFont="0" applyFill="0" applyBorder="0" applyAlignment="0" applyProtection="0"/>
    <xf numFmtId="169" fontId="4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7" fillId="0" borderId="0" applyFont="0" applyFill="0" applyBorder="0" applyAlignment="0" applyProtection="0"/>
    <xf numFmtId="0" fontId="44" fillId="0" borderId="0" applyFont="0" applyFill="0" applyBorder="0" applyAlignment="0" applyProtection="0"/>
    <xf numFmtId="193" fontId="10" fillId="0" borderId="0" applyFont="0" applyFill="0" applyBorder="0" applyAlignment="0" applyProtection="0"/>
    <xf numFmtId="169" fontId="10" fillId="0" borderId="0" applyFont="0" applyFill="0" applyBorder="0" applyAlignment="0" applyProtection="0"/>
    <xf numFmtId="169" fontId="44" fillId="0" borderId="0" applyFont="0" applyFill="0" applyBorder="0" applyAlignment="0" applyProtection="0"/>
    <xf numFmtId="0" fontId="44" fillId="0" borderId="0" applyFont="0" applyFill="0" applyBorder="0" applyAlignment="0" applyProtection="0"/>
    <xf numFmtId="169" fontId="10" fillId="0" borderId="0" applyFont="0" applyFill="0" applyBorder="0" applyAlignment="0" applyProtection="0"/>
    <xf numFmtId="169" fontId="2" fillId="0" borderId="0" applyFont="0" applyFill="0" applyBorder="0" applyAlignment="0" applyProtection="0"/>
    <xf numFmtId="169" fontId="44" fillId="0" borderId="0" applyFont="0" applyFill="0" applyBorder="0" applyAlignment="0" applyProtection="0"/>
    <xf numFmtId="194" fontId="18" fillId="0" borderId="0"/>
    <xf numFmtId="3" fontId="10" fillId="0" borderId="0" applyFont="0" applyFill="0" applyBorder="0" applyAlignment="0" applyProtection="0"/>
    <xf numFmtId="0" fontId="45" fillId="0" borderId="0" applyNumberFormat="0" applyAlignment="0">
      <alignment horizontal="left"/>
    </xf>
    <xf numFmtId="185" fontId="40" fillId="0" borderId="0" applyFont="0" applyFill="0" applyBorder="0" applyAlignment="0" applyProtection="0"/>
    <xf numFmtId="195" fontId="8" fillId="0" borderId="0" applyFont="0" applyFill="0" applyBorder="0" applyAlignment="0" applyProtection="0"/>
    <xf numFmtId="196" fontId="18" fillId="0" borderId="0"/>
    <xf numFmtId="0" fontId="10" fillId="0" borderId="0" applyFont="0" applyFill="0" applyBorder="0" applyAlignment="0" applyProtection="0"/>
    <xf numFmtId="14" fontId="19" fillId="0" borderId="0" applyFill="0" applyBorder="0" applyAlignment="0"/>
    <xf numFmtId="197" fontId="18" fillId="0" borderId="0" applyFont="0" applyFill="0" applyBorder="0" applyAlignment="0" applyProtection="0"/>
    <xf numFmtId="198" fontId="18" fillId="0" borderId="0" applyFont="0" applyFill="0" applyBorder="0" applyAlignment="0" applyProtection="0"/>
    <xf numFmtId="199" fontId="18" fillId="0" borderId="0"/>
    <xf numFmtId="41"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167"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67" fontId="46" fillId="0" borderId="0" applyFont="0" applyFill="0" applyBorder="0" applyAlignment="0" applyProtection="0"/>
    <xf numFmtId="43" fontId="46" fillId="0" borderId="0" applyFont="0" applyFill="0" applyBorder="0" applyAlignment="0" applyProtection="0"/>
    <xf numFmtId="16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69" fontId="46" fillId="0" borderId="0" applyFont="0" applyFill="0" applyBorder="0" applyAlignment="0" applyProtection="0"/>
    <xf numFmtId="189" fontId="40" fillId="0" borderId="0" applyFill="0" applyBorder="0" applyAlignment="0"/>
    <xf numFmtId="185" fontId="40" fillId="0" borderId="0" applyFill="0" applyBorder="0" applyAlignment="0"/>
    <xf numFmtId="189" fontId="40" fillId="0" borderId="0" applyFill="0" applyBorder="0" applyAlignment="0"/>
    <xf numFmtId="190" fontId="40" fillId="0" borderId="0" applyFill="0" applyBorder="0" applyAlignment="0"/>
    <xf numFmtId="185" fontId="40" fillId="0" borderId="0" applyFill="0" applyBorder="0" applyAlignment="0"/>
    <xf numFmtId="0" fontId="47" fillId="0" borderId="0" applyNumberFormat="0" applyAlignment="0">
      <alignment horizontal="left"/>
    </xf>
    <xf numFmtId="200" fontId="2" fillId="0" borderId="0" applyFont="0" applyFill="0" applyBorder="0" applyAlignment="0" applyProtection="0"/>
    <xf numFmtId="2" fontId="10" fillId="0" borderId="0" applyFont="0" applyFill="0" applyBorder="0" applyAlignment="0" applyProtection="0"/>
    <xf numFmtId="38" fontId="48" fillId="2" borderId="0" applyNumberFormat="0" applyBorder="0" applyAlignment="0" applyProtection="0"/>
    <xf numFmtId="201" fontId="49" fillId="0" borderId="11" applyFont="0" applyFill="0" applyBorder="0" applyAlignment="0" applyProtection="0">
      <alignment horizontal="right"/>
    </xf>
    <xf numFmtId="0" fontId="50" fillId="4" borderId="0"/>
    <xf numFmtId="0" fontId="51" fillId="0" borderId="0">
      <alignment horizontal="left"/>
    </xf>
    <xf numFmtId="0" fontId="52" fillId="0" borderId="12" applyNumberFormat="0" applyAlignment="0" applyProtection="0">
      <alignment horizontal="left" vertical="center"/>
    </xf>
    <xf numFmtId="0" fontId="52" fillId="0" borderId="6">
      <alignment horizontal="left" vertical="center"/>
    </xf>
    <xf numFmtId="0" fontId="53" fillId="0" borderId="0" applyProtection="0"/>
    <xf numFmtId="0" fontId="52" fillId="0" borderId="0" applyProtection="0"/>
    <xf numFmtId="0" fontId="54" fillId="0" borderId="13">
      <alignment horizontal="center"/>
    </xf>
    <xf numFmtId="0" fontId="54" fillId="0" borderId="0">
      <alignment horizontal="center"/>
    </xf>
    <xf numFmtId="164" fontId="55" fillId="5" borderId="1" applyNumberFormat="0" applyAlignment="0">
      <alignment horizontal="left" vertical="top"/>
    </xf>
    <xf numFmtId="49" fontId="56" fillId="0" borderId="1">
      <alignment vertical="center"/>
    </xf>
    <xf numFmtId="179" fontId="17" fillId="0" borderId="0" applyFont="0" applyFill="0" applyBorder="0" applyAlignment="0" applyProtection="0"/>
    <xf numFmtId="10" fontId="48" fillId="2" borderId="1" applyNumberFormat="0" applyBorder="0" applyAlignment="0" applyProtection="0"/>
    <xf numFmtId="0" fontId="2" fillId="0" borderId="0"/>
    <xf numFmtId="0" fontId="18" fillId="0" borderId="0"/>
    <xf numFmtId="0" fontId="44" fillId="0" borderId="0"/>
    <xf numFmtId="0" fontId="57" fillId="0" borderId="0"/>
    <xf numFmtId="0" fontId="44" fillId="0" borderId="0"/>
    <xf numFmtId="189" fontId="40" fillId="0" borderId="0" applyFill="0" applyBorder="0" applyAlignment="0"/>
    <xf numFmtId="185" fontId="40" fillId="0" borderId="0" applyFill="0" applyBorder="0" applyAlignment="0"/>
    <xf numFmtId="189" fontId="40" fillId="0" borderId="0" applyFill="0" applyBorder="0" applyAlignment="0"/>
    <xf numFmtId="190" fontId="40" fillId="0" borderId="0" applyFill="0" applyBorder="0" applyAlignment="0"/>
    <xf numFmtId="185" fontId="40" fillId="0" borderId="0" applyFill="0" applyBorder="0" applyAlignment="0"/>
    <xf numFmtId="38" fontId="18" fillId="0" borderId="0" applyFont="0" applyFill="0" applyBorder="0" applyAlignment="0" applyProtection="0"/>
    <xf numFmtId="4" fontId="40"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0" fontId="58" fillId="0" borderId="13"/>
    <xf numFmtId="202" fontId="30" fillId="0" borderId="14"/>
    <xf numFmtId="203" fontId="18" fillId="0" borderId="0" applyFont="0" applyFill="0" applyBorder="0" applyAlignment="0" applyProtection="0"/>
    <xf numFmtId="204" fontId="18"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0" fontId="57" fillId="0" borderId="0" applyNumberFormat="0" applyFont="0" applyFill="0" applyAlignment="0"/>
    <xf numFmtId="0" fontId="59" fillId="0" borderId="0"/>
    <xf numFmtId="37" fontId="60" fillId="0" borderId="0"/>
    <xf numFmtId="0" fontId="39" fillId="0" borderId="0"/>
    <xf numFmtId="0" fontId="6" fillId="0" borderId="0"/>
    <xf numFmtId="0" fontId="1" fillId="0" borderId="0"/>
    <xf numFmtId="0" fontId="10" fillId="0" borderId="0"/>
    <xf numFmtId="0" fontId="44" fillId="0" borderId="0"/>
    <xf numFmtId="0" fontId="44" fillId="0" borderId="0"/>
    <xf numFmtId="0" fontId="2" fillId="0" borderId="0"/>
    <xf numFmtId="0" fontId="61" fillId="0" borderId="0"/>
    <xf numFmtId="0" fontId="61" fillId="0" borderId="0" applyProtection="0"/>
    <xf numFmtId="0" fontId="61" fillId="0" borderId="0" applyProtection="0"/>
    <xf numFmtId="0" fontId="61" fillId="0" borderId="0" applyProtection="0"/>
    <xf numFmtId="0" fontId="61" fillId="0" borderId="0" applyProtection="0"/>
    <xf numFmtId="0" fontId="61" fillId="0" borderId="0" applyProtection="0"/>
    <xf numFmtId="0" fontId="62" fillId="0" borderId="0"/>
    <xf numFmtId="0" fontId="2" fillId="0" borderId="0"/>
    <xf numFmtId="0" fontId="44" fillId="0" borderId="0"/>
    <xf numFmtId="0" fontId="44" fillId="0" borderId="0"/>
    <xf numFmtId="0" fontId="61" fillId="0" borderId="0"/>
    <xf numFmtId="0" fontId="63" fillId="0" borderId="0"/>
    <xf numFmtId="0" fontId="10" fillId="0" borderId="0"/>
    <xf numFmtId="0" fontId="4" fillId="0" borderId="0"/>
    <xf numFmtId="0" fontId="64" fillId="0" borderId="0"/>
    <xf numFmtId="0" fontId="2" fillId="0" borderId="0"/>
    <xf numFmtId="0" fontId="2" fillId="0" borderId="0"/>
    <xf numFmtId="0" fontId="44" fillId="0" borderId="0"/>
    <xf numFmtId="0" fontId="10" fillId="0" borderId="0"/>
    <xf numFmtId="0" fontId="10" fillId="0" borderId="0"/>
    <xf numFmtId="0" fontId="10" fillId="0" borderId="0"/>
    <xf numFmtId="0" fontId="2" fillId="0" borderId="0"/>
    <xf numFmtId="0" fontId="40" fillId="2" borderId="0"/>
    <xf numFmtId="0" fontId="46" fillId="0" borderId="0"/>
    <xf numFmtId="43" fontId="65" fillId="0" borderId="0" applyFont="0" applyFill="0" applyBorder="0" applyAlignment="0" applyProtection="0"/>
    <xf numFmtId="41" fontId="6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10" fillId="0" borderId="0" applyFont="0" applyFill="0" applyBorder="0" applyAlignment="0" applyProtection="0"/>
    <xf numFmtId="0" fontId="59" fillId="0" borderId="0"/>
    <xf numFmtId="14" fontId="34" fillId="0" borderId="0">
      <alignment horizontal="center" wrapText="1"/>
      <protection locked="0"/>
    </xf>
    <xf numFmtId="188" fontId="39" fillId="0" borderId="0" applyFont="0" applyFill="0" applyBorder="0" applyAlignment="0" applyProtection="0"/>
    <xf numFmtId="207" fontId="39" fillId="0" borderId="0" applyFont="0" applyFill="0" applyBorder="0" applyAlignment="0" applyProtection="0"/>
    <xf numFmtId="10"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15" applyNumberFormat="0" applyBorder="0"/>
    <xf numFmtId="189" fontId="40" fillId="0" borderId="0" applyFill="0" applyBorder="0" applyAlignment="0"/>
    <xf numFmtId="185" fontId="40" fillId="0" borderId="0" applyFill="0" applyBorder="0" applyAlignment="0"/>
    <xf numFmtId="189" fontId="40" fillId="0" borderId="0" applyFill="0" applyBorder="0" applyAlignment="0"/>
    <xf numFmtId="190" fontId="40" fillId="0" borderId="0" applyFill="0" applyBorder="0" applyAlignment="0"/>
    <xf numFmtId="185" fontId="40" fillId="0" borderId="0" applyFill="0" applyBorder="0" applyAlignment="0"/>
    <xf numFmtId="0" fontId="68" fillId="0" borderId="0"/>
    <xf numFmtId="0" fontId="18" fillId="0" borderId="0" applyNumberFormat="0" applyFont="0" applyFill="0" applyBorder="0" applyAlignment="0" applyProtection="0">
      <alignment horizontal="left"/>
    </xf>
    <xf numFmtId="0" fontId="69" fillId="0" borderId="13">
      <alignment horizontal="center"/>
    </xf>
    <xf numFmtId="0" fontId="70" fillId="6" borderId="0" applyNumberFormat="0" applyFont="0" applyBorder="0" applyAlignment="0">
      <alignment horizontal="center"/>
    </xf>
    <xf numFmtId="14" fontId="71" fillId="0" borderId="0" applyNumberFormat="0" applyFill="0" applyBorder="0" applyAlignment="0" applyProtection="0">
      <alignment horizontal="left"/>
    </xf>
    <xf numFmtId="179" fontId="17" fillId="0" borderId="0" applyFont="0" applyFill="0" applyBorder="0" applyAlignment="0" applyProtection="0"/>
    <xf numFmtId="0" fontId="2" fillId="0" borderId="0" applyNumberFormat="0" applyFill="0" applyBorder="0" applyAlignment="0" applyProtection="0"/>
    <xf numFmtId="4" fontId="72" fillId="7" borderId="16" applyNumberFormat="0" applyProtection="0">
      <alignment vertical="center"/>
    </xf>
    <xf numFmtId="4" fontId="73" fillId="7" borderId="16" applyNumberFormat="0" applyProtection="0">
      <alignment vertical="center"/>
    </xf>
    <xf numFmtId="4" fontId="74" fillId="7" borderId="16" applyNumberFormat="0" applyProtection="0">
      <alignment horizontal="left" vertical="center" indent="1"/>
    </xf>
    <xf numFmtId="4" fontId="74" fillId="8" borderId="0" applyNumberFormat="0" applyProtection="0">
      <alignment horizontal="left" vertical="center" indent="1"/>
    </xf>
    <xf numFmtId="4" fontId="74" fillId="9" borderId="16" applyNumberFormat="0" applyProtection="0">
      <alignment horizontal="right" vertical="center"/>
    </xf>
    <xf numFmtId="4" fontId="74" fillId="10" borderId="16" applyNumberFormat="0" applyProtection="0">
      <alignment horizontal="right" vertical="center"/>
    </xf>
    <xf numFmtId="4" fontId="74" fillId="11" borderId="16" applyNumberFormat="0" applyProtection="0">
      <alignment horizontal="right" vertical="center"/>
    </xf>
    <xf numFmtId="4" fontId="74" fillId="12" borderId="16" applyNumberFormat="0" applyProtection="0">
      <alignment horizontal="right" vertical="center"/>
    </xf>
    <xf numFmtId="4" fontId="74" fillId="13" borderId="16" applyNumberFormat="0" applyProtection="0">
      <alignment horizontal="right" vertical="center"/>
    </xf>
    <xf numFmtId="4" fontId="74" fillId="14" borderId="16" applyNumberFormat="0" applyProtection="0">
      <alignment horizontal="right" vertical="center"/>
    </xf>
    <xf numFmtId="4" fontId="74" fillId="15" borderId="16" applyNumberFormat="0" applyProtection="0">
      <alignment horizontal="right" vertical="center"/>
    </xf>
    <xf numFmtId="4" fontId="74" fillId="16" borderId="16" applyNumberFormat="0" applyProtection="0">
      <alignment horizontal="right" vertical="center"/>
    </xf>
    <xf numFmtId="4" fontId="74" fillId="17" borderId="16" applyNumberFormat="0" applyProtection="0">
      <alignment horizontal="right" vertical="center"/>
    </xf>
    <xf numFmtId="4" fontId="72" fillId="18" borderId="17" applyNumberFormat="0" applyProtection="0">
      <alignment horizontal="left" vertical="center" indent="1"/>
    </xf>
    <xf numFmtId="4" fontId="72" fillId="19" borderId="0" applyNumberFormat="0" applyProtection="0">
      <alignment horizontal="left" vertical="center" indent="1"/>
    </xf>
    <xf numFmtId="4" fontId="72" fillId="8" borderId="0" applyNumberFormat="0" applyProtection="0">
      <alignment horizontal="left" vertical="center" indent="1"/>
    </xf>
    <xf numFmtId="4" fontId="74" fillId="19" borderId="16" applyNumberFormat="0" applyProtection="0">
      <alignment horizontal="right" vertical="center"/>
    </xf>
    <xf numFmtId="4" fontId="19" fillId="19" borderId="0" applyNumberFormat="0" applyProtection="0">
      <alignment horizontal="left" vertical="center" indent="1"/>
    </xf>
    <xf numFmtId="4" fontId="19" fillId="8" borderId="0" applyNumberFormat="0" applyProtection="0">
      <alignment horizontal="left" vertical="center" indent="1"/>
    </xf>
    <xf numFmtId="4" fontId="74" fillId="20" borderId="16" applyNumberFormat="0" applyProtection="0">
      <alignment vertical="center"/>
    </xf>
    <xf numFmtId="4" fontId="75" fillId="20" borderId="16" applyNumberFormat="0" applyProtection="0">
      <alignment vertical="center"/>
    </xf>
    <xf numFmtId="4" fontId="72" fillId="19" borderId="18" applyNumberFormat="0" applyProtection="0">
      <alignment horizontal="left" vertical="center" indent="1"/>
    </xf>
    <xf numFmtId="4" fontId="74" fillId="20" borderId="16" applyNumberFormat="0" applyProtection="0">
      <alignment horizontal="right" vertical="center"/>
    </xf>
    <xf numFmtId="4" fontId="75" fillId="20" borderId="16" applyNumberFormat="0" applyProtection="0">
      <alignment horizontal="right" vertical="center"/>
    </xf>
    <xf numFmtId="4" fontId="72" fillId="19" borderId="16" applyNumberFormat="0" applyProtection="0">
      <alignment horizontal="left" vertical="center" indent="1"/>
    </xf>
    <xf numFmtId="4" fontId="76" fillId="5" borderId="18" applyNumberFormat="0" applyProtection="0">
      <alignment horizontal="left" vertical="center" indent="1"/>
    </xf>
    <xf numFmtId="4" fontId="77" fillId="20" borderId="16" applyNumberFormat="0" applyProtection="0">
      <alignment horizontal="right" vertical="center"/>
    </xf>
    <xf numFmtId="0" fontId="70" fillId="1" borderId="6" applyNumberFormat="0" applyFont="0" applyAlignment="0">
      <alignment horizontal="center"/>
    </xf>
    <xf numFmtId="0" fontId="78" fillId="0" borderId="0" applyNumberFormat="0" applyFill="0" applyBorder="0" applyAlignment="0">
      <alignment horizontal="center"/>
    </xf>
    <xf numFmtId="0" fontId="79" fillId="0" borderId="19" applyNumberFormat="0" applyFill="0" applyBorder="0" applyAlignment="0" applyProtection="0"/>
    <xf numFmtId="0" fontId="2" fillId="0" borderId="2">
      <alignment horizontal="center"/>
    </xf>
    <xf numFmtId="178"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58" fillId="0" borderId="0"/>
    <xf numFmtId="40" fontId="80" fillId="0" borderId="0" applyBorder="0">
      <alignment horizontal="right"/>
    </xf>
    <xf numFmtId="208" fontId="67" fillId="0" borderId="5">
      <alignment horizontal="right" vertical="center"/>
    </xf>
    <xf numFmtId="208" fontId="67" fillId="0" borderId="5">
      <alignment horizontal="right" vertical="center"/>
    </xf>
    <xf numFmtId="208" fontId="67" fillId="0" borderId="5">
      <alignment horizontal="right" vertical="center"/>
    </xf>
    <xf numFmtId="208" fontId="67" fillId="0" borderId="5">
      <alignment horizontal="right" vertical="center"/>
    </xf>
    <xf numFmtId="208" fontId="67" fillId="0" borderId="5">
      <alignment horizontal="right" vertical="center"/>
    </xf>
    <xf numFmtId="208" fontId="67" fillId="0" borderId="5">
      <alignment horizontal="right" vertical="center"/>
    </xf>
    <xf numFmtId="49" fontId="19" fillId="0" borderId="0" applyFill="0" applyBorder="0" applyAlignment="0"/>
    <xf numFmtId="209" fontId="39" fillId="0" borderId="0" applyFill="0" applyBorder="0" applyAlignment="0"/>
    <xf numFmtId="210" fontId="39" fillId="0" borderId="0" applyFill="0" applyBorder="0" applyAlignment="0"/>
    <xf numFmtId="211" fontId="67" fillId="0" borderId="5">
      <alignment horizontal="center"/>
    </xf>
    <xf numFmtId="0" fontId="67" fillId="0" borderId="0" applyNumberFormat="0" applyFill="0" applyBorder="0" applyAlignment="0" applyProtection="0"/>
    <xf numFmtId="0" fontId="10" fillId="0" borderId="0" applyNumberFormat="0" applyFill="0" applyBorder="0" applyAlignment="0" applyProtection="0"/>
    <xf numFmtId="0" fontId="66" fillId="0" borderId="0" applyNumberFormat="0" applyFill="0" applyBorder="0" applyAlignment="0" applyProtection="0"/>
    <xf numFmtId="3" fontId="81" fillId="0" borderId="10" applyNumberFormat="0" applyBorder="0" applyAlignment="0"/>
    <xf numFmtId="212" fontId="82" fillId="0" borderId="0" applyFont="0" applyFill="0" applyBorder="0" applyAlignment="0" applyProtection="0"/>
    <xf numFmtId="213" fontId="42" fillId="0" borderId="0" applyFont="0" applyFill="0" applyBorder="0" applyAlignment="0" applyProtection="0"/>
    <xf numFmtId="210" fontId="67" fillId="0" borderId="0"/>
    <xf numFmtId="214" fontId="67" fillId="0" borderId="1"/>
    <xf numFmtId="3" fontId="67" fillId="0" borderId="0" applyNumberFormat="0" applyBorder="0" applyAlignment="0" applyProtection="0">
      <alignment horizontal="centerContinuous"/>
      <protection locked="0"/>
    </xf>
    <xf numFmtId="3" fontId="83" fillId="0" borderId="0">
      <protection locked="0"/>
    </xf>
    <xf numFmtId="164" fontId="84" fillId="21" borderId="4">
      <alignment vertical="top"/>
    </xf>
    <xf numFmtId="0" fontId="85" fillId="22" borderId="1">
      <alignment horizontal="left" vertical="center"/>
    </xf>
    <xf numFmtId="165" fontId="86" fillId="23" borderId="4"/>
    <xf numFmtId="164" fontId="55" fillId="0" borderId="4">
      <alignment horizontal="left" vertical="top"/>
    </xf>
    <xf numFmtId="0" fontId="87" fillId="24" borderId="0">
      <alignment horizontal="left" vertical="center"/>
    </xf>
    <xf numFmtId="164" fontId="30" fillId="0" borderId="2">
      <alignment horizontal="left" vertical="top"/>
    </xf>
    <xf numFmtId="0" fontId="88" fillId="0" borderId="2">
      <alignment horizontal="left" vertical="center"/>
    </xf>
    <xf numFmtId="215" fontId="10" fillId="0" borderId="0" applyFont="0" applyFill="0" applyBorder="0" applyAlignment="0" applyProtection="0"/>
    <xf numFmtId="216" fontId="10" fillId="0" borderId="0" applyFont="0" applyFill="0" applyBorder="0" applyAlignment="0" applyProtection="0"/>
    <xf numFmtId="166" fontId="46" fillId="0" borderId="0" applyFont="0" applyFill="0" applyBorder="0" applyAlignment="0" applyProtection="0"/>
    <xf numFmtId="168" fontId="46" fillId="0" borderId="0" applyFont="0" applyFill="0" applyBorder="0" applyAlignment="0" applyProtection="0"/>
    <xf numFmtId="0" fontId="89" fillId="0" borderId="0" applyNumberForma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5" fillId="0" borderId="0">
      <alignment vertical="center"/>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Font="0" applyFill="0" applyBorder="0" applyAlignment="0" applyProtection="0"/>
    <xf numFmtId="0" fontId="93" fillId="0" borderId="0"/>
    <xf numFmtId="0" fontId="94" fillId="0" borderId="20"/>
    <xf numFmtId="0" fontId="95" fillId="0" borderId="0" applyFont="0" applyFill="0" applyBorder="0" applyAlignment="0" applyProtection="0"/>
    <xf numFmtId="0" fontId="95" fillId="0" borderId="0" applyFont="0" applyFill="0" applyBorder="0" applyAlignment="0" applyProtection="0"/>
    <xf numFmtId="217" fontId="95" fillId="0" borderId="0" applyFont="0" applyFill="0" applyBorder="0" applyAlignment="0" applyProtection="0"/>
    <xf numFmtId="218" fontId="95" fillId="0" borderId="0" applyFont="0" applyFill="0" applyBorder="0" applyAlignment="0" applyProtection="0"/>
    <xf numFmtId="0" fontId="96" fillId="0" borderId="0"/>
    <xf numFmtId="0" fontId="57" fillId="0" borderId="0"/>
    <xf numFmtId="41" fontId="61" fillId="0" borderId="0" applyFont="0" applyFill="0" applyBorder="0" applyAlignment="0" applyProtection="0"/>
    <xf numFmtId="43" fontId="61" fillId="0" borderId="0" applyFont="0" applyFill="0" applyBorder="0" applyAlignment="0" applyProtection="0"/>
    <xf numFmtId="170" fontId="10" fillId="0" borderId="0" applyFont="0" applyFill="0" applyBorder="0" applyAlignment="0" applyProtection="0"/>
    <xf numFmtId="0" fontId="59" fillId="0" borderId="0"/>
    <xf numFmtId="219" fontId="61" fillId="0" borderId="0" applyFont="0" applyFill="0" applyBorder="0" applyAlignment="0" applyProtection="0"/>
    <xf numFmtId="165" fontId="14" fillId="0" borderId="0" applyFont="0" applyFill="0" applyBorder="0" applyAlignment="0" applyProtection="0"/>
    <xf numFmtId="189" fontId="61" fillId="0" borderId="0" applyFont="0" applyFill="0" applyBorder="0" applyAlignment="0" applyProtection="0"/>
    <xf numFmtId="43" fontId="18" fillId="0" borderId="0" applyNumberFormat="0" applyFont="0" applyFill="0" applyBorder="0" applyAlignment="0" applyProtection="0"/>
    <xf numFmtId="171" fontId="97" fillId="0" borderId="0" applyFont="0" applyFill="0" applyBorder="0" applyAlignment="0" applyProtection="0"/>
    <xf numFmtId="220" fontId="10" fillId="0" borderId="0" applyFill="0" applyBorder="0" applyAlignment="0" applyProtection="0"/>
    <xf numFmtId="0" fontId="67" fillId="0" borderId="0"/>
    <xf numFmtId="0" fontId="10" fillId="0" borderId="0"/>
    <xf numFmtId="171" fontId="97" fillId="0" borderId="0" applyFont="0" applyFill="0" applyBorder="0" applyAlignment="0" applyProtection="0"/>
    <xf numFmtId="171" fontId="97" fillId="0" borderId="0" applyFont="0" applyFill="0" applyBorder="0" applyAlignment="0" applyProtection="0"/>
    <xf numFmtId="0" fontId="10" fillId="0" borderId="0"/>
    <xf numFmtId="169" fontId="10" fillId="0" borderId="0" applyFont="0" applyFill="0" applyBorder="0" applyAlignment="0" applyProtection="0"/>
    <xf numFmtId="0" fontId="1" fillId="0" borderId="0"/>
    <xf numFmtId="169" fontId="1" fillId="0" borderId="0" applyFont="0" applyFill="0" applyBorder="0" applyAlignment="0" applyProtection="0"/>
    <xf numFmtId="0" fontId="110" fillId="0" borderId="0"/>
    <xf numFmtId="169" fontId="110" fillId="0" borderId="0" applyFont="0" applyFill="0" applyBorder="0" applyAlignment="0" applyProtection="0"/>
    <xf numFmtId="0" fontId="1" fillId="0" borderId="0"/>
    <xf numFmtId="169"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171" fontId="1"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0" fontId="10" fillId="0" borderId="0"/>
    <xf numFmtId="0" fontId="5" fillId="0" borderId="0"/>
    <xf numFmtId="0" fontId="10" fillId="0" borderId="0"/>
    <xf numFmtId="169" fontId="1" fillId="0" borderId="0" applyFont="0" applyFill="0" applyBorder="0" applyAlignment="0" applyProtection="0"/>
    <xf numFmtId="0" fontId="5" fillId="0" borderId="0"/>
    <xf numFmtId="169" fontId="1" fillId="0" borderId="0" applyFont="0" applyFill="0" applyBorder="0" applyAlignment="0" applyProtection="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0" fontId="1" fillId="0" borderId="0"/>
    <xf numFmtId="0" fontId="44" fillId="0" borderId="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1" borderId="0" applyNumberFormat="0" applyBorder="0" applyAlignment="0" applyProtection="0"/>
    <xf numFmtId="0" fontId="44" fillId="34" borderId="0" applyNumberFormat="0" applyBorder="0" applyAlignment="0" applyProtection="0"/>
    <xf numFmtId="0" fontId="44" fillId="37" borderId="0" applyNumberFormat="0" applyBorder="0" applyAlignment="0" applyProtection="0"/>
    <xf numFmtId="0" fontId="133" fillId="38" borderId="0" applyNumberFormat="0" applyBorder="0" applyAlignment="0" applyProtection="0"/>
    <xf numFmtId="0" fontId="133" fillId="35" borderId="0" applyNumberFormat="0" applyBorder="0" applyAlignment="0" applyProtection="0"/>
    <xf numFmtId="0" fontId="133" fillId="36" borderId="0" applyNumberFormat="0" applyBorder="0" applyAlignment="0" applyProtection="0"/>
    <xf numFmtId="0" fontId="133" fillId="39" borderId="0" applyNumberFormat="0" applyBorder="0" applyAlignment="0" applyProtection="0"/>
    <xf numFmtId="0" fontId="133" fillId="40" borderId="0" applyNumberFormat="0" applyBorder="0" applyAlignment="0" applyProtection="0"/>
    <xf numFmtId="0" fontId="133" fillId="41" borderId="0" applyNumberFormat="0" applyBorder="0" applyAlignment="0" applyProtection="0"/>
    <xf numFmtId="0" fontId="133" fillId="42" borderId="0" applyNumberFormat="0" applyBorder="0" applyAlignment="0" applyProtection="0"/>
    <xf numFmtId="0" fontId="133" fillId="43" borderId="0" applyNumberFormat="0" applyBorder="0" applyAlignment="0" applyProtection="0"/>
    <xf numFmtId="0" fontId="133" fillId="44" borderId="0" applyNumberFormat="0" applyBorder="0" applyAlignment="0" applyProtection="0"/>
    <xf numFmtId="0" fontId="133" fillId="39" borderId="0" applyNumberFormat="0" applyBorder="0" applyAlignment="0" applyProtection="0"/>
    <xf numFmtId="0" fontId="133" fillId="40" borderId="0" applyNumberFormat="0" applyBorder="0" applyAlignment="0" applyProtection="0"/>
    <xf numFmtId="0" fontId="133" fillId="45" borderId="0" applyNumberFormat="0" applyBorder="0" applyAlignment="0" applyProtection="0"/>
    <xf numFmtId="0" fontId="134" fillId="29" borderId="0" applyNumberFormat="0" applyBorder="0" applyAlignment="0" applyProtection="0"/>
    <xf numFmtId="0" fontId="135" fillId="46" borderId="40" applyNumberFormat="0" applyAlignment="0" applyProtection="0"/>
    <xf numFmtId="169" fontId="44" fillId="0" borderId="0" applyFont="0" applyFill="0" applyBorder="0" applyAlignment="0" applyProtection="0"/>
    <xf numFmtId="0" fontId="136" fillId="47" borderId="41" applyNumberFormat="0" applyAlignment="0" applyProtection="0"/>
    <xf numFmtId="0" fontId="137" fillId="0" borderId="0" applyNumberFormat="0" applyFill="0" applyBorder="0" applyAlignment="0" applyProtection="0"/>
    <xf numFmtId="0" fontId="138" fillId="3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142" fillId="33" borderId="40" applyNumberFormat="0" applyAlignment="0" applyProtection="0"/>
    <xf numFmtId="0" fontId="143" fillId="0" borderId="45" applyNumberFormat="0" applyFill="0" applyAlignment="0" applyProtection="0"/>
    <xf numFmtId="0" fontId="144" fillId="48" borderId="0" applyNumberFormat="0" applyBorder="0" applyAlignment="0" applyProtection="0"/>
    <xf numFmtId="0" fontId="44" fillId="49" borderId="46" applyNumberFormat="0" applyFont="0" applyAlignment="0" applyProtection="0"/>
    <xf numFmtId="0" fontId="145" fillId="46" borderId="47" applyNumberFormat="0" applyAlignment="0" applyProtection="0"/>
    <xf numFmtId="0" fontId="146" fillId="0" borderId="0" applyNumberFormat="0" applyFill="0" applyBorder="0" applyAlignment="0" applyProtection="0"/>
    <xf numFmtId="0" fontId="147" fillId="0" borderId="48" applyNumberFormat="0" applyFill="0" applyAlignment="0" applyProtection="0"/>
    <xf numFmtId="0" fontId="148" fillId="0" borderId="0" applyNumberFormat="0" applyFill="0" applyBorder="0" applyAlignment="0" applyProtection="0"/>
  </cellStyleXfs>
  <cellXfs count="1115">
    <xf numFmtId="0" fontId="0" fillId="0" borderId="0" xfId="0"/>
    <xf numFmtId="222" fontId="103" fillId="27" borderId="0" xfId="369" applyNumberFormat="1" applyFont="1" applyFill="1" applyAlignment="1">
      <alignment vertical="center" wrapText="1"/>
    </xf>
    <xf numFmtId="222" fontId="0" fillId="0" borderId="0" xfId="369" applyNumberFormat="1" applyFont="1"/>
    <xf numFmtId="222" fontId="103" fillId="27" borderId="30" xfId="369" applyNumberFormat="1" applyFont="1" applyFill="1" applyBorder="1" applyAlignment="1">
      <alignment vertical="center" wrapText="1"/>
    </xf>
    <xf numFmtId="222" fontId="102" fillId="27" borderId="33" xfId="369" applyNumberFormat="1" applyFont="1" applyFill="1" applyBorder="1" applyAlignment="1">
      <alignment horizontal="center" vertical="center" wrapText="1"/>
    </xf>
    <xf numFmtId="222" fontId="102" fillId="27" borderId="31" xfId="369" applyNumberFormat="1" applyFont="1" applyFill="1" applyBorder="1" applyAlignment="1">
      <alignment horizontal="center" vertical="center" wrapText="1"/>
    </xf>
    <xf numFmtId="222" fontId="105" fillId="27" borderId="31" xfId="369" applyNumberFormat="1" applyFont="1" applyFill="1" applyBorder="1" applyAlignment="1">
      <alignment horizontal="center" vertical="center" wrapText="1"/>
    </xf>
    <xf numFmtId="222" fontId="105" fillId="27" borderId="33" xfId="369" applyNumberFormat="1" applyFont="1" applyFill="1" applyBorder="1" applyAlignment="1">
      <alignment vertical="center" wrapText="1"/>
    </xf>
    <xf numFmtId="222" fontId="105" fillId="27" borderId="33" xfId="369" applyNumberFormat="1" applyFont="1" applyFill="1" applyBorder="1" applyAlignment="1">
      <alignment horizontal="right" vertical="center" wrapText="1"/>
    </xf>
    <xf numFmtId="0" fontId="107" fillId="0" borderId="0" xfId="0" applyFont="1" applyAlignment="1">
      <alignment vertical="top"/>
    </xf>
    <xf numFmtId="0" fontId="108" fillId="0" borderId="0" xfId="0" applyFont="1" applyAlignment="1">
      <alignment horizontal="right" vertical="top"/>
    </xf>
    <xf numFmtId="0" fontId="108" fillId="0" borderId="0" xfId="0" applyFont="1" applyAlignment="1">
      <alignment vertical="top"/>
    </xf>
    <xf numFmtId="0" fontId="107" fillId="0" borderId="0" xfId="0" applyFont="1" applyAlignment="1">
      <alignment horizontal="right" vertical="top"/>
    </xf>
    <xf numFmtId="0" fontId="109" fillId="0" borderId="0" xfId="0" applyFont="1" applyFill="1"/>
    <xf numFmtId="0" fontId="106" fillId="0" borderId="0" xfId="0" applyFont="1" applyFill="1"/>
    <xf numFmtId="222" fontId="109" fillId="0" borderId="0" xfId="369" applyNumberFormat="1" applyFont="1" applyFill="1"/>
    <xf numFmtId="226" fontId="109" fillId="0" borderId="0" xfId="0" applyNumberFormat="1" applyFont="1" applyFill="1"/>
    <xf numFmtId="0" fontId="99" fillId="0" borderId="0" xfId="0" applyFont="1" applyAlignment="1">
      <alignment vertical="center"/>
    </xf>
    <xf numFmtId="0" fontId="98" fillId="0" borderId="2" xfId="0" applyFont="1" applyBorder="1" applyAlignment="1">
      <alignment horizontal="center" vertical="center" wrapText="1"/>
    </xf>
    <xf numFmtId="0" fontId="98" fillId="0" borderId="2" xfId="0" applyFont="1" applyBorder="1" applyAlignment="1">
      <alignment horizontal="left" vertical="center" wrapText="1"/>
    </xf>
    <xf numFmtId="0" fontId="98" fillId="0" borderId="2" xfId="0" applyFont="1" applyBorder="1" applyAlignment="1">
      <alignment horizontal="center" vertical="center"/>
    </xf>
    <xf numFmtId="222" fontId="98" fillId="0" borderId="2" xfId="369" applyNumberFormat="1" applyFont="1" applyBorder="1" applyAlignment="1">
      <alignment horizontal="center" vertical="center"/>
    </xf>
    <xf numFmtId="222" fontId="98" fillId="0" borderId="2" xfId="369" applyNumberFormat="1" applyFont="1" applyBorder="1" applyAlignment="1">
      <alignment vertical="center"/>
    </xf>
    <xf numFmtId="0" fontId="98" fillId="0" borderId="1" xfId="0" applyFont="1" applyBorder="1" applyAlignment="1">
      <alignment horizontal="left" vertical="center" wrapText="1"/>
    </xf>
    <xf numFmtId="0" fontId="100" fillId="0" borderId="1" xfId="0" applyFont="1" applyBorder="1" applyAlignment="1">
      <alignment horizontal="left" vertical="center" wrapText="1"/>
    </xf>
    <xf numFmtId="0" fontId="100" fillId="0" borderId="1" xfId="0" quotePrefix="1" applyFont="1" applyBorder="1" applyAlignment="1">
      <alignment horizontal="left" vertical="center" wrapText="1"/>
    </xf>
    <xf numFmtId="16" fontId="98" fillId="0" borderId="1" xfId="369" quotePrefix="1" applyNumberFormat="1" applyFont="1" applyBorder="1" applyAlignment="1">
      <alignment horizontal="right" vertical="center" wrapText="1"/>
    </xf>
    <xf numFmtId="0" fontId="98" fillId="0" borderId="1" xfId="0" applyFont="1" applyBorder="1" applyAlignment="1">
      <alignment horizontal="center" vertical="center"/>
    </xf>
    <xf numFmtId="222" fontId="98" fillId="0" borderId="1" xfId="369" applyNumberFormat="1" applyFont="1" applyBorder="1" applyAlignment="1">
      <alignment horizontal="center" vertical="center"/>
    </xf>
    <xf numFmtId="222" fontId="98" fillId="0" borderId="1" xfId="369" applyNumberFormat="1" applyFont="1" applyBorder="1" applyAlignment="1">
      <alignment vertical="center"/>
    </xf>
    <xf numFmtId="0" fontId="100" fillId="0" borderId="1" xfId="0" applyFont="1" applyBorder="1" applyAlignment="1">
      <alignment horizontal="center" vertical="center" wrapText="1"/>
    </xf>
    <xf numFmtId="225" fontId="98" fillId="0" borderId="0" xfId="0" applyNumberFormat="1" applyFont="1" applyAlignment="1">
      <alignment vertical="center"/>
    </xf>
    <xf numFmtId="222" fontId="98" fillId="0" borderId="1" xfId="369" applyNumberFormat="1" applyFont="1" applyBorder="1" applyAlignment="1">
      <alignment horizontal="center" vertical="center" wrapText="1"/>
    </xf>
    <xf numFmtId="171" fontId="100" fillId="0" borderId="1" xfId="369" applyFont="1" applyBorder="1" applyAlignment="1">
      <alignment horizontal="center" vertical="center" wrapText="1"/>
    </xf>
    <xf numFmtId="171" fontId="100" fillId="0" borderId="1" xfId="369" applyFont="1" applyBorder="1" applyAlignment="1">
      <alignment vertical="center" wrapText="1"/>
    </xf>
    <xf numFmtId="223" fontId="98" fillId="0" borderId="1" xfId="369" applyNumberFormat="1" applyFont="1" applyBorder="1" applyAlignment="1">
      <alignment horizontal="center" vertical="center" wrapText="1"/>
    </xf>
    <xf numFmtId="222" fontId="98" fillId="0" borderId="1" xfId="369" applyNumberFormat="1" applyFont="1" applyBorder="1" applyAlignment="1">
      <alignment vertical="center" wrapText="1"/>
    </xf>
    <xf numFmtId="223" fontId="100" fillId="0" borderId="1" xfId="369" applyNumberFormat="1" applyFont="1" applyBorder="1" applyAlignment="1">
      <alignment horizontal="center" vertical="center" wrapText="1"/>
    </xf>
    <xf numFmtId="222" fontId="98" fillId="0" borderId="1" xfId="369" quotePrefix="1" applyNumberFormat="1" applyFont="1" applyBorder="1" applyAlignment="1">
      <alignment horizontal="center" vertical="center"/>
    </xf>
    <xf numFmtId="223" fontId="98" fillId="26" borderId="1" xfId="369" applyNumberFormat="1" applyFont="1" applyFill="1" applyBorder="1" applyAlignment="1">
      <alignment horizontal="center" vertical="center"/>
    </xf>
    <xf numFmtId="223" fontId="98" fillId="0" borderId="1" xfId="369" quotePrefix="1" applyNumberFormat="1" applyFont="1" applyBorder="1" applyAlignment="1">
      <alignment horizontal="center" vertical="center"/>
    </xf>
    <xf numFmtId="171" fontId="98" fillId="0" borderId="1" xfId="369" applyFont="1" applyBorder="1" applyAlignment="1">
      <alignment horizontal="center" vertical="center"/>
    </xf>
    <xf numFmtId="0" fontId="98" fillId="0" borderId="1" xfId="0" quotePrefix="1" applyFont="1" applyBorder="1" applyAlignment="1">
      <alignment horizontal="left" vertical="center" wrapText="1"/>
    </xf>
    <xf numFmtId="0" fontId="2" fillId="0" borderId="0" xfId="1" applyFont="1" applyFill="1" applyAlignment="1">
      <alignment vertical="center" wrapText="1"/>
    </xf>
    <xf numFmtId="172" fontId="2" fillId="0" borderId="0" xfId="1" applyNumberFormat="1" applyFont="1" applyFill="1" applyAlignment="1">
      <alignment vertical="center"/>
    </xf>
    <xf numFmtId="0" fontId="2" fillId="0" borderId="0" xfId="1" applyFont="1" applyFill="1" applyAlignment="1">
      <alignment vertical="center"/>
    </xf>
    <xf numFmtId="0" fontId="98" fillId="0" borderId="0" xfId="1" applyFont="1" applyFill="1" applyAlignment="1">
      <alignment vertical="center"/>
    </xf>
    <xf numFmtId="0" fontId="112" fillId="0" borderId="0" xfId="1" applyFont="1" applyFill="1" applyAlignment="1">
      <alignment vertical="center"/>
    </xf>
    <xf numFmtId="0" fontId="113" fillId="0" borderId="0" xfId="1" applyFont="1" applyFill="1" applyBorder="1" applyAlignment="1">
      <alignment vertical="center" wrapText="1"/>
    </xf>
    <xf numFmtId="172" fontId="113" fillId="0" borderId="0" xfId="1" applyNumberFormat="1" applyFont="1" applyFill="1" applyBorder="1" applyAlignment="1">
      <alignment vertical="center"/>
    </xf>
    <xf numFmtId="0" fontId="114" fillId="0" borderId="0" xfId="1" applyFont="1" applyFill="1" applyAlignment="1">
      <alignment horizontal="center" vertical="center"/>
    </xf>
    <xf numFmtId="0" fontId="114" fillId="0" borderId="0" xfId="1" applyFont="1" applyFill="1" applyBorder="1" applyAlignment="1">
      <alignment horizontal="center" vertical="center"/>
    </xf>
    <xf numFmtId="0" fontId="114" fillId="0" borderId="3" xfId="1" applyFont="1" applyFill="1" applyBorder="1" applyAlignment="1">
      <alignment horizontal="center" vertical="center"/>
    </xf>
    <xf numFmtId="0" fontId="99" fillId="0" borderId="1" xfId="2" applyFont="1" applyFill="1" applyBorder="1" applyAlignment="1">
      <alignment horizontal="center" vertical="center"/>
    </xf>
    <xf numFmtId="0" fontId="99" fillId="0" borderId="1" xfId="2" quotePrefix="1" applyFont="1" applyFill="1" applyBorder="1" applyAlignment="1">
      <alignment horizontal="center" vertical="center"/>
    </xf>
    <xf numFmtId="0" fontId="116" fillId="0" borderId="0" xfId="1" applyFont="1" applyFill="1" applyBorder="1" applyAlignment="1">
      <alignment horizontal="center" vertical="center"/>
    </xf>
    <xf numFmtId="0" fontId="99" fillId="0" borderId="22" xfId="1" applyFont="1" applyFill="1" applyBorder="1" applyAlignment="1">
      <alignment horizontal="center" vertical="center"/>
    </xf>
    <xf numFmtId="0" fontId="117" fillId="0" borderId="0" xfId="1" applyFont="1" applyFill="1" applyAlignment="1">
      <alignment vertical="center"/>
    </xf>
    <xf numFmtId="0" fontId="118" fillId="0" borderId="0" xfId="1" applyFont="1" applyFill="1" applyAlignment="1">
      <alignment vertical="center"/>
    </xf>
    <xf numFmtId="0" fontId="119" fillId="0" borderId="0" xfId="1" applyFont="1" applyFill="1" applyAlignment="1">
      <alignment vertical="center"/>
    </xf>
    <xf numFmtId="0" fontId="120" fillId="0" borderId="0" xfId="1" applyFont="1" applyFill="1" applyAlignment="1">
      <alignment vertical="center"/>
    </xf>
    <xf numFmtId="0" fontId="121" fillId="0" borderId="0" xfId="1" applyFont="1" applyFill="1" applyAlignment="1">
      <alignment vertical="center"/>
    </xf>
    <xf numFmtId="0" fontId="2" fillId="25" borderId="0" xfId="1" applyFont="1" applyFill="1" applyAlignment="1">
      <alignment vertical="center"/>
    </xf>
    <xf numFmtId="0" fontId="98" fillId="0" borderId="24" xfId="1" applyFont="1" applyFill="1" applyBorder="1" applyAlignment="1">
      <alignment vertical="center"/>
    </xf>
    <xf numFmtId="0" fontId="98" fillId="0" borderId="24" xfId="1" applyFont="1" applyFill="1" applyBorder="1" applyAlignment="1">
      <alignment vertical="center" wrapText="1"/>
    </xf>
    <xf numFmtId="172" fontId="98" fillId="0" borderId="24" xfId="1" applyNumberFormat="1" applyFont="1" applyFill="1" applyBorder="1" applyAlignment="1">
      <alignment vertical="center"/>
    </xf>
    <xf numFmtId="0" fontId="85" fillId="0" borderId="0" xfId="1" applyFont="1" applyFill="1" applyAlignment="1">
      <alignment vertical="center"/>
    </xf>
    <xf numFmtId="0" fontId="99" fillId="0" borderId="0" xfId="0" applyFont="1" applyFill="1" applyAlignment="1">
      <alignment vertical="top"/>
    </xf>
    <xf numFmtId="0" fontId="99" fillId="0" borderId="0" xfId="1" applyFont="1" applyFill="1" applyAlignment="1">
      <alignment horizontal="left" vertical="top" wrapText="1"/>
    </xf>
    <xf numFmtId="172" fontId="99" fillId="0" borderId="0" xfId="1" applyNumberFormat="1" applyFont="1" applyFill="1" applyAlignment="1">
      <alignment horizontal="center" vertical="top"/>
    </xf>
    <xf numFmtId="0" fontId="99" fillId="0" borderId="0" xfId="1" applyFont="1" applyFill="1" applyAlignment="1">
      <alignment vertical="top"/>
    </xf>
    <xf numFmtId="0" fontId="85" fillId="0" borderId="0" xfId="1" applyFont="1" applyFill="1" applyAlignment="1">
      <alignment vertical="top"/>
    </xf>
    <xf numFmtId="0" fontId="98" fillId="0" borderId="0" xfId="1" applyFont="1" applyFill="1" applyBorder="1" applyAlignment="1">
      <alignment horizontal="centerContinuous" vertical="center" wrapText="1"/>
    </xf>
    <xf numFmtId="0" fontId="99" fillId="0" borderId="1" xfId="0" applyFont="1" applyFill="1" applyBorder="1" applyAlignment="1">
      <alignment horizontal="center" vertical="center" wrapText="1"/>
    </xf>
    <xf numFmtId="0" fontId="98" fillId="0" borderId="1" xfId="0" applyFont="1" applyFill="1" applyBorder="1" applyAlignment="1">
      <alignment horizontal="center" vertical="center" wrapText="1"/>
    </xf>
    <xf numFmtId="0" fontId="99" fillId="0" borderId="14" xfId="0" applyFont="1" applyFill="1" applyBorder="1" applyAlignment="1">
      <alignment horizontal="center" vertical="center" wrapText="1"/>
    </xf>
    <xf numFmtId="167" fontId="99" fillId="0" borderId="14" xfId="0" applyNumberFormat="1" applyFont="1" applyFill="1" applyBorder="1" applyAlignment="1">
      <alignment horizontal="center" vertical="center" wrapText="1"/>
    </xf>
    <xf numFmtId="0" fontId="99" fillId="0" borderId="9" xfId="1" applyFont="1" applyFill="1" applyBorder="1" applyAlignment="1">
      <alignment horizontal="center" vertical="center"/>
    </xf>
    <xf numFmtId="0" fontId="99" fillId="0" borderId="9" xfId="1" applyFont="1" applyFill="1" applyBorder="1" applyAlignment="1">
      <alignment horizontal="center" vertical="center" wrapText="1"/>
    </xf>
    <xf numFmtId="167" fontId="99" fillId="0" borderId="9" xfId="1" applyNumberFormat="1" applyFont="1" applyFill="1" applyBorder="1" applyAlignment="1">
      <alignment horizontal="center" vertical="center" wrapText="1"/>
    </xf>
    <xf numFmtId="174" fontId="99" fillId="0" borderId="28" xfId="3" applyNumberFormat="1" applyFont="1" applyFill="1" applyBorder="1" applyAlignment="1">
      <alignment horizontal="center" vertical="center" wrapText="1"/>
    </xf>
    <xf numFmtId="174" fontId="99" fillId="0" borderId="28" xfId="3" applyNumberFormat="1" applyFont="1" applyFill="1" applyBorder="1" applyAlignment="1">
      <alignment vertical="center" wrapText="1"/>
    </xf>
    <xf numFmtId="167" fontId="99" fillId="0" borderId="28" xfId="1" applyNumberFormat="1" applyFont="1" applyFill="1" applyBorder="1" applyAlignment="1">
      <alignment horizontal="left" vertical="center" wrapText="1"/>
    </xf>
    <xf numFmtId="167" fontId="117" fillId="0" borderId="0" xfId="1" applyNumberFormat="1" applyFont="1" applyFill="1" applyAlignment="1">
      <alignment vertical="center"/>
    </xf>
    <xf numFmtId="174" fontId="98" fillId="0" borderId="22" xfId="3" applyNumberFormat="1" applyFont="1" applyFill="1" applyBorder="1" applyAlignment="1">
      <alignment horizontal="center" vertical="center" wrapText="1"/>
    </xf>
    <xf numFmtId="174" fontId="98" fillId="0" borderId="22" xfId="3" applyNumberFormat="1" applyFont="1" applyFill="1" applyBorder="1" applyAlignment="1">
      <alignment horizontal="left" vertical="center" wrapText="1"/>
    </xf>
    <xf numFmtId="167" fontId="98" fillId="0" borderId="22" xfId="1" applyNumberFormat="1" applyFont="1" applyFill="1" applyBorder="1" applyAlignment="1">
      <alignment vertical="center" wrapText="1"/>
    </xf>
    <xf numFmtId="167" fontId="98" fillId="0" borderId="22" xfId="1" quotePrefix="1" applyNumberFormat="1" applyFont="1" applyFill="1" applyBorder="1" applyAlignment="1">
      <alignment horizontal="left" vertical="center" wrapText="1"/>
    </xf>
    <xf numFmtId="167" fontId="100" fillId="0" borderId="22" xfId="1" applyNumberFormat="1" applyFont="1" applyFill="1" applyBorder="1" applyAlignment="1">
      <alignment horizontal="left" vertical="center" wrapText="1"/>
    </xf>
    <xf numFmtId="174" fontId="99" fillId="0" borderId="22" xfId="3" applyNumberFormat="1" applyFont="1" applyFill="1" applyBorder="1" applyAlignment="1">
      <alignment horizontal="center" vertical="center" wrapText="1"/>
    </xf>
    <xf numFmtId="174" fontId="99" fillId="0" borderId="22" xfId="3" applyNumberFormat="1" applyFont="1" applyFill="1" applyBorder="1" applyAlignment="1">
      <alignment vertical="center" wrapText="1"/>
    </xf>
    <xf numFmtId="167" fontId="99" fillId="0" borderId="22" xfId="1" quotePrefix="1" applyNumberFormat="1" applyFont="1" applyFill="1" applyBorder="1" applyAlignment="1">
      <alignment horizontal="left" vertical="center" wrapText="1"/>
    </xf>
    <xf numFmtId="167" fontId="99" fillId="0" borderId="22" xfId="1" applyNumberFormat="1" applyFont="1" applyFill="1" applyBorder="1" applyAlignment="1">
      <alignment horizontal="left" vertical="center" wrapText="1"/>
    </xf>
    <xf numFmtId="0" fontId="98" fillId="0" borderId="22" xfId="4" applyNumberFormat="1" applyFont="1" applyFill="1" applyBorder="1" applyAlignment="1">
      <alignment horizontal="left" vertical="center" wrapText="1"/>
    </xf>
    <xf numFmtId="174" fontId="99" fillId="0" borderId="22" xfId="3" applyNumberFormat="1" applyFont="1" applyFill="1" applyBorder="1" applyAlignment="1">
      <alignment horizontal="left" vertical="center" wrapText="1"/>
    </xf>
    <xf numFmtId="49" fontId="99" fillId="0" borderId="22" xfId="1" applyNumberFormat="1" applyFont="1" applyFill="1" applyBorder="1" applyAlignment="1">
      <alignment horizontal="center" vertical="center" wrapText="1"/>
    </xf>
    <xf numFmtId="0" fontId="100" fillId="0" borderId="39" xfId="0" applyFont="1" applyFill="1" applyBorder="1" applyAlignment="1">
      <alignment vertical="center"/>
    </xf>
    <xf numFmtId="0" fontId="98" fillId="0" borderId="0" xfId="0" applyFont="1" applyFill="1" applyAlignment="1">
      <alignment horizontal="left" vertical="center"/>
    </xf>
    <xf numFmtId="0" fontId="98" fillId="0" borderId="0" xfId="0" applyFont="1" applyFill="1" applyAlignment="1">
      <alignment vertical="center"/>
    </xf>
    <xf numFmtId="0" fontId="98" fillId="0" borderId="0" xfId="5" applyFont="1" applyFill="1" applyAlignment="1">
      <alignment vertical="center"/>
    </xf>
    <xf numFmtId="0" fontId="98" fillId="0" borderId="0" xfId="5" applyFont="1" applyAlignment="1">
      <alignment vertical="center"/>
    </xf>
    <xf numFmtId="0" fontId="99" fillId="0" borderId="0" xfId="5" applyFont="1" applyFill="1" applyAlignment="1">
      <alignment vertical="center"/>
    </xf>
    <xf numFmtId="0" fontId="98" fillId="0" borderId="0" xfId="5" applyFont="1" applyFill="1" applyAlignment="1">
      <alignment vertical="top"/>
    </xf>
    <xf numFmtId="0" fontId="99" fillId="0" borderId="6" xfId="5" applyFont="1" applyFill="1" applyBorder="1" applyAlignment="1">
      <alignment vertical="center"/>
    </xf>
    <xf numFmtId="0" fontId="99" fillId="0" borderId="0" xfId="5" applyFont="1" applyFill="1" applyBorder="1" applyAlignment="1">
      <alignment vertical="center"/>
    </xf>
    <xf numFmtId="167" fontId="98" fillId="0" borderId="0" xfId="5" applyNumberFormat="1" applyFont="1" applyFill="1" applyAlignment="1">
      <alignment vertical="center"/>
    </xf>
    <xf numFmtId="0" fontId="99" fillId="0" borderId="9" xfId="5" applyFont="1" applyFill="1" applyBorder="1" applyAlignment="1">
      <alignment horizontal="center" vertical="center"/>
    </xf>
    <xf numFmtId="0" fontId="99" fillId="0" borderId="9" xfId="5" applyFont="1" applyFill="1" applyBorder="1" applyAlignment="1">
      <alignment vertical="center"/>
    </xf>
    <xf numFmtId="3" fontId="123" fillId="0" borderId="9" xfId="5" applyNumberFormat="1" applyFont="1" applyFill="1" applyBorder="1" applyAlignment="1">
      <alignment vertical="center"/>
    </xf>
    <xf numFmtId="167" fontId="99" fillId="0" borderId="9" xfId="5" applyNumberFormat="1" applyFont="1" applyFill="1" applyBorder="1" applyAlignment="1">
      <alignment vertical="center"/>
    </xf>
    <xf numFmtId="0" fontId="99" fillId="0" borderId="9" xfId="5" applyFont="1" applyFill="1" applyBorder="1" applyAlignment="1">
      <alignment horizontal="left" vertical="center" wrapText="1"/>
    </xf>
    <xf numFmtId="3" fontId="98" fillId="0" borderId="9" xfId="5" applyNumberFormat="1" applyFont="1" applyFill="1" applyBorder="1" applyAlignment="1">
      <alignment vertical="center"/>
    </xf>
    <xf numFmtId="167" fontId="98" fillId="0" borderId="9" xfId="5" applyNumberFormat="1" applyFont="1" applyFill="1" applyBorder="1" applyAlignment="1">
      <alignment vertical="center"/>
    </xf>
    <xf numFmtId="0" fontId="98" fillId="0" borderId="9" xfId="5" applyFont="1" applyFill="1" applyBorder="1" applyAlignment="1">
      <alignment horizontal="center" vertical="center"/>
    </xf>
    <xf numFmtId="0" fontId="98" fillId="0" borderId="9" xfId="5" applyFont="1" applyFill="1" applyBorder="1" applyAlignment="1">
      <alignment vertical="center"/>
    </xf>
    <xf numFmtId="0" fontId="98" fillId="0" borderId="9" xfId="5" applyFont="1" applyFill="1" applyBorder="1" applyAlignment="1">
      <alignment vertical="center" wrapText="1"/>
    </xf>
    <xf numFmtId="3" fontId="99" fillId="0" borderId="9" xfId="5" applyNumberFormat="1" applyFont="1" applyFill="1" applyBorder="1" applyAlignment="1">
      <alignment vertical="center"/>
    </xf>
    <xf numFmtId="0" fontId="98" fillId="0" borderId="9" xfId="0" applyFont="1" applyFill="1" applyBorder="1" applyAlignment="1">
      <alignment horizontal="center" vertical="center" wrapText="1"/>
    </xf>
    <xf numFmtId="0" fontId="98" fillId="0" borderId="9" xfId="0" applyFont="1" applyFill="1" applyBorder="1" applyAlignment="1">
      <alignment vertical="center" wrapText="1"/>
    </xf>
    <xf numFmtId="0" fontId="99" fillId="0" borderId="9" xfId="0" applyFont="1" applyBorder="1" applyAlignment="1">
      <alignment horizontal="center" vertical="center" wrapText="1"/>
    </xf>
    <xf numFmtId="0" fontId="99" fillId="0" borderId="9" xfId="0" applyFont="1" applyBorder="1" applyAlignment="1">
      <alignment vertical="center" wrapText="1"/>
    </xf>
    <xf numFmtId="0" fontId="98" fillId="0" borderId="9" xfId="0" applyFont="1" applyBorder="1" applyAlignment="1">
      <alignment horizontal="center" vertical="center" wrapText="1"/>
    </xf>
    <xf numFmtId="0" fontId="98" fillId="0" borderId="9" xfId="0" applyFont="1" applyBorder="1" applyAlignment="1">
      <alignment vertical="center" wrapText="1"/>
    </xf>
    <xf numFmtId="0" fontId="100" fillId="0" borderId="9" xfId="0" applyFont="1" applyBorder="1" applyAlignment="1">
      <alignment horizontal="center" vertical="center" wrapText="1"/>
    </xf>
    <xf numFmtId="0" fontId="100" fillId="0" borderId="9" xfId="0" applyFont="1" applyBorder="1" applyAlignment="1">
      <alignment vertical="center" wrapText="1"/>
    </xf>
    <xf numFmtId="0" fontId="100" fillId="0" borderId="0" xfId="5" applyFont="1" applyFill="1" applyAlignment="1">
      <alignment vertical="center"/>
    </xf>
    <xf numFmtId="0" fontId="124" fillId="0" borderId="0" xfId="5" applyFont="1" applyFill="1" applyAlignment="1">
      <alignment vertical="center"/>
    </xf>
    <xf numFmtId="0" fontId="100" fillId="0" borderId="9" xfId="5" applyFont="1" applyFill="1" applyBorder="1" applyAlignment="1">
      <alignment vertical="center" wrapText="1"/>
    </xf>
    <xf numFmtId="0" fontId="98" fillId="0" borderId="0" xfId="0" applyFont="1" applyAlignment="1">
      <alignment horizontal="left" vertical="center"/>
    </xf>
    <xf numFmtId="167" fontId="98" fillId="0" borderId="0" xfId="0" applyNumberFormat="1" applyFont="1" applyFill="1" applyAlignment="1">
      <alignment horizontal="left" vertical="center"/>
    </xf>
    <xf numFmtId="0" fontId="100" fillId="0" borderId="0" xfId="0" applyFont="1" applyAlignment="1">
      <alignment horizontal="right" vertical="center"/>
    </xf>
    <xf numFmtId="0" fontId="101" fillId="0" borderId="0" xfId="0" applyFont="1" applyFill="1"/>
    <xf numFmtId="0" fontId="127" fillId="0" borderId="0" xfId="0" applyFont="1" applyFill="1" applyAlignment="1">
      <alignment horizontal="right" vertical="center"/>
    </xf>
    <xf numFmtId="0" fontId="126" fillId="0" borderId="0" xfId="0" applyFont="1" applyFill="1" applyAlignment="1">
      <alignment horizontal="right" vertical="center"/>
    </xf>
    <xf numFmtId="0" fontId="127" fillId="0" borderId="1" xfId="0" applyFont="1" applyFill="1" applyBorder="1" applyAlignment="1">
      <alignment horizontal="center" vertical="center" wrapText="1"/>
    </xf>
    <xf numFmtId="0" fontId="127" fillId="0" borderId="8" xfId="0" applyFont="1" applyFill="1" applyBorder="1" applyAlignment="1">
      <alignment horizontal="center" vertical="center" wrapText="1"/>
    </xf>
    <xf numFmtId="0" fontId="127" fillId="0" borderId="8" xfId="0" quotePrefix="1" applyFont="1" applyFill="1" applyBorder="1" applyAlignment="1">
      <alignment horizontal="center" vertical="center" wrapText="1"/>
    </xf>
    <xf numFmtId="0" fontId="127" fillId="0" borderId="10" xfId="0" applyFont="1" applyFill="1" applyBorder="1" applyAlignment="1">
      <alignment horizontal="center" vertical="center" wrapText="1"/>
    </xf>
    <xf numFmtId="0" fontId="127" fillId="0" borderId="10" xfId="0" applyFont="1" applyFill="1" applyBorder="1" applyAlignment="1">
      <alignment vertical="center" wrapText="1"/>
    </xf>
    <xf numFmtId="222" fontId="127" fillId="0" borderId="10" xfId="369" applyNumberFormat="1" applyFont="1" applyFill="1" applyBorder="1" applyAlignment="1">
      <alignment horizontal="center" vertical="center" wrapText="1"/>
    </xf>
    <xf numFmtId="190" fontId="127" fillId="0" borderId="10" xfId="369" applyNumberFormat="1" applyFont="1" applyFill="1" applyBorder="1" applyAlignment="1">
      <alignment horizontal="center" vertical="center" wrapText="1"/>
    </xf>
    <xf numFmtId="0" fontId="125" fillId="0" borderId="9" xfId="0" applyFont="1" applyFill="1" applyBorder="1" applyAlignment="1">
      <alignment horizontal="center" vertical="center" wrapText="1"/>
    </xf>
    <xf numFmtId="0" fontId="126" fillId="0" borderId="9" xfId="0" applyFont="1" applyFill="1" applyBorder="1" applyAlignment="1">
      <alignment vertical="center" wrapText="1"/>
    </xf>
    <xf numFmtId="187" fontId="125" fillId="0" borderId="9" xfId="369" applyNumberFormat="1" applyFont="1" applyFill="1" applyBorder="1" applyAlignment="1">
      <alignment horizontal="center" vertical="center" wrapText="1"/>
    </xf>
    <xf numFmtId="190" fontId="125" fillId="0" borderId="10" xfId="369" applyNumberFormat="1" applyFont="1" applyFill="1" applyBorder="1" applyAlignment="1">
      <alignment horizontal="center" vertical="center" wrapText="1"/>
    </xf>
    <xf numFmtId="0" fontId="127" fillId="0" borderId="9" xfId="0" applyFont="1" applyFill="1" applyBorder="1" applyAlignment="1">
      <alignment horizontal="center" vertical="center" wrapText="1"/>
    </xf>
    <xf numFmtId="0" fontId="127" fillId="0" borderId="9" xfId="0" applyFont="1" applyFill="1" applyBorder="1" applyAlignment="1">
      <alignment vertical="center" wrapText="1"/>
    </xf>
    <xf numFmtId="222" fontId="127" fillId="0" borderId="9" xfId="369" applyNumberFormat="1" applyFont="1" applyFill="1" applyBorder="1" applyAlignment="1">
      <alignment horizontal="center" vertical="center" wrapText="1"/>
    </xf>
    <xf numFmtId="222" fontId="125" fillId="0" borderId="9" xfId="369" applyNumberFormat="1" applyFont="1" applyFill="1" applyBorder="1" applyAlignment="1">
      <alignment horizontal="center" vertical="center" wrapText="1"/>
    </xf>
    <xf numFmtId="0" fontId="125" fillId="0" borderId="9" xfId="0" applyFont="1" applyFill="1" applyBorder="1" applyAlignment="1">
      <alignment vertical="center" wrapText="1"/>
    </xf>
    <xf numFmtId="0" fontId="125" fillId="0" borderId="9" xfId="369" applyNumberFormat="1" applyFont="1" applyFill="1" applyBorder="1" applyAlignment="1">
      <alignment horizontal="center" vertical="center" wrapText="1"/>
    </xf>
    <xf numFmtId="0" fontId="125" fillId="0" borderId="26" xfId="0" applyFont="1" applyFill="1" applyBorder="1" applyAlignment="1">
      <alignment horizontal="center" vertical="center" wrapText="1"/>
    </xf>
    <xf numFmtId="0" fontId="126" fillId="0" borderId="26" xfId="0" applyFont="1" applyFill="1" applyBorder="1" applyAlignment="1">
      <alignment vertical="center" wrapText="1"/>
    </xf>
    <xf numFmtId="187" fontId="125" fillId="0" borderId="26" xfId="369" applyNumberFormat="1" applyFont="1" applyFill="1" applyBorder="1" applyAlignment="1">
      <alignment horizontal="center" vertical="center" wrapText="1"/>
    </xf>
    <xf numFmtId="190" fontId="125" fillId="0" borderId="26" xfId="369" applyNumberFormat="1" applyFont="1" applyFill="1" applyBorder="1" applyAlignment="1">
      <alignment horizontal="center" vertical="center" wrapText="1"/>
    </xf>
    <xf numFmtId="0" fontId="128" fillId="0" borderId="0" xfId="0" applyFont="1" applyFill="1" applyAlignment="1">
      <alignment vertical="center"/>
    </xf>
    <xf numFmtId="0" fontId="98" fillId="0" borderId="0" xfId="0" applyFont="1"/>
    <xf numFmtId="0" fontId="98" fillId="0" borderId="0" xfId="0" applyFont="1" applyFill="1"/>
    <xf numFmtId="222" fontId="98" fillId="0" borderId="0" xfId="0" applyNumberFormat="1" applyFont="1" applyFill="1"/>
    <xf numFmtId="222" fontId="98" fillId="0" borderId="0" xfId="0" applyNumberFormat="1" applyFont="1"/>
    <xf numFmtId="0" fontId="129" fillId="0" borderId="0" xfId="0" applyFont="1" applyAlignment="1">
      <alignment vertical="top"/>
    </xf>
    <xf numFmtId="0" fontId="98" fillId="0" borderId="0" xfId="0" applyFont="1" applyAlignment="1">
      <alignment vertical="top"/>
    </xf>
    <xf numFmtId="222" fontId="98" fillId="0" borderId="0" xfId="0" applyNumberFormat="1" applyFont="1" applyAlignment="1">
      <alignment vertical="top"/>
    </xf>
    <xf numFmtId="222" fontId="98" fillId="0" borderId="0" xfId="0" applyNumberFormat="1" applyFont="1" applyFill="1" applyAlignment="1">
      <alignment vertical="top"/>
    </xf>
    <xf numFmtId="0" fontId="99" fillId="0" borderId="0" xfId="0" applyFont="1" applyFill="1" applyAlignment="1">
      <alignment horizontal="right" vertical="top"/>
    </xf>
    <xf numFmtId="0" fontId="99" fillId="0" borderId="8" xfId="0" quotePrefix="1" applyFont="1" applyFill="1" applyBorder="1" applyAlignment="1">
      <alignment horizontal="center" vertical="center" wrapText="1"/>
    </xf>
    <xf numFmtId="0" fontId="99" fillId="0" borderId="10" xfId="0" applyFont="1" applyBorder="1" applyAlignment="1">
      <alignment horizontal="center" vertical="center" wrapText="1"/>
    </xf>
    <xf numFmtId="0" fontId="99" fillId="0" borderId="10" xfId="0" applyFont="1" applyBorder="1" applyAlignment="1">
      <alignment vertical="center" wrapText="1"/>
    </xf>
    <xf numFmtId="222" fontId="99" fillId="0" borderId="10" xfId="369" applyNumberFormat="1" applyFont="1" applyBorder="1" applyAlignment="1">
      <alignment horizontal="center" vertical="center" wrapText="1"/>
    </xf>
    <xf numFmtId="222" fontId="99" fillId="0" borderId="10" xfId="369" applyNumberFormat="1" applyFont="1" applyFill="1" applyBorder="1" applyAlignment="1">
      <alignment horizontal="center" vertical="center" wrapText="1"/>
    </xf>
    <xf numFmtId="0" fontId="99" fillId="0" borderId="9" xfId="0" applyFont="1" applyFill="1" applyBorder="1" applyAlignment="1">
      <alignment horizontal="center" vertical="center" wrapText="1"/>
    </xf>
    <xf numFmtId="0" fontId="99" fillId="0" borderId="9" xfId="0" applyFont="1" applyFill="1" applyBorder="1" applyAlignment="1">
      <alignment vertical="center" wrapText="1"/>
    </xf>
    <xf numFmtId="222" fontId="99" fillId="0" borderId="9" xfId="369" applyNumberFormat="1" applyFont="1" applyFill="1" applyBorder="1" applyAlignment="1">
      <alignment horizontal="center" vertical="center" wrapText="1"/>
    </xf>
    <xf numFmtId="0" fontId="99" fillId="0" borderId="0" xfId="0" applyFont="1" applyFill="1"/>
    <xf numFmtId="222" fontId="99" fillId="0" borderId="0" xfId="0" applyNumberFormat="1" applyFont="1" applyFill="1"/>
    <xf numFmtId="222" fontId="98" fillId="0" borderId="9" xfId="369" applyNumberFormat="1" applyFont="1" applyBorder="1" applyAlignment="1">
      <alignment horizontal="center" vertical="center" wrapText="1"/>
    </xf>
    <xf numFmtId="222" fontId="98" fillId="0" borderId="9" xfId="369" applyNumberFormat="1" applyFont="1" applyFill="1" applyBorder="1" applyAlignment="1">
      <alignment horizontal="center" vertical="center" wrapText="1"/>
    </xf>
    <xf numFmtId="222" fontId="99" fillId="0" borderId="9" xfId="369" applyNumberFormat="1" applyFont="1" applyBorder="1" applyAlignment="1">
      <alignment horizontal="center" vertical="center" wrapText="1"/>
    </xf>
    <xf numFmtId="0" fontId="99" fillId="0" borderId="0" xfId="0" applyFont="1"/>
    <xf numFmtId="222" fontId="99" fillId="0" borderId="0" xfId="0" applyNumberFormat="1" applyFont="1"/>
    <xf numFmtId="222" fontId="100" fillId="0" borderId="9" xfId="369" applyNumberFormat="1" applyFont="1" applyBorder="1" applyAlignment="1">
      <alignment horizontal="center" vertical="center" wrapText="1"/>
    </xf>
    <xf numFmtId="222" fontId="100" fillId="0" borderId="9" xfId="369" applyNumberFormat="1" applyFont="1" applyFill="1" applyBorder="1" applyAlignment="1">
      <alignment horizontal="center" vertical="center" wrapText="1"/>
    </xf>
    <xf numFmtId="0" fontId="100" fillId="0" borderId="0" xfId="0" applyFont="1"/>
    <xf numFmtId="222" fontId="100" fillId="0" borderId="0" xfId="0" applyNumberFormat="1" applyFont="1"/>
    <xf numFmtId="0" fontId="98" fillId="0" borderId="26" xfId="0" applyFont="1" applyBorder="1" applyAlignment="1">
      <alignment horizontal="center" vertical="center" wrapText="1"/>
    </xf>
    <xf numFmtId="0" fontId="98" fillId="0" borderId="26" xfId="0" applyFont="1" applyBorder="1" applyAlignment="1">
      <alignment vertical="center" wrapText="1"/>
    </xf>
    <xf numFmtId="222" fontId="98" fillId="0" borderId="26" xfId="369" applyNumberFormat="1" applyFont="1" applyBorder="1" applyAlignment="1">
      <alignment horizontal="center" vertical="center" wrapText="1"/>
    </xf>
    <xf numFmtId="222" fontId="98" fillId="0" borderId="26" xfId="369" applyNumberFormat="1" applyFont="1" applyFill="1" applyBorder="1" applyAlignment="1">
      <alignment horizontal="center" vertical="center" wrapText="1"/>
    </xf>
    <xf numFmtId="222" fontId="98" fillId="0" borderId="0" xfId="369" applyNumberFormat="1" applyFont="1"/>
    <xf numFmtId="222" fontId="99" fillId="0" borderId="0" xfId="369" applyNumberFormat="1" applyFont="1" applyAlignment="1">
      <alignment horizontal="right" vertical="center"/>
    </xf>
    <xf numFmtId="0" fontId="99" fillId="0" borderId="0" xfId="0" applyFont="1" applyAlignment="1">
      <alignment vertical="top"/>
    </xf>
    <xf numFmtId="0" fontId="99" fillId="0" borderId="10" xfId="0" applyFont="1" applyBorder="1" applyAlignment="1">
      <alignment vertical="center"/>
    </xf>
    <xf numFmtId="223" fontId="99" fillId="0" borderId="10" xfId="369" applyNumberFormat="1" applyFont="1" applyBorder="1" applyAlignment="1">
      <alignment horizontal="center" vertical="center" wrapText="1"/>
    </xf>
    <xf numFmtId="223" fontId="99" fillId="0" borderId="9" xfId="369" applyNumberFormat="1" applyFont="1" applyBorder="1" applyAlignment="1">
      <alignment horizontal="center" vertical="center" wrapText="1"/>
    </xf>
    <xf numFmtId="223" fontId="98" fillId="0" borderId="9" xfId="369" applyNumberFormat="1" applyFont="1" applyBorder="1" applyAlignment="1">
      <alignment horizontal="center" vertical="center" wrapText="1"/>
    </xf>
    <xf numFmtId="0" fontId="98" fillId="26" borderId="0" xfId="0" applyFont="1" applyFill="1"/>
    <xf numFmtId="222" fontId="98" fillId="0" borderId="0" xfId="0" applyNumberFormat="1" applyFont="1" applyAlignment="1">
      <alignment horizontal="right"/>
    </xf>
    <xf numFmtId="227" fontId="98" fillId="0" borderId="0" xfId="0" applyNumberFormat="1" applyFont="1"/>
    <xf numFmtId="0" fontId="98" fillId="0" borderId="0" xfId="0" applyFont="1" applyAlignment="1">
      <alignment horizontal="right"/>
    </xf>
    <xf numFmtId="0" fontId="99" fillId="26" borderId="0" xfId="0" applyFont="1" applyFill="1"/>
    <xf numFmtId="0" fontId="99" fillId="0" borderId="29" xfId="0" applyFont="1" applyBorder="1" applyAlignment="1">
      <alignment horizontal="center" vertical="center" wrapText="1"/>
    </xf>
    <xf numFmtId="0" fontId="99" fillId="0" borderId="29" xfId="0" applyFont="1" applyBorder="1" applyAlignment="1">
      <alignment vertical="center" wrapText="1"/>
    </xf>
    <xf numFmtId="222" fontId="99" fillId="0" borderId="29" xfId="369" applyNumberFormat="1" applyFont="1" applyBorder="1" applyAlignment="1">
      <alignment horizontal="center" vertical="center" wrapText="1"/>
    </xf>
    <xf numFmtId="222" fontId="99" fillId="0" borderId="29" xfId="369" applyNumberFormat="1" applyFont="1" applyFill="1" applyBorder="1" applyAlignment="1">
      <alignment horizontal="center" vertical="center" wrapText="1"/>
    </xf>
    <xf numFmtId="223" fontId="99" fillId="0" borderId="9" xfId="369" applyNumberFormat="1" applyFont="1" applyFill="1" applyBorder="1" applyAlignment="1">
      <alignment horizontal="center" vertical="center" wrapText="1"/>
    </xf>
    <xf numFmtId="226" fontId="98" fillId="0" borderId="0" xfId="0" applyNumberFormat="1" applyFont="1"/>
    <xf numFmtId="0" fontId="100" fillId="0" borderId="26" xfId="0" applyFont="1" applyBorder="1" applyAlignment="1">
      <alignment horizontal="center" vertical="center" wrapText="1"/>
    </xf>
    <xf numFmtId="0" fontId="100" fillId="0" borderId="26" xfId="0" applyFont="1" applyBorder="1" applyAlignment="1">
      <alignment vertical="center" wrapText="1"/>
    </xf>
    <xf numFmtId="222" fontId="100" fillId="0" borderId="26" xfId="369" applyNumberFormat="1" applyFont="1" applyBorder="1" applyAlignment="1">
      <alignment horizontal="center" vertical="center" wrapText="1"/>
    </xf>
    <xf numFmtId="222" fontId="100" fillId="0" borderId="26" xfId="369" applyNumberFormat="1" applyFont="1" applyFill="1" applyBorder="1" applyAlignment="1">
      <alignment horizontal="center" vertical="center" wrapText="1"/>
    </xf>
    <xf numFmtId="223" fontId="100" fillId="0" borderId="26" xfId="369" applyNumberFormat="1" applyFont="1" applyFill="1" applyBorder="1" applyAlignment="1">
      <alignment horizontal="center" vertical="center" wrapText="1"/>
    </xf>
    <xf numFmtId="0" fontId="99" fillId="0" borderId="1" xfId="0" applyFont="1" applyBorder="1" applyAlignment="1">
      <alignment horizontal="center" vertical="center" wrapText="1"/>
    </xf>
    <xf numFmtId="0" fontId="98" fillId="0" borderId="1" xfId="0" applyFont="1" applyBorder="1" applyAlignment="1">
      <alignment horizontal="center" vertical="center" wrapText="1"/>
    </xf>
    <xf numFmtId="0" fontId="98" fillId="0" borderId="0" xfId="0" applyFont="1" applyAlignment="1">
      <alignment vertical="center"/>
    </xf>
    <xf numFmtId="167" fontId="98" fillId="0" borderId="22" xfId="1" applyNumberFormat="1" applyFont="1" applyFill="1" applyBorder="1" applyAlignment="1">
      <alignment horizontal="left" vertical="center" wrapText="1"/>
    </xf>
    <xf numFmtId="0" fontId="124" fillId="0" borderId="0" xfId="5" applyFont="1" applyBorder="1" applyAlignment="1">
      <alignment horizontal="center" vertical="center"/>
    </xf>
    <xf numFmtId="0" fontId="124" fillId="0" borderId="0" xfId="5" applyFont="1" applyBorder="1" applyAlignment="1">
      <alignment vertical="center"/>
    </xf>
    <xf numFmtId="3" fontId="124" fillId="0" borderId="0" xfId="5" applyNumberFormat="1" applyFont="1" applyBorder="1" applyAlignment="1">
      <alignment vertical="center"/>
    </xf>
    <xf numFmtId="167" fontId="124" fillId="0" borderId="0" xfId="5" applyNumberFormat="1" applyFont="1" applyBorder="1" applyAlignment="1">
      <alignment vertical="center"/>
    </xf>
    <xf numFmtId="0" fontId="131" fillId="0" borderId="0" xfId="5" applyFont="1" applyFill="1" applyAlignment="1">
      <alignment vertical="center"/>
    </xf>
    <xf numFmtId="223" fontId="100" fillId="0" borderId="9" xfId="369" applyNumberFormat="1" applyFont="1" applyFill="1" applyBorder="1" applyAlignment="1">
      <alignment horizontal="center" vertical="center" wrapText="1"/>
    </xf>
    <xf numFmtId="223" fontId="99" fillId="0" borderId="29" xfId="369" applyNumberFormat="1" applyFont="1" applyFill="1" applyBorder="1" applyAlignment="1">
      <alignment horizontal="center" vertical="center" wrapText="1"/>
    </xf>
    <xf numFmtId="0" fontId="99" fillId="0" borderId="1" xfId="0" applyFont="1" applyFill="1" applyBorder="1" applyAlignment="1">
      <alignment horizontal="center" vertical="center" wrapText="1"/>
    </xf>
    <xf numFmtId="0" fontId="99" fillId="0" borderId="8" xfId="0" applyFont="1" applyBorder="1" applyAlignment="1">
      <alignment horizontal="center" vertical="center" wrapText="1"/>
    </xf>
    <xf numFmtId="0" fontId="99" fillId="0" borderId="8" xfId="0" applyFont="1" applyFill="1" applyBorder="1" applyAlignment="1">
      <alignment horizontal="center" vertical="center" wrapText="1"/>
    </xf>
    <xf numFmtId="0" fontId="99" fillId="0" borderId="0" xfId="5" applyFont="1" applyFill="1" applyAlignment="1">
      <alignment horizontal="left" vertical="top"/>
    </xf>
    <xf numFmtId="0" fontId="98" fillId="0" borderId="0" xfId="5" applyFont="1" applyFill="1" applyAlignment="1">
      <alignment horizontal="centerContinuous" vertical="top"/>
    </xf>
    <xf numFmtId="0" fontId="99" fillId="0" borderId="0" xfId="5" applyFont="1" applyFill="1" applyAlignment="1">
      <alignment vertical="top"/>
    </xf>
    <xf numFmtId="0" fontId="98" fillId="0" borderId="0" xfId="369" applyNumberFormat="1" applyFont="1" applyFill="1" applyAlignment="1">
      <alignment vertical="center"/>
    </xf>
    <xf numFmtId="167" fontId="98" fillId="0" borderId="0" xfId="369" applyNumberFormat="1" applyFont="1" applyFill="1" applyAlignment="1">
      <alignment vertical="center"/>
    </xf>
    <xf numFmtId="0" fontId="100" fillId="0" borderId="0" xfId="5" applyFont="1" applyFill="1" applyAlignment="1">
      <alignment horizontal="left" vertical="center"/>
    </xf>
    <xf numFmtId="0" fontId="100" fillId="0" borderId="0" xfId="5" applyFont="1" applyFill="1" applyBorder="1" applyAlignment="1">
      <alignment horizontal="right" vertical="center"/>
    </xf>
    <xf numFmtId="0" fontId="99" fillId="0" borderId="1" xfId="5" applyFont="1" applyFill="1" applyBorder="1" applyAlignment="1">
      <alignment horizontal="center" vertical="center"/>
    </xf>
    <xf numFmtId="0" fontId="99" fillId="0" borderId="10" xfId="5" applyFont="1" applyFill="1" applyBorder="1" applyAlignment="1">
      <alignment horizontal="center" vertical="center"/>
    </xf>
    <xf numFmtId="167" fontId="99" fillId="0" borderId="10" xfId="2" applyNumberFormat="1" applyFont="1" applyFill="1" applyBorder="1" applyAlignment="1">
      <alignment horizontal="center" vertical="center"/>
    </xf>
    <xf numFmtId="3" fontId="113" fillId="0" borderId="9" xfId="5" applyNumberFormat="1" applyFont="1" applyFill="1" applyBorder="1" applyAlignment="1">
      <alignment vertical="center"/>
    </xf>
    <xf numFmtId="0" fontId="100" fillId="0" borderId="9" xfId="0" applyFont="1" applyFill="1" applyBorder="1" applyAlignment="1">
      <alignment horizontal="center" vertical="center" wrapText="1"/>
    </xf>
    <xf numFmtId="0" fontId="100" fillId="0" borderId="9" xfId="0" applyFont="1" applyFill="1" applyBorder="1" applyAlignment="1">
      <alignment vertical="center" wrapText="1"/>
    </xf>
    <xf numFmtId="3" fontId="100" fillId="0" borderId="9" xfId="5" applyNumberFormat="1" applyFont="1" applyFill="1" applyBorder="1" applyAlignment="1">
      <alignment vertical="center"/>
    </xf>
    <xf numFmtId="167" fontId="100" fillId="0" borderId="9" xfId="5" applyNumberFormat="1" applyFont="1" applyFill="1" applyBorder="1" applyAlignment="1">
      <alignment vertical="center"/>
    </xf>
    <xf numFmtId="0" fontId="99" fillId="0" borderId="9" xfId="5" applyFont="1" applyFill="1" applyBorder="1" applyAlignment="1">
      <alignment vertical="center" wrapText="1"/>
    </xf>
    <xf numFmtId="0" fontId="100" fillId="0" borderId="9" xfId="5" applyFont="1" applyFill="1" applyBorder="1" applyAlignment="1">
      <alignment horizontal="center" vertical="center"/>
    </xf>
    <xf numFmtId="0" fontId="132" fillId="0" borderId="0" xfId="0" applyFont="1" applyFill="1"/>
    <xf numFmtId="222" fontId="98" fillId="0" borderId="1" xfId="369" applyNumberFormat="1" applyFont="1" applyFill="1" applyBorder="1" applyAlignment="1">
      <alignment horizontal="center" vertical="center" wrapText="1"/>
    </xf>
    <xf numFmtId="0" fontId="99" fillId="25" borderId="1" xfId="0" applyFont="1" applyFill="1" applyBorder="1" applyAlignment="1">
      <alignment horizontal="center" vertical="center" wrapText="1"/>
    </xf>
    <xf numFmtId="0" fontId="98" fillId="25" borderId="1" xfId="0" applyFont="1" applyFill="1" applyBorder="1" applyAlignment="1">
      <alignment horizontal="center" vertical="center" wrapText="1"/>
    </xf>
    <xf numFmtId="0" fontId="98" fillId="25" borderId="0" xfId="0" applyFont="1" applyFill="1" applyAlignment="1">
      <alignment vertical="center"/>
    </xf>
    <xf numFmtId="0" fontId="99" fillId="25" borderId="0" xfId="1" applyFont="1" applyFill="1" applyAlignment="1">
      <alignment vertical="top"/>
    </xf>
    <xf numFmtId="167" fontId="99" fillId="25" borderId="14" xfId="0" applyNumberFormat="1" applyFont="1" applyFill="1" applyBorder="1" applyAlignment="1">
      <alignment horizontal="center" vertical="center" wrapText="1"/>
    </xf>
    <xf numFmtId="167" fontId="99" fillId="25" borderId="9" xfId="1" applyNumberFormat="1" applyFont="1" applyFill="1" applyBorder="1" applyAlignment="1">
      <alignment horizontal="center" vertical="center" wrapText="1"/>
    </xf>
    <xf numFmtId="167" fontId="99" fillId="25" borderId="28" xfId="1" applyNumberFormat="1" applyFont="1" applyFill="1" applyBorder="1" applyAlignment="1">
      <alignment horizontal="left" vertical="center" wrapText="1"/>
    </xf>
    <xf numFmtId="167" fontId="98" fillId="25" borderId="22" xfId="1" applyNumberFormat="1" applyFont="1" applyFill="1" applyBorder="1" applyAlignment="1">
      <alignment vertical="center" wrapText="1"/>
    </xf>
    <xf numFmtId="167" fontId="98" fillId="25" borderId="22" xfId="1" quotePrefix="1" applyNumberFormat="1" applyFont="1" applyFill="1" applyBorder="1" applyAlignment="1">
      <alignment horizontal="left" vertical="center" wrapText="1"/>
    </xf>
    <xf numFmtId="167" fontId="100" fillId="25" borderId="22" xfId="1" applyNumberFormat="1" applyFont="1" applyFill="1" applyBorder="1" applyAlignment="1">
      <alignment horizontal="left" vertical="center" wrapText="1"/>
    </xf>
    <xf numFmtId="167" fontId="99" fillId="25" borderId="22" xfId="1" quotePrefix="1" applyNumberFormat="1" applyFont="1" applyFill="1" applyBorder="1" applyAlignment="1">
      <alignment horizontal="left" vertical="center" wrapText="1"/>
    </xf>
    <xf numFmtId="167" fontId="99" fillId="25" borderId="22" xfId="1" applyNumberFormat="1" applyFont="1" applyFill="1" applyBorder="1" applyAlignment="1">
      <alignment horizontal="left" vertical="center" wrapText="1"/>
    </xf>
    <xf numFmtId="167" fontId="98" fillId="25" borderId="22" xfId="1" applyNumberFormat="1" applyFont="1" applyFill="1" applyBorder="1" applyAlignment="1">
      <alignment horizontal="left" vertical="center" wrapText="1"/>
    </xf>
    <xf numFmtId="0" fontId="100" fillId="25" borderId="39" xfId="0" applyFont="1" applyFill="1" applyBorder="1" applyAlignment="1">
      <alignment vertical="center"/>
    </xf>
    <xf numFmtId="172" fontId="2" fillId="25" borderId="0" xfId="1" applyNumberFormat="1" applyFont="1" applyFill="1" applyAlignment="1">
      <alignment vertical="center"/>
    </xf>
    <xf numFmtId="167" fontId="124" fillId="0" borderId="0" xfId="5" applyNumberFormat="1" applyFont="1" applyFill="1" applyBorder="1" applyAlignment="1">
      <alignment vertical="center"/>
    </xf>
    <xf numFmtId="0" fontId="163" fillId="0" borderId="0" xfId="230" applyFont="1" applyAlignment="1">
      <alignment horizontal="left" vertical="center"/>
    </xf>
    <xf numFmtId="0" fontId="164" fillId="0" borderId="0" xfId="386" applyFont="1" applyAlignment="1">
      <alignment horizontal="right" vertical="center"/>
    </xf>
    <xf numFmtId="0" fontId="164" fillId="0" borderId="0" xfId="386" applyFont="1" applyAlignment="1">
      <alignment horizontal="centerContinuous" vertical="center"/>
    </xf>
    <xf numFmtId="0" fontId="164" fillId="0" borderId="0" xfId="386" applyFont="1" applyAlignment="1">
      <alignment vertical="center"/>
    </xf>
    <xf numFmtId="0" fontId="5" fillId="0" borderId="0" xfId="386" applyFont="1" applyAlignment="1">
      <alignment vertical="center"/>
    </xf>
    <xf numFmtId="0" fontId="166" fillId="0" borderId="0" xfId="386" applyFont="1" applyAlignment="1">
      <alignment horizontal="left" vertical="center"/>
    </xf>
    <xf numFmtId="0" fontId="167" fillId="0" borderId="0" xfId="386" applyFont="1" applyAlignment="1">
      <alignment vertical="center"/>
    </xf>
    <xf numFmtId="0" fontId="165" fillId="0" borderId="52" xfId="386" applyFont="1" applyBorder="1" applyAlignment="1">
      <alignment horizontal="center" vertical="center"/>
    </xf>
    <xf numFmtId="0" fontId="168" fillId="0" borderId="0" xfId="386" applyFont="1" applyAlignment="1">
      <alignment vertical="center"/>
    </xf>
    <xf numFmtId="0" fontId="6" fillId="0" borderId="0" xfId="386" applyFont="1" applyAlignment="1">
      <alignment vertical="center"/>
    </xf>
    <xf numFmtId="0" fontId="165" fillId="0" borderId="2" xfId="386" applyFont="1" applyBorder="1" applyAlignment="1">
      <alignment horizontal="center" vertical="center"/>
    </xf>
    <xf numFmtId="0" fontId="165" fillId="0" borderId="8" xfId="386" applyFont="1" applyBorder="1" applyAlignment="1">
      <alignment horizontal="center" vertical="center"/>
    </xf>
    <xf numFmtId="0" fontId="169" fillId="0" borderId="50" xfId="386" applyFont="1" applyBorder="1" applyAlignment="1">
      <alignment horizontal="center" vertical="center"/>
    </xf>
    <xf numFmtId="0" fontId="169" fillId="0" borderId="0" xfId="386" applyFont="1" applyAlignment="1">
      <alignment vertical="center"/>
    </xf>
    <xf numFmtId="0" fontId="151" fillId="0" borderId="0" xfId="386" applyFont="1" applyAlignment="1">
      <alignment vertical="center"/>
    </xf>
    <xf numFmtId="0" fontId="165" fillId="0" borderId="10" xfId="386" applyFont="1" applyBorder="1" applyAlignment="1">
      <alignment horizontal="center" vertical="center"/>
    </xf>
    <xf numFmtId="0" fontId="170" fillId="0" borderId="10" xfId="386" applyFont="1" applyBorder="1" applyAlignment="1">
      <alignment vertical="center"/>
    </xf>
    <xf numFmtId="3" fontId="165" fillId="0" borderId="10" xfId="386" applyNumberFormat="1" applyFont="1" applyBorder="1" applyAlignment="1">
      <alignment vertical="center"/>
    </xf>
    <xf numFmtId="9" fontId="165" fillId="0" borderId="10" xfId="386" applyNumberFormat="1" applyFont="1" applyBorder="1" applyAlignment="1">
      <alignment horizontal="center" vertical="center"/>
    </xf>
    <xf numFmtId="3" fontId="165" fillId="0" borderId="0" xfId="386" applyNumberFormat="1" applyFont="1" applyAlignment="1">
      <alignment vertical="center"/>
    </xf>
    <xf numFmtId="0" fontId="165" fillId="0" borderId="0" xfId="386" applyFont="1" applyAlignment="1">
      <alignment vertical="center"/>
    </xf>
    <xf numFmtId="3" fontId="171" fillId="0" borderId="0" xfId="386" applyNumberFormat="1" applyFont="1" applyAlignment="1">
      <alignment vertical="center"/>
    </xf>
    <xf numFmtId="0" fontId="171" fillId="0" borderId="0" xfId="386" applyFont="1" applyAlignment="1">
      <alignment vertical="center"/>
    </xf>
    <xf numFmtId="0" fontId="165" fillId="0" borderId="9" xfId="386" applyFont="1" applyBorder="1" applyAlignment="1">
      <alignment horizontal="center" vertical="center"/>
    </xf>
    <xf numFmtId="0" fontId="165" fillId="0" borderId="9" xfId="386" applyFont="1" applyBorder="1" applyAlignment="1">
      <alignment vertical="center"/>
    </xf>
    <xf numFmtId="3" fontId="165" fillId="0" borderId="9" xfId="386" applyNumberFormat="1" applyFont="1" applyBorder="1" applyAlignment="1">
      <alignment vertical="center"/>
    </xf>
    <xf numFmtId="9" fontId="165" fillId="0" borderId="9" xfId="386" applyNumberFormat="1" applyFont="1" applyBorder="1" applyAlignment="1">
      <alignment horizontal="center" vertical="center"/>
    </xf>
    <xf numFmtId="0" fontId="167" fillId="0" borderId="9" xfId="386" quotePrefix="1" applyFont="1" applyBorder="1" applyAlignment="1">
      <alignment horizontal="center" vertical="center"/>
    </xf>
    <xf numFmtId="0" fontId="167" fillId="0" borderId="9" xfId="386" applyFont="1" applyBorder="1" applyAlignment="1">
      <alignment vertical="center"/>
    </xf>
    <xf numFmtId="3" fontId="167" fillId="0" borderId="9" xfId="386" applyNumberFormat="1" applyFont="1" applyBorder="1" applyAlignment="1">
      <alignment vertical="center"/>
    </xf>
    <xf numFmtId="9" fontId="167" fillId="0" borderId="9" xfId="386" applyNumberFormat="1" applyFont="1" applyBorder="1" applyAlignment="1">
      <alignment horizontal="center" vertical="center"/>
    </xf>
    <xf numFmtId="3" fontId="167" fillId="0" borderId="0" xfId="386" applyNumberFormat="1" applyFont="1" applyAlignment="1">
      <alignment vertical="center"/>
    </xf>
    <xf numFmtId="0" fontId="7" fillId="0" borderId="0" xfId="386" applyFont="1" applyAlignment="1">
      <alignment vertical="center"/>
    </xf>
    <xf numFmtId="0" fontId="167" fillId="0" borderId="9" xfId="386" applyFont="1" applyBorder="1" applyAlignment="1">
      <alignment horizontal="center" vertical="center"/>
    </xf>
    <xf numFmtId="222" fontId="165" fillId="0" borderId="0" xfId="415" applyNumberFormat="1" applyFont="1" applyFill="1" applyAlignment="1">
      <alignment vertical="center"/>
    </xf>
    <xf numFmtId="0" fontId="167" fillId="0" borderId="9" xfId="386" applyFont="1" applyBorder="1" applyAlignment="1">
      <alignment vertical="center" wrapText="1"/>
    </xf>
    <xf numFmtId="0" fontId="165" fillId="0" borderId="9" xfId="386" applyFont="1" applyBorder="1" applyAlignment="1">
      <alignment vertical="center" wrapText="1"/>
    </xf>
    <xf numFmtId="230" fontId="165" fillId="0" borderId="10" xfId="386" applyNumberFormat="1" applyFont="1" applyBorder="1" applyAlignment="1">
      <alignment vertical="center"/>
    </xf>
    <xf numFmtId="0" fontId="7" fillId="0" borderId="26" xfId="386" applyFont="1" applyBorder="1" applyAlignment="1">
      <alignment vertical="center"/>
    </xf>
    <xf numFmtId="0" fontId="172" fillId="0" borderId="0" xfId="386" applyFont="1" applyAlignment="1">
      <alignment vertical="center"/>
    </xf>
    <xf numFmtId="0" fontId="174" fillId="0" borderId="0" xfId="386" applyFont="1" applyAlignment="1">
      <alignment vertical="center"/>
    </xf>
    <xf numFmtId="2" fontId="98" fillId="0" borderId="0" xfId="369" applyNumberFormat="1" applyFont="1" applyFill="1" applyAlignment="1">
      <alignment horizontal="left" vertical="center"/>
    </xf>
    <xf numFmtId="222" fontId="125" fillId="0" borderId="0" xfId="0" applyNumberFormat="1" applyFont="1" applyAlignment="1">
      <alignment vertical="top"/>
    </xf>
    <xf numFmtId="0" fontId="130" fillId="26" borderId="0" xfId="0" applyFont="1" applyFill="1"/>
    <xf numFmtId="227" fontId="98" fillId="26" borderId="0" xfId="0" applyNumberFormat="1" applyFont="1" applyFill="1"/>
    <xf numFmtId="0" fontId="98" fillId="0" borderId="26" xfId="5" applyFont="1" applyFill="1" applyBorder="1" applyAlignment="1">
      <alignment horizontal="center" vertical="center"/>
    </xf>
    <xf numFmtId="0" fontId="98" fillId="0" borderId="26" xfId="5" applyFont="1" applyFill="1" applyBorder="1" applyAlignment="1">
      <alignment vertical="center"/>
    </xf>
    <xf numFmtId="3" fontId="98" fillId="0" borderId="26" xfId="5" applyNumberFormat="1" applyFont="1" applyFill="1" applyBorder="1" applyAlignment="1">
      <alignment vertical="center"/>
    </xf>
    <xf numFmtId="167" fontId="98" fillId="0" borderId="26" xfId="5" applyNumberFormat="1" applyFont="1" applyFill="1" applyBorder="1" applyAlignment="1">
      <alignment vertical="center"/>
    </xf>
    <xf numFmtId="0" fontId="98" fillId="0" borderId="9" xfId="0" quotePrefix="1" applyFont="1" applyBorder="1" applyAlignment="1">
      <alignment horizontal="center" vertical="center" wrapText="1"/>
    </xf>
    <xf numFmtId="171" fontId="98" fillId="0" borderId="1" xfId="369" applyFont="1" applyBorder="1" applyAlignment="1">
      <alignment horizontal="center" vertical="center" wrapText="1"/>
    </xf>
    <xf numFmtId="171" fontId="98" fillId="0" borderId="1" xfId="369" applyFont="1" applyBorder="1" applyAlignment="1">
      <alignment vertical="center" wrapText="1"/>
    </xf>
    <xf numFmtId="171" fontId="98" fillId="0" borderId="1" xfId="369" applyFont="1" applyBorder="1" applyAlignment="1">
      <alignment horizontal="right" vertical="center" wrapText="1"/>
    </xf>
    <xf numFmtId="171" fontId="98" fillId="0" borderId="1" xfId="369" quotePrefix="1" applyFont="1" applyBorder="1" applyAlignment="1">
      <alignment horizontal="right" vertical="center" wrapText="1"/>
    </xf>
    <xf numFmtId="171" fontId="98" fillId="0" borderId="1" xfId="369" applyFont="1" applyBorder="1" applyAlignment="1">
      <alignment vertical="center"/>
    </xf>
    <xf numFmtId="0" fontId="177" fillId="0" borderId="0" xfId="1" applyFont="1" applyAlignment="1">
      <alignment vertical="center"/>
    </xf>
    <xf numFmtId="0" fontId="178" fillId="0" borderId="0" xfId="1" applyFont="1" applyAlignment="1">
      <alignment vertical="center" wrapText="1"/>
    </xf>
    <xf numFmtId="172" fontId="178" fillId="0" borderId="0" xfId="1" applyNumberFormat="1" applyFont="1" applyAlignment="1">
      <alignment vertical="center"/>
    </xf>
    <xf numFmtId="0" fontId="178" fillId="0" borderId="0" xfId="369" applyNumberFormat="1" applyFont="1" applyAlignment="1">
      <alignment vertical="center"/>
    </xf>
    <xf numFmtId="0" fontId="178" fillId="0" borderId="0" xfId="1" applyFont="1" applyAlignment="1">
      <alignment vertical="center"/>
    </xf>
    <xf numFmtId="0" fontId="179" fillId="0" borderId="0" xfId="0" applyFont="1" applyAlignment="1">
      <alignment vertical="center"/>
    </xf>
    <xf numFmtId="0" fontId="180" fillId="0" borderId="0" xfId="0" applyFont="1" applyAlignment="1">
      <alignment vertical="center"/>
    </xf>
    <xf numFmtId="172" fontId="180" fillId="0" borderId="0" xfId="1" applyNumberFormat="1" applyFont="1" applyAlignment="1">
      <alignment vertical="center"/>
    </xf>
    <xf numFmtId="172" fontId="179" fillId="0" borderId="0" xfId="1" applyNumberFormat="1" applyFont="1" applyAlignment="1">
      <alignment horizontal="center" vertical="center"/>
    </xf>
    <xf numFmtId="0" fontId="180" fillId="0" borderId="0" xfId="1" applyFont="1" applyAlignment="1">
      <alignment vertical="center"/>
    </xf>
    <xf numFmtId="0" fontId="179" fillId="0" borderId="0" xfId="1" applyFont="1" applyAlignment="1">
      <alignment vertical="center"/>
    </xf>
    <xf numFmtId="0" fontId="181" fillId="0" borderId="0" xfId="1" applyFont="1" applyAlignment="1">
      <alignment vertical="center"/>
    </xf>
    <xf numFmtId="0" fontId="182" fillId="0" borderId="0" xfId="1" applyFont="1" applyAlignment="1">
      <alignment vertical="center" wrapText="1"/>
    </xf>
    <xf numFmtId="172" fontId="182" fillId="0" borderId="0" xfId="1" applyNumberFormat="1" applyFont="1" applyAlignment="1">
      <alignment vertical="center"/>
    </xf>
    <xf numFmtId="0" fontId="184" fillId="0" borderId="0" xfId="1" applyFont="1" applyAlignment="1">
      <alignment horizontal="center" vertical="center"/>
    </xf>
    <xf numFmtId="0" fontId="184" fillId="0" borderId="3" xfId="1" applyFont="1" applyBorder="1" applyAlignment="1">
      <alignment horizontal="center" vertical="center"/>
    </xf>
    <xf numFmtId="0" fontId="179" fillId="0" borderId="1" xfId="1" applyFont="1" applyBorder="1" applyAlignment="1">
      <alignment horizontal="center" vertical="center"/>
    </xf>
    <xf numFmtId="0" fontId="179" fillId="0" borderId="1" xfId="1" applyFont="1" applyBorder="1" applyAlignment="1">
      <alignment horizontal="center" vertical="center" wrapText="1"/>
    </xf>
    <xf numFmtId="0" fontId="179" fillId="0" borderId="1" xfId="2" applyFont="1" applyBorder="1" applyAlignment="1">
      <alignment horizontal="center" vertical="center"/>
    </xf>
    <xf numFmtId="0" fontId="179" fillId="0" borderId="1" xfId="2" quotePrefix="1" applyFont="1" applyBorder="1" applyAlignment="1">
      <alignment horizontal="center" vertical="center"/>
    </xf>
    <xf numFmtId="0" fontId="179" fillId="0" borderId="1" xfId="2" quotePrefix="1" applyFont="1" applyFill="1" applyBorder="1" applyAlignment="1">
      <alignment horizontal="center" vertical="center"/>
    </xf>
    <xf numFmtId="0" fontId="185" fillId="0" borderId="0" xfId="1" applyFont="1" applyAlignment="1">
      <alignment horizontal="center" vertical="center"/>
    </xf>
    <xf numFmtId="0" fontId="180" fillId="0" borderId="21" xfId="1" applyFont="1" applyBorder="1" applyAlignment="1">
      <alignment horizontal="center" vertical="center"/>
    </xf>
    <xf numFmtId="0" fontId="179" fillId="0" borderId="21" xfId="1" applyFont="1" applyBorder="1" applyAlignment="1">
      <alignment horizontal="center" vertical="center" wrapText="1"/>
    </xf>
    <xf numFmtId="0" fontId="179" fillId="0" borderId="21" xfId="2" applyFont="1" applyBorder="1" applyAlignment="1">
      <alignment horizontal="center" vertical="center"/>
    </xf>
    <xf numFmtId="167" fontId="179" fillId="0" borderId="21" xfId="2" applyNumberFormat="1" applyFont="1" applyBorder="1" applyAlignment="1">
      <alignment horizontal="center" vertical="center"/>
    </xf>
    <xf numFmtId="167" fontId="179" fillId="0" borderId="21" xfId="2" applyNumberFormat="1" applyFont="1" applyFill="1" applyBorder="1" applyAlignment="1">
      <alignment horizontal="center" vertical="center"/>
    </xf>
    <xf numFmtId="0" fontId="179" fillId="0" borderId="22" xfId="1" applyFont="1" applyBorder="1" applyAlignment="1">
      <alignment horizontal="center" vertical="center"/>
    </xf>
    <xf numFmtId="0" fontId="179" fillId="0" borderId="22" xfId="1" applyFont="1" applyBorder="1" applyAlignment="1">
      <alignment vertical="center" wrapText="1"/>
    </xf>
    <xf numFmtId="172" fontId="179" fillId="0" borderId="22" xfId="1" applyNumberFormat="1" applyFont="1" applyBorder="1" applyAlignment="1">
      <alignment horizontal="center" vertical="center"/>
    </xf>
    <xf numFmtId="167" fontId="179" fillId="0" borderId="22" xfId="1" applyNumberFormat="1" applyFont="1" applyBorder="1" applyAlignment="1">
      <alignment horizontal="center" vertical="center"/>
    </xf>
    <xf numFmtId="167" fontId="179" fillId="0" borderId="22" xfId="1" applyNumberFormat="1" applyFont="1" applyFill="1" applyBorder="1" applyAlignment="1">
      <alignment horizontal="center" vertical="center"/>
    </xf>
    <xf numFmtId="49" fontId="179" fillId="0" borderId="22" xfId="1" applyNumberFormat="1" applyFont="1" applyBorder="1" applyAlignment="1">
      <alignment horizontal="left" vertical="center" wrapText="1"/>
    </xf>
    <xf numFmtId="173" fontId="179" fillId="0" borderId="22" xfId="1" quotePrefix="1" applyNumberFormat="1" applyFont="1" applyBorder="1" applyAlignment="1">
      <alignment horizontal="right" vertical="center"/>
    </xf>
    <xf numFmtId="167" fontId="179" fillId="0" borderId="22" xfId="1" quotePrefix="1" applyNumberFormat="1" applyFont="1" applyBorder="1" applyAlignment="1">
      <alignment horizontal="right" vertical="center"/>
    </xf>
    <xf numFmtId="167" fontId="179" fillId="0" borderId="49" xfId="1" quotePrefix="1" applyNumberFormat="1" applyFont="1" applyFill="1" applyBorder="1" applyAlignment="1">
      <alignment horizontal="right" vertical="center"/>
    </xf>
    <xf numFmtId="0" fontId="186" fillId="0" borderId="0" xfId="1" applyFont="1" applyAlignment="1">
      <alignment vertical="center"/>
    </xf>
    <xf numFmtId="49" fontId="179" fillId="0" borderId="22" xfId="1" applyNumberFormat="1" applyFont="1" applyBorder="1" applyAlignment="1">
      <alignment vertical="center" wrapText="1"/>
    </xf>
    <xf numFmtId="167" fontId="179" fillId="0" borderId="22" xfId="1" quotePrefix="1" applyNumberFormat="1" applyFont="1" applyFill="1" applyBorder="1" applyAlignment="1">
      <alignment horizontal="right" vertical="center"/>
    </xf>
    <xf numFmtId="0" fontId="187" fillId="0" borderId="0" xfId="1" applyFont="1" applyAlignment="1">
      <alignment vertical="center"/>
    </xf>
    <xf numFmtId="0" fontId="180" fillId="0" borderId="22" xfId="1" applyFont="1" applyBorder="1" applyAlignment="1">
      <alignment horizontal="center" vertical="center"/>
    </xf>
    <xf numFmtId="49" fontId="180" fillId="0" borderId="22" xfId="1" quotePrefix="1" applyNumberFormat="1" applyFont="1" applyBorder="1" applyAlignment="1">
      <alignment vertical="center" wrapText="1"/>
    </xf>
    <xf numFmtId="173" fontId="180" fillId="0" borderId="22" xfId="1" quotePrefix="1" applyNumberFormat="1" applyFont="1" applyBorder="1" applyAlignment="1">
      <alignment horizontal="right" vertical="center"/>
    </xf>
    <xf numFmtId="221" fontId="180" fillId="25" borderId="22" xfId="370" applyNumberFormat="1" applyFont="1" applyFill="1" applyBorder="1" applyAlignment="1">
      <alignment vertical="center" wrapText="1"/>
    </xf>
    <xf numFmtId="167" fontId="180" fillId="0" borderId="22" xfId="1" quotePrefix="1" applyNumberFormat="1" applyFont="1" applyBorder="1" applyAlignment="1">
      <alignment horizontal="right" vertical="center"/>
    </xf>
    <xf numFmtId="167" fontId="180" fillId="0" borderId="22" xfId="1" applyNumberFormat="1" applyFont="1" applyBorder="1" applyAlignment="1">
      <alignment vertical="center"/>
    </xf>
    <xf numFmtId="167" fontId="180" fillId="0" borderId="22" xfId="1" applyNumberFormat="1" applyFont="1" applyFill="1" applyBorder="1" applyAlignment="1">
      <alignment vertical="center"/>
    </xf>
    <xf numFmtId="0" fontId="188" fillId="0" borderId="0" xfId="1" applyFont="1" applyAlignment="1">
      <alignment vertical="center"/>
    </xf>
    <xf numFmtId="0" fontId="183" fillId="0" borderId="22" xfId="1" applyFont="1" applyBorder="1" applyAlignment="1">
      <alignment horizontal="center" vertical="center"/>
    </xf>
    <xf numFmtId="49" fontId="183" fillId="0" borderId="22" xfId="1" applyNumberFormat="1" applyFont="1" applyBorder="1" applyAlignment="1">
      <alignment vertical="center" wrapText="1"/>
    </xf>
    <xf numFmtId="173" fontId="183" fillId="0" borderId="22" xfId="1" applyNumberFormat="1" applyFont="1" applyBorder="1" applyAlignment="1">
      <alignment horizontal="right" vertical="center"/>
    </xf>
    <xf numFmtId="167" fontId="183" fillId="0" borderId="22" xfId="1" applyNumberFormat="1" applyFont="1" applyBorder="1" applyAlignment="1">
      <alignment vertical="center"/>
    </xf>
    <xf numFmtId="167" fontId="183" fillId="0" borderId="22" xfId="1" applyNumberFormat="1" applyFont="1" applyFill="1" applyBorder="1" applyAlignment="1">
      <alignment vertical="center"/>
    </xf>
    <xf numFmtId="0" fontId="189" fillId="0" borderId="0" xfId="1" applyFont="1" applyAlignment="1">
      <alignment vertical="center"/>
    </xf>
    <xf numFmtId="167" fontId="183" fillId="0" borderId="22" xfId="1" applyNumberFormat="1" applyFont="1" applyBorder="1" applyAlignment="1">
      <alignment horizontal="right" vertical="center"/>
    </xf>
    <xf numFmtId="191" fontId="180" fillId="25" borderId="22" xfId="115" applyNumberFormat="1" applyFont="1" applyFill="1" applyBorder="1" applyAlignment="1">
      <alignment vertical="center" wrapText="1"/>
    </xf>
    <xf numFmtId="173" fontId="182" fillId="0" borderId="22" xfId="1" applyNumberFormat="1" applyFont="1" applyBorder="1" applyAlignment="1">
      <alignment horizontal="right" vertical="center"/>
    </xf>
    <xf numFmtId="167" fontId="180" fillId="0" borderId="22" xfId="1" applyNumberFormat="1" applyFont="1" applyBorder="1" applyAlignment="1">
      <alignment horizontal="right" vertical="center"/>
    </xf>
    <xf numFmtId="0" fontId="190" fillId="0" borderId="0" xfId="1" applyFont="1" applyAlignment="1">
      <alignment vertical="center"/>
    </xf>
    <xf numFmtId="173" fontId="191" fillId="0" borderId="22" xfId="1" applyNumberFormat="1" applyFont="1" applyBorder="1" applyAlignment="1">
      <alignment horizontal="right" vertical="center"/>
    </xf>
    <xf numFmtId="173" fontId="180" fillId="0" borderId="22" xfId="1" applyNumberFormat="1" applyFont="1" applyBorder="1" applyAlignment="1">
      <alignment vertical="center"/>
    </xf>
    <xf numFmtId="173" fontId="179" fillId="0" borderId="22" xfId="1" applyNumberFormat="1" applyFont="1" applyBorder="1" applyAlignment="1">
      <alignment vertical="center"/>
    </xf>
    <xf numFmtId="191" fontId="179" fillId="25" borderId="22" xfId="115" applyNumberFormat="1" applyFont="1" applyFill="1" applyBorder="1" applyAlignment="1">
      <alignment vertical="center" wrapText="1"/>
    </xf>
    <xf numFmtId="221" fontId="179" fillId="25" borderId="22" xfId="370" applyNumberFormat="1" applyFont="1" applyFill="1" applyBorder="1" applyAlignment="1">
      <alignment vertical="center" wrapText="1"/>
    </xf>
    <xf numFmtId="167" fontId="179" fillId="0" borderId="22" xfId="1" applyNumberFormat="1" applyFont="1" applyBorder="1" applyAlignment="1">
      <alignment vertical="center"/>
    </xf>
    <xf numFmtId="167" fontId="179" fillId="0" borderId="22" xfId="1" applyNumberFormat="1" applyFont="1" applyFill="1" applyBorder="1" applyAlignment="1">
      <alignment vertical="center"/>
    </xf>
    <xf numFmtId="221" fontId="179" fillId="0" borderId="22" xfId="370" applyNumberFormat="1" applyFont="1" applyBorder="1" applyAlignment="1">
      <alignment vertical="center" wrapText="1"/>
    </xf>
    <xf numFmtId="221" fontId="179" fillId="0" borderId="22" xfId="370" applyNumberFormat="1" applyFont="1" applyFill="1" applyBorder="1" applyAlignment="1">
      <alignment vertical="center" wrapText="1"/>
    </xf>
    <xf numFmtId="173" fontId="183" fillId="0" borderId="22" xfId="1" applyNumberFormat="1" applyFont="1" applyBorder="1" applyAlignment="1">
      <alignment vertical="center"/>
    </xf>
    <xf numFmtId="191" fontId="183" fillId="25" borderId="22" xfId="115" applyNumberFormat="1" applyFont="1" applyFill="1" applyBorder="1" applyAlignment="1">
      <alignment vertical="center" wrapText="1"/>
    </xf>
    <xf numFmtId="221" fontId="183" fillId="25" borderId="22" xfId="370" applyNumberFormat="1" applyFont="1" applyFill="1" applyBorder="1" applyAlignment="1">
      <alignment vertical="center" wrapText="1"/>
    </xf>
    <xf numFmtId="167" fontId="183" fillId="0" borderId="22" xfId="1" quotePrefix="1" applyNumberFormat="1" applyFont="1" applyBorder="1" applyAlignment="1">
      <alignment horizontal="right" vertical="center"/>
    </xf>
    <xf numFmtId="191" fontId="179" fillId="0" borderId="22" xfId="115" applyNumberFormat="1" applyFont="1" applyBorder="1" applyAlignment="1">
      <alignment vertical="center" wrapText="1"/>
    </xf>
    <xf numFmtId="191" fontId="179" fillId="0" borderId="22" xfId="115" applyNumberFormat="1" applyFont="1" applyFill="1" applyBorder="1" applyAlignment="1">
      <alignment vertical="center" wrapText="1"/>
    </xf>
    <xf numFmtId="0" fontId="183" fillId="0" borderId="22" xfId="1" quotePrefix="1" applyFont="1" applyBorder="1" applyAlignment="1">
      <alignment vertical="center" wrapText="1"/>
    </xf>
    <xf numFmtId="49" fontId="183" fillId="0" borderId="22" xfId="1" quotePrefix="1" applyNumberFormat="1" applyFont="1" applyBorder="1" applyAlignment="1">
      <alignment vertical="center" wrapText="1"/>
    </xf>
    <xf numFmtId="191" fontId="179" fillId="25" borderId="22" xfId="370" applyNumberFormat="1" applyFont="1" applyFill="1" applyBorder="1" applyAlignment="1">
      <alignment vertical="center" wrapText="1"/>
    </xf>
    <xf numFmtId="191" fontId="183" fillId="25" borderId="22" xfId="370" applyNumberFormat="1" applyFont="1" applyFill="1" applyBorder="1" applyAlignment="1">
      <alignment vertical="center" wrapText="1"/>
    </xf>
    <xf numFmtId="0" fontId="192" fillId="0" borderId="0" xfId="1" applyFont="1" applyAlignment="1">
      <alignment vertical="center"/>
    </xf>
    <xf numFmtId="167" fontId="180" fillId="0" borderId="22" xfId="1" quotePrefix="1" applyNumberFormat="1" applyFont="1" applyFill="1" applyBorder="1" applyAlignment="1">
      <alignment horizontal="right" vertical="center"/>
    </xf>
    <xf numFmtId="0" fontId="193" fillId="0" borderId="0" xfId="1" applyFont="1" applyAlignment="1">
      <alignment vertical="center"/>
    </xf>
    <xf numFmtId="0" fontId="194" fillId="0" borderId="0" xfId="1" applyFont="1" applyAlignment="1">
      <alignment vertical="center"/>
    </xf>
    <xf numFmtId="0" fontId="195" fillId="0" borderId="0" xfId="1" applyFont="1" applyAlignment="1">
      <alignment vertical="center"/>
    </xf>
    <xf numFmtId="0" fontId="179" fillId="25" borderId="22" xfId="1" applyFont="1" applyFill="1" applyBorder="1" applyAlignment="1">
      <alignment horizontal="center" vertical="center"/>
    </xf>
    <xf numFmtId="49" fontId="179" fillId="25" borderId="22" xfId="1" applyNumberFormat="1" applyFont="1" applyFill="1" applyBorder="1" applyAlignment="1">
      <alignment vertical="center" wrapText="1"/>
    </xf>
    <xf numFmtId="172" fontId="180" fillId="25" borderId="22" xfId="1" applyNumberFormat="1" applyFont="1" applyFill="1" applyBorder="1" applyAlignment="1">
      <alignment vertical="center"/>
    </xf>
    <xf numFmtId="0" fontId="178" fillId="25" borderId="0" xfId="1" applyFont="1" applyFill="1" applyAlignment="1">
      <alignment vertical="center"/>
    </xf>
    <xf numFmtId="0" fontId="180" fillId="0" borderId="24" xfId="1" applyFont="1" applyBorder="1" applyAlignment="1">
      <alignment vertical="center"/>
    </xf>
    <xf numFmtId="0" fontId="180" fillId="0" borderId="24" xfId="1" applyFont="1" applyBorder="1" applyAlignment="1">
      <alignment vertical="center" wrapText="1"/>
    </xf>
    <xf numFmtId="172" fontId="180" fillId="0" borderId="24" xfId="1" applyNumberFormat="1" applyFont="1" applyBorder="1" applyAlignment="1">
      <alignment vertical="center"/>
    </xf>
    <xf numFmtId="222" fontId="179" fillId="0" borderId="24" xfId="369" applyNumberFormat="1" applyFont="1" applyBorder="1" applyAlignment="1">
      <alignment horizontal="center" vertical="center"/>
    </xf>
    <xf numFmtId="222" fontId="179" fillId="0" borderId="24" xfId="369" applyNumberFormat="1" applyFont="1" applyFill="1" applyBorder="1" applyAlignment="1">
      <alignment horizontal="center" vertical="center"/>
    </xf>
    <xf numFmtId="222" fontId="180" fillId="0" borderId="24" xfId="369" applyNumberFormat="1" applyFont="1" applyBorder="1" applyAlignment="1">
      <alignment vertical="center"/>
    </xf>
    <xf numFmtId="0" fontId="199" fillId="0" borderId="0" xfId="1" applyFont="1" applyAlignment="1">
      <alignment vertical="center"/>
    </xf>
    <xf numFmtId="0" fontId="200" fillId="0" borderId="0" xfId="1" applyFont="1" applyAlignment="1">
      <alignment vertical="center"/>
    </xf>
    <xf numFmtId="0" fontId="201" fillId="0" borderId="0" xfId="1" applyFont="1" applyAlignment="1">
      <alignment vertical="center"/>
    </xf>
    <xf numFmtId="0" fontId="202" fillId="0" borderId="0" xfId="1" applyFont="1" applyAlignment="1">
      <alignment horizontal="center" vertical="center"/>
    </xf>
    <xf numFmtId="0" fontId="202" fillId="0" borderId="3" xfId="1" applyFont="1" applyBorder="1" applyAlignment="1">
      <alignment horizontal="center" vertical="center"/>
    </xf>
    <xf numFmtId="0" fontId="203" fillId="0" borderId="0" xfId="1" applyFont="1" applyAlignment="1">
      <alignment horizontal="center" vertical="center"/>
    </xf>
    <xf numFmtId="167" fontId="202" fillId="0" borderId="0" xfId="1" applyNumberFormat="1" applyFont="1" applyAlignment="1">
      <alignment horizontal="center" vertical="center"/>
    </xf>
    <xf numFmtId="0" fontId="204" fillId="0" borderId="0" xfId="1" applyFont="1" applyAlignment="1">
      <alignment vertical="center"/>
    </xf>
    <xf numFmtId="0" fontId="205" fillId="0" borderId="0" xfId="1" applyFont="1" applyAlignment="1">
      <alignment vertical="center"/>
    </xf>
    <xf numFmtId="0" fontId="206" fillId="0" borderId="0" xfId="1" applyFont="1" applyAlignment="1">
      <alignment vertical="center"/>
    </xf>
    <xf numFmtId="0" fontId="207" fillId="0" borderId="0" xfId="1" applyFont="1" applyAlignment="1">
      <alignment vertical="center"/>
    </xf>
    <xf numFmtId="0" fontId="208" fillId="0" borderId="0" xfId="1" applyFont="1" applyAlignment="1">
      <alignment vertical="center"/>
    </xf>
    <xf numFmtId="0" fontId="209" fillId="0" borderId="0" xfId="1" applyFont="1" applyAlignment="1">
      <alignment vertical="center"/>
    </xf>
    <xf numFmtId="167" fontId="208" fillId="0" borderId="0" xfId="1" applyNumberFormat="1" applyFont="1" applyAlignment="1">
      <alignment vertical="center"/>
    </xf>
    <xf numFmtId="0" fontId="210" fillId="0" borderId="0" xfId="1" applyFont="1" applyAlignment="1">
      <alignment vertical="center"/>
    </xf>
    <xf numFmtId="0" fontId="211" fillId="0" borderId="0" xfId="1" applyFont="1" applyAlignment="1">
      <alignment vertical="center"/>
    </xf>
    <xf numFmtId="0" fontId="212" fillId="0" borderId="0" xfId="1" applyFont="1" applyAlignment="1">
      <alignment vertical="center"/>
    </xf>
    <xf numFmtId="0" fontId="199" fillId="25" borderId="0" xfId="1" applyFont="1" applyFill="1" applyAlignment="1">
      <alignment vertical="center"/>
    </xf>
    <xf numFmtId="0" fontId="213" fillId="0" borderId="0" xfId="0" applyFont="1" applyFill="1"/>
    <xf numFmtId="0" fontId="180" fillId="0" borderId="1" xfId="0" applyFont="1" applyFill="1" applyBorder="1" applyAlignment="1">
      <alignment horizontal="center" vertical="center" wrapText="1"/>
    </xf>
    <xf numFmtId="0" fontId="98" fillId="25" borderId="0" xfId="2" applyFont="1" applyFill="1" applyAlignment="1">
      <alignment horizontal="centerContinuous" vertical="center"/>
    </xf>
    <xf numFmtId="0" fontId="98" fillId="25" borderId="0" xfId="2" applyFont="1" applyFill="1" applyAlignment="1">
      <alignment vertical="center"/>
    </xf>
    <xf numFmtId="0" fontId="99" fillId="25" borderId="0" xfId="2" applyFont="1" applyFill="1" applyAlignment="1">
      <alignment vertical="center"/>
    </xf>
    <xf numFmtId="0" fontId="100" fillId="25" borderId="0" xfId="2" applyFont="1" applyFill="1" applyAlignment="1">
      <alignment horizontal="left" vertical="center"/>
    </xf>
    <xf numFmtId="0" fontId="100" fillId="25" borderId="0" xfId="2" applyFont="1" applyFill="1" applyAlignment="1">
      <alignment horizontal="right" vertical="center"/>
    </xf>
    <xf numFmtId="0" fontId="98" fillId="25" borderId="0" xfId="2" applyFont="1" applyFill="1" applyAlignment="1">
      <alignment horizontal="right" vertical="center"/>
    </xf>
    <xf numFmtId="0" fontId="99" fillId="25" borderId="1" xfId="2" quotePrefix="1" applyFont="1" applyFill="1" applyBorder="1" applyAlignment="1">
      <alignment horizontal="center" vertical="center" wrapText="1"/>
    </xf>
    <xf numFmtId="191" fontId="98" fillId="25" borderId="1" xfId="369" applyNumberFormat="1" applyFont="1" applyFill="1" applyBorder="1" applyAlignment="1">
      <alignment horizontal="center" vertical="center" wrapText="1"/>
    </xf>
    <xf numFmtId="0" fontId="213" fillId="25" borderId="0" xfId="0" applyFont="1" applyFill="1"/>
    <xf numFmtId="0" fontId="214" fillId="25" borderId="0" xfId="0" applyFont="1" applyFill="1"/>
    <xf numFmtId="222" fontId="213" fillId="25" borderId="0" xfId="0" applyNumberFormat="1" applyFont="1" applyFill="1"/>
    <xf numFmtId="0" fontId="214" fillId="25" borderId="8" xfId="0" applyFont="1" applyFill="1" applyBorder="1" applyAlignment="1">
      <alignment horizontal="center" vertical="center" wrapText="1"/>
    </xf>
    <xf numFmtId="0" fontId="214" fillId="25" borderId="10" xfId="0" applyFont="1" applyFill="1" applyBorder="1" applyAlignment="1">
      <alignment horizontal="center" vertical="center" wrapText="1"/>
    </xf>
    <xf numFmtId="0" fontId="214" fillId="25" borderId="10" xfId="0" applyFont="1" applyFill="1" applyBorder="1" applyAlignment="1">
      <alignment vertical="center" wrapText="1"/>
    </xf>
    <xf numFmtId="222" fontId="214" fillId="25" borderId="10" xfId="369" applyNumberFormat="1" applyFont="1" applyFill="1" applyBorder="1" applyAlignment="1">
      <alignment horizontal="center" vertical="center" wrapText="1"/>
    </xf>
    <xf numFmtId="223" fontId="214" fillId="25" borderId="9" xfId="369" applyNumberFormat="1" applyFont="1" applyFill="1" applyBorder="1" applyAlignment="1">
      <alignment horizontal="center" vertical="center" wrapText="1"/>
    </xf>
    <xf numFmtId="0" fontId="214" fillId="25" borderId="9" xfId="0" applyFont="1" applyFill="1" applyBorder="1" applyAlignment="1">
      <alignment horizontal="center" vertical="center" wrapText="1"/>
    </xf>
    <xf numFmtId="0" fontId="214" fillId="25" borderId="9" xfId="0" applyFont="1" applyFill="1" applyBorder="1" applyAlignment="1">
      <alignment vertical="center" wrapText="1"/>
    </xf>
    <xf numFmtId="222" fontId="214" fillId="25" borderId="9" xfId="369" applyNumberFormat="1" applyFont="1" applyFill="1" applyBorder="1" applyAlignment="1">
      <alignment horizontal="center" vertical="center" wrapText="1"/>
    </xf>
    <xf numFmtId="0" fontId="213" fillId="25" borderId="9" xfId="0" applyFont="1" applyFill="1" applyBorder="1" applyAlignment="1">
      <alignment horizontal="center" vertical="center" wrapText="1"/>
    </xf>
    <xf numFmtId="0" fontId="213" fillId="25" borderId="9" xfId="0" applyFont="1" applyFill="1" applyBorder="1" applyAlignment="1">
      <alignment vertical="center" wrapText="1"/>
    </xf>
    <xf numFmtId="222" fontId="213" fillId="25" borderId="9" xfId="369" applyNumberFormat="1" applyFont="1" applyFill="1" applyBorder="1" applyAlignment="1">
      <alignment horizontal="center" vertical="center" wrapText="1"/>
    </xf>
    <xf numFmtId="223" fontId="213" fillId="25" borderId="9" xfId="369" applyNumberFormat="1" applyFont="1" applyFill="1" applyBorder="1" applyAlignment="1">
      <alignment horizontal="center" vertical="center" wrapText="1"/>
    </xf>
    <xf numFmtId="221" fontId="213" fillId="25" borderId="9" xfId="369" applyNumberFormat="1" applyFont="1" applyFill="1" applyBorder="1" applyAlignment="1">
      <alignment horizontal="center" vertical="center" wrapText="1"/>
    </xf>
    <xf numFmtId="221" fontId="214" fillId="25" borderId="9" xfId="369" applyNumberFormat="1" applyFont="1" applyFill="1" applyBorder="1" applyAlignment="1">
      <alignment horizontal="center" vertical="center" wrapText="1"/>
    </xf>
    <xf numFmtId="0" fontId="39" fillId="25" borderId="9" xfId="0" applyFont="1" applyFill="1" applyBorder="1" applyAlignment="1">
      <alignment vertical="center" wrapText="1"/>
    </xf>
    <xf numFmtId="222" fontId="215" fillId="25" borderId="9" xfId="369" applyNumberFormat="1" applyFont="1" applyFill="1" applyBorder="1" applyAlignment="1">
      <alignment horizontal="center" vertical="center" wrapText="1"/>
    </xf>
    <xf numFmtId="0" fontId="216" fillId="25" borderId="9" xfId="0" applyFont="1" applyFill="1" applyBorder="1" applyAlignment="1">
      <alignment vertical="center" wrapText="1"/>
    </xf>
    <xf numFmtId="0" fontId="217" fillId="25" borderId="9" xfId="0" applyFont="1" applyFill="1" applyBorder="1" applyAlignment="1">
      <alignment horizontal="center" vertical="center" wrapText="1"/>
    </xf>
    <xf numFmtId="0" fontId="183" fillId="25" borderId="9" xfId="5" applyFont="1" applyFill="1" applyBorder="1" applyAlignment="1">
      <alignment vertical="center" wrapText="1"/>
    </xf>
    <xf numFmtId="222" fontId="217" fillId="25" borderId="9" xfId="369" applyNumberFormat="1" applyFont="1" applyFill="1" applyBorder="1" applyAlignment="1">
      <alignment horizontal="center" vertical="center" wrapText="1"/>
    </xf>
    <xf numFmtId="223" fontId="217" fillId="25" borderId="9" xfId="369" applyNumberFormat="1" applyFont="1" applyFill="1" applyBorder="1" applyAlignment="1">
      <alignment horizontal="center" vertical="center" wrapText="1"/>
    </xf>
    <xf numFmtId="0" fontId="197" fillId="0" borderId="0" xfId="0" applyFont="1"/>
    <xf numFmtId="0" fontId="197" fillId="0" borderId="0" xfId="0" applyFont="1" applyAlignment="1">
      <alignment vertical="top"/>
    </xf>
    <xf numFmtId="222" fontId="197" fillId="0" borderId="0" xfId="0" applyNumberFormat="1" applyFont="1"/>
    <xf numFmtId="0" fontId="196" fillId="0" borderId="0" xfId="0" applyFont="1"/>
    <xf numFmtId="0" fontId="198" fillId="0" borderId="0" xfId="0" applyFont="1"/>
    <xf numFmtId="0" fontId="125" fillId="0" borderId="0" xfId="0" applyFont="1" applyFill="1" applyAlignment="1">
      <alignment horizontal="right" vertical="center"/>
    </xf>
    <xf numFmtId="0" fontId="218" fillId="0" borderId="0" xfId="0" applyFont="1" applyFill="1" applyAlignment="1">
      <alignment vertical="center"/>
    </xf>
    <xf numFmtId="191" fontId="98" fillId="0" borderId="0" xfId="0" applyNumberFormat="1" applyFont="1" applyFill="1" applyAlignment="1">
      <alignment vertical="center"/>
    </xf>
    <xf numFmtId="0" fontId="99" fillId="0" borderId="1" xfId="0" applyFont="1" applyFill="1" applyBorder="1" applyAlignment="1">
      <alignment horizontal="left" vertical="center" wrapText="1"/>
    </xf>
    <xf numFmtId="191" fontId="99" fillId="0" borderId="1" xfId="0" applyNumberFormat="1" applyFont="1" applyFill="1" applyBorder="1" applyAlignment="1">
      <alignment horizontal="center" vertical="center" wrapText="1"/>
    </xf>
    <xf numFmtId="0" fontId="100" fillId="0" borderId="1" xfId="0" applyFont="1" applyFill="1" applyBorder="1" applyAlignment="1">
      <alignment vertical="center" wrapText="1"/>
    </xf>
    <xf numFmtId="0" fontId="100" fillId="0" borderId="1" xfId="0" quotePrefix="1" applyFont="1" applyFill="1" applyBorder="1" applyAlignment="1">
      <alignment vertical="center" wrapText="1"/>
    </xf>
    <xf numFmtId="191" fontId="98" fillId="0" borderId="1" xfId="0" applyNumberFormat="1" applyFont="1" applyFill="1" applyBorder="1" applyAlignment="1">
      <alignment horizontal="center" vertical="center" wrapText="1"/>
    </xf>
    <xf numFmtId="0" fontId="98" fillId="0" borderId="1" xfId="0" applyFont="1" applyFill="1" applyBorder="1" applyAlignment="1">
      <alignment horizontal="left" vertical="center" wrapText="1"/>
    </xf>
    <xf numFmtId="191" fontId="98" fillId="0" borderId="1" xfId="369" applyNumberFormat="1" applyFont="1" applyFill="1" applyBorder="1" applyAlignment="1">
      <alignment horizontal="center" vertical="center" wrapText="1"/>
    </xf>
    <xf numFmtId="0" fontId="100" fillId="0" borderId="1" xfId="0" applyFont="1" applyFill="1" applyBorder="1" applyAlignment="1">
      <alignment horizontal="left" vertical="center" wrapText="1"/>
    </xf>
    <xf numFmtId="0" fontId="180" fillId="0" borderId="1" xfId="0" quotePrefix="1" applyFont="1" applyFill="1" applyBorder="1" applyAlignment="1">
      <alignment horizontal="left" vertical="center" wrapText="1"/>
    </xf>
    <xf numFmtId="191" fontId="180" fillId="0" borderId="1" xfId="369" applyNumberFormat="1" applyFont="1" applyFill="1" applyBorder="1" applyAlignment="1">
      <alignment horizontal="center" vertical="center" wrapText="1"/>
    </xf>
    <xf numFmtId="191" fontId="99" fillId="0" borderId="1" xfId="369" applyNumberFormat="1" applyFont="1" applyFill="1" applyBorder="1" applyAlignment="1">
      <alignment horizontal="center" vertical="center" wrapText="1"/>
    </xf>
    <xf numFmtId="0" fontId="100" fillId="0" borderId="1" xfId="0" applyFont="1" applyFill="1" applyBorder="1" applyAlignment="1">
      <alignment horizontal="center" vertical="center" wrapText="1"/>
    </xf>
    <xf numFmtId="0" fontId="98" fillId="0" borderId="1" xfId="0" applyFont="1" applyFill="1" applyBorder="1" applyAlignment="1">
      <alignment vertical="center" wrapText="1"/>
    </xf>
    <xf numFmtId="0" fontId="98" fillId="0" borderId="1" xfId="0" quotePrefix="1" applyFont="1" applyFill="1" applyBorder="1" applyAlignment="1">
      <alignment horizontal="center" vertical="center" wrapText="1"/>
    </xf>
    <xf numFmtId="0" fontId="122" fillId="0" borderId="0" xfId="0" applyFont="1" applyFill="1" applyAlignment="1">
      <alignment vertical="center"/>
    </xf>
    <xf numFmtId="167" fontId="178" fillId="0" borderId="0" xfId="1" applyNumberFormat="1" applyFont="1" applyAlignment="1">
      <alignment vertical="center"/>
    </xf>
    <xf numFmtId="0" fontId="219" fillId="0" borderId="0" xfId="1" applyFont="1" applyAlignment="1">
      <alignment vertical="center"/>
    </xf>
    <xf numFmtId="0" fontId="220" fillId="0" borderId="0" xfId="1" applyFont="1" applyAlignment="1">
      <alignment vertical="center"/>
    </xf>
    <xf numFmtId="0" fontId="222" fillId="0" borderId="0" xfId="1" applyFont="1" applyAlignment="1">
      <alignment vertical="center"/>
    </xf>
    <xf numFmtId="0" fontId="223" fillId="0" borderId="0" xfId="1" applyFont="1" applyBorder="1" applyAlignment="1">
      <alignment horizontal="center" vertical="center"/>
    </xf>
    <xf numFmtId="0" fontId="220" fillId="0" borderId="0" xfId="2" applyFont="1" applyBorder="1" applyAlignment="1">
      <alignment horizontal="center" vertical="center" wrapText="1"/>
    </xf>
    <xf numFmtId="0" fontId="220" fillId="0" borderId="53" xfId="2" applyFont="1" applyBorder="1" applyAlignment="1">
      <alignment horizontal="center" vertical="center" wrapText="1"/>
    </xf>
    <xf numFmtId="0" fontId="220" fillId="0" borderId="0" xfId="2" quotePrefix="1" applyFont="1" applyBorder="1" applyAlignment="1">
      <alignment horizontal="center" vertical="center"/>
    </xf>
    <xf numFmtId="167" fontId="220" fillId="0" borderId="0" xfId="2" applyNumberFormat="1" applyFont="1" applyBorder="1" applyAlignment="1">
      <alignment horizontal="center" vertical="center"/>
    </xf>
    <xf numFmtId="167" fontId="220" fillId="0" borderId="0" xfId="1" quotePrefix="1" applyNumberFormat="1" applyFont="1" applyBorder="1" applyAlignment="1">
      <alignment horizontal="right" vertical="center"/>
    </xf>
    <xf numFmtId="167" fontId="221" fillId="0" borderId="0" xfId="1" applyNumberFormat="1" applyFont="1" applyBorder="1" applyAlignment="1">
      <alignment vertical="center"/>
    </xf>
    <xf numFmtId="167" fontId="224" fillId="0" borderId="0" xfId="1" applyNumberFormat="1" applyFont="1" applyBorder="1" applyAlignment="1">
      <alignment vertical="center"/>
    </xf>
    <xf numFmtId="0" fontId="225" fillId="0" borderId="0" xfId="1" applyFont="1" applyAlignment="1">
      <alignment vertical="center"/>
    </xf>
    <xf numFmtId="0" fontId="226" fillId="0" borderId="0" xfId="1" applyFont="1" applyAlignment="1">
      <alignment vertical="center"/>
    </xf>
    <xf numFmtId="167" fontId="220" fillId="0" borderId="0" xfId="1" applyNumberFormat="1" applyFont="1" applyBorder="1" applyAlignment="1">
      <alignment vertical="center"/>
    </xf>
    <xf numFmtId="221" fontId="220" fillId="0" borderId="0" xfId="370" applyNumberFormat="1" applyFont="1" applyFill="1" applyBorder="1" applyAlignment="1">
      <alignment horizontal="center" vertical="center" wrapText="1"/>
    </xf>
    <xf numFmtId="191" fontId="220" fillId="25" borderId="0" xfId="115" applyNumberFormat="1" applyFont="1" applyFill="1" applyBorder="1" applyAlignment="1">
      <alignment vertical="center" wrapText="1"/>
    </xf>
    <xf numFmtId="0" fontId="227" fillId="0" borderId="0" xfId="1" applyFont="1" applyAlignment="1">
      <alignment vertical="center"/>
    </xf>
    <xf numFmtId="167" fontId="221" fillId="0" borderId="0" xfId="1" quotePrefix="1" applyNumberFormat="1" applyFont="1" applyBorder="1" applyAlignment="1">
      <alignment horizontal="right" vertical="center"/>
    </xf>
    <xf numFmtId="222" fontId="221" fillId="0" borderId="0" xfId="369" applyNumberFormat="1" applyFont="1" applyBorder="1" applyAlignment="1">
      <alignment vertical="center"/>
    </xf>
    <xf numFmtId="0" fontId="221" fillId="0" borderId="0" xfId="1" applyFont="1" applyBorder="1" applyAlignment="1">
      <alignment horizontal="left" vertical="center" wrapText="1"/>
    </xf>
    <xf numFmtId="222" fontId="130" fillId="0" borderId="9" xfId="369" applyNumberFormat="1" applyFont="1" applyFill="1" applyBorder="1" applyAlignment="1">
      <alignment horizontal="center" vertical="center" wrapText="1"/>
    </xf>
    <xf numFmtId="0" fontId="99" fillId="0" borderId="0" xfId="0" applyFont="1" applyAlignment="1">
      <alignment horizontal="center" vertical="center"/>
    </xf>
    <xf numFmtId="0" fontId="115" fillId="0" borderId="0" xfId="0" applyFont="1" applyFill="1" applyAlignment="1">
      <alignment vertical="center"/>
    </xf>
    <xf numFmtId="0" fontId="150" fillId="0" borderId="0" xfId="0" applyFont="1" applyFill="1" applyAlignment="1"/>
    <xf numFmtId="0" fontId="151" fillId="0" borderId="0" xfId="0" applyFont="1" applyFill="1" applyAlignment="1"/>
    <xf numFmtId="0" fontId="151" fillId="0" borderId="0" xfId="0" applyFont="1" applyFill="1" applyAlignment="1">
      <alignment horizontal="right" vertical="center"/>
    </xf>
    <xf numFmtId="0" fontId="153" fillId="0" borderId="0" xfId="0" applyFont="1" applyFill="1"/>
    <xf numFmtId="0" fontId="157" fillId="0" borderId="0" xfId="0" applyFont="1" applyFill="1"/>
    <xf numFmtId="0" fontId="152" fillId="0" borderId="0" xfId="0" applyFont="1" applyFill="1"/>
    <xf numFmtId="0" fontId="150" fillId="0" borderId="0" xfId="0" applyFont="1" applyFill="1"/>
    <xf numFmtId="191" fontId="150" fillId="0" borderId="0" xfId="0" applyNumberFormat="1" applyFont="1" applyFill="1"/>
    <xf numFmtId="229" fontId="150" fillId="0" borderId="0" xfId="0" applyNumberFormat="1" applyFont="1" applyFill="1"/>
    <xf numFmtId="191" fontId="151" fillId="0" borderId="0" xfId="369" applyNumberFormat="1" applyFont="1" applyFill="1"/>
    <xf numFmtId="191" fontId="154" fillId="0" borderId="0" xfId="369" applyNumberFormat="1" applyFont="1" applyFill="1"/>
    <xf numFmtId="0" fontId="154" fillId="0" borderId="0" xfId="0" applyFont="1" applyFill="1" applyAlignment="1">
      <alignment horizontal="right" vertical="center"/>
    </xf>
    <xf numFmtId="0" fontId="153" fillId="25" borderId="0" xfId="0" applyFont="1" applyFill="1"/>
    <xf numFmtId="0" fontId="157" fillId="25" borderId="0" xfId="0" applyFont="1" applyFill="1"/>
    <xf numFmtId="0" fontId="150" fillId="25" borderId="0" xfId="0" applyFont="1" applyFill="1"/>
    <xf numFmtId="0" fontId="151" fillId="0" borderId="50" xfId="0" applyFont="1" applyFill="1" applyBorder="1" applyAlignment="1">
      <alignment horizontal="center" vertical="center" wrapText="1"/>
    </xf>
    <xf numFmtId="0" fontId="151" fillId="0" borderId="0" xfId="0" applyFont="1" applyFill="1"/>
    <xf numFmtId="0" fontId="156" fillId="0" borderId="0" xfId="0" applyFont="1" applyFill="1"/>
    <xf numFmtId="0" fontId="228" fillId="0" borderId="0" xfId="0" applyFont="1" applyFill="1"/>
    <xf numFmtId="0" fontId="155" fillId="0" borderId="0" xfId="0" applyFont="1" applyFill="1"/>
    <xf numFmtId="0" fontId="151" fillId="0" borderId="51" xfId="0" applyFont="1" applyFill="1" applyBorder="1" applyAlignment="1">
      <alignment horizontal="center" vertical="center" wrapText="1"/>
    </xf>
    <xf numFmtId="0" fontId="151" fillId="0" borderId="51" xfId="0" applyFont="1" applyFill="1" applyBorder="1" applyAlignment="1">
      <alignment vertical="center" wrapText="1"/>
    </xf>
    <xf numFmtId="191" fontId="151" fillId="0" borderId="51" xfId="369" applyNumberFormat="1" applyFont="1" applyFill="1" applyBorder="1" applyAlignment="1">
      <alignment horizontal="center" vertical="center" wrapText="1"/>
    </xf>
    <xf numFmtId="169" fontId="151" fillId="0" borderId="51" xfId="369" applyNumberFormat="1" applyFont="1" applyFill="1" applyBorder="1" applyAlignment="1">
      <alignment horizontal="center" vertical="center" wrapText="1"/>
    </xf>
    <xf numFmtId="191" fontId="151" fillId="0" borderId="0" xfId="0" applyNumberFormat="1" applyFont="1" applyFill="1"/>
    <xf numFmtId="191" fontId="156" fillId="0" borderId="0" xfId="0" applyNumberFormat="1" applyFont="1" applyFill="1"/>
    <xf numFmtId="191" fontId="228" fillId="0" borderId="0" xfId="0" applyNumberFormat="1" applyFont="1" applyFill="1"/>
    <xf numFmtId="0" fontId="151" fillId="0" borderId="22" xfId="0" applyFont="1" applyFill="1" applyBorder="1" applyAlignment="1">
      <alignment horizontal="center" vertical="center" wrapText="1"/>
    </xf>
    <xf numFmtId="0" fontId="151" fillId="0" borderId="22" xfId="0" applyFont="1" applyFill="1" applyBorder="1" applyAlignment="1">
      <alignment vertical="center" wrapText="1"/>
    </xf>
    <xf numFmtId="191" fontId="151" fillId="0" borderId="22" xfId="369" applyNumberFormat="1" applyFont="1" applyFill="1" applyBorder="1" applyAlignment="1">
      <alignment horizontal="center" vertical="center" wrapText="1"/>
    </xf>
    <xf numFmtId="169" fontId="151" fillId="0" borderId="22" xfId="369" applyNumberFormat="1" applyFont="1" applyFill="1" applyBorder="1" applyAlignment="1">
      <alignment horizontal="center" vertical="center" wrapText="1"/>
    </xf>
    <xf numFmtId="0" fontId="150" fillId="0" borderId="22" xfId="0" applyFont="1" applyFill="1" applyBorder="1" applyAlignment="1">
      <alignment horizontal="center" vertical="center" wrapText="1"/>
    </xf>
    <xf numFmtId="0" fontId="154" fillId="0" borderId="22" xfId="0" applyFont="1" applyFill="1" applyBorder="1" applyAlignment="1">
      <alignment vertical="center" wrapText="1"/>
    </xf>
    <xf numFmtId="191" fontId="150" fillId="0" borderId="22" xfId="369" applyNumberFormat="1" applyFont="1" applyFill="1" applyBorder="1" applyAlignment="1">
      <alignment horizontal="center" vertical="center" wrapText="1"/>
    </xf>
    <xf numFmtId="169" fontId="150" fillId="0" borderId="22" xfId="369" applyNumberFormat="1" applyFont="1" applyFill="1" applyBorder="1" applyAlignment="1">
      <alignment horizontal="center" vertical="center" wrapText="1"/>
    </xf>
    <xf numFmtId="186" fontId="153" fillId="0" borderId="0" xfId="0" applyNumberFormat="1" applyFont="1" applyFill="1"/>
    <xf numFmtId="0" fontId="150" fillId="0" borderId="22" xfId="0" applyFont="1" applyFill="1" applyBorder="1" applyAlignment="1">
      <alignment vertical="center" wrapText="1"/>
    </xf>
    <xf numFmtId="235" fontId="150" fillId="0" borderId="0" xfId="0" applyNumberFormat="1" applyFont="1" applyFill="1"/>
    <xf numFmtId="186" fontId="157" fillId="0" borderId="0" xfId="0" applyNumberFormat="1" applyFont="1" applyFill="1"/>
    <xf numFmtId="191" fontId="157" fillId="0" borderId="0" xfId="0" applyNumberFormat="1" applyFont="1" applyFill="1"/>
    <xf numFmtId="191" fontId="150" fillId="0" borderId="22" xfId="369" applyNumberFormat="1" applyFont="1" applyFill="1" applyBorder="1" applyAlignment="1">
      <alignment vertical="center" wrapText="1"/>
    </xf>
    <xf numFmtId="0" fontId="154" fillId="0" borderId="22" xfId="0" applyFont="1" applyFill="1" applyBorder="1" applyAlignment="1">
      <alignment horizontal="center" vertical="center" wrapText="1"/>
    </xf>
    <xf numFmtId="191" fontId="153" fillId="0" borderId="0" xfId="0" applyNumberFormat="1" applyFont="1" applyFill="1"/>
    <xf numFmtId="169" fontId="153" fillId="0" borderId="0" xfId="0" applyNumberFormat="1" applyFont="1" applyFill="1"/>
    <xf numFmtId="191" fontId="228" fillId="0" borderId="0" xfId="369" applyNumberFormat="1" applyFont="1" applyFill="1"/>
    <xf numFmtId="191" fontId="229" fillId="0" borderId="22" xfId="369" applyNumberFormat="1" applyFont="1" applyFill="1" applyBorder="1" applyAlignment="1">
      <alignment horizontal="center" vertical="center" wrapText="1"/>
    </xf>
    <xf numFmtId="0" fontId="150" fillId="0" borderId="24" xfId="0" applyFont="1" applyFill="1" applyBorder="1" applyAlignment="1">
      <alignment horizontal="center" vertical="center" wrapText="1"/>
    </xf>
    <xf numFmtId="0" fontId="150" fillId="0" borderId="24" xfId="0" applyFont="1" applyFill="1" applyBorder="1" applyAlignment="1">
      <alignment vertical="center" wrapText="1"/>
    </xf>
    <xf numFmtId="0" fontId="151" fillId="0" borderId="24" xfId="0" applyFont="1" applyFill="1" applyBorder="1" applyAlignment="1">
      <alignment horizontal="center" vertical="center" wrapText="1"/>
    </xf>
    <xf numFmtId="169" fontId="151" fillId="0" borderId="24" xfId="0" applyNumberFormat="1" applyFont="1" applyFill="1" applyBorder="1" applyAlignment="1">
      <alignment horizontal="center" vertical="center" wrapText="1"/>
    </xf>
    <xf numFmtId="169" fontId="150" fillId="0" borderId="24" xfId="0" applyNumberFormat="1" applyFont="1" applyFill="1" applyBorder="1" applyAlignment="1">
      <alignment horizontal="center" vertical="center" wrapText="1"/>
    </xf>
    <xf numFmtId="0" fontId="154" fillId="0" borderId="0" xfId="0" applyFont="1" applyFill="1" applyAlignment="1">
      <alignment vertical="center"/>
    </xf>
    <xf numFmtId="0" fontId="154" fillId="0" borderId="0" xfId="0" applyFont="1" applyFill="1" applyAlignment="1">
      <alignment horizontal="center" vertical="center"/>
    </xf>
    <xf numFmtId="0" fontId="158" fillId="0" borderId="0" xfId="0" applyFont="1" applyFill="1" applyAlignment="1">
      <alignment horizontal="center" vertical="center"/>
    </xf>
    <xf numFmtId="0" fontId="159" fillId="0" borderId="0" xfId="0" applyFont="1" applyFill="1" applyAlignment="1">
      <alignment horizontal="center" vertical="center"/>
    </xf>
    <xf numFmtId="0" fontId="151" fillId="0" borderId="0" xfId="0" applyFont="1" applyFill="1" applyAlignment="1">
      <alignment horizontal="center" vertical="center"/>
    </xf>
    <xf numFmtId="0" fontId="160" fillId="0" borderId="0" xfId="0" applyFont="1" applyFill="1" applyAlignment="1">
      <alignment horizontal="center" vertical="center"/>
    </xf>
    <xf numFmtId="191" fontId="99" fillId="25" borderId="1" xfId="0" applyNumberFormat="1" applyFont="1" applyFill="1" applyBorder="1" applyAlignment="1">
      <alignment horizontal="center" vertical="center" wrapText="1"/>
    </xf>
    <xf numFmtId="191" fontId="98" fillId="25" borderId="1" xfId="0" applyNumberFormat="1" applyFont="1" applyFill="1" applyBorder="1" applyAlignment="1">
      <alignment horizontal="center" vertical="center" wrapText="1"/>
    </xf>
    <xf numFmtId="191" fontId="180" fillId="25" borderId="1" xfId="369" applyNumberFormat="1" applyFont="1" applyFill="1" applyBorder="1" applyAlignment="1">
      <alignment horizontal="center" vertical="center" wrapText="1"/>
    </xf>
    <xf numFmtId="191" fontId="99" fillId="25" borderId="1" xfId="369" applyNumberFormat="1" applyFont="1" applyFill="1" applyBorder="1" applyAlignment="1">
      <alignment horizontal="center" vertical="center" wrapText="1"/>
    </xf>
    <xf numFmtId="167" fontId="230" fillId="0" borderId="0" xfId="1" quotePrefix="1" applyNumberFormat="1" applyFont="1" applyBorder="1" applyAlignment="1">
      <alignment horizontal="right" vertical="center"/>
    </xf>
    <xf numFmtId="222" fontId="205" fillId="0" borderId="0" xfId="369" applyNumberFormat="1" applyFont="1" applyFill="1" applyAlignment="1">
      <alignment vertical="center"/>
    </xf>
    <xf numFmtId="223" fontId="98" fillId="0" borderId="9" xfId="369" applyNumberFormat="1" applyFont="1" applyFill="1" applyBorder="1" applyAlignment="1">
      <alignment horizontal="center" vertical="center" wrapText="1"/>
    </xf>
    <xf numFmtId="49" fontId="183" fillId="0" borderId="22" xfId="1" applyNumberFormat="1" applyFont="1" applyBorder="1" applyAlignment="1">
      <alignment horizontal="left" vertical="center" wrapText="1"/>
    </xf>
    <xf numFmtId="167" fontId="209" fillId="0" borderId="0" xfId="1" applyNumberFormat="1" applyFont="1" applyAlignment="1">
      <alignment vertical="center"/>
    </xf>
    <xf numFmtId="223" fontId="100" fillId="0" borderId="29" xfId="369" applyNumberFormat="1" applyFont="1" applyFill="1" applyBorder="1" applyAlignment="1">
      <alignment horizontal="center" vertical="center" wrapText="1"/>
    </xf>
    <xf numFmtId="222" fontId="100" fillId="0" borderId="29" xfId="369" applyNumberFormat="1" applyFont="1" applyFill="1" applyBorder="1" applyAlignment="1">
      <alignment horizontal="center" vertical="center" wrapText="1"/>
    </xf>
    <xf numFmtId="222" fontId="130" fillId="0" borderId="0" xfId="0" applyNumberFormat="1" applyFont="1"/>
    <xf numFmtId="222" fontId="225" fillId="0" borderId="0" xfId="369" applyNumberFormat="1" applyFont="1" applyAlignment="1">
      <alignment vertical="center"/>
    </xf>
    <xf numFmtId="222" fontId="226" fillId="0" borderId="0" xfId="369" applyNumberFormat="1" applyFont="1" applyAlignment="1">
      <alignment vertical="center"/>
    </xf>
    <xf numFmtId="222" fontId="208" fillId="0" borderId="0" xfId="369" applyNumberFormat="1" applyFont="1" applyAlignment="1">
      <alignment vertical="center"/>
    </xf>
    <xf numFmtId="0" fontId="183" fillId="0" borderId="1" xfId="0" applyFont="1" applyFill="1" applyBorder="1" applyAlignment="1">
      <alignment horizontal="center" vertical="center" wrapText="1"/>
    </xf>
    <xf numFmtId="191" fontId="183" fillId="0" borderId="1" xfId="369" applyNumberFormat="1" applyFont="1" applyFill="1" applyBorder="1" applyAlignment="1">
      <alignment horizontal="center" vertical="center" wrapText="1"/>
    </xf>
    <xf numFmtId="191" fontId="183" fillId="25" borderId="1" xfId="369" applyNumberFormat="1" applyFont="1" applyFill="1" applyBorder="1" applyAlignment="1">
      <alignment horizontal="center" vertical="center" wrapText="1"/>
    </xf>
    <xf numFmtId="0" fontId="99" fillId="0" borderId="10" xfId="5" applyFont="1" applyFill="1" applyBorder="1" applyAlignment="1">
      <alignment horizontal="left" vertical="center" wrapText="1"/>
    </xf>
    <xf numFmtId="167" fontId="231" fillId="0" borderId="0" xfId="369" applyNumberFormat="1" applyFont="1" applyAlignment="1">
      <alignment vertical="center"/>
    </xf>
    <xf numFmtId="0" fontId="199" fillId="0" borderId="0" xfId="369" applyNumberFormat="1" applyFont="1" applyAlignment="1">
      <alignment vertical="center"/>
    </xf>
    <xf numFmtId="0" fontId="107" fillId="25" borderId="0" xfId="5" applyFont="1" applyFill="1" applyAlignment="1">
      <alignment horizontal="center" vertical="center" wrapText="1"/>
    </xf>
    <xf numFmtId="0" fontId="98" fillId="25" borderId="0" xfId="369" applyNumberFormat="1" applyFont="1" applyFill="1" applyAlignment="1">
      <alignment vertical="center"/>
    </xf>
    <xf numFmtId="167" fontId="98" fillId="25" borderId="0" xfId="369" applyNumberFormat="1" applyFont="1" applyFill="1" applyAlignment="1">
      <alignment vertical="center"/>
    </xf>
    <xf numFmtId="167" fontId="98" fillId="25" borderId="0" xfId="5" applyNumberFormat="1" applyFont="1" applyFill="1" applyAlignment="1">
      <alignment vertical="center"/>
    </xf>
    <xf numFmtId="0" fontId="99" fillId="25" borderId="1" xfId="2" quotePrefix="1" applyFont="1" applyFill="1" applyBorder="1" applyAlignment="1">
      <alignment horizontal="center" vertical="center"/>
    </xf>
    <xf numFmtId="167" fontId="99" fillId="25" borderId="10" xfId="2" applyNumberFormat="1" applyFont="1" applyFill="1" applyBorder="1" applyAlignment="1">
      <alignment horizontal="center" vertical="center"/>
    </xf>
    <xf numFmtId="167" fontId="99" fillId="25" borderId="9" xfId="5" applyNumberFormat="1" applyFont="1" applyFill="1" applyBorder="1" applyAlignment="1">
      <alignment vertical="center"/>
    </xf>
    <xf numFmtId="167" fontId="98" fillId="25" borderId="9" xfId="5" applyNumberFormat="1" applyFont="1" applyFill="1" applyBorder="1" applyAlignment="1">
      <alignment vertical="center"/>
    </xf>
    <xf numFmtId="167" fontId="100" fillId="25" borderId="9" xfId="5" applyNumberFormat="1" applyFont="1" applyFill="1" applyBorder="1" applyAlignment="1">
      <alignment vertical="center"/>
    </xf>
    <xf numFmtId="167" fontId="124" fillId="25" borderId="0" xfId="5" applyNumberFormat="1" applyFont="1" applyFill="1" applyBorder="1" applyAlignment="1">
      <alignment vertical="center"/>
    </xf>
    <xf numFmtId="0" fontId="98" fillId="25" borderId="0" xfId="5" applyFont="1" applyFill="1" applyAlignment="1">
      <alignment vertical="center"/>
    </xf>
    <xf numFmtId="0" fontId="98" fillId="25" borderId="0" xfId="0" applyFont="1" applyFill="1" applyAlignment="1">
      <alignment horizontal="left" vertical="center"/>
    </xf>
    <xf numFmtId="167" fontId="98" fillId="25" borderId="0" xfId="0" applyNumberFormat="1" applyFont="1" applyFill="1" applyAlignment="1">
      <alignment horizontal="left" vertical="center"/>
    </xf>
    <xf numFmtId="9" fontId="230" fillId="0" borderId="0" xfId="1" applyNumberFormat="1" applyFont="1" applyAlignment="1">
      <alignment vertical="center"/>
    </xf>
    <xf numFmtId="167" fontId="230" fillId="0" borderId="0" xfId="1" applyNumberFormat="1" applyFont="1" applyBorder="1" applyAlignment="1">
      <alignment horizontal="center" vertical="center"/>
    </xf>
    <xf numFmtId="232" fontId="230" fillId="0" borderId="0" xfId="1" quotePrefix="1" applyNumberFormat="1" applyFont="1" applyBorder="1" applyAlignment="1">
      <alignment horizontal="right" vertical="center"/>
    </xf>
    <xf numFmtId="0" fontId="214" fillId="0" borderId="9" xfId="0" applyFont="1" applyFill="1" applyBorder="1" applyAlignment="1">
      <alignment horizontal="center" vertical="center" wrapText="1"/>
    </xf>
    <xf numFmtId="0" fontId="214" fillId="0" borderId="9" xfId="0" applyFont="1" applyFill="1" applyBorder="1" applyAlignment="1">
      <alignment vertical="center" wrapText="1"/>
    </xf>
    <xf numFmtId="222" fontId="214" fillId="0" borderId="9" xfId="369" applyNumberFormat="1" applyFont="1" applyFill="1" applyBorder="1" applyAlignment="1">
      <alignment horizontal="center" vertical="center" wrapText="1"/>
    </xf>
    <xf numFmtId="223" fontId="214" fillId="0" borderId="9" xfId="369" applyNumberFormat="1" applyFont="1" applyFill="1" applyBorder="1" applyAlignment="1">
      <alignment horizontal="center" vertical="center" wrapText="1"/>
    </xf>
    <xf numFmtId="223" fontId="213" fillId="0" borderId="9" xfId="369" applyNumberFormat="1" applyFont="1" applyFill="1" applyBorder="1" applyAlignment="1">
      <alignment horizontal="center" vertical="center" wrapText="1"/>
    </xf>
    <xf numFmtId="0" fontId="213" fillId="0" borderId="9" xfId="0" applyFont="1" applyFill="1" applyBorder="1" applyAlignment="1">
      <alignment horizontal="center" vertical="center" wrapText="1"/>
    </xf>
    <xf numFmtId="0" fontId="213" fillId="0" borderId="27" xfId="0" applyFont="1" applyFill="1" applyBorder="1" applyAlignment="1">
      <alignment vertical="center" wrapText="1"/>
    </xf>
    <xf numFmtId="222" fontId="213" fillId="0" borderId="9" xfId="369" applyNumberFormat="1" applyFont="1" applyFill="1" applyBorder="1" applyAlignment="1">
      <alignment horizontal="center" vertical="center" wrapText="1"/>
    </xf>
    <xf numFmtId="221" fontId="214" fillId="0" borderId="9" xfId="369" applyNumberFormat="1" applyFont="1" applyFill="1" applyBorder="1" applyAlignment="1">
      <alignment horizontal="center" vertical="center" wrapText="1"/>
    </xf>
    <xf numFmtId="0" fontId="214" fillId="0" borderId="26" xfId="0" applyFont="1" applyFill="1" applyBorder="1" applyAlignment="1">
      <alignment horizontal="center" vertical="center" wrapText="1"/>
    </xf>
    <xf numFmtId="0" fontId="214" fillId="0" borderId="26" xfId="0" applyFont="1" applyFill="1" applyBorder="1" applyAlignment="1">
      <alignment vertical="center" wrapText="1"/>
    </xf>
    <xf numFmtId="222" fontId="214" fillId="0" borderId="26" xfId="369" applyNumberFormat="1" applyFont="1" applyFill="1" applyBorder="1" applyAlignment="1">
      <alignment horizontal="center" vertical="center" wrapText="1"/>
    </xf>
    <xf numFmtId="222" fontId="213" fillId="0" borderId="26" xfId="369" applyNumberFormat="1" applyFont="1" applyFill="1" applyBorder="1" applyAlignment="1">
      <alignment horizontal="center" vertical="center" wrapText="1"/>
    </xf>
    <xf numFmtId="223" fontId="214" fillId="0" borderId="26" xfId="369" applyNumberFormat="1" applyFont="1" applyFill="1" applyBorder="1" applyAlignment="1">
      <alignment horizontal="center" vertical="center" wrapText="1"/>
    </xf>
    <xf numFmtId="221" fontId="214" fillId="0" borderId="26" xfId="369" applyNumberFormat="1" applyFont="1" applyFill="1" applyBorder="1" applyAlignment="1">
      <alignment horizontal="center" vertical="center" wrapText="1"/>
    </xf>
    <xf numFmtId="223" fontId="213" fillId="0" borderId="26" xfId="369" applyNumberFormat="1" applyFont="1" applyFill="1" applyBorder="1" applyAlignment="1">
      <alignment horizontal="center" vertical="center" wrapText="1"/>
    </xf>
    <xf numFmtId="191" fontId="99" fillId="0" borderId="0" xfId="0" applyNumberFormat="1" applyFont="1" applyFill="1" applyAlignment="1">
      <alignment vertical="center"/>
    </xf>
    <xf numFmtId="0" fontId="99" fillId="0" borderId="0" xfId="0" applyFont="1" applyFill="1" applyAlignment="1">
      <alignment vertical="center"/>
    </xf>
    <xf numFmtId="191" fontId="218" fillId="0" borderId="0" xfId="0" applyNumberFormat="1" applyFont="1" applyFill="1" applyAlignment="1">
      <alignment vertical="center"/>
    </xf>
    <xf numFmtId="171" fontId="98" fillId="0" borderId="0" xfId="369" applyFont="1" applyFill="1" applyAlignment="1">
      <alignment vertical="center"/>
    </xf>
    <xf numFmtId="191" fontId="98" fillId="25" borderId="0" xfId="0" applyNumberFormat="1" applyFont="1" applyFill="1" applyAlignment="1">
      <alignment vertical="center"/>
    </xf>
    <xf numFmtId="222" fontId="98" fillId="25" borderId="0" xfId="369" applyNumberFormat="1" applyFont="1" applyFill="1" applyAlignment="1">
      <alignment vertical="center"/>
    </xf>
    <xf numFmtId="171" fontId="98" fillId="25" borderId="0" xfId="369" applyFont="1" applyFill="1" applyAlignment="1">
      <alignment vertical="center"/>
    </xf>
    <xf numFmtId="171" fontId="98" fillId="25" borderId="0" xfId="0" applyNumberFormat="1" applyFont="1" applyFill="1" applyAlignment="1">
      <alignment vertical="center"/>
    </xf>
    <xf numFmtId="222" fontId="98" fillId="0" borderId="0" xfId="369" applyNumberFormat="1" applyFont="1" applyFill="1" applyAlignment="1">
      <alignment vertical="center"/>
    </xf>
    <xf numFmtId="222" fontId="218" fillId="0" borderId="0" xfId="369" applyNumberFormat="1" applyFont="1" applyFill="1" applyAlignment="1">
      <alignment vertical="center"/>
    </xf>
    <xf numFmtId="222" fontId="5" fillId="0" borderId="0" xfId="369" applyNumberFormat="1" applyFont="1" applyFill="1" applyAlignment="1">
      <alignment vertical="center"/>
    </xf>
    <xf numFmtId="223" fontId="5" fillId="0" borderId="0" xfId="369" applyNumberFormat="1" applyFont="1" applyFill="1" applyAlignment="1">
      <alignment vertical="center"/>
    </xf>
    <xf numFmtId="222" fontId="150" fillId="0" borderId="0" xfId="369" applyNumberFormat="1" applyFont="1" applyFill="1" applyAlignment="1">
      <alignment vertical="center"/>
    </xf>
    <xf numFmtId="227" fontId="5" fillId="0" borderId="0" xfId="369" applyNumberFormat="1" applyFont="1" applyFill="1" applyAlignment="1">
      <alignment vertical="center"/>
    </xf>
    <xf numFmtId="0" fontId="111" fillId="0" borderId="1" xfId="0" applyFont="1" applyBorder="1" applyAlignment="1">
      <alignment horizontal="center" vertical="center" wrapText="1"/>
    </xf>
    <xf numFmtId="222" fontId="98" fillId="0" borderId="2" xfId="369" applyNumberFormat="1" applyFont="1" applyFill="1" applyBorder="1" applyAlignment="1">
      <alignment horizontal="center" vertical="center"/>
    </xf>
    <xf numFmtId="171" fontId="98" fillId="0" borderId="1" xfId="369" applyFont="1" applyFill="1" applyBorder="1" applyAlignment="1">
      <alignment vertical="center" wrapText="1"/>
    </xf>
    <xf numFmtId="171" fontId="98" fillId="0" borderId="1" xfId="369" applyFont="1" applyFill="1" applyBorder="1" applyAlignment="1">
      <alignment horizontal="center" vertical="center" wrapText="1"/>
    </xf>
    <xf numFmtId="16" fontId="98" fillId="0" borderId="1" xfId="369" quotePrefix="1" applyNumberFormat="1" applyFont="1" applyFill="1" applyBorder="1" applyAlignment="1">
      <alignment horizontal="right" vertical="center" wrapText="1"/>
    </xf>
    <xf numFmtId="2" fontId="98" fillId="0" borderId="1" xfId="369" quotePrefix="1" applyNumberFormat="1" applyFont="1" applyFill="1" applyBorder="1" applyAlignment="1">
      <alignment horizontal="right" vertical="center" wrapText="1"/>
    </xf>
    <xf numFmtId="234" fontId="98" fillId="0" borderId="1" xfId="369" applyNumberFormat="1" applyFont="1" applyFill="1" applyBorder="1" applyAlignment="1">
      <alignment horizontal="right" vertical="center"/>
    </xf>
    <xf numFmtId="228" fontId="98" fillId="0" borderId="1" xfId="369" applyNumberFormat="1" applyFont="1" applyBorder="1" applyAlignment="1">
      <alignment horizontal="right" vertical="center"/>
    </xf>
    <xf numFmtId="228" fontId="98" fillId="0" borderId="1" xfId="369" applyNumberFormat="1" applyFont="1" applyFill="1" applyBorder="1" applyAlignment="1">
      <alignment horizontal="right" vertical="center"/>
    </xf>
    <xf numFmtId="171" fontId="100" fillId="0" borderId="1" xfId="369" applyFont="1" applyBorder="1" applyAlignment="1">
      <alignment horizontal="right" vertical="center" wrapText="1"/>
    </xf>
    <xf numFmtId="4" fontId="98" fillId="0" borderId="1" xfId="369" applyNumberFormat="1" applyFont="1" applyBorder="1" applyAlignment="1">
      <alignment horizontal="right" vertical="center"/>
    </xf>
    <xf numFmtId="4" fontId="98" fillId="0" borderId="1" xfId="369" applyNumberFormat="1" applyFont="1" applyFill="1" applyBorder="1" applyAlignment="1">
      <alignment horizontal="right" vertical="center"/>
    </xf>
    <xf numFmtId="4" fontId="100" fillId="0" borderId="1" xfId="369" applyNumberFormat="1" applyFont="1" applyBorder="1" applyAlignment="1">
      <alignment horizontal="right" vertical="center" wrapText="1"/>
    </xf>
    <xf numFmtId="4" fontId="100" fillId="0" borderId="1" xfId="369" applyNumberFormat="1" applyFont="1" applyFill="1" applyBorder="1" applyAlignment="1">
      <alignment horizontal="right" vertical="center" wrapText="1"/>
    </xf>
    <xf numFmtId="4" fontId="98" fillId="0" borderId="1" xfId="369" applyNumberFormat="1" applyFont="1" applyBorder="1" applyAlignment="1">
      <alignment horizontal="right" vertical="center" wrapText="1"/>
    </xf>
    <xf numFmtId="4" fontId="98" fillId="0" borderId="1" xfId="369" applyNumberFormat="1" applyFont="1" applyFill="1" applyBorder="1" applyAlignment="1">
      <alignment horizontal="right" vertical="center" wrapText="1"/>
    </xf>
    <xf numFmtId="222" fontId="98" fillId="0" borderId="1" xfId="369" applyNumberFormat="1" applyFont="1" applyBorder="1" applyAlignment="1">
      <alignment horizontal="right" vertical="center"/>
    </xf>
    <xf numFmtId="171" fontId="98" fillId="0" borderId="1" xfId="369" quotePrefix="1" applyFont="1" applyBorder="1" applyAlignment="1">
      <alignment horizontal="center" vertical="center"/>
    </xf>
    <xf numFmtId="171" fontId="98" fillId="0" borderId="1" xfId="369" applyFont="1" applyFill="1" applyBorder="1" applyAlignment="1">
      <alignment horizontal="center" vertical="center"/>
    </xf>
    <xf numFmtId="222" fontId="98" fillId="0" borderId="1" xfId="369" applyNumberFormat="1" applyFont="1" applyFill="1" applyBorder="1" applyAlignment="1">
      <alignment vertical="center" wrapText="1"/>
    </xf>
    <xf numFmtId="0" fontId="99" fillId="25" borderId="1" xfId="2" applyFont="1" applyFill="1" applyBorder="1" applyAlignment="1">
      <alignment horizontal="center" vertical="center" wrapText="1"/>
    </xf>
    <xf numFmtId="222" fontId="188" fillId="0" borderId="0" xfId="1" applyNumberFormat="1" applyFont="1" applyAlignment="1">
      <alignment vertical="center"/>
    </xf>
    <xf numFmtId="0" fontId="99" fillId="25" borderId="14" xfId="2" applyFont="1" applyFill="1" applyBorder="1" applyAlignment="1">
      <alignment horizontal="center" vertical="center" wrapText="1"/>
    </xf>
    <xf numFmtId="0" fontId="99" fillId="25" borderId="14" xfId="2" applyFont="1" applyFill="1" applyBorder="1" applyAlignment="1">
      <alignment vertical="center" wrapText="1"/>
    </xf>
    <xf numFmtId="191" fontId="99" fillId="25" borderId="14" xfId="369" quotePrefix="1" applyNumberFormat="1" applyFont="1" applyFill="1" applyBorder="1" applyAlignment="1">
      <alignment vertical="center" wrapText="1"/>
    </xf>
    <xf numFmtId="0" fontId="98" fillId="25" borderId="9" xfId="2" applyFont="1" applyFill="1" applyBorder="1" applyAlignment="1">
      <alignment horizontal="center" vertical="center" wrapText="1"/>
    </xf>
    <xf numFmtId="0" fontId="98" fillId="25" borderId="9" xfId="2" applyFont="1" applyFill="1" applyBorder="1" applyAlignment="1">
      <alignment vertical="center" wrapText="1"/>
    </xf>
    <xf numFmtId="191" fontId="98" fillId="25" borderId="9" xfId="369" applyNumberFormat="1" applyFont="1" applyFill="1" applyBorder="1" applyAlignment="1">
      <alignment vertical="center" wrapText="1"/>
    </xf>
    <xf numFmtId="191" fontId="98" fillId="0" borderId="9" xfId="369" applyNumberFormat="1" applyFont="1" applyFill="1" applyBorder="1" applyAlignment="1">
      <alignment vertical="center" wrapText="1"/>
    </xf>
    <xf numFmtId="0" fontId="98" fillId="25" borderId="9" xfId="2" quotePrefix="1" applyFont="1" applyFill="1" applyBorder="1" applyAlignment="1">
      <alignment horizontal="center" vertical="center" wrapText="1"/>
    </xf>
    <xf numFmtId="0" fontId="99" fillId="25" borderId="9" xfId="2" applyFont="1" applyFill="1" applyBorder="1" applyAlignment="1">
      <alignment horizontal="center" vertical="center" wrapText="1"/>
    </xf>
    <xf numFmtId="0" fontId="99" fillId="25" borderId="9" xfId="2" applyFont="1" applyFill="1" applyBorder="1" applyAlignment="1">
      <alignment vertical="center" wrapText="1"/>
    </xf>
    <xf numFmtId="191" fontId="99" fillId="25" borderId="9" xfId="369" applyNumberFormat="1" applyFont="1" applyFill="1" applyBorder="1" applyAlignment="1">
      <alignment vertical="center" wrapText="1"/>
    </xf>
    <xf numFmtId="0" fontId="98" fillId="0" borderId="9" xfId="2" quotePrefix="1" applyFont="1" applyFill="1" applyBorder="1" applyAlignment="1">
      <alignment horizontal="center" vertical="center" wrapText="1"/>
    </xf>
    <xf numFmtId="0" fontId="98" fillId="0" borderId="9" xfId="2" applyFont="1" applyFill="1" applyBorder="1" applyAlignment="1">
      <alignment vertical="center" wrapText="1"/>
    </xf>
    <xf numFmtId="0" fontId="98" fillId="0" borderId="9" xfId="2" quotePrefix="1" applyFont="1" applyFill="1" applyBorder="1" applyAlignment="1">
      <alignment vertical="center" wrapText="1"/>
    </xf>
    <xf numFmtId="0" fontId="99" fillId="25" borderId="26" xfId="2" applyFont="1" applyFill="1" applyBorder="1" applyAlignment="1">
      <alignment horizontal="center" vertical="center" wrapText="1"/>
    </xf>
    <xf numFmtId="0" fontId="99" fillId="25" borderId="26" xfId="2" applyFont="1" applyFill="1" applyBorder="1" applyAlignment="1">
      <alignment vertical="center" wrapText="1"/>
    </xf>
    <xf numFmtId="191" fontId="98" fillId="25" borderId="26" xfId="369" applyNumberFormat="1" applyFont="1" applyFill="1" applyBorder="1" applyAlignment="1">
      <alignment horizontal="center" vertical="center" wrapText="1"/>
    </xf>
    <xf numFmtId="0" fontId="98" fillId="0" borderId="0" xfId="2" applyFont="1" applyFill="1" applyAlignment="1">
      <alignment vertical="center"/>
    </xf>
    <xf numFmtId="0" fontId="99" fillId="25" borderId="6" xfId="2" applyFont="1" applyFill="1" applyBorder="1" applyAlignment="1">
      <alignment vertical="center"/>
    </xf>
    <xf numFmtId="0" fontId="99" fillId="0" borderId="6" xfId="2" applyFont="1" applyFill="1" applyBorder="1" applyAlignment="1">
      <alignment vertical="center"/>
    </xf>
    <xf numFmtId="191" fontId="98" fillId="0" borderId="0" xfId="2" applyNumberFormat="1" applyFont="1" applyAlignment="1">
      <alignment vertical="center"/>
    </xf>
    <xf numFmtId="0" fontId="99" fillId="0" borderId="0" xfId="2" applyFont="1" applyFill="1" applyAlignment="1">
      <alignment vertical="center"/>
    </xf>
    <xf numFmtId="0" fontId="98" fillId="0" borderId="0" xfId="2" applyFont="1" applyAlignment="1">
      <alignment vertical="center"/>
    </xf>
    <xf numFmtId="191" fontId="98" fillId="25" borderId="0" xfId="2" applyNumberFormat="1" applyFont="1" applyFill="1" applyAlignment="1">
      <alignment vertical="center"/>
    </xf>
    <xf numFmtId="172" fontId="98" fillId="25" borderId="0" xfId="1" applyNumberFormat="1" applyFont="1" applyFill="1" applyAlignment="1">
      <alignment vertical="center"/>
    </xf>
    <xf numFmtId="191" fontId="98" fillId="0" borderId="0" xfId="2" applyNumberFormat="1" applyFont="1" applyFill="1" applyAlignment="1">
      <alignment vertical="center"/>
    </xf>
    <xf numFmtId="221" fontId="125" fillId="0" borderId="0" xfId="370" applyNumberFormat="1" applyFont="1" applyFill="1" applyAlignment="1">
      <alignment horizontal="left" vertical="center"/>
    </xf>
    <xf numFmtId="0" fontId="125" fillId="0" borderId="0" xfId="375" applyFont="1" applyFill="1"/>
    <xf numFmtId="221" fontId="125" fillId="0" borderId="0" xfId="370" applyNumberFormat="1" applyFont="1" applyFill="1" applyAlignment="1">
      <alignment vertical="center"/>
    </xf>
    <xf numFmtId="221" fontId="127" fillId="0" borderId="0" xfId="370" applyNumberFormat="1" applyFont="1" applyFill="1" applyAlignment="1">
      <alignment horizontal="left" vertical="center"/>
    </xf>
    <xf numFmtId="221" fontId="127" fillId="0" borderId="0" xfId="370" applyNumberFormat="1" applyFont="1" applyFill="1" applyAlignment="1">
      <alignment vertical="center"/>
    </xf>
    <xf numFmtId="220" fontId="127" fillId="0" borderId="0" xfId="370" applyFont="1" applyFill="1" applyAlignment="1">
      <alignment vertical="center"/>
    </xf>
    <xf numFmtId="221" fontId="232" fillId="0" borderId="0" xfId="370" applyNumberFormat="1" applyFont="1" applyFill="1" applyAlignment="1">
      <alignment horizontal="center" vertical="center"/>
    </xf>
    <xf numFmtId="220" fontId="232" fillId="0" borderId="0" xfId="370" applyFont="1" applyFill="1" applyAlignment="1">
      <alignment horizontal="right" vertical="center"/>
    </xf>
    <xf numFmtId="220" fontId="232" fillId="0" borderId="0" xfId="370" applyFont="1" applyFill="1" applyAlignment="1">
      <alignment vertical="center"/>
    </xf>
    <xf numFmtId="220" fontId="233" fillId="0" borderId="0" xfId="370" applyFont="1" applyFill="1" applyAlignment="1">
      <alignment vertical="center"/>
    </xf>
    <xf numFmtId="220" fontId="125" fillId="0" borderId="0" xfId="370" applyFont="1" applyFill="1" applyAlignment="1">
      <alignment vertical="center"/>
    </xf>
    <xf numFmtId="220" fontId="125" fillId="0" borderId="0" xfId="370" applyFont="1" applyFill="1" applyBorder="1" applyAlignment="1">
      <alignment vertical="center"/>
    </xf>
    <xf numFmtId="220" fontId="125" fillId="0" borderId="53" xfId="370" applyFont="1" applyFill="1" applyBorder="1" applyAlignment="1">
      <alignment vertical="center"/>
    </xf>
    <xf numFmtId="221" fontId="127" fillId="0" borderId="14" xfId="370" applyNumberFormat="1" applyFont="1" applyFill="1" applyBorder="1" applyAlignment="1">
      <alignment horizontal="center" vertical="center" wrapText="1"/>
    </xf>
    <xf numFmtId="220" fontId="127" fillId="0" borderId="14" xfId="370" applyFont="1" applyFill="1" applyBorder="1" applyAlignment="1">
      <alignment horizontal="center" vertical="center" wrapText="1"/>
    </xf>
    <xf numFmtId="221" fontId="234" fillId="0" borderId="0" xfId="370" applyNumberFormat="1" applyFont="1" applyFill="1" applyAlignment="1">
      <alignment vertical="center"/>
    </xf>
    <xf numFmtId="221" fontId="127" fillId="0" borderId="10" xfId="370" applyNumberFormat="1" applyFont="1" applyFill="1" applyBorder="1" applyAlignment="1">
      <alignment horizontal="center" vertical="center" wrapText="1"/>
    </xf>
    <xf numFmtId="220" fontId="127" fillId="0" borderId="9" xfId="370" applyFont="1" applyFill="1" applyBorder="1" applyAlignment="1">
      <alignment vertical="center" wrapText="1"/>
    </xf>
    <xf numFmtId="221" fontId="127" fillId="0" borderId="9" xfId="370" applyNumberFormat="1" applyFont="1" applyFill="1" applyBorder="1" applyAlignment="1">
      <alignment horizontal="center" vertical="center" wrapText="1"/>
    </xf>
    <xf numFmtId="221" fontId="127" fillId="0" borderId="9" xfId="370" quotePrefix="1" applyNumberFormat="1" applyFont="1" applyFill="1" applyBorder="1" applyAlignment="1">
      <alignment horizontal="center" vertical="center" wrapText="1"/>
    </xf>
    <xf numFmtId="221" fontId="125" fillId="0" borderId="9" xfId="370" quotePrefix="1" applyNumberFormat="1" applyFont="1" applyFill="1" applyBorder="1" applyAlignment="1">
      <alignment horizontal="center" vertical="center" wrapText="1"/>
    </xf>
    <xf numFmtId="220" fontId="125" fillId="0" borderId="9" xfId="370" applyFont="1" applyFill="1" applyBorder="1" applyAlignment="1">
      <alignment vertical="center" wrapText="1"/>
    </xf>
    <xf numFmtId="221" fontId="125" fillId="0" borderId="9" xfId="370" applyNumberFormat="1" applyFont="1" applyFill="1" applyBorder="1" applyAlignment="1">
      <alignment horizontal="center" vertical="center" wrapText="1"/>
    </xf>
    <xf numFmtId="221" fontId="126" fillId="0" borderId="9" xfId="370" quotePrefix="1" applyNumberFormat="1" applyFont="1" applyFill="1" applyBorder="1" applyAlignment="1">
      <alignment horizontal="center" vertical="center" wrapText="1"/>
    </xf>
    <xf numFmtId="220" fontId="126" fillId="0" borderId="9" xfId="370" applyFont="1" applyFill="1" applyBorder="1" applyAlignment="1">
      <alignment vertical="center" wrapText="1"/>
    </xf>
    <xf numFmtId="221" fontId="126" fillId="0" borderId="9" xfId="370" applyNumberFormat="1" applyFont="1" applyFill="1" applyBorder="1" applyAlignment="1">
      <alignment horizontal="center" vertical="center" wrapText="1"/>
    </xf>
    <xf numFmtId="220" fontId="128" fillId="0" borderId="0" xfId="370" applyFont="1" applyFill="1" applyAlignment="1">
      <alignment vertical="center"/>
    </xf>
    <xf numFmtId="220" fontId="126" fillId="0" borderId="0" xfId="370" applyFont="1" applyFill="1" applyAlignment="1">
      <alignment vertical="center"/>
    </xf>
    <xf numFmtId="0" fontId="126" fillId="0" borderId="9" xfId="375" applyFont="1" applyFill="1" applyBorder="1" applyAlignment="1">
      <alignment horizontal="left" vertical="center" wrapText="1"/>
    </xf>
    <xf numFmtId="220" fontId="125" fillId="0" borderId="9" xfId="370" applyFont="1" applyFill="1" applyBorder="1" applyAlignment="1">
      <alignment horizontal="left" vertical="center" wrapText="1"/>
    </xf>
    <xf numFmtId="237" fontId="126" fillId="0" borderId="9" xfId="370" applyNumberFormat="1" applyFont="1" applyFill="1" applyBorder="1" applyAlignment="1">
      <alignment horizontal="center" vertical="center" wrapText="1"/>
    </xf>
    <xf numFmtId="237" fontId="126" fillId="0" borderId="9" xfId="370" applyNumberFormat="1" applyFont="1" applyFill="1" applyBorder="1" applyAlignment="1">
      <alignment vertical="center" wrapText="1"/>
    </xf>
    <xf numFmtId="220" fontId="126" fillId="0" borderId="9" xfId="370" applyNumberFormat="1" applyFont="1" applyFill="1" applyBorder="1" applyAlignment="1">
      <alignment horizontal="center" vertical="center" wrapText="1"/>
    </xf>
    <xf numFmtId="237" fontId="126" fillId="0" borderId="0" xfId="370" applyNumberFormat="1" applyFont="1" applyFill="1" applyAlignment="1">
      <alignment vertical="center"/>
    </xf>
    <xf numFmtId="221" fontId="126" fillId="0" borderId="9" xfId="370" applyNumberFormat="1" applyFont="1" applyFill="1" applyBorder="1" applyAlignment="1">
      <alignment horizontal="right" vertical="center" wrapText="1"/>
    </xf>
    <xf numFmtId="11" fontId="125" fillId="0" borderId="9" xfId="430" applyNumberFormat="1" applyFont="1" applyFill="1" applyBorder="1" applyAlignment="1">
      <alignment vertical="center" wrapText="1"/>
    </xf>
    <xf numFmtId="221" fontId="126" fillId="0" borderId="29" xfId="370" quotePrefix="1" applyNumberFormat="1" applyFont="1" applyFill="1" applyBorder="1" applyAlignment="1">
      <alignment horizontal="center" vertical="center" wrapText="1"/>
    </xf>
    <xf numFmtId="11" fontId="126" fillId="0" borderId="9" xfId="430" applyNumberFormat="1" applyFont="1" applyFill="1" applyBorder="1" applyAlignment="1">
      <alignment vertical="center" wrapText="1"/>
    </xf>
    <xf numFmtId="221" fontId="126" fillId="0" borderId="29" xfId="370" applyNumberFormat="1" applyFont="1" applyFill="1" applyBorder="1" applyAlignment="1">
      <alignment horizontal="center" vertical="center" wrapText="1"/>
    </xf>
    <xf numFmtId="171" fontId="126" fillId="0" borderId="9" xfId="430" applyFont="1" applyFill="1" applyBorder="1" applyAlignment="1">
      <alignment vertical="center" wrapText="1"/>
    </xf>
    <xf numFmtId="221" fontId="127" fillId="0" borderId="29" xfId="370" quotePrefix="1" applyNumberFormat="1" applyFont="1" applyFill="1" applyBorder="1" applyAlignment="1">
      <alignment horizontal="center" vertical="center" wrapText="1"/>
    </xf>
    <xf numFmtId="171" fontId="127" fillId="0" borderId="9" xfId="430" applyFont="1" applyFill="1" applyBorder="1" applyAlignment="1">
      <alignment vertical="center" wrapText="1"/>
    </xf>
    <xf numFmtId="221" fontId="127" fillId="0" borderId="29" xfId="370" applyNumberFormat="1" applyFont="1" applyFill="1" applyBorder="1" applyAlignment="1">
      <alignment horizontal="center" vertical="center" wrapText="1"/>
    </xf>
    <xf numFmtId="0" fontId="127" fillId="0" borderId="9" xfId="375" applyFont="1" applyFill="1" applyBorder="1" applyAlignment="1">
      <alignment vertical="center" wrapText="1"/>
    </xf>
    <xf numFmtId="0" fontId="125" fillId="0" borderId="9" xfId="375" applyFont="1" applyFill="1" applyBorder="1" applyAlignment="1">
      <alignment vertical="center" wrapText="1"/>
    </xf>
    <xf numFmtId="49" fontId="125" fillId="0" borderId="9" xfId="375" quotePrefix="1" applyNumberFormat="1" applyFont="1" applyFill="1" applyBorder="1" applyAlignment="1">
      <alignment horizontal="center" vertical="center" wrapText="1"/>
    </xf>
    <xf numFmtId="49" fontId="125" fillId="0" borderId="9" xfId="375" applyNumberFormat="1" applyFont="1" applyFill="1" applyBorder="1" applyAlignment="1">
      <alignment horizontal="center" vertical="center" wrapText="1"/>
    </xf>
    <xf numFmtId="49" fontId="126" fillId="0" borderId="9" xfId="375" applyNumberFormat="1" applyFont="1" applyFill="1" applyBorder="1" applyAlignment="1">
      <alignment horizontal="center" vertical="center" wrapText="1"/>
    </xf>
    <xf numFmtId="0" fontId="126" fillId="0" borderId="9" xfId="375" applyFont="1" applyFill="1" applyBorder="1" applyAlignment="1">
      <alignment vertical="center" wrapText="1"/>
    </xf>
    <xf numFmtId="221" fontId="125" fillId="0" borderId="0" xfId="370" applyNumberFormat="1" applyFont="1" applyFill="1" applyAlignment="1">
      <alignment horizontal="center" vertical="center" wrapText="1"/>
    </xf>
    <xf numFmtId="221" fontId="125" fillId="0" borderId="9" xfId="370" applyNumberFormat="1" applyFont="1" applyFill="1" applyBorder="1" applyAlignment="1">
      <alignment vertical="center" wrapText="1"/>
    </xf>
    <xf numFmtId="221" fontId="125" fillId="0" borderId="26" xfId="370" applyNumberFormat="1" applyFont="1" applyFill="1" applyBorder="1" applyAlignment="1">
      <alignment horizontal="center" vertical="center" wrapText="1"/>
    </xf>
    <xf numFmtId="221" fontId="125" fillId="0" borderId="26" xfId="370" applyNumberFormat="1" applyFont="1" applyFill="1" applyBorder="1" applyAlignment="1">
      <alignment horizontal="left" vertical="center" wrapText="1"/>
    </xf>
    <xf numFmtId="221" fontId="125" fillId="0" borderId="0" xfId="370" applyNumberFormat="1" applyFont="1" applyFill="1" applyAlignment="1">
      <alignment vertical="center" wrapText="1"/>
    </xf>
    <xf numFmtId="237" fontId="125" fillId="0" borderId="0" xfId="370" applyNumberFormat="1" applyFont="1" applyFill="1" applyAlignment="1">
      <alignment vertical="center" wrapText="1"/>
    </xf>
    <xf numFmtId="220" fontId="125" fillId="0" borderId="0" xfId="370" applyFont="1" applyFill="1"/>
    <xf numFmtId="221" fontId="125" fillId="0" borderId="0" xfId="370" applyNumberFormat="1" applyFont="1" applyFill="1" applyAlignment="1">
      <alignment horizontal="center" vertical="center"/>
    </xf>
    <xf numFmtId="220" fontId="125" fillId="0" borderId="0" xfId="370" applyFont="1" applyFill="1" applyAlignment="1">
      <alignment horizontal="center" vertical="center" wrapText="1"/>
    </xf>
    <xf numFmtId="0" fontId="130" fillId="0" borderId="0" xfId="0" applyFont="1"/>
    <xf numFmtId="0" fontId="99" fillId="0" borderId="1" xfId="0" applyFont="1" applyFill="1" applyBorder="1" applyAlignment="1">
      <alignment horizontal="center" vertical="center" wrapText="1"/>
    </xf>
    <xf numFmtId="0" fontId="98" fillId="0" borderId="0" xfId="0" applyFont="1" applyFill="1" applyAlignment="1">
      <alignment horizontal="left" vertical="center"/>
    </xf>
    <xf numFmtId="0" fontId="99" fillId="0" borderId="4" xfId="0" applyFont="1" applyFill="1" applyBorder="1" applyAlignment="1">
      <alignment horizontal="center" vertical="center" wrapText="1"/>
    </xf>
    <xf numFmtId="167" fontId="98" fillId="0" borderId="0" xfId="5" applyNumberFormat="1" applyFont="1" applyFill="1" applyAlignment="1">
      <alignment vertical="top"/>
    </xf>
    <xf numFmtId="0" fontId="98" fillId="26" borderId="0" xfId="5" applyFont="1" applyFill="1" applyAlignment="1">
      <alignment vertical="center"/>
    </xf>
    <xf numFmtId="232" fontId="98" fillId="0" borderId="0" xfId="5" applyNumberFormat="1" applyFont="1" applyFill="1" applyAlignment="1">
      <alignment vertical="center"/>
    </xf>
    <xf numFmtId="167" fontId="98" fillId="26" borderId="0" xfId="5" applyNumberFormat="1" applyFont="1" applyFill="1" applyAlignment="1">
      <alignment vertical="center"/>
    </xf>
    <xf numFmtId="167" fontId="99" fillId="0" borderId="0" xfId="5" applyNumberFormat="1" applyFont="1" applyFill="1" applyBorder="1" applyAlignment="1">
      <alignment vertical="center"/>
    </xf>
    <xf numFmtId="224" fontId="98" fillId="0" borderId="0" xfId="5" applyNumberFormat="1" applyFont="1" applyFill="1" applyAlignment="1">
      <alignment vertical="center"/>
    </xf>
    <xf numFmtId="226" fontId="98" fillId="0" borderId="0" xfId="369" applyNumberFormat="1" applyFont="1" applyFill="1" applyAlignment="1">
      <alignment vertical="center"/>
    </xf>
    <xf numFmtId="225" fontId="98" fillId="0" borderId="0" xfId="5" applyNumberFormat="1" applyFont="1" applyFill="1" applyAlignment="1">
      <alignment vertical="center"/>
    </xf>
    <xf numFmtId="222" fontId="99" fillId="0" borderId="0" xfId="369" applyNumberFormat="1" applyFont="1" applyFill="1" applyAlignment="1">
      <alignment vertical="center"/>
    </xf>
    <xf numFmtId="233" fontId="98" fillId="0" borderId="0" xfId="5" applyNumberFormat="1" applyFont="1" applyFill="1" applyAlignment="1">
      <alignment vertical="center"/>
    </xf>
    <xf numFmtId="167" fontId="99" fillId="0" borderId="0" xfId="5" applyNumberFormat="1" applyFont="1" applyFill="1" applyAlignment="1">
      <alignment vertical="center"/>
    </xf>
    <xf numFmtId="231" fontId="98" fillId="0" borderId="0" xfId="5" applyNumberFormat="1" applyFont="1" applyFill="1" applyAlignment="1">
      <alignment vertical="center"/>
    </xf>
    <xf numFmtId="167" fontId="122" fillId="0" borderId="0" xfId="5" applyNumberFormat="1" applyFont="1" applyFill="1" applyAlignment="1">
      <alignment vertical="center"/>
    </xf>
    <xf numFmtId="167" fontId="100" fillId="0" borderId="0" xfId="5" applyNumberFormat="1" applyFont="1" applyFill="1" applyAlignment="1">
      <alignment vertical="center"/>
    </xf>
    <xf numFmtId="167" fontId="131" fillId="0" borderId="0" xfId="5" applyNumberFormat="1" applyFont="1" applyFill="1" applyAlignment="1">
      <alignment vertical="center"/>
    </xf>
    <xf numFmtId="167" fontId="98" fillId="25" borderId="26" xfId="5" applyNumberFormat="1" applyFont="1" applyFill="1" applyBorder="1" applyAlignment="1">
      <alignment vertical="center"/>
    </xf>
    <xf numFmtId="222" fontId="213" fillId="0" borderId="0" xfId="0" applyNumberFormat="1" applyFont="1" applyFill="1"/>
    <xf numFmtId="0" fontId="214" fillId="25" borderId="0" xfId="0" applyFont="1" applyFill="1" applyAlignment="1">
      <alignment horizontal="right" vertical="center"/>
    </xf>
    <xf numFmtId="0" fontId="213" fillId="26" borderId="0" xfId="0" applyFont="1" applyFill="1"/>
    <xf numFmtId="222" fontId="213" fillId="26" borderId="0" xfId="0" applyNumberFormat="1" applyFont="1" applyFill="1"/>
    <xf numFmtId="222" fontId="214" fillId="26" borderId="0" xfId="0" applyNumberFormat="1" applyFont="1" applyFill="1"/>
    <xf numFmtId="0" fontId="214" fillId="26" borderId="0" xfId="0" applyFont="1" applyFill="1"/>
    <xf numFmtId="222" fontId="214" fillId="25" borderId="0" xfId="0" applyNumberFormat="1" applyFont="1" applyFill="1"/>
    <xf numFmtId="226" fontId="214" fillId="26" borderId="0" xfId="0" applyNumberFormat="1" applyFont="1" applyFill="1"/>
    <xf numFmtId="227" fontId="214" fillId="25" borderId="0" xfId="0" applyNumberFormat="1" applyFont="1" applyFill="1"/>
    <xf numFmtId="223" fontId="213" fillId="25" borderId="0" xfId="0" applyNumberFormat="1" applyFont="1" applyFill="1"/>
    <xf numFmtId="171" fontId="214" fillId="25" borderId="0" xfId="0" applyNumberFormat="1" applyFont="1" applyFill="1"/>
    <xf numFmtId="0" fontId="215" fillId="25" borderId="9" xfId="0" applyFont="1" applyFill="1" applyBorder="1" applyAlignment="1">
      <alignment horizontal="center" vertical="center" wrapText="1"/>
    </xf>
    <xf numFmtId="0" fontId="183" fillId="0" borderId="9" xfId="5" applyFont="1" applyFill="1" applyBorder="1" applyAlignment="1">
      <alignment vertical="center" wrapText="1"/>
    </xf>
    <xf numFmtId="223" fontId="215" fillId="25" borderId="9" xfId="369" applyNumberFormat="1" applyFont="1" applyFill="1" applyBorder="1" applyAlignment="1">
      <alignment horizontal="center" vertical="center" wrapText="1"/>
    </xf>
    <xf numFmtId="221" fontId="215" fillId="25" borderId="9" xfId="369" applyNumberFormat="1" applyFont="1" applyFill="1" applyBorder="1" applyAlignment="1">
      <alignment horizontal="center" vertical="center" wrapText="1"/>
    </xf>
    <xf numFmtId="0" fontId="215" fillId="25" borderId="0" xfId="0" applyFont="1" applyFill="1"/>
    <xf numFmtId="0" fontId="217" fillId="25" borderId="0" xfId="0" applyFont="1" applyFill="1"/>
    <xf numFmtId="0" fontId="214" fillId="0" borderId="0" xfId="0" applyFont="1" applyFill="1"/>
    <xf numFmtId="222" fontId="214" fillId="0" borderId="0" xfId="0" applyNumberFormat="1" applyFont="1" applyFill="1"/>
    <xf numFmtId="0" fontId="236" fillId="0" borderId="0" xfId="0" applyFont="1" applyFill="1" applyAlignment="1">
      <alignment vertical="center"/>
    </xf>
    <xf numFmtId="171" fontId="99" fillId="0" borderId="0" xfId="369" applyFont="1" applyFill="1" applyAlignment="1">
      <alignment vertical="center"/>
    </xf>
    <xf numFmtId="169" fontId="99" fillId="0" borderId="0" xfId="0" applyNumberFormat="1" applyFont="1" applyFill="1" applyAlignment="1">
      <alignment vertical="center"/>
    </xf>
    <xf numFmtId="171" fontId="218" fillId="0" borderId="0" xfId="369" applyFont="1" applyFill="1" applyAlignment="1">
      <alignment vertical="center"/>
    </xf>
    <xf numFmtId="227" fontId="150" fillId="0" borderId="0" xfId="369" applyNumberFormat="1" applyFont="1" applyFill="1" applyAlignment="1">
      <alignment vertical="center"/>
    </xf>
    <xf numFmtId="0" fontId="180" fillId="0" borderId="0" xfId="0" applyFont="1" applyFill="1" applyAlignment="1">
      <alignment vertical="center"/>
    </xf>
    <xf numFmtId="0" fontId="238" fillId="0" borderId="0" xfId="0" applyFont="1" applyFill="1" applyAlignment="1">
      <alignment vertical="center"/>
    </xf>
    <xf numFmtId="222" fontId="154" fillId="0" borderId="0" xfId="369" applyNumberFormat="1" applyFont="1" applyFill="1" applyAlignment="1">
      <alignment vertical="center"/>
    </xf>
    <xf numFmtId="222" fontId="172" fillId="0" borderId="0" xfId="369" applyNumberFormat="1" applyFont="1" applyFill="1" applyAlignment="1">
      <alignment vertical="center"/>
    </xf>
    <xf numFmtId="0" fontId="183" fillId="0" borderId="0" xfId="0" applyFont="1" applyFill="1" applyAlignment="1">
      <alignment vertical="center"/>
    </xf>
    <xf numFmtId="0" fontId="239" fillId="0" borderId="0" xfId="0" applyFont="1" applyFill="1" applyAlignment="1">
      <alignment vertical="center"/>
    </xf>
    <xf numFmtId="171" fontId="98" fillId="25" borderId="1" xfId="369" applyFont="1" applyFill="1" applyBorder="1" applyAlignment="1">
      <alignment vertical="center" wrapText="1"/>
    </xf>
    <xf numFmtId="220" fontId="234" fillId="25" borderId="53" xfId="370" applyFont="1" applyFill="1" applyBorder="1" applyAlignment="1">
      <alignment vertical="center"/>
    </xf>
    <xf numFmtId="220" fontId="127" fillId="0" borderId="53" xfId="370" applyFont="1" applyFill="1" applyBorder="1" applyAlignment="1">
      <alignment vertical="center"/>
    </xf>
    <xf numFmtId="220" fontId="127" fillId="0" borderId="0" xfId="370" applyFont="1" applyFill="1" applyBorder="1" applyAlignment="1">
      <alignment vertical="center"/>
    </xf>
    <xf numFmtId="221" fontId="127" fillId="0" borderId="53" xfId="370" applyNumberFormat="1" applyFont="1" applyFill="1" applyBorder="1" applyAlignment="1">
      <alignment horizontal="center" vertical="center" wrapText="1"/>
    </xf>
    <xf numFmtId="221" fontId="127" fillId="0" borderId="0" xfId="370" applyNumberFormat="1" applyFont="1" applyFill="1" applyBorder="1" applyAlignment="1">
      <alignment horizontal="center" vertical="center" wrapText="1"/>
    </xf>
    <xf numFmtId="221" fontId="125" fillId="0" borderId="0" xfId="370" applyNumberFormat="1"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1" fillId="0" borderId="9" xfId="0" applyFont="1" applyFill="1" applyBorder="1" applyAlignment="1">
      <alignment vertical="center" wrapText="1"/>
    </xf>
    <xf numFmtId="222" fontId="101" fillId="0" borderId="9" xfId="369" applyNumberFormat="1" applyFont="1" applyFill="1" applyBorder="1" applyAlignment="1">
      <alignment horizontal="center" vertical="center" wrapText="1"/>
    </xf>
    <xf numFmtId="223" fontId="101" fillId="0" borderId="9" xfId="369" applyNumberFormat="1" applyFont="1" applyFill="1" applyBorder="1" applyAlignment="1">
      <alignment horizontal="center" vertical="center" wrapText="1"/>
    </xf>
    <xf numFmtId="221" fontId="101" fillId="0" borderId="9" xfId="369" applyNumberFormat="1" applyFont="1" applyFill="1" applyBorder="1" applyAlignment="1">
      <alignment horizontal="center" vertical="center" wrapText="1"/>
    </xf>
    <xf numFmtId="0" fontId="101" fillId="0" borderId="27" xfId="0" applyFont="1" applyFill="1" applyBorder="1" applyAlignment="1">
      <alignment vertical="center" wrapText="1"/>
    </xf>
    <xf numFmtId="222" fontId="242" fillId="0" borderId="9" xfId="369" applyNumberFormat="1" applyFont="1" applyFill="1" applyBorder="1" applyAlignment="1">
      <alignment horizontal="center" vertical="center" wrapText="1"/>
    </xf>
    <xf numFmtId="223" fontId="242" fillId="0" borderId="9" xfId="369" applyNumberFormat="1" applyFont="1" applyFill="1" applyBorder="1" applyAlignment="1">
      <alignment horizontal="center" vertical="center" wrapText="1"/>
    </xf>
    <xf numFmtId="0" fontId="242" fillId="0" borderId="0" xfId="0" applyFont="1" applyFill="1"/>
    <xf numFmtId="0" fontId="98" fillId="0" borderId="0" xfId="0" applyFont="1" applyFill="1" applyAlignment="1">
      <alignment horizontal="left" vertical="center"/>
    </xf>
    <xf numFmtId="0" fontId="107" fillId="0" borderId="0" xfId="5" applyFont="1" applyFill="1" applyAlignment="1">
      <alignment horizontal="center" vertical="center" wrapText="1"/>
    </xf>
    <xf numFmtId="0" fontId="99" fillId="0" borderId="0" xfId="0" applyFont="1" applyFill="1" applyAlignment="1">
      <alignment horizontal="right" vertical="center"/>
    </xf>
    <xf numFmtId="0" fontId="230" fillId="0" borderId="0" xfId="1" applyFont="1" applyAlignment="1">
      <alignment vertical="center"/>
    </xf>
    <xf numFmtId="0" fontId="243" fillId="0" borderId="0" xfId="1" applyFont="1" applyBorder="1" applyAlignment="1">
      <alignment horizontal="center" vertical="center"/>
    </xf>
    <xf numFmtId="0" fontId="230" fillId="0" borderId="0" xfId="2" applyFont="1" applyBorder="1" applyAlignment="1">
      <alignment horizontal="center" vertical="center" wrapText="1"/>
    </xf>
    <xf numFmtId="0" fontId="230" fillId="0" borderId="53" xfId="2" applyFont="1" applyBorder="1" applyAlignment="1">
      <alignment horizontal="center" vertical="center" wrapText="1"/>
    </xf>
    <xf numFmtId="0" fontId="230" fillId="0" borderId="0" xfId="2" quotePrefix="1" applyFont="1" applyBorder="1" applyAlignment="1">
      <alignment horizontal="center" vertical="center"/>
    </xf>
    <xf numFmtId="0" fontId="203" fillId="26" borderId="0" xfId="1" applyFont="1" applyFill="1" applyAlignment="1">
      <alignment horizontal="center" vertical="center"/>
    </xf>
    <xf numFmtId="167" fontId="230" fillId="0" borderId="0" xfId="2" applyNumberFormat="1" applyFont="1" applyBorder="1" applyAlignment="1">
      <alignment horizontal="center" vertical="center"/>
    </xf>
    <xf numFmtId="167" fontId="203" fillId="0" borderId="0" xfId="1" applyNumberFormat="1" applyFont="1" applyAlignment="1">
      <alignment horizontal="center" vertical="center"/>
    </xf>
    <xf numFmtId="0" fontId="202" fillId="26" borderId="0" xfId="1" applyFont="1" applyFill="1" applyAlignment="1">
      <alignment horizontal="center" vertical="center"/>
    </xf>
    <xf numFmtId="222" fontId="205" fillId="26" borderId="0" xfId="369" applyNumberFormat="1" applyFont="1" applyFill="1" applyAlignment="1">
      <alignment vertical="center"/>
    </xf>
    <xf numFmtId="167" fontId="200" fillId="0" borderId="0" xfId="1" applyNumberFormat="1" applyFont="1" applyBorder="1" applyAlignment="1">
      <alignment vertical="center"/>
    </xf>
    <xf numFmtId="0" fontId="245" fillId="26" borderId="0" xfId="1" applyFont="1" applyFill="1" applyAlignment="1">
      <alignment vertical="center"/>
    </xf>
    <xf numFmtId="167" fontId="246" fillId="0" borderId="0" xfId="1" applyNumberFormat="1" applyFont="1" applyBorder="1" applyAlignment="1">
      <alignment vertical="center"/>
    </xf>
    <xf numFmtId="0" fontId="210" fillId="26" borderId="0" xfId="1" applyFont="1" applyFill="1" applyAlignment="1">
      <alignment vertical="center"/>
    </xf>
    <xf numFmtId="167" fontId="245" fillId="26" borderId="0" xfId="1" applyNumberFormat="1" applyFont="1" applyFill="1" applyAlignment="1">
      <alignment vertical="center"/>
    </xf>
    <xf numFmtId="222" fontId="245" fillId="26" borderId="0" xfId="1" applyNumberFormat="1" applyFont="1" applyFill="1" applyAlignment="1">
      <alignment vertical="center"/>
    </xf>
    <xf numFmtId="222" fontId="206" fillId="0" borderId="0" xfId="1" applyNumberFormat="1" applyFont="1" applyAlignment="1">
      <alignment vertical="center"/>
    </xf>
    <xf numFmtId="236" fontId="206" fillId="0" borderId="0" xfId="1" applyNumberFormat="1" applyFont="1" applyAlignment="1">
      <alignment vertical="center"/>
    </xf>
    <xf numFmtId="223" fontId="206" fillId="0" borderId="0" xfId="1" applyNumberFormat="1" applyFont="1" applyAlignment="1">
      <alignment vertical="center"/>
    </xf>
    <xf numFmtId="167" fontId="230" fillId="0" borderId="0" xfId="1" applyNumberFormat="1" applyFont="1" applyBorder="1" applyAlignment="1">
      <alignment vertical="center"/>
    </xf>
    <xf numFmtId="221" fontId="230" fillId="0" borderId="0" xfId="370" applyNumberFormat="1" applyFont="1" applyFill="1" applyBorder="1" applyAlignment="1">
      <alignment horizontal="center" vertical="center" wrapText="1"/>
    </xf>
    <xf numFmtId="191" fontId="230" fillId="25" borderId="0" xfId="115" applyNumberFormat="1" applyFont="1" applyFill="1" applyBorder="1" applyAlignment="1">
      <alignment vertical="center" wrapText="1"/>
    </xf>
    <xf numFmtId="232" fontId="208" fillId="0" borderId="0" xfId="1" applyNumberFormat="1" applyFont="1" applyAlignment="1">
      <alignment vertical="center"/>
    </xf>
    <xf numFmtId="167" fontId="200" fillId="0" borderId="0" xfId="1" quotePrefix="1" applyNumberFormat="1" applyFont="1" applyBorder="1" applyAlignment="1">
      <alignment horizontal="right" vertical="center"/>
    </xf>
    <xf numFmtId="167" fontId="204" fillId="0" borderId="0" xfId="1" applyNumberFormat="1" applyFont="1" applyAlignment="1">
      <alignment vertical="center"/>
    </xf>
    <xf numFmtId="167" fontId="210" fillId="0" borderId="0" xfId="1" applyNumberFormat="1" applyFont="1" applyAlignment="1">
      <alignment vertical="center"/>
    </xf>
    <xf numFmtId="167" fontId="211" fillId="0" borderId="0" xfId="1" applyNumberFormat="1" applyFont="1" applyAlignment="1">
      <alignment vertical="center"/>
    </xf>
    <xf numFmtId="222" fontId="200" fillId="0" borderId="0" xfId="369" applyNumberFormat="1" applyFont="1" applyBorder="1" applyAlignment="1">
      <alignment vertical="center"/>
    </xf>
    <xf numFmtId="0" fontId="200" fillId="0" borderId="0" xfId="1" applyFont="1" applyBorder="1" applyAlignment="1">
      <alignment horizontal="left" vertical="center" wrapText="1"/>
    </xf>
    <xf numFmtId="0" fontId="108" fillId="0" borderId="0" xfId="0" applyFont="1" applyFill="1" applyAlignment="1"/>
    <xf numFmtId="0" fontId="107" fillId="0" borderId="0" xfId="0" applyFont="1" applyFill="1" applyAlignment="1">
      <alignment horizontal="center" vertical="center"/>
    </xf>
    <xf numFmtId="0" fontId="111" fillId="0" borderId="0" xfId="0" applyFont="1" applyFill="1"/>
    <xf numFmtId="0" fontId="101" fillId="0" borderId="0" xfId="0" applyFont="1" applyFill="1" applyAlignment="1"/>
    <xf numFmtId="0" fontId="99" fillId="25" borderId="0" xfId="0" applyFont="1" applyFill="1" applyAlignment="1">
      <alignment horizontal="right" vertical="center"/>
    </xf>
    <xf numFmtId="0" fontId="213" fillId="25" borderId="0" xfId="0" applyFont="1" applyFill="1" applyAlignment="1"/>
    <xf numFmtId="0" fontId="183" fillId="0" borderId="0" xfId="0" applyFont="1" applyFill="1" applyAlignment="1">
      <alignment horizontal="right" vertical="center"/>
    </xf>
    <xf numFmtId="0" fontId="179" fillId="0" borderId="1" xfId="0" applyFont="1" applyFill="1" applyBorder="1" applyAlignment="1">
      <alignment horizontal="center" vertical="center" wrapText="1"/>
    </xf>
    <xf numFmtId="0" fontId="179" fillId="25" borderId="1" xfId="0" applyFont="1" applyFill="1" applyBorder="1" applyAlignment="1">
      <alignment horizontal="center" vertical="center" wrapText="1"/>
    </xf>
    <xf numFmtId="0" fontId="180" fillId="0" borderId="1" xfId="0" quotePrefix="1" applyFont="1" applyFill="1" applyBorder="1" applyAlignment="1">
      <alignment horizontal="center" vertical="center" wrapText="1"/>
    </xf>
    <xf numFmtId="0" fontId="180" fillId="25" borderId="1" xfId="0" quotePrefix="1" applyFont="1" applyFill="1" applyBorder="1" applyAlignment="1">
      <alignment horizontal="center" vertical="center" wrapText="1"/>
    </xf>
    <xf numFmtId="0" fontId="115" fillId="0" borderId="21" xfId="0" applyFont="1" applyFill="1" applyBorder="1" applyAlignment="1">
      <alignment horizontal="center" vertical="center" wrapText="1"/>
    </xf>
    <xf numFmtId="0" fontId="115" fillId="0" borderId="21" xfId="0" applyFont="1" applyFill="1" applyBorder="1" applyAlignment="1">
      <alignment vertical="center" wrapText="1"/>
    </xf>
    <xf numFmtId="0" fontId="5" fillId="0" borderId="21" xfId="0" applyFont="1" applyFill="1" applyBorder="1" applyAlignment="1">
      <alignment horizontal="center" vertical="center" wrapText="1"/>
    </xf>
    <xf numFmtId="222" fontId="115" fillId="0" borderId="22" xfId="429" applyNumberFormat="1" applyFont="1" applyFill="1" applyBorder="1" applyAlignment="1">
      <alignment horizontal="right" vertical="center" wrapText="1"/>
    </xf>
    <xf numFmtId="222" fontId="115" fillId="0" borderId="21" xfId="0" applyNumberFormat="1" applyFont="1" applyFill="1" applyBorder="1" applyAlignment="1">
      <alignment horizontal="center" vertical="center" wrapText="1"/>
    </xf>
    <xf numFmtId="222" fontId="115" fillId="25" borderId="22" xfId="429" applyNumberFormat="1" applyFont="1" applyFill="1" applyBorder="1" applyAlignment="1">
      <alignment horizontal="right" vertical="center" wrapText="1"/>
    </xf>
    <xf numFmtId="223" fontId="115" fillId="25" borderId="21" xfId="429" applyNumberFormat="1" applyFont="1" applyFill="1" applyBorder="1" applyAlignment="1">
      <alignment horizontal="center" vertical="center" wrapText="1"/>
    </xf>
    <xf numFmtId="223" fontId="115" fillId="25" borderId="22" xfId="429" applyNumberFormat="1" applyFont="1" applyFill="1" applyBorder="1" applyAlignment="1">
      <alignment horizontal="right" vertical="center" wrapText="1"/>
    </xf>
    <xf numFmtId="222" fontId="163" fillId="25" borderId="22" xfId="429" applyNumberFormat="1" applyFont="1" applyFill="1" applyBorder="1" applyAlignment="1">
      <alignment horizontal="right" vertical="center" wrapText="1"/>
    </xf>
    <xf numFmtId="171" fontId="101" fillId="0" borderId="0" xfId="369" applyFont="1" applyFill="1"/>
    <xf numFmtId="0" fontId="115" fillId="0" borderId="22" xfId="0" applyFont="1" applyFill="1" applyBorder="1" applyAlignment="1">
      <alignment horizontal="center" vertical="center" wrapText="1"/>
    </xf>
    <xf numFmtId="0" fontId="115"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5" fillId="25" borderId="22" xfId="0" applyFont="1" applyFill="1" applyBorder="1" applyAlignment="1">
      <alignment horizontal="center" vertical="center" wrapText="1"/>
    </xf>
    <xf numFmtId="223" fontId="5" fillId="25" borderId="22" xfId="429" applyNumberFormat="1" applyFont="1" applyFill="1" applyBorder="1" applyAlignment="1">
      <alignment horizontal="center" vertical="center" wrapText="1"/>
    </xf>
    <xf numFmtId="0" fontId="164" fillId="25" borderId="22" xfId="0" applyFont="1" applyFill="1" applyBorder="1" applyAlignment="1">
      <alignment horizontal="center" vertical="center" wrapText="1"/>
    </xf>
    <xf numFmtId="0" fontId="172" fillId="0" borderId="22" xfId="0" applyFont="1" applyFill="1" applyBorder="1" applyAlignment="1">
      <alignment vertical="center" wrapText="1"/>
    </xf>
    <xf numFmtId="223" fontId="172" fillId="0" borderId="22" xfId="429" applyNumberFormat="1" applyFont="1" applyFill="1" applyBorder="1" applyAlignment="1">
      <alignment horizontal="center" vertical="center"/>
    </xf>
    <xf numFmtId="223" fontId="172" fillId="25" borderId="22" xfId="429" applyNumberFormat="1" applyFont="1" applyFill="1" applyBorder="1" applyAlignment="1">
      <alignment horizontal="center" vertical="center"/>
    </xf>
    <xf numFmtId="0" fontId="5" fillId="0" borderId="22" xfId="0" applyFont="1" applyFill="1" applyBorder="1" applyAlignment="1">
      <alignment vertical="center" wrapText="1"/>
    </xf>
    <xf numFmtId="223" fontId="5" fillId="25" borderId="22" xfId="429" applyNumberFormat="1" applyFont="1" applyFill="1" applyBorder="1" applyAlignment="1">
      <alignment horizontal="right" vertical="center" wrapText="1"/>
    </xf>
    <xf numFmtId="222" fontId="5" fillId="0" borderId="22" xfId="429" applyNumberFormat="1" applyFont="1" applyFill="1" applyBorder="1" applyAlignment="1">
      <alignment horizontal="right" vertical="center" wrapText="1"/>
    </xf>
    <xf numFmtId="222" fontId="5" fillId="25" borderId="22" xfId="429" applyNumberFormat="1" applyFont="1" applyFill="1" applyBorder="1" applyAlignment="1">
      <alignment horizontal="right" vertical="center" wrapText="1"/>
    </xf>
    <xf numFmtId="222" fontId="164" fillId="25" borderId="22" xfId="429" applyNumberFormat="1" applyFont="1" applyFill="1" applyBorder="1" applyAlignment="1">
      <alignment horizontal="right" vertical="center" wrapText="1"/>
    </xf>
    <xf numFmtId="222" fontId="101" fillId="0" borderId="0" xfId="0" applyNumberFormat="1" applyFont="1" applyFill="1"/>
    <xf numFmtId="0" fontId="5" fillId="25" borderId="22" xfId="0" applyFont="1" applyFill="1" applyBorder="1" applyAlignment="1">
      <alignment vertical="center" wrapText="1"/>
    </xf>
    <xf numFmtId="3" fontId="5" fillId="25" borderId="22" xfId="0" applyNumberFormat="1" applyFont="1" applyFill="1" applyBorder="1" applyAlignment="1">
      <alignment horizontal="left" vertical="center" wrapText="1"/>
    </xf>
    <xf numFmtId="222" fontId="115" fillId="0" borderId="22" xfId="0" applyNumberFormat="1" applyFont="1" applyFill="1" applyBorder="1" applyAlignment="1">
      <alignment horizontal="center" vertical="center" wrapText="1"/>
    </xf>
    <xf numFmtId="223" fontId="115" fillId="25" borderId="22" xfId="369" applyNumberFormat="1" applyFont="1" applyFill="1" applyBorder="1" applyAlignment="1">
      <alignment horizontal="right" vertical="center" wrapText="1"/>
    </xf>
    <xf numFmtId="0" fontId="5" fillId="0" borderId="22" xfId="0" quotePrefix="1" applyFont="1" applyFill="1" applyBorder="1" applyAlignment="1">
      <alignment horizontal="center" vertical="center" wrapText="1"/>
    </xf>
    <xf numFmtId="222" fontId="5" fillId="0" borderId="22" xfId="429" applyNumberFormat="1" applyFont="1" applyFill="1" applyBorder="1" applyAlignment="1">
      <alignment horizontal="center" vertical="center" wrapText="1"/>
    </xf>
    <xf numFmtId="222" fontId="5" fillId="25" borderId="22" xfId="369" applyNumberFormat="1" applyFont="1" applyFill="1" applyBorder="1" applyAlignment="1">
      <alignment horizontal="center" vertical="center" wrapText="1"/>
    </xf>
    <xf numFmtId="222" fontId="5" fillId="25" borderId="22" xfId="369" applyNumberFormat="1" applyFont="1" applyFill="1" applyBorder="1" applyAlignment="1">
      <alignment horizontal="right" vertical="center" wrapText="1"/>
    </xf>
    <xf numFmtId="222" fontId="164" fillId="25" borderId="22" xfId="369" applyNumberFormat="1" applyFont="1" applyFill="1" applyBorder="1" applyAlignment="1">
      <alignment horizontal="right" vertical="center" wrapText="1"/>
    </xf>
    <xf numFmtId="222" fontId="111" fillId="0" borderId="0" xfId="369" applyNumberFormat="1" applyFont="1" applyFill="1"/>
    <xf numFmtId="0" fontId="101" fillId="0" borderId="0" xfId="0" applyFont="1" applyFill="1" applyAlignment="1">
      <alignment vertical="center"/>
    </xf>
    <xf numFmtId="222" fontId="213" fillId="0" borderId="0" xfId="369" applyNumberFormat="1" applyFont="1" applyFill="1" applyAlignment="1">
      <alignment vertical="center"/>
    </xf>
    <xf numFmtId="0" fontId="213" fillId="0" borderId="0" xfId="0" applyFont="1" applyFill="1" applyAlignment="1">
      <alignment vertical="center"/>
    </xf>
    <xf numFmtId="0" fontId="5" fillId="0" borderId="22" xfId="0" applyFont="1" applyBorder="1" applyAlignment="1">
      <alignment vertical="center" wrapText="1"/>
    </xf>
    <xf numFmtId="0" fontId="172" fillId="0" borderId="22" xfId="0" applyFont="1" applyFill="1" applyBorder="1" applyAlignment="1">
      <alignment horizontal="center" vertical="center" wrapText="1"/>
    </xf>
    <xf numFmtId="222" fontId="172" fillId="0" borderId="22" xfId="429" applyNumberFormat="1" applyFont="1" applyFill="1" applyBorder="1" applyAlignment="1">
      <alignment horizontal="right" vertical="center" wrapText="1"/>
    </xf>
    <xf numFmtId="222" fontId="172" fillId="25" borderId="22" xfId="429" applyNumberFormat="1" applyFont="1" applyFill="1" applyBorder="1" applyAlignment="1">
      <alignment horizontal="right" vertical="center" wrapText="1"/>
    </xf>
    <xf numFmtId="223" fontId="172" fillId="25" borderId="22" xfId="429" applyNumberFormat="1" applyFont="1" applyFill="1" applyBorder="1" applyAlignment="1">
      <alignment horizontal="right" vertical="center" wrapText="1"/>
    </xf>
    <xf numFmtId="0" fontId="215" fillId="0" borderId="0" xfId="0" applyFont="1" applyFill="1" applyAlignment="1">
      <alignment vertical="center"/>
    </xf>
    <xf numFmtId="222" fontId="111" fillId="0" borderId="0" xfId="0" applyNumberFormat="1" applyFont="1" applyFill="1"/>
    <xf numFmtId="0" fontId="164" fillId="0" borderId="22" xfId="0" applyFont="1" applyFill="1" applyBorder="1" applyAlignment="1">
      <alignment horizontal="center" vertical="center" wrapText="1"/>
    </xf>
    <xf numFmtId="0" fontId="164" fillId="0" borderId="22" xfId="0" applyFont="1" applyFill="1" applyBorder="1" applyAlignment="1">
      <alignment vertical="center" wrapText="1"/>
    </xf>
    <xf numFmtId="222" fontId="164" fillId="0" borderId="22" xfId="429" applyNumberFormat="1" applyFont="1" applyFill="1" applyBorder="1" applyAlignment="1">
      <alignment horizontal="center" vertical="center" wrapText="1"/>
    </xf>
    <xf numFmtId="222" fontId="164" fillId="0" borderId="22" xfId="429" applyNumberFormat="1" applyFont="1" applyFill="1" applyBorder="1" applyAlignment="1">
      <alignment horizontal="right" vertical="center" wrapText="1"/>
    </xf>
    <xf numFmtId="223" fontId="164" fillId="25" borderId="22" xfId="429" applyNumberFormat="1" applyFont="1" applyFill="1" applyBorder="1" applyAlignment="1">
      <alignment horizontal="right" vertical="center" wrapText="1"/>
    </xf>
    <xf numFmtId="3" fontId="5" fillId="0" borderId="22" xfId="371" applyNumberFormat="1" applyFont="1" applyFill="1" applyBorder="1" applyAlignment="1">
      <alignment vertical="center" wrapText="1"/>
    </xf>
    <xf numFmtId="3" fontId="5" fillId="0" borderId="22" xfId="371" applyNumberFormat="1" applyFont="1" applyFill="1" applyBorder="1" applyAlignment="1">
      <alignment horizontal="right" vertical="center" wrapText="1"/>
    </xf>
    <xf numFmtId="3" fontId="5" fillId="25" borderId="22" xfId="371" applyNumberFormat="1" applyFont="1" applyFill="1" applyBorder="1" applyAlignment="1">
      <alignment vertical="center" wrapText="1"/>
    </xf>
    <xf numFmtId="3" fontId="5" fillId="25" borderId="22" xfId="371" applyNumberFormat="1" applyFont="1" applyFill="1" applyBorder="1" applyAlignment="1">
      <alignment horizontal="right" vertical="center" wrapText="1"/>
    </xf>
    <xf numFmtId="3" fontId="164" fillId="25" borderId="22" xfId="371" applyNumberFormat="1" applyFont="1" applyFill="1" applyBorder="1" applyAlignment="1">
      <alignment horizontal="right" vertical="center" wrapText="1"/>
    </xf>
    <xf numFmtId="3" fontId="164" fillId="25" borderId="22" xfId="371" applyNumberFormat="1" applyFont="1" applyFill="1" applyBorder="1" applyAlignment="1">
      <alignment vertical="center" wrapText="1"/>
    </xf>
    <xf numFmtId="0" fontId="164" fillId="0" borderId="22" xfId="0" quotePrefix="1" applyFont="1" applyFill="1" applyBorder="1" applyAlignment="1">
      <alignment horizontal="center" vertical="center" wrapText="1"/>
    </xf>
    <xf numFmtId="0" fontId="164" fillId="25" borderId="22" xfId="0" applyFont="1" applyFill="1" applyBorder="1" applyAlignment="1">
      <alignment vertical="center" wrapText="1"/>
    </xf>
    <xf numFmtId="3" fontId="164" fillId="0" borderId="22" xfId="371" applyNumberFormat="1" applyFont="1" applyFill="1" applyBorder="1" applyAlignment="1">
      <alignment vertical="center" wrapText="1"/>
    </xf>
    <xf numFmtId="0" fontId="164" fillId="0" borderId="22" xfId="0" applyFont="1" applyBorder="1" applyAlignment="1">
      <alignment vertical="center" wrapText="1"/>
    </xf>
    <xf numFmtId="171" fontId="5" fillId="25" borderId="22" xfId="369" applyFont="1" applyFill="1" applyBorder="1" applyAlignment="1">
      <alignment horizontal="center" vertical="center" wrapText="1"/>
    </xf>
    <xf numFmtId="0" fontId="172" fillId="25" borderId="22" xfId="0" applyFont="1" applyFill="1" applyBorder="1" applyAlignment="1">
      <alignment horizontal="center" vertical="center" wrapText="1"/>
    </xf>
    <xf numFmtId="0" fontId="172" fillId="25" borderId="22" xfId="0" applyFont="1" applyFill="1" applyBorder="1" applyAlignment="1">
      <alignment vertical="center" wrapText="1"/>
    </xf>
    <xf numFmtId="171" fontId="172" fillId="25" borderId="22" xfId="429" applyFont="1" applyFill="1" applyBorder="1" applyAlignment="1">
      <alignment horizontal="center" vertical="center" wrapText="1"/>
    </xf>
    <xf numFmtId="171" fontId="175" fillId="25" borderId="22" xfId="429" applyFont="1" applyFill="1" applyBorder="1" applyAlignment="1">
      <alignment horizontal="center" vertical="center" wrapText="1"/>
    </xf>
    <xf numFmtId="222" fontId="242" fillId="25" borderId="0" xfId="0" applyNumberFormat="1" applyFont="1" applyFill="1"/>
    <xf numFmtId="0" fontId="242" fillId="25" borderId="0" xfId="0" applyFont="1" applyFill="1"/>
    <xf numFmtId="171" fontId="5" fillId="0" borderId="22" xfId="429" applyFont="1" applyFill="1" applyBorder="1" applyAlignment="1">
      <alignment horizontal="center" vertical="center" wrapText="1"/>
    </xf>
    <xf numFmtId="3" fontId="5" fillId="25" borderId="22" xfId="429" applyNumberFormat="1" applyFont="1" applyFill="1" applyBorder="1" applyAlignment="1">
      <alignment horizontal="right" vertical="center" wrapText="1"/>
    </xf>
    <xf numFmtId="3" fontId="164" fillId="25" borderId="22" xfId="429" applyNumberFormat="1" applyFont="1" applyFill="1" applyBorder="1" applyAlignment="1">
      <alignment horizontal="right" vertical="center" wrapText="1"/>
    </xf>
    <xf numFmtId="3" fontId="5" fillId="25" borderId="22" xfId="369" applyNumberFormat="1" applyFont="1" applyFill="1" applyBorder="1" applyAlignment="1">
      <alignment vertical="center" wrapText="1"/>
    </xf>
    <xf numFmtId="171" fontId="5" fillId="25" borderId="22" xfId="369" applyFont="1" applyFill="1" applyBorder="1" applyAlignment="1">
      <alignment vertical="center" wrapText="1"/>
    </xf>
    <xf numFmtId="222" fontId="5" fillId="25" borderId="22" xfId="369" applyNumberFormat="1" applyFont="1" applyFill="1" applyBorder="1" applyAlignment="1">
      <alignment vertical="center" wrapText="1"/>
    </xf>
    <xf numFmtId="3" fontId="164" fillId="25" borderId="22" xfId="369" applyNumberFormat="1" applyFont="1" applyFill="1" applyBorder="1" applyAlignment="1">
      <alignment vertical="center" wrapText="1"/>
    </xf>
    <xf numFmtId="222" fontId="164" fillId="25" borderId="22" xfId="369" applyNumberFormat="1" applyFont="1" applyFill="1" applyBorder="1" applyAlignment="1">
      <alignment vertical="center" wrapText="1"/>
    </xf>
    <xf numFmtId="171" fontId="115" fillId="0" borderId="22" xfId="429" applyFont="1" applyFill="1" applyBorder="1" applyAlignment="1">
      <alignment horizontal="center" vertical="center" wrapText="1"/>
    </xf>
    <xf numFmtId="3" fontId="115" fillId="25" borderId="22" xfId="429" applyNumberFormat="1" applyFont="1" applyFill="1" applyBorder="1" applyAlignment="1">
      <alignment horizontal="right" vertical="center" wrapText="1"/>
    </xf>
    <xf numFmtId="3" fontId="163" fillId="25" borderId="22" xfId="429" applyNumberFormat="1" applyFont="1" applyFill="1" applyBorder="1" applyAlignment="1">
      <alignment horizontal="right" vertical="center" wrapText="1"/>
    </xf>
    <xf numFmtId="0" fontId="5" fillId="0" borderId="23" xfId="0" quotePrefix="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right" vertical="center" wrapText="1"/>
    </xf>
    <xf numFmtId="3" fontId="5" fillId="25" borderId="23" xfId="0" applyNumberFormat="1" applyFont="1" applyFill="1" applyBorder="1" applyAlignment="1">
      <alignment horizontal="right" vertical="center" wrapText="1"/>
    </xf>
    <xf numFmtId="3" fontId="164" fillId="25" borderId="23" xfId="0" applyNumberFormat="1" applyFont="1" applyFill="1" applyBorder="1" applyAlignment="1">
      <alignment horizontal="right" vertical="center" wrapText="1"/>
    </xf>
    <xf numFmtId="0" fontId="125" fillId="0" borderId="0" xfId="2" applyFont="1" applyFill="1" applyAlignment="1">
      <alignment vertical="center"/>
    </xf>
    <xf numFmtId="1" fontId="5" fillId="0" borderId="23" xfId="0" applyNumberFormat="1" applyFont="1" applyFill="1" applyBorder="1" applyAlignment="1">
      <alignment horizontal="right" vertical="center" wrapText="1"/>
    </xf>
    <xf numFmtId="171" fontId="5" fillId="25" borderId="23" xfId="369" applyFont="1" applyFill="1" applyBorder="1" applyAlignment="1">
      <alignment horizontal="right" vertical="center" wrapText="1"/>
    </xf>
    <xf numFmtId="0" fontId="98" fillId="0" borderId="24" xfId="0" applyFont="1" applyFill="1" applyBorder="1" applyAlignment="1">
      <alignment horizontal="center" vertical="center" wrapText="1"/>
    </xf>
    <xf numFmtId="0" fontId="98" fillId="0" borderId="24" xfId="0" applyFont="1" applyFill="1" applyBorder="1" applyAlignment="1">
      <alignment vertical="center" wrapText="1"/>
    </xf>
    <xf numFmtId="0" fontId="98" fillId="25" borderId="24" xfId="0" applyFont="1" applyFill="1" applyBorder="1" applyAlignment="1">
      <alignment horizontal="center" vertical="center" wrapText="1"/>
    </xf>
    <xf numFmtId="223" fontId="98" fillId="25" borderId="24" xfId="429" applyNumberFormat="1" applyFont="1" applyFill="1" applyBorder="1" applyAlignment="1">
      <alignment horizontal="center" vertical="center" wrapText="1"/>
    </xf>
    <xf numFmtId="0" fontId="180" fillId="25" borderId="24" xfId="0" applyFont="1" applyFill="1" applyBorder="1" applyAlignment="1">
      <alignment horizontal="center" vertical="center" wrapText="1"/>
    </xf>
    <xf numFmtId="0" fontId="218" fillId="0" borderId="0" xfId="0" applyFont="1" applyFill="1"/>
    <xf numFmtId="0" fontId="218" fillId="25" borderId="0" xfId="0" applyFont="1" applyFill="1"/>
    <xf numFmtId="0" fontId="249" fillId="0" borderId="0" xfId="0" applyFont="1" applyFill="1"/>
    <xf numFmtId="0" fontId="250" fillId="0" borderId="0" xfId="2" applyFont="1" applyFill="1" applyAlignment="1">
      <alignment vertical="center"/>
    </xf>
    <xf numFmtId="0" fontId="126" fillId="25"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251" fillId="0" borderId="0" xfId="0" applyFont="1" applyFill="1" applyAlignment="1">
      <alignment vertical="center" wrapText="1"/>
    </xf>
    <xf numFmtId="0" fontId="180" fillId="25" borderId="0" xfId="0" applyFont="1" applyFill="1" applyAlignment="1">
      <alignment horizontal="left" vertical="center"/>
    </xf>
    <xf numFmtId="0" fontId="236" fillId="0" borderId="0" xfId="0" applyFont="1" applyFill="1"/>
    <xf numFmtId="0" fontId="101" fillId="25" borderId="0" xfId="0" applyFont="1" applyFill="1"/>
    <xf numFmtId="0" fontId="252" fillId="25" borderId="0" xfId="2" applyFont="1" applyFill="1" applyAlignment="1">
      <alignment vertical="center"/>
    </xf>
    <xf numFmtId="221" fontId="125" fillId="0" borderId="0" xfId="370" applyNumberFormat="1" applyFont="1" applyFill="1" applyAlignment="1">
      <alignment horizontal="left" vertical="center" wrapText="1"/>
    </xf>
    <xf numFmtId="221" fontId="125" fillId="0" borderId="53" xfId="370" applyNumberFormat="1" applyFont="1" applyFill="1" applyBorder="1" applyAlignment="1">
      <alignment horizontal="center" vertical="center" wrapText="1"/>
    </xf>
    <xf numFmtId="220" fontId="125" fillId="0" borderId="1" xfId="370" applyFont="1" applyFill="1" applyBorder="1" applyAlignment="1">
      <alignment horizontal="center" vertical="center" wrapText="1"/>
    </xf>
    <xf numFmtId="220" fontId="234" fillId="0" borderId="0" xfId="370" applyFont="1" applyFill="1" applyAlignment="1">
      <alignment vertical="center"/>
    </xf>
    <xf numFmtId="0" fontId="111" fillId="0" borderId="1" xfId="0" applyFont="1" applyBorder="1" applyAlignment="1">
      <alignment horizontal="center" vertical="center" wrapText="1"/>
    </xf>
    <xf numFmtId="0" fontId="98" fillId="0" borderId="0" xfId="0" applyFont="1" applyAlignment="1">
      <alignment horizontal="center" vertical="center"/>
    </xf>
    <xf numFmtId="0" fontId="100" fillId="0" borderId="0" xfId="0" applyFont="1" applyAlignment="1">
      <alignment horizontal="center" vertical="center"/>
    </xf>
    <xf numFmtId="0" fontId="111" fillId="0" borderId="5" xfId="0" applyFont="1" applyBorder="1" applyAlignment="1">
      <alignment horizontal="center" vertical="center" wrapText="1"/>
    </xf>
    <xf numFmtId="0" fontId="111" fillId="0" borderId="7" xfId="0" applyFont="1" applyBorder="1" applyAlignment="1">
      <alignment horizontal="center" vertical="center" wrapText="1"/>
    </xf>
    <xf numFmtId="0" fontId="98" fillId="0" borderId="0" xfId="0" applyFont="1" applyAlignment="1">
      <alignment horizontal="left" vertical="center" wrapText="1"/>
    </xf>
    <xf numFmtId="0" fontId="99" fillId="0" borderId="0" xfId="0" applyFont="1" applyAlignment="1">
      <alignment horizontal="left" vertical="center"/>
    </xf>
    <xf numFmtId="0" fontId="107" fillId="0" borderId="0" xfId="0" applyFont="1" applyAlignment="1">
      <alignment horizontal="center" vertical="center"/>
    </xf>
    <xf numFmtId="0" fontId="244" fillId="26" borderId="53" xfId="1" applyFont="1" applyFill="1" applyBorder="1" applyAlignment="1">
      <alignment horizontal="center" vertical="center"/>
    </xf>
    <xf numFmtId="0" fontId="244" fillId="26" borderId="0" xfId="1" applyFont="1" applyFill="1" applyAlignment="1">
      <alignment horizontal="center" vertical="center"/>
    </xf>
    <xf numFmtId="0" fontId="163" fillId="0" borderId="1" xfId="1" applyFont="1" applyBorder="1" applyAlignment="1">
      <alignment horizontal="center" vertical="center"/>
    </xf>
    <xf numFmtId="0" fontId="179" fillId="0" borderId="1" xfId="2" applyFont="1" applyBorder="1" applyAlignment="1">
      <alignment horizontal="center" vertical="center" wrapText="1"/>
    </xf>
    <xf numFmtId="0" fontId="179" fillId="0" borderId="1" xfId="2" applyFont="1" applyFill="1" applyBorder="1" applyAlignment="1">
      <alignment horizontal="center" vertical="center" wrapText="1"/>
    </xf>
    <xf numFmtId="172" fontId="179" fillId="0" borderId="0" xfId="1" applyNumberFormat="1" applyFont="1" applyAlignment="1">
      <alignment horizontal="right" vertical="center"/>
    </xf>
    <xf numFmtId="0" fontId="179" fillId="0" borderId="0" xfId="1" applyFont="1" applyAlignment="1">
      <alignment horizontal="center" vertical="center"/>
    </xf>
    <xf numFmtId="0" fontId="183" fillId="0" borderId="3" xfId="1" applyFont="1" applyBorder="1" applyAlignment="1">
      <alignment horizontal="right" vertical="center"/>
    </xf>
    <xf numFmtId="0" fontId="179" fillId="0" borderId="4" xfId="1" applyFont="1" applyBorder="1" applyAlignment="1">
      <alignment horizontal="center" vertical="center"/>
    </xf>
    <xf numFmtId="0" fontId="179" fillId="0" borderId="2" xfId="1" applyFont="1" applyBorder="1" applyAlignment="1">
      <alignment horizontal="center" vertical="center"/>
    </xf>
    <xf numFmtId="0" fontId="179" fillId="0" borderId="8" xfId="1" applyFont="1" applyBorder="1" applyAlignment="1">
      <alignment horizontal="center" vertical="center"/>
    </xf>
    <xf numFmtId="49" fontId="179" fillId="0" borderId="1" xfId="1" applyNumberFormat="1" applyFont="1" applyBorder="1" applyAlignment="1">
      <alignment horizontal="center" vertical="center" wrapText="1"/>
    </xf>
    <xf numFmtId="0" fontId="179" fillId="0" borderId="5" xfId="0" applyFont="1" applyBorder="1" applyAlignment="1">
      <alignment horizontal="center" vertical="center" wrapText="1"/>
    </xf>
    <xf numFmtId="0" fontId="179" fillId="0" borderId="6" xfId="0" applyFont="1" applyBorder="1" applyAlignment="1">
      <alignment horizontal="center" vertical="center" wrapText="1"/>
    </xf>
    <xf numFmtId="0" fontId="179" fillId="0" borderId="7" xfId="0" applyFont="1" applyBorder="1" applyAlignment="1">
      <alignment horizontal="center" vertical="center" wrapText="1"/>
    </xf>
    <xf numFmtId="0" fontId="184" fillId="0" borderId="1" xfId="1" applyFont="1" applyBorder="1" applyAlignment="1">
      <alignment horizontal="center" vertical="center"/>
    </xf>
    <xf numFmtId="0" fontId="180" fillId="0" borderId="25" xfId="1" applyFont="1" applyBorder="1" applyAlignment="1">
      <alignment horizontal="left" vertical="center" wrapText="1"/>
    </xf>
    <xf numFmtId="0" fontId="180" fillId="0" borderId="0" xfId="0" applyFont="1" applyAlignment="1">
      <alignment horizontal="center" vertical="center"/>
    </xf>
    <xf numFmtId="0" fontId="98" fillId="0" borderId="0" xfId="0" applyFont="1" applyFill="1" applyAlignment="1">
      <alignment horizontal="left" vertical="center"/>
    </xf>
    <xf numFmtId="0" fontId="99" fillId="0" borderId="1" xfId="0" applyFont="1" applyFill="1" applyBorder="1" applyAlignment="1">
      <alignment horizontal="center" vertical="center" wrapText="1"/>
    </xf>
    <xf numFmtId="172" fontId="99" fillId="0" borderId="0" xfId="1" applyNumberFormat="1" applyFont="1" applyFill="1" applyAlignment="1">
      <alignment horizontal="right" vertical="center"/>
    </xf>
    <xf numFmtId="172" fontId="99" fillId="0" borderId="0" xfId="1" applyNumberFormat="1" applyFont="1" applyFill="1" applyAlignment="1">
      <alignment horizontal="right" vertical="top"/>
    </xf>
    <xf numFmtId="0" fontId="99" fillId="0" borderId="1" xfId="1" applyFont="1" applyFill="1" applyBorder="1" applyAlignment="1">
      <alignment horizontal="center" vertical="center" wrapText="1"/>
    </xf>
    <xf numFmtId="0" fontId="99" fillId="0" borderId="0" xfId="0" applyFont="1" applyFill="1" applyAlignment="1">
      <alignment horizontal="center" vertical="center" wrapText="1"/>
    </xf>
    <xf numFmtId="0" fontId="100" fillId="0" borderId="3" xfId="1" applyFont="1" applyFill="1" applyBorder="1" applyAlignment="1">
      <alignment horizontal="right" vertical="center"/>
    </xf>
    <xf numFmtId="0" fontId="241" fillId="0" borderId="0" xfId="5" applyFont="1" applyFill="1" applyAlignment="1">
      <alignment horizontal="center" vertical="center" wrapText="1"/>
    </xf>
    <xf numFmtId="0" fontId="99" fillId="0" borderId="1" xfId="2" applyNumberFormat="1" applyFont="1" applyFill="1" applyBorder="1" applyAlignment="1">
      <alignment horizontal="center" vertical="center" wrapText="1"/>
    </xf>
    <xf numFmtId="0" fontId="99" fillId="0" borderId="5" xfId="0" applyFont="1" applyFill="1" applyBorder="1" applyAlignment="1">
      <alignment horizontal="center" vertical="center"/>
    </xf>
    <xf numFmtId="0" fontId="99" fillId="0" borderId="6" xfId="0" applyFont="1" applyFill="1" applyBorder="1" applyAlignment="1">
      <alignment horizontal="center" vertical="center"/>
    </xf>
    <xf numFmtId="0" fontId="99" fillId="0" borderId="7" xfId="0" applyFont="1" applyFill="1" applyBorder="1" applyAlignment="1">
      <alignment horizontal="center" vertical="center"/>
    </xf>
    <xf numFmtId="0" fontId="99" fillId="25" borderId="1" xfId="2" applyNumberFormat="1" applyFont="1" applyFill="1" applyBorder="1" applyAlignment="1">
      <alignment horizontal="center" vertical="center" wrapText="1"/>
    </xf>
    <xf numFmtId="167" fontId="240" fillId="0" borderId="0" xfId="5" applyNumberFormat="1" applyFont="1" applyFill="1" applyAlignment="1">
      <alignment horizontal="center" vertical="center" wrapText="1"/>
    </xf>
    <xf numFmtId="0" fontId="107" fillId="0" borderId="0" xfId="5" applyFont="1" applyFill="1" applyAlignment="1">
      <alignment horizontal="center" vertical="center" wrapText="1"/>
    </xf>
    <xf numFmtId="0" fontId="99" fillId="0" borderId="1" xfId="5" applyNumberFormat="1" applyFont="1" applyFill="1" applyBorder="1" applyAlignment="1">
      <alignment horizontal="center" vertical="center" wrapText="1"/>
    </xf>
    <xf numFmtId="0" fontId="235" fillId="26" borderId="0" xfId="5" applyFont="1" applyFill="1" applyAlignment="1">
      <alignment horizontal="center" vertical="center" wrapText="1"/>
    </xf>
    <xf numFmtId="0" fontId="235" fillId="26" borderId="3" xfId="5" applyFont="1" applyFill="1" applyBorder="1" applyAlignment="1">
      <alignment horizontal="center" vertical="center" wrapText="1"/>
    </xf>
    <xf numFmtId="0" fontId="183" fillId="25" borderId="3" xfId="0" applyFont="1" applyFill="1" applyBorder="1" applyAlignment="1">
      <alignment horizontal="center" vertical="center"/>
    </xf>
    <xf numFmtId="0" fontId="107" fillId="0" borderId="0" xfId="230" applyNumberFormat="1" applyFont="1" applyFill="1" applyAlignment="1"/>
    <xf numFmtId="0" fontId="107" fillId="0" borderId="0" xfId="0" applyFont="1" applyFill="1" applyAlignment="1">
      <alignment horizontal="center" vertical="center"/>
    </xf>
    <xf numFmtId="0" fontId="107" fillId="25" borderId="0" xfId="0" applyFont="1" applyFill="1" applyAlignment="1">
      <alignment horizontal="right" vertical="center"/>
    </xf>
    <xf numFmtId="0" fontId="107" fillId="0" borderId="0" xfId="230" applyNumberFormat="1" applyFont="1" applyFill="1" applyAlignment="1">
      <alignment horizontal="left"/>
    </xf>
    <xf numFmtId="0" fontId="247" fillId="0" borderId="0" xfId="0" applyFont="1" applyFill="1" applyAlignment="1">
      <alignment horizontal="center" vertical="center" wrapText="1"/>
    </xf>
    <xf numFmtId="0" fontId="129" fillId="0" borderId="53" xfId="0" applyFont="1" applyFill="1" applyBorder="1" applyAlignment="1">
      <alignment horizontal="center"/>
    </xf>
    <xf numFmtId="0" fontId="129" fillId="0" borderId="0" xfId="0" applyFont="1" applyFill="1" applyAlignment="1">
      <alignment horizontal="center"/>
    </xf>
    <xf numFmtId="0" fontId="248" fillId="25"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126" fillId="0" borderId="0" xfId="0" applyFont="1" applyFill="1" applyBorder="1" applyAlignment="1">
      <alignment horizontal="left" vertical="center" wrapText="1"/>
    </xf>
    <xf numFmtId="0" fontId="179" fillId="0" borderId="52" xfId="0" applyFont="1" applyFill="1" applyBorder="1" applyAlignment="1">
      <alignment horizontal="center" vertical="center" wrapText="1"/>
    </xf>
    <xf numFmtId="0" fontId="179" fillId="0" borderId="8" xfId="0" applyFont="1" applyFill="1" applyBorder="1" applyAlignment="1">
      <alignment horizontal="center" vertical="center" wrapText="1"/>
    </xf>
    <xf numFmtId="0" fontId="179" fillId="0" borderId="5" xfId="0" applyFont="1" applyFill="1" applyBorder="1" applyAlignment="1">
      <alignment horizontal="center" vertical="center" wrapText="1"/>
    </xf>
    <xf numFmtId="0" fontId="179" fillId="0" borderId="7" xfId="0" applyFont="1" applyFill="1" applyBorder="1" applyAlignment="1">
      <alignment horizontal="center" vertical="center" wrapText="1"/>
    </xf>
    <xf numFmtId="0" fontId="179" fillId="25" borderId="5" xfId="0" applyFont="1" applyFill="1" applyBorder="1" applyAlignment="1">
      <alignment horizontal="center" vertical="center" wrapText="1"/>
    </xf>
    <xf numFmtId="0" fontId="179" fillId="25" borderId="7" xfId="0" applyFont="1" applyFill="1" applyBorder="1" applyAlignment="1">
      <alignment horizontal="center" vertical="center" wrapText="1"/>
    </xf>
    <xf numFmtId="0" fontId="179" fillId="25" borderId="4" xfId="0" applyFont="1" applyFill="1" applyBorder="1" applyAlignment="1">
      <alignment horizontal="center" vertical="center" wrapText="1"/>
    </xf>
    <xf numFmtId="0" fontId="179" fillId="25" borderId="8" xfId="0" applyFont="1" applyFill="1" applyBorder="1" applyAlignment="1">
      <alignment horizontal="center" vertical="center" wrapText="1"/>
    </xf>
    <xf numFmtId="0" fontId="98" fillId="25" borderId="3" xfId="2" applyFont="1" applyFill="1" applyBorder="1" applyAlignment="1">
      <alignment horizontal="center" vertical="center"/>
    </xf>
    <xf numFmtId="0" fontId="98" fillId="25" borderId="25" xfId="2" applyFont="1" applyFill="1" applyBorder="1" applyAlignment="1">
      <alignment horizontal="center" vertical="center"/>
    </xf>
    <xf numFmtId="0" fontId="99" fillId="25" borderId="5"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7" xfId="0" applyFont="1" applyFill="1" applyBorder="1" applyAlignment="1">
      <alignment horizontal="center" vertical="center"/>
    </xf>
    <xf numFmtId="0" fontId="99" fillId="25" borderId="0" xfId="230" applyFont="1" applyFill="1"/>
    <xf numFmtId="0" fontId="99" fillId="25" borderId="4" xfId="2" applyFont="1" applyFill="1" applyBorder="1" applyAlignment="1">
      <alignment horizontal="center" vertical="center" wrapText="1"/>
    </xf>
    <xf numFmtId="0" fontId="99" fillId="25" borderId="8" xfId="2" applyFont="1" applyFill="1" applyBorder="1" applyAlignment="1">
      <alignment horizontal="center" vertical="center" wrapText="1"/>
    </xf>
    <xf numFmtId="0" fontId="99" fillId="25" borderId="0" xfId="2" applyFont="1" applyFill="1" applyAlignment="1">
      <alignment horizontal="center" vertical="center"/>
    </xf>
    <xf numFmtId="0" fontId="99" fillId="25" borderId="1" xfId="2" applyFont="1" applyFill="1" applyBorder="1" applyAlignment="1">
      <alignment horizontal="center" vertical="center"/>
    </xf>
    <xf numFmtId="0" fontId="99" fillId="25" borderId="1" xfId="2" applyFont="1" applyFill="1" applyBorder="1" applyAlignment="1">
      <alignment horizontal="center" vertical="center" wrapText="1"/>
    </xf>
    <xf numFmtId="0" fontId="99" fillId="25" borderId="0" xfId="2" applyFont="1" applyFill="1" applyAlignment="1">
      <alignment horizontal="right" vertical="center"/>
    </xf>
    <xf numFmtId="0" fontId="99" fillId="25" borderId="5" xfId="2" applyFont="1" applyFill="1" applyBorder="1" applyAlignment="1">
      <alignment horizontal="center" vertical="center"/>
    </xf>
    <xf numFmtId="0" fontId="99" fillId="25" borderId="6" xfId="2" applyFont="1" applyFill="1" applyBorder="1" applyAlignment="1">
      <alignment horizontal="center" vertical="center"/>
    </xf>
    <xf numFmtId="0" fontId="99" fillId="25" borderId="7" xfId="2" applyFont="1" applyFill="1" applyBorder="1" applyAlignment="1">
      <alignment horizontal="center" vertical="center"/>
    </xf>
    <xf numFmtId="0" fontId="214" fillId="25" borderId="14" xfId="0" applyFont="1" applyFill="1" applyBorder="1" applyAlignment="1">
      <alignment horizontal="center" vertical="center" wrapText="1"/>
    </xf>
    <xf numFmtId="0" fontId="214" fillId="25" borderId="26" xfId="0" applyFont="1" applyFill="1" applyBorder="1" applyAlignment="1">
      <alignment horizontal="center" vertical="center" wrapText="1"/>
    </xf>
    <xf numFmtId="0" fontId="214" fillId="25" borderId="1" xfId="0" applyFont="1" applyFill="1" applyBorder="1" applyAlignment="1">
      <alignment horizontal="center" vertical="center" wrapText="1"/>
    </xf>
    <xf numFmtId="0" fontId="237" fillId="26" borderId="0" xfId="0" applyFont="1" applyFill="1" applyAlignment="1">
      <alignment horizontal="center"/>
    </xf>
    <xf numFmtId="0" fontId="215" fillId="25" borderId="25" xfId="0" applyFont="1" applyFill="1" applyBorder="1" applyAlignment="1">
      <alignment horizontal="left" vertical="center" wrapText="1"/>
    </xf>
    <xf numFmtId="222" fontId="214" fillId="25" borderId="0" xfId="0" applyNumberFormat="1" applyFont="1" applyFill="1" applyAlignment="1">
      <alignment horizontal="left" vertical="center" wrapText="1"/>
    </xf>
    <xf numFmtId="0" fontId="214" fillId="25" borderId="0" xfId="0" applyFont="1" applyFill="1" applyAlignment="1">
      <alignment horizontal="left" vertical="center" wrapText="1"/>
    </xf>
    <xf numFmtId="0" fontId="214" fillId="25" borderId="0" xfId="0" applyFont="1" applyFill="1" applyAlignment="1">
      <alignment horizontal="center" vertical="center"/>
    </xf>
    <xf numFmtId="0" fontId="215" fillId="25" borderId="3" xfId="0" applyFont="1" applyFill="1" applyBorder="1" applyAlignment="1">
      <alignment horizontal="right" vertical="center"/>
    </xf>
    <xf numFmtId="0" fontId="127" fillId="0" borderId="0" xfId="0" applyFont="1" applyFill="1" applyAlignment="1">
      <alignment horizontal="center" vertical="center"/>
    </xf>
    <xf numFmtId="0" fontId="126" fillId="0" borderId="0" xfId="0" applyFont="1" applyFill="1" applyAlignment="1">
      <alignment horizontal="left" vertical="center" wrapText="1"/>
    </xf>
    <xf numFmtId="0" fontId="100" fillId="0" borderId="0" xfId="0" applyFont="1" applyBorder="1" applyAlignment="1">
      <alignment horizontal="left" vertical="center" wrapText="1"/>
    </xf>
    <xf numFmtId="0" fontId="129" fillId="0" borderId="0" xfId="0" applyFont="1" applyAlignment="1">
      <alignment horizontal="center" vertical="center" wrapText="1"/>
    </xf>
    <xf numFmtId="0" fontId="100" fillId="0" borderId="3" xfId="0" applyFont="1" applyBorder="1" applyAlignment="1">
      <alignment horizontal="center" vertical="center"/>
    </xf>
    <xf numFmtId="0" fontId="100" fillId="0" borderId="0" xfId="0" applyFont="1" applyAlignment="1">
      <alignment horizontal="left" wrapText="1"/>
    </xf>
    <xf numFmtId="0" fontId="100" fillId="0" borderId="0" xfId="0" applyFont="1" applyFill="1" applyBorder="1" applyAlignment="1">
      <alignment horizontal="left" vertical="center" wrapText="1"/>
    </xf>
    <xf numFmtId="0" fontId="99" fillId="0" borderId="0" xfId="0" applyFont="1" applyAlignment="1">
      <alignment horizontal="center" vertical="center"/>
    </xf>
    <xf numFmtId="0" fontId="176" fillId="26" borderId="53" xfId="0" applyFont="1" applyFill="1" applyBorder="1" applyAlignment="1">
      <alignment horizontal="center" vertical="center"/>
    </xf>
    <xf numFmtId="0" fontId="176" fillId="26" borderId="0" xfId="0" applyFont="1" applyFill="1" applyAlignment="1">
      <alignment horizontal="center" vertical="center"/>
    </xf>
    <xf numFmtId="0" fontId="99" fillId="0" borderId="0" xfId="0" applyFont="1" applyFill="1" applyAlignment="1">
      <alignment horizontal="right" vertical="center"/>
    </xf>
    <xf numFmtId="0" fontId="100" fillId="0" borderId="3" xfId="0" applyFont="1" applyFill="1" applyBorder="1" applyAlignment="1">
      <alignment horizontal="center" vertical="center"/>
    </xf>
    <xf numFmtId="0" fontId="99" fillId="0" borderId="4" xfId="0" applyFont="1" applyFill="1" applyBorder="1" applyAlignment="1">
      <alignment horizontal="center" vertical="center" wrapText="1"/>
    </xf>
    <xf numFmtId="0" fontId="99" fillId="0" borderId="8" xfId="0" applyFont="1" applyFill="1" applyBorder="1" applyAlignment="1">
      <alignment horizontal="center" vertical="center" wrapText="1"/>
    </xf>
    <xf numFmtId="0" fontId="99" fillId="0" borderId="5" xfId="0" applyFont="1" applyFill="1" applyBorder="1" applyAlignment="1">
      <alignment horizontal="center" vertical="center" wrapText="1"/>
    </xf>
    <xf numFmtId="0" fontId="99" fillId="0" borderId="7" xfId="0" applyFont="1" applyFill="1" applyBorder="1" applyAlignment="1">
      <alignment horizontal="center" vertical="center" wrapText="1"/>
    </xf>
    <xf numFmtId="222" fontId="98" fillId="25" borderId="0" xfId="369" applyNumberFormat="1" applyFont="1" applyFill="1" applyAlignment="1">
      <alignment horizontal="left" vertical="center" wrapText="1"/>
    </xf>
    <xf numFmtId="0" fontId="100" fillId="0" borderId="0" xfId="0" applyFont="1" applyFill="1" applyAlignment="1">
      <alignment horizontal="left" vertical="center" wrapText="1"/>
    </xf>
    <xf numFmtId="0" fontId="99" fillId="25" borderId="5" xfId="0" applyFont="1" applyFill="1" applyBorder="1" applyAlignment="1">
      <alignment horizontal="center" vertical="center" wrapText="1"/>
    </xf>
    <xf numFmtId="0" fontId="99" fillId="25" borderId="6" xfId="0" applyFont="1" applyFill="1" applyBorder="1" applyAlignment="1">
      <alignment horizontal="center" vertical="center" wrapText="1"/>
    </xf>
    <xf numFmtId="0" fontId="99" fillId="25" borderId="7" xfId="0" applyFont="1" applyFill="1" applyBorder="1" applyAlignment="1">
      <alignment horizontal="center" vertical="center" wrapText="1"/>
    </xf>
    <xf numFmtId="0" fontId="107" fillId="0" borderId="0" xfId="0" applyFont="1" applyFill="1" applyAlignment="1">
      <alignment horizontal="center" vertical="center" wrapText="1"/>
    </xf>
    <xf numFmtId="221" fontId="125" fillId="0" borderId="0" xfId="370" applyNumberFormat="1" applyFont="1" applyFill="1" applyAlignment="1">
      <alignment horizontal="left" vertical="center" wrapText="1"/>
    </xf>
    <xf numFmtId="238" fontId="125" fillId="0" borderId="0" xfId="370" applyNumberFormat="1" applyFont="1" applyFill="1" applyAlignment="1">
      <alignment horizontal="left" vertical="center" wrapText="1"/>
    </xf>
    <xf numFmtId="220" fontId="99" fillId="0" borderId="0" xfId="370" applyFont="1" applyFill="1" applyAlignment="1">
      <alignment horizontal="center" vertical="center" wrapText="1"/>
    </xf>
    <xf numFmtId="220" fontId="98" fillId="0" borderId="0" xfId="370" applyFont="1" applyFill="1" applyAlignment="1">
      <alignment horizontal="center" vertical="center" wrapText="1"/>
    </xf>
    <xf numFmtId="220" fontId="125" fillId="0" borderId="3" xfId="370" applyFont="1" applyFill="1" applyBorder="1" applyAlignment="1">
      <alignment horizontal="center" vertical="center"/>
    </xf>
    <xf numFmtId="221" fontId="125" fillId="0" borderId="55" xfId="370" applyNumberFormat="1" applyFont="1" applyFill="1" applyBorder="1" applyAlignment="1">
      <alignment horizontal="center" vertical="center" wrapText="1"/>
    </xf>
    <xf numFmtId="221" fontId="125" fillId="0" borderId="53" xfId="370" applyNumberFormat="1" applyFont="1" applyFill="1" applyBorder="1" applyAlignment="1">
      <alignment horizontal="center" vertical="center" wrapText="1"/>
    </xf>
    <xf numFmtId="221" fontId="125" fillId="0" borderId="57" xfId="370" applyNumberFormat="1" applyFont="1" applyFill="1" applyBorder="1" applyAlignment="1">
      <alignment horizontal="center" vertical="center" wrapText="1"/>
    </xf>
    <xf numFmtId="220" fontId="125" fillId="0" borderId="1" xfId="370" applyFont="1" applyFill="1" applyBorder="1" applyAlignment="1">
      <alignment horizontal="center" vertical="center" wrapText="1"/>
    </xf>
    <xf numFmtId="220" fontId="125" fillId="0" borderId="4" xfId="370" applyFont="1" applyFill="1" applyBorder="1" applyAlignment="1">
      <alignment horizontal="center" vertical="center" wrapText="1"/>
    </xf>
    <xf numFmtId="220" fontId="125" fillId="0" borderId="2" xfId="370" applyFont="1" applyFill="1" applyBorder="1" applyAlignment="1">
      <alignment horizontal="center" vertical="center" wrapText="1"/>
    </xf>
    <xf numFmtId="220" fontId="125" fillId="0" borderId="8" xfId="370" applyFont="1" applyFill="1" applyBorder="1" applyAlignment="1">
      <alignment horizontal="center" vertical="center" wrapText="1"/>
    </xf>
    <xf numFmtId="220" fontId="125" fillId="0" borderId="55" xfId="370" applyFont="1" applyFill="1" applyBorder="1" applyAlignment="1">
      <alignment horizontal="center" vertical="center" wrapText="1"/>
    </xf>
    <xf numFmtId="220" fontId="125" fillId="0" borderId="56" xfId="370" applyFont="1" applyFill="1" applyBorder="1" applyAlignment="1">
      <alignment horizontal="center" vertical="center" wrapText="1"/>
    </xf>
    <xf numFmtId="220" fontId="125" fillId="0" borderId="57" xfId="370" applyFont="1" applyFill="1" applyBorder="1" applyAlignment="1">
      <alignment horizontal="center" vertical="center" wrapText="1"/>
    </xf>
    <xf numFmtId="220" fontId="125" fillId="0" borderId="58" xfId="370" applyFont="1" applyFill="1" applyBorder="1" applyAlignment="1">
      <alignment horizontal="center" vertical="center" wrapText="1"/>
    </xf>
    <xf numFmtId="0" fontId="156" fillId="25" borderId="0" xfId="0" applyFont="1" applyFill="1" applyAlignment="1">
      <alignment horizontal="center" vertical="center" wrapText="1"/>
    </xf>
    <xf numFmtId="0" fontId="154" fillId="0" borderId="0" xfId="0" applyFont="1" applyFill="1" applyAlignment="1">
      <alignment horizontal="left" vertical="center" wrapText="1"/>
    </xf>
    <xf numFmtId="0" fontId="150" fillId="0" borderId="0" xfId="0" applyFont="1" applyFill="1" applyAlignment="1">
      <alignment vertical="center" wrapText="1"/>
    </xf>
    <xf numFmtId="0" fontId="161" fillId="25" borderId="0" xfId="0" applyFont="1" applyFill="1" applyAlignment="1">
      <alignment horizontal="center" vertical="center"/>
    </xf>
    <xf numFmtId="0" fontId="162" fillId="25" borderId="0" xfId="0" applyFont="1" applyFill="1" applyAlignment="1">
      <alignment horizontal="center" vertical="center"/>
    </xf>
    <xf numFmtId="0" fontId="151" fillId="0" borderId="0" xfId="0" applyFont="1" applyFill="1" applyAlignment="1">
      <alignment horizontal="center"/>
    </xf>
    <xf numFmtId="0" fontId="151" fillId="0" borderId="0" xfId="0" applyFont="1" applyFill="1" applyAlignment="1">
      <alignment horizontal="center" vertical="center"/>
    </xf>
    <xf numFmtId="0" fontId="154" fillId="0" borderId="0" xfId="0" applyFont="1" applyFill="1" applyAlignment="1">
      <alignment horizontal="center" vertical="center"/>
    </xf>
    <xf numFmtId="0" fontId="151" fillId="0" borderId="0" xfId="0" applyFont="1" applyFill="1" applyAlignment="1">
      <alignment horizontal="center" vertical="center" wrapText="1"/>
    </xf>
    <xf numFmtId="0" fontId="165" fillId="0" borderId="0" xfId="386" applyFont="1" applyAlignment="1">
      <alignment horizontal="right" vertical="center"/>
    </xf>
    <xf numFmtId="0" fontId="165" fillId="0" borderId="0" xfId="386" applyFont="1" applyAlignment="1">
      <alignment horizontal="center" vertical="center"/>
    </xf>
    <xf numFmtId="0" fontId="166" fillId="0" borderId="0" xfId="386" applyFont="1" applyAlignment="1">
      <alignment horizontal="right" vertical="center"/>
    </xf>
    <xf numFmtId="0" fontId="165" fillId="0" borderId="52" xfId="386" applyFont="1" applyBorder="1" applyAlignment="1">
      <alignment horizontal="center" vertical="center"/>
    </xf>
    <xf numFmtId="0" fontId="165" fillId="0" borderId="2" xfId="386" applyFont="1" applyBorder="1" applyAlignment="1">
      <alignment horizontal="center" vertical="center"/>
    </xf>
    <xf numFmtId="0" fontId="165" fillId="0" borderId="8" xfId="386" applyFont="1" applyBorder="1" applyAlignment="1">
      <alignment horizontal="center" vertical="center"/>
    </xf>
    <xf numFmtId="0" fontId="165" fillId="0" borderId="50" xfId="386" applyFont="1" applyBorder="1" applyAlignment="1">
      <alignment horizontal="center" vertical="center" wrapText="1"/>
    </xf>
    <xf numFmtId="0" fontId="165" fillId="0" borderId="50" xfId="386" applyFont="1" applyBorder="1" applyAlignment="1">
      <alignment horizontal="center" vertical="center"/>
    </xf>
    <xf numFmtId="0" fontId="165" fillId="0" borderId="52" xfId="386" applyFont="1" applyBorder="1" applyAlignment="1">
      <alignment horizontal="center" vertical="center" wrapText="1"/>
    </xf>
    <xf numFmtId="0" fontId="165" fillId="0" borderId="8" xfId="386" applyFont="1" applyBorder="1" applyAlignment="1">
      <alignment horizontal="center" vertical="center" wrapText="1"/>
    </xf>
    <xf numFmtId="0" fontId="163" fillId="0" borderId="0" xfId="379" applyFont="1" applyAlignment="1">
      <alignment horizontal="center" vertical="center"/>
    </xf>
    <xf numFmtId="0" fontId="165" fillId="0" borderId="53" xfId="386" applyFont="1" applyBorder="1" applyAlignment="1">
      <alignment horizontal="center" vertical="center"/>
    </xf>
    <xf numFmtId="0" fontId="172" fillId="0" borderId="54" xfId="386" applyFont="1" applyBorder="1" applyAlignment="1">
      <alignment horizontal="left" vertical="center" wrapText="1"/>
    </xf>
    <xf numFmtId="0" fontId="172" fillId="0" borderId="0" xfId="386" applyFont="1" applyAlignment="1">
      <alignment horizontal="left" vertical="center" wrapText="1"/>
    </xf>
    <xf numFmtId="0" fontId="172" fillId="0" borderId="0" xfId="386" quotePrefix="1" applyFont="1" applyAlignment="1">
      <alignment horizontal="left" vertical="center" wrapText="1"/>
    </xf>
    <xf numFmtId="0" fontId="175" fillId="0" borderId="0" xfId="379" applyFont="1" applyAlignment="1">
      <alignment horizontal="center" vertical="center"/>
    </xf>
    <xf numFmtId="222" fontId="102" fillId="27" borderId="0" xfId="369" applyNumberFormat="1" applyFont="1" applyFill="1" applyAlignment="1">
      <alignment horizontal="center" vertical="center" wrapText="1"/>
    </xf>
    <xf numFmtId="222" fontId="103" fillId="27" borderId="0" xfId="369" applyNumberFormat="1" applyFont="1" applyFill="1" applyAlignment="1">
      <alignment vertical="center" wrapText="1"/>
    </xf>
    <xf numFmtId="222" fontId="102" fillId="27" borderId="38" xfId="369" applyNumberFormat="1" applyFont="1" applyFill="1" applyBorder="1" applyAlignment="1">
      <alignment vertical="center" wrapText="1"/>
    </xf>
    <xf numFmtId="222" fontId="102" fillId="27" borderId="30" xfId="369" applyNumberFormat="1" applyFont="1" applyFill="1" applyBorder="1" applyAlignment="1">
      <alignment horizontal="center" vertical="center" wrapText="1"/>
    </xf>
    <xf numFmtId="222" fontId="102" fillId="27" borderId="34" xfId="369" applyNumberFormat="1" applyFont="1" applyFill="1" applyBorder="1" applyAlignment="1">
      <alignment horizontal="center" vertical="center" wrapText="1"/>
    </xf>
    <xf numFmtId="222" fontId="102" fillId="27" borderId="32" xfId="369" applyNumberFormat="1" applyFont="1" applyFill="1" applyBorder="1" applyAlignment="1">
      <alignment horizontal="center" vertical="center" wrapText="1"/>
    </xf>
    <xf numFmtId="222" fontId="102" fillId="27" borderId="31" xfId="369" applyNumberFormat="1" applyFont="1" applyFill="1" applyBorder="1" applyAlignment="1">
      <alignment horizontal="center" vertical="center" wrapText="1"/>
    </xf>
    <xf numFmtId="222" fontId="102" fillId="27" borderId="35" xfId="369" applyNumberFormat="1" applyFont="1" applyFill="1" applyBorder="1" applyAlignment="1">
      <alignment horizontal="center" vertical="center" wrapText="1"/>
    </xf>
    <xf numFmtId="222" fontId="102" fillId="27" borderId="36" xfId="369" applyNumberFormat="1" applyFont="1" applyFill="1" applyBorder="1" applyAlignment="1">
      <alignment horizontal="center" vertical="center" wrapText="1"/>
    </xf>
    <xf numFmtId="222" fontId="102" fillId="27" borderId="37" xfId="369" applyNumberFormat="1" applyFont="1" applyFill="1" applyBorder="1" applyAlignment="1">
      <alignment horizontal="center" vertical="center" wrapText="1"/>
    </xf>
    <xf numFmtId="222" fontId="102" fillId="27" borderId="0" xfId="369" applyNumberFormat="1" applyFont="1" applyFill="1" applyAlignment="1">
      <alignment vertical="center" wrapText="1"/>
    </xf>
    <xf numFmtId="222" fontId="104" fillId="27" borderId="0" xfId="369" applyNumberFormat="1" applyFont="1" applyFill="1" applyAlignment="1">
      <alignment horizontal="center" vertical="center" wrapText="1"/>
    </xf>
  </cellXfs>
  <cellStyles count="476">
    <cellStyle name="_x0001_" xfId="6" xr:uid="{00000000-0005-0000-0000-000000000000}"/>
    <cellStyle name="          _x000d__x000a_shell=progman.exe_x000d__x000a_m" xfId="7" xr:uid="{00000000-0005-0000-0000-000001000000}"/>
    <cellStyle name="#,##0" xfId="8" xr:uid="{00000000-0005-0000-0000-000002000000}"/>
    <cellStyle name="??" xfId="9" xr:uid="{00000000-0005-0000-0000-000003000000}"/>
    <cellStyle name="?? [0.00]_ Att. 1- Cover" xfId="10" xr:uid="{00000000-0005-0000-0000-000004000000}"/>
    <cellStyle name="?? [0]" xfId="11" xr:uid="{00000000-0005-0000-0000-000005000000}"/>
    <cellStyle name="?_x001d_??%U©÷u&amp;H©÷9_x0008_? s_x000a__x0007__x0001__x0001_" xfId="12" xr:uid="{00000000-0005-0000-0000-000006000000}"/>
    <cellStyle name="???? [0.00]_PRODUCT DETAIL Q1" xfId="13" xr:uid="{00000000-0005-0000-0000-000007000000}"/>
    <cellStyle name="????_PRODUCT DETAIL Q1" xfId="14" xr:uid="{00000000-0005-0000-0000-000008000000}"/>
    <cellStyle name="???[0]_?? DI" xfId="15" xr:uid="{00000000-0005-0000-0000-000009000000}"/>
    <cellStyle name="???_?? DI" xfId="16" xr:uid="{00000000-0005-0000-0000-00000A000000}"/>
    <cellStyle name="??[0]_BRE" xfId="17" xr:uid="{00000000-0005-0000-0000-00000B000000}"/>
    <cellStyle name="??_ ??? ???? " xfId="18" xr:uid="{00000000-0005-0000-0000-00000C000000}"/>
    <cellStyle name="??A? [0]_ÿÿÿÿÿÿ_1_¢¬???¢â? " xfId="19" xr:uid="{00000000-0005-0000-0000-00000D000000}"/>
    <cellStyle name="??A?_ÿÿÿÿÿÿ_1_¢¬???¢â? " xfId="20" xr:uid="{00000000-0005-0000-0000-00000E000000}"/>
    <cellStyle name="?¡±¢¥?_?¨ù??¢´¢¥_¢¬???¢â? " xfId="21" xr:uid="{00000000-0005-0000-0000-00000F000000}"/>
    <cellStyle name="?ðÇ%U?&amp;H?_x0008_?s_x000a__x0007__x0001__x0001_" xfId="22" xr:uid="{00000000-0005-0000-0000-000010000000}"/>
    <cellStyle name="_130307 So sanh thuc hien 2012 - du toan 2012 moi (pan khac)" xfId="23" xr:uid="{00000000-0005-0000-0000-000011000000}"/>
    <cellStyle name="_130313 Mau  bieu bao cao nguon luc cua dia phuong sua" xfId="24" xr:uid="{00000000-0005-0000-0000-000012000000}"/>
    <cellStyle name="_130818 Tong hop Danh gia thu 2013" xfId="25" xr:uid="{00000000-0005-0000-0000-000013000000}"/>
    <cellStyle name="_130818 Tong hop Danh gia thu 2013_140921 bu giam thu ND 209" xfId="26" xr:uid="{00000000-0005-0000-0000-000014000000}"/>
    <cellStyle name="_130818 Tong hop Danh gia thu 2013_140921 bu giam thu ND 209_Phu luc so 5 - sua ngay 04-01" xfId="27" xr:uid="{00000000-0005-0000-0000-000015000000}"/>
    <cellStyle name="_Bang Chi tieu (2)" xfId="28" xr:uid="{00000000-0005-0000-0000-000016000000}"/>
    <cellStyle name="_DG 2012-DT2013 - Theo sac thue -sua" xfId="29" xr:uid="{00000000-0005-0000-0000-000017000000}"/>
    <cellStyle name="_DG 2012-DT2013 - Theo sac thue -sua_27-8Tong hop PA uoc 2012-DT 2013 -PA 420.000 ty-490.000 ty chuyen doi" xfId="30" xr:uid="{00000000-0005-0000-0000-000018000000}"/>
    <cellStyle name="_Huong CHI tieu Nhiem vu CTMTQG 2014(1)" xfId="31" xr:uid="{00000000-0005-0000-0000-000019000000}"/>
    <cellStyle name="_KT (2)" xfId="33" xr:uid="{00000000-0005-0000-0000-00001B000000}"/>
    <cellStyle name="_KT (2)_1" xfId="34" xr:uid="{00000000-0005-0000-0000-00001C000000}"/>
    <cellStyle name="_KT (2)_2" xfId="35" xr:uid="{00000000-0005-0000-0000-00001D000000}"/>
    <cellStyle name="_KT (2)_2_TG-TH" xfId="36" xr:uid="{00000000-0005-0000-0000-00001E000000}"/>
    <cellStyle name="_KT (2)_3" xfId="37" xr:uid="{00000000-0005-0000-0000-00001F000000}"/>
    <cellStyle name="_KT (2)_3_TG-TH" xfId="38" xr:uid="{00000000-0005-0000-0000-000020000000}"/>
    <cellStyle name="_KT (2)_4" xfId="39" xr:uid="{00000000-0005-0000-0000-000021000000}"/>
    <cellStyle name="_KT (2)_4_TG-TH" xfId="40" xr:uid="{00000000-0005-0000-0000-000022000000}"/>
    <cellStyle name="_KT (2)_5" xfId="41" xr:uid="{00000000-0005-0000-0000-000023000000}"/>
    <cellStyle name="_KT (2)_TG-TH" xfId="42" xr:uid="{00000000-0005-0000-0000-000024000000}"/>
    <cellStyle name="_KT_TG" xfId="43" xr:uid="{00000000-0005-0000-0000-000025000000}"/>
    <cellStyle name="_KT_TG_1" xfId="44" xr:uid="{00000000-0005-0000-0000-000026000000}"/>
    <cellStyle name="_KT_TG_2" xfId="45" xr:uid="{00000000-0005-0000-0000-000027000000}"/>
    <cellStyle name="_KT_TG_3" xfId="46" xr:uid="{00000000-0005-0000-0000-000028000000}"/>
    <cellStyle name="_KT_TG_4" xfId="47" xr:uid="{00000000-0005-0000-0000-000029000000}"/>
    <cellStyle name="_KH.DTC.gd2016-2020 tinh (T2-2015)" xfId="32" xr:uid="{00000000-0005-0000-0000-00001A000000}"/>
    <cellStyle name="_Phu luc kem BC gui VP Bo (18.2)" xfId="48" xr:uid="{00000000-0005-0000-0000-00002A000000}"/>
    <cellStyle name="_TG-TH" xfId="49" xr:uid="{00000000-0005-0000-0000-00002B000000}"/>
    <cellStyle name="_TG-TH_1" xfId="50" xr:uid="{00000000-0005-0000-0000-00002C000000}"/>
    <cellStyle name="_TG-TH_2" xfId="51" xr:uid="{00000000-0005-0000-0000-00002D000000}"/>
    <cellStyle name="_TG-TH_3" xfId="52" xr:uid="{00000000-0005-0000-0000-00002E000000}"/>
    <cellStyle name="_TG-TH_4" xfId="53" xr:uid="{00000000-0005-0000-0000-00002F000000}"/>
    <cellStyle name="~1" xfId="54" xr:uid="{00000000-0005-0000-0000-000030000000}"/>
    <cellStyle name="•W€_STDFOR" xfId="55" xr:uid="{00000000-0005-0000-0000-000031000000}"/>
    <cellStyle name="•W_MARINE" xfId="56" xr:uid="{00000000-0005-0000-0000-000032000000}"/>
    <cellStyle name="W_STDFOR" xfId="57" xr:uid="{00000000-0005-0000-0000-000033000000}"/>
    <cellStyle name="0" xfId="58" xr:uid="{00000000-0005-0000-0000-000034000000}"/>
    <cellStyle name="0.0" xfId="59" xr:uid="{00000000-0005-0000-0000-000035000000}"/>
    <cellStyle name="0.00" xfId="60" xr:uid="{00000000-0005-0000-0000-000036000000}"/>
    <cellStyle name="1" xfId="61" xr:uid="{00000000-0005-0000-0000-000037000000}"/>
    <cellStyle name="1_2-Ha GiangBB2011-V1" xfId="62" xr:uid="{00000000-0005-0000-0000-000038000000}"/>
    <cellStyle name="1_50-BB Vung tau 2011" xfId="63" xr:uid="{00000000-0005-0000-0000-000039000000}"/>
    <cellStyle name="1_52-Long An2011.BB-V1" xfId="64" xr:uid="{00000000-0005-0000-0000-00003A000000}"/>
    <cellStyle name="1_bieu 1" xfId="65" xr:uid="{00000000-0005-0000-0000-00003B000000}"/>
    <cellStyle name="1_bieu 2" xfId="66" xr:uid="{00000000-0005-0000-0000-00003C000000}"/>
    <cellStyle name="1_bieu 4" xfId="67" xr:uid="{00000000-0005-0000-0000-00003D000000}"/>
    <cellStyle name="¹éºÐÀ²_±âÅ¸" xfId="68" xr:uid="{00000000-0005-0000-0000-00003E000000}"/>
    <cellStyle name="2" xfId="69" xr:uid="{00000000-0005-0000-0000-00003F000000}"/>
    <cellStyle name="20" xfId="70" xr:uid="{00000000-0005-0000-0000-000040000000}"/>
    <cellStyle name="20% - Accent1 2" xfId="434" xr:uid="{00000000-0005-0000-0000-000041000000}"/>
    <cellStyle name="20% - Accent2 2" xfId="435" xr:uid="{00000000-0005-0000-0000-000042000000}"/>
    <cellStyle name="20% - Accent3 2" xfId="436" xr:uid="{00000000-0005-0000-0000-000043000000}"/>
    <cellStyle name="20% - Accent4 2" xfId="437" xr:uid="{00000000-0005-0000-0000-000044000000}"/>
    <cellStyle name="20% - Accent5 2" xfId="438" xr:uid="{00000000-0005-0000-0000-000045000000}"/>
    <cellStyle name="20% - Accent6 2" xfId="439" xr:uid="{00000000-0005-0000-0000-000046000000}"/>
    <cellStyle name="3" xfId="71" xr:uid="{00000000-0005-0000-0000-000047000000}"/>
    <cellStyle name="4" xfId="72" xr:uid="{00000000-0005-0000-0000-000048000000}"/>
    <cellStyle name="40% - Accent1 2" xfId="440" xr:uid="{00000000-0005-0000-0000-000049000000}"/>
    <cellStyle name="40% - Accent2 2" xfId="441" xr:uid="{00000000-0005-0000-0000-00004A000000}"/>
    <cellStyle name="40% - Accent3 2" xfId="442" xr:uid="{00000000-0005-0000-0000-00004B000000}"/>
    <cellStyle name="40% - Accent4 2" xfId="443" xr:uid="{00000000-0005-0000-0000-00004C000000}"/>
    <cellStyle name="40% - Accent5 2" xfId="444" xr:uid="{00000000-0005-0000-0000-00004D000000}"/>
    <cellStyle name="40% - Accent6 2" xfId="445" xr:uid="{00000000-0005-0000-0000-00004E000000}"/>
    <cellStyle name="6" xfId="73" xr:uid="{00000000-0005-0000-0000-00004F000000}"/>
    <cellStyle name="60% - Accent1 2" xfId="446" xr:uid="{00000000-0005-0000-0000-000050000000}"/>
    <cellStyle name="60% - Accent2 2" xfId="447" xr:uid="{00000000-0005-0000-0000-000051000000}"/>
    <cellStyle name="60% - Accent3 2" xfId="448" xr:uid="{00000000-0005-0000-0000-000052000000}"/>
    <cellStyle name="60% - Accent4 2" xfId="449" xr:uid="{00000000-0005-0000-0000-000053000000}"/>
    <cellStyle name="60% - Accent5 2" xfId="450" xr:uid="{00000000-0005-0000-0000-000054000000}"/>
    <cellStyle name="60% - Accent6 2" xfId="451" xr:uid="{00000000-0005-0000-0000-000055000000}"/>
    <cellStyle name="Accent1 2" xfId="452" xr:uid="{00000000-0005-0000-0000-000056000000}"/>
    <cellStyle name="Accent2 2" xfId="453" xr:uid="{00000000-0005-0000-0000-000057000000}"/>
    <cellStyle name="Accent3 2" xfId="454" xr:uid="{00000000-0005-0000-0000-000058000000}"/>
    <cellStyle name="Accent4 2" xfId="455" xr:uid="{00000000-0005-0000-0000-000059000000}"/>
    <cellStyle name="Accent5 2" xfId="456" xr:uid="{00000000-0005-0000-0000-00005A000000}"/>
    <cellStyle name="Accent6 2" xfId="457" xr:uid="{00000000-0005-0000-0000-00005B000000}"/>
    <cellStyle name="ÅëÈ­ [0]_¿ì¹°Åë" xfId="74" xr:uid="{00000000-0005-0000-0000-00005C000000}"/>
    <cellStyle name="AeE­ [0]_INQUIRY ¿?¾÷AßAø " xfId="75" xr:uid="{00000000-0005-0000-0000-00005D000000}"/>
    <cellStyle name="ÅëÈ­ [0]_laroux" xfId="76" xr:uid="{00000000-0005-0000-0000-00005E000000}"/>
    <cellStyle name="ÅëÈ­_¿ì¹°Åë" xfId="77" xr:uid="{00000000-0005-0000-0000-00005F000000}"/>
    <cellStyle name="AeE­_INQUIRY ¿?¾÷AßAø " xfId="78" xr:uid="{00000000-0005-0000-0000-000060000000}"/>
    <cellStyle name="ÅëÈ­_laroux" xfId="79" xr:uid="{00000000-0005-0000-0000-000061000000}"/>
    <cellStyle name="args.style" xfId="80" xr:uid="{00000000-0005-0000-0000-000062000000}"/>
    <cellStyle name="ÄÞ¸¶ [0]_¿ì¹°Åë" xfId="81" xr:uid="{00000000-0005-0000-0000-000063000000}"/>
    <cellStyle name="AÞ¸¶ [0]_INQUIRY ¿?¾÷AßAø " xfId="82" xr:uid="{00000000-0005-0000-0000-000064000000}"/>
    <cellStyle name="ÄÞ¸¶ [0]_laroux" xfId="83" xr:uid="{00000000-0005-0000-0000-000065000000}"/>
    <cellStyle name="ÄÞ¸¶_¿ì¹°Åë" xfId="84" xr:uid="{00000000-0005-0000-0000-000066000000}"/>
    <cellStyle name="AÞ¸¶_INQUIRY ¿?¾÷AßAø " xfId="85" xr:uid="{00000000-0005-0000-0000-000067000000}"/>
    <cellStyle name="ÄÞ¸¶_laroux" xfId="86" xr:uid="{00000000-0005-0000-0000-000068000000}"/>
    <cellStyle name="AutoFormat Options" xfId="87" xr:uid="{00000000-0005-0000-0000-000069000000}"/>
    <cellStyle name="AutoFormat-Optionen 2 2" xfId="375" xr:uid="{00000000-0005-0000-0000-00006A000000}"/>
    <cellStyle name="Bad 2" xfId="458" xr:uid="{00000000-0005-0000-0000-00006B000000}"/>
    <cellStyle name="Body" xfId="88" xr:uid="{00000000-0005-0000-0000-00006C000000}"/>
    <cellStyle name="C?AØ_¿?¾÷CoE² " xfId="89" xr:uid="{00000000-0005-0000-0000-00006D000000}"/>
    <cellStyle name="Ç¥ÁØ_#2(M17)_1" xfId="90" xr:uid="{00000000-0005-0000-0000-00006E000000}"/>
    <cellStyle name="C￥AØ_¿μ¾÷CoE² " xfId="91" xr:uid="{00000000-0005-0000-0000-00006F000000}"/>
    <cellStyle name="Ç¥ÁØ_±³°¢¼ö·®" xfId="92" xr:uid="{00000000-0005-0000-0000-000070000000}"/>
    <cellStyle name="C￥AØ_Sheet1_¿μ¾÷CoE² " xfId="93" xr:uid="{00000000-0005-0000-0000-000071000000}"/>
    <cellStyle name="Calc Currency (0)" xfId="94" xr:uid="{00000000-0005-0000-0000-000072000000}"/>
    <cellStyle name="Calc Currency (2)" xfId="95" xr:uid="{00000000-0005-0000-0000-000073000000}"/>
    <cellStyle name="Calc Percent (0)" xfId="96" xr:uid="{00000000-0005-0000-0000-000074000000}"/>
    <cellStyle name="Calc Percent (1)" xfId="97" xr:uid="{00000000-0005-0000-0000-000075000000}"/>
    <cellStyle name="Calc Percent (2)" xfId="98" xr:uid="{00000000-0005-0000-0000-000076000000}"/>
    <cellStyle name="Calc Units (0)" xfId="99" xr:uid="{00000000-0005-0000-0000-000077000000}"/>
    <cellStyle name="Calc Units (1)" xfId="100" xr:uid="{00000000-0005-0000-0000-000078000000}"/>
    <cellStyle name="Calc Units (2)" xfId="101" xr:uid="{00000000-0005-0000-0000-000079000000}"/>
    <cellStyle name="Calculation 2" xfId="459" xr:uid="{00000000-0005-0000-0000-00007A000000}"/>
    <cellStyle name="category" xfId="102" xr:uid="{00000000-0005-0000-0000-00007B000000}"/>
    <cellStyle name="Comma" xfId="369" builtinId="3"/>
    <cellStyle name="Comma  - Style1" xfId="104" xr:uid="{00000000-0005-0000-0000-00007F000000}"/>
    <cellStyle name="Comma  - Style2" xfId="105" xr:uid="{00000000-0005-0000-0000-000080000000}"/>
    <cellStyle name="Comma  - Style3" xfId="106" xr:uid="{00000000-0005-0000-0000-000081000000}"/>
    <cellStyle name="Comma  - Style4" xfId="107" xr:uid="{00000000-0005-0000-0000-000082000000}"/>
    <cellStyle name="Comma  - Style5" xfId="108" xr:uid="{00000000-0005-0000-0000-000083000000}"/>
    <cellStyle name="Comma  - Style6" xfId="109" xr:uid="{00000000-0005-0000-0000-000084000000}"/>
    <cellStyle name="Comma  - Style7" xfId="110" xr:uid="{00000000-0005-0000-0000-000085000000}"/>
    <cellStyle name="Comma  - Style8" xfId="111" xr:uid="{00000000-0005-0000-0000-000086000000}"/>
    <cellStyle name="Comma [00]" xfId="112" xr:uid="{00000000-0005-0000-0000-000087000000}"/>
    <cellStyle name="Comma 10" xfId="415" xr:uid="{00000000-0005-0000-0000-000088000000}"/>
    <cellStyle name="Comma 10 10" xfId="113" xr:uid="{00000000-0005-0000-0000-000089000000}"/>
    <cellStyle name="Comma 10 2" xfId="370" xr:uid="{00000000-0005-0000-0000-00008A000000}"/>
    <cellStyle name="Comma 10 3" xfId="376" xr:uid="{00000000-0005-0000-0000-00008B000000}"/>
    <cellStyle name="Comma 11" xfId="382" xr:uid="{00000000-0005-0000-0000-00008C000000}"/>
    <cellStyle name="Comma 12" xfId="114" xr:uid="{00000000-0005-0000-0000-00008D000000}"/>
    <cellStyle name="Comma 13" xfId="411" xr:uid="{00000000-0005-0000-0000-00008E000000}"/>
    <cellStyle name="Comma 14" xfId="115" xr:uid="{00000000-0005-0000-0000-00008F000000}"/>
    <cellStyle name="Comma 15" xfId="116" xr:uid="{00000000-0005-0000-0000-000090000000}"/>
    <cellStyle name="Comma 16" xfId="416" xr:uid="{00000000-0005-0000-0000-000091000000}"/>
    <cellStyle name="Comma 16 3" xfId="396" xr:uid="{00000000-0005-0000-0000-000092000000}"/>
    <cellStyle name="Comma 17" xfId="410" xr:uid="{00000000-0005-0000-0000-000093000000}"/>
    <cellStyle name="Comma 18" xfId="412" xr:uid="{00000000-0005-0000-0000-000094000000}"/>
    <cellStyle name="Comma 19" xfId="423" xr:uid="{00000000-0005-0000-0000-000095000000}"/>
    <cellStyle name="Comma 2" xfId="117" xr:uid="{00000000-0005-0000-0000-000096000000}"/>
    <cellStyle name="Comma 2 2" xfId="380" xr:uid="{00000000-0005-0000-0000-000097000000}"/>
    <cellStyle name="Comma 2 28" xfId="118" xr:uid="{00000000-0005-0000-0000-000098000000}"/>
    <cellStyle name="Comma 2_bieu 1" xfId="119" xr:uid="{00000000-0005-0000-0000-000099000000}"/>
    <cellStyle name="Comma 20" xfId="424" xr:uid="{00000000-0005-0000-0000-00009A000000}"/>
    <cellStyle name="Comma 21" xfId="427" xr:uid="{00000000-0005-0000-0000-00009B000000}"/>
    <cellStyle name="Comma 22" xfId="428" xr:uid="{00000000-0005-0000-0000-00009C000000}"/>
    <cellStyle name="Comma 22 2" xfId="373" xr:uid="{00000000-0005-0000-0000-00009D000000}"/>
    <cellStyle name="Comma 22 2 2" xfId="429" xr:uid="{00000000-0005-0000-0000-00009E000000}"/>
    <cellStyle name="Comma 23" xfId="374" xr:uid="{00000000-0005-0000-0000-00009F000000}"/>
    <cellStyle name="Comma 23 2" xfId="430" xr:uid="{00000000-0005-0000-0000-0000A0000000}"/>
    <cellStyle name="Comma 24" xfId="460" xr:uid="{00000000-0005-0000-0000-0000A1000000}"/>
    <cellStyle name="Comma 3" xfId="120" xr:uid="{00000000-0005-0000-0000-0000A2000000}"/>
    <cellStyle name="Comma 3 2" xfId="388" xr:uid="{00000000-0005-0000-0000-0000A3000000}"/>
    <cellStyle name="Comma 4" xfId="121" xr:uid="{00000000-0005-0000-0000-0000A4000000}"/>
    <cellStyle name="Comma 4 2" xfId="389" xr:uid="{00000000-0005-0000-0000-0000A5000000}"/>
    <cellStyle name="Comma 4 20" xfId="122" xr:uid="{00000000-0005-0000-0000-0000A6000000}"/>
    <cellStyle name="Comma 5" xfId="378" xr:uid="{00000000-0005-0000-0000-0000A7000000}"/>
    <cellStyle name="Comma 5 2" xfId="431" xr:uid="{00000000-0005-0000-0000-0000A8000000}"/>
    <cellStyle name="Comma 6" xfId="123" xr:uid="{00000000-0005-0000-0000-0000A9000000}"/>
    <cellStyle name="Comma 7" xfId="124" xr:uid="{00000000-0005-0000-0000-0000AA000000}"/>
    <cellStyle name="Comma 8" xfId="125" xr:uid="{00000000-0005-0000-0000-0000AB000000}"/>
    <cellStyle name="Comma 8 2" xfId="390" xr:uid="{00000000-0005-0000-0000-0000AC000000}"/>
    <cellStyle name="Comma 9" xfId="394" xr:uid="{00000000-0005-0000-0000-0000AD000000}"/>
    <cellStyle name="comma zerodec" xfId="126" xr:uid="{00000000-0005-0000-0000-0000AE000000}"/>
    <cellStyle name="Comma0" xfId="127" xr:uid="{00000000-0005-0000-0000-0000AF000000}"/>
    <cellStyle name="Copied" xfId="128" xr:uid="{00000000-0005-0000-0000-0000B0000000}"/>
    <cellStyle name="Currency [00]" xfId="129" xr:uid="{00000000-0005-0000-0000-0000B1000000}"/>
    <cellStyle name="Currency0" xfId="130" xr:uid="{00000000-0005-0000-0000-0000B2000000}"/>
    <cellStyle name="Currency1" xfId="131" xr:uid="{00000000-0005-0000-0000-0000B3000000}"/>
    <cellStyle name="Check Cell 2" xfId="461" xr:uid="{00000000-0005-0000-0000-00007C000000}"/>
    <cellStyle name="Chi phÝ kh¸c_Book1" xfId="103" xr:uid="{00000000-0005-0000-0000-00007D000000}"/>
    <cellStyle name="Date" xfId="132" xr:uid="{00000000-0005-0000-0000-0000B4000000}"/>
    <cellStyle name="Date Short" xfId="133" xr:uid="{00000000-0005-0000-0000-0000B5000000}"/>
    <cellStyle name="Dezimal [0]_NEGS" xfId="134" xr:uid="{00000000-0005-0000-0000-0000B6000000}"/>
    <cellStyle name="Dezimal_NEGS" xfId="135" xr:uid="{00000000-0005-0000-0000-0000B7000000}"/>
    <cellStyle name="Dollar (zero dec)" xfId="136" xr:uid="{00000000-0005-0000-0000-0000B8000000}"/>
    <cellStyle name="Dziesi?tny [0]_Invoices2001Slovakia" xfId="137" xr:uid="{00000000-0005-0000-0000-0000B9000000}"/>
    <cellStyle name="Dziesi?tny_Invoices2001Slovakia" xfId="138" xr:uid="{00000000-0005-0000-0000-0000BA000000}"/>
    <cellStyle name="Dziesietny [0]_Invoices2001Slovakia" xfId="139" xr:uid="{00000000-0005-0000-0000-0000BB000000}"/>
    <cellStyle name="Dziesiętny [0]_Invoices2001Slovakia" xfId="140" xr:uid="{00000000-0005-0000-0000-0000BC000000}"/>
    <cellStyle name="Dziesietny [0]_Invoices2001Slovakia_Book1" xfId="141" xr:uid="{00000000-0005-0000-0000-0000BD000000}"/>
    <cellStyle name="Dziesiętny [0]_Invoices2001Slovakia_Book1" xfId="142" xr:uid="{00000000-0005-0000-0000-0000BE000000}"/>
    <cellStyle name="Dziesietny [0]_Invoices2001Slovakia_Book1_Tong hop Cac tuyen(9-1-06)" xfId="143" xr:uid="{00000000-0005-0000-0000-0000BF000000}"/>
    <cellStyle name="Dziesiętny [0]_Invoices2001Slovakia_Book1_Tong hop Cac tuyen(9-1-06)" xfId="144" xr:uid="{00000000-0005-0000-0000-0000C0000000}"/>
    <cellStyle name="Dziesietny [0]_Invoices2001Slovakia_KL K.C mat duong" xfId="145" xr:uid="{00000000-0005-0000-0000-0000C1000000}"/>
    <cellStyle name="Dziesiętny [0]_Invoices2001Slovakia_Nhalamviec VTC(25-1-05)" xfId="146" xr:uid="{00000000-0005-0000-0000-0000C2000000}"/>
    <cellStyle name="Dziesietny [0]_Invoices2001Slovakia_TDT KHANH HOA" xfId="147" xr:uid="{00000000-0005-0000-0000-0000C3000000}"/>
    <cellStyle name="Dziesiętny [0]_Invoices2001Slovakia_TDT KHANH HOA" xfId="148" xr:uid="{00000000-0005-0000-0000-0000C4000000}"/>
    <cellStyle name="Dziesietny [0]_Invoices2001Slovakia_TDT KHANH HOA_Tong hop Cac tuyen(9-1-06)" xfId="149" xr:uid="{00000000-0005-0000-0000-0000C5000000}"/>
    <cellStyle name="Dziesiętny [0]_Invoices2001Slovakia_TDT KHANH HOA_Tong hop Cac tuyen(9-1-06)" xfId="150" xr:uid="{00000000-0005-0000-0000-0000C6000000}"/>
    <cellStyle name="Dziesietny [0]_Invoices2001Slovakia_TDT quangngai" xfId="151" xr:uid="{00000000-0005-0000-0000-0000C7000000}"/>
    <cellStyle name="Dziesiętny [0]_Invoices2001Slovakia_TDT quangngai" xfId="152" xr:uid="{00000000-0005-0000-0000-0000C8000000}"/>
    <cellStyle name="Dziesietny [0]_Invoices2001Slovakia_Tong hop Cac tuyen(9-1-06)" xfId="153" xr:uid="{00000000-0005-0000-0000-0000C9000000}"/>
    <cellStyle name="Dziesietny_Invoices2001Slovakia" xfId="154" xr:uid="{00000000-0005-0000-0000-0000CA000000}"/>
    <cellStyle name="Dziesiętny_Invoices2001Slovakia" xfId="155" xr:uid="{00000000-0005-0000-0000-0000CB000000}"/>
    <cellStyle name="Dziesietny_Invoices2001Slovakia_Book1" xfId="156" xr:uid="{00000000-0005-0000-0000-0000CC000000}"/>
    <cellStyle name="Dziesiętny_Invoices2001Slovakia_Book1" xfId="157" xr:uid="{00000000-0005-0000-0000-0000CD000000}"/>
    <cellStyle name="Dziesietny_Invoices2001Slovakia_Book1_Tong hop Cac tuyen(9-1-06)" xfId="158" xr:uid="{00000000-0005-0000-0000-0000CE000000}"/>
    <cellStyle name="Dziesiętny_Invoices2001Slovakia_Book1_Tong hop Cac tuyen(9-1-06)" xfId="159" xr:uid="{00000000-0005-0000-0000-0000CF000000}"/>
    <cellStyle name="Dziesietny_Invoices2001Slovakia_KL K.C mat duong" xfId="160" xr:uid="{00000000-0005-0000-0000-0000D0000000}"/>
    <cellStyle name="Dziesiętny_Invoices2001Slovakia_Nhalamviec VTC(25-1-05)" xfId="161" xr:uid="{00000000-0005-0000-0000-0000D1000000}"/>
    <cellStyle name="Dziesietny_Invoices2001Slovakia_TDT KHANH HOA" xfId="162" xr:uid="{00000000-0005-0000-0000-0000D2000000}"/>
    <cellStyle name="Dziesiętny_Invoices2001Slovakia_TDT KHANH HOA" xfId="163" xr:uid="{00000000-0005-0000-0000-0000D3000000}"/>
    <cellStyle name="Dziesietny_Invoices2001Slovakia_TDT KHANH HOA_Tong hop Cac tuyen(9-1-06)" xfId="164" xr:uid="{00000000-0005-0000-0000-0000D4000000}"/>
    <cellStyle name="Dziesiętny_Invoices2001Slovakia_TDT KHANH HOA_Tong hop Cac tuyen(9-1-06)" xfId="165" xr:uid="{00000000-0005-0000-0000-0000D5000000}"/>
    <cellStyle name="Dziesietny_Invoices2001Slovakia_TDT quangngai" xfId="166" xr:uid="{00000000-0005-0000-0000-0000D6000000}"/>
    <cellStyle name="Dziesiętny_Invoices2001Slovakia_TDT quangngai" xfId="167" xr:uid="{00000000-0005-0000-0000-0000D7000000}"/>
    <cellStyle name="Dziesietny_Invoices2001Slovakia_Tong hop Cac tuyen(9-1-06)" xfId="168" xr:uid="{00000000-0005-0000-0000-0000D8000000}"/>
    <cellStyle name="Enter Currency (0)" xfId="169" xr:uid="{00000000-0005-0000-0000-0000D9000000}"/>
    <cellStyle name="Enter Currency (2)" xfId="170" xr:uid="{00000000-0005-0000-0000-0000DA000000}"/>
    <cellStyle name="Enter Units (0)" xfId="171" xr:uid="{00000000-0005-0000-0000-0000DB000000}"/>
    <cellStyle name="Enter Units (1)" xfId="172" xr:uid="{00000000-0005-0000-0000-0000DC000000}"/>
    <cellStyle name="Enter Units (2)" xfId="173" xr:uid="{00000000-0005-0000-0000-0000DD000000}"/>
    <cellStyle name="Entered" xfId="174" xr:uid="{00000000-0005-0000-0000-0000DE000000}"/>
    <cellStyle name="Euro" xfId="175" xr:uid="{00000000-0005-0000-0000-0000DF000000}"/>
    <cellStyle name="Explanatory Text 2" xfId="462" xr:uid="{00000000-0005-0000-0000-0000E0000000}"/>
    <cellStyle name="Fixed" xfId="176" xr:uid="{00000000-0005-0000-0000-0000E1000000}"/>
    <cellStyle name="Good 2" xfId="463" xr:uid="{00000000-0005-0000-0000-0000E2000000}"/>
    <cellStyle name="Grey" xfId="177" xr:uid="{00000000-0005-0000-0000-0000E3000000}"/>
    <cellStyle name="hai" xfId="178" xr:uid="{00000000-0005-0000-0000-0000E4000000}"/>
    <cellStyle name="Head 1" xfId="179" xr:uid="{00000000-0005-0000-0000-0000E5000000}"/>
    <cellStyle name="HEADER" xfId="180" xr:uid="{00000000-0005-0000-0000-0000E6000000}"/>
    <cellStyle name="Header1" xfId="181" xr:uid="{00000000-0005-0000-0000-0000E7000000}"/>
    <cellStyle name="Header2" xfId="182" xr:uid="{00000000-0005-0000-0000-0000E8000000}"/>
    <cellStyle name="Heading 1 2" xfId="464" xr:uid="{00000000-0005-0000-0000-0000E9000000}"/>
    <cellStyle name="Heading 2 2" xfId="465" xr:uid="{00000000-0005-0000-0000-0000EA000000}"/>
    <cellStyle name="Heading 3 2" xfId="466" xr:uid="{00000000-0005-0000-0000-0000EB000000}"/>
    <cellStyle name="Heading 4 2" xfId="467" xr:uid="{00000000-0005-0000-0000-0000EC000000}"/>
    <cellStyle name="HEADING1" xfId="183" xr:uid="{00000000-0005-0000-0000-0000ED000000}"/>
    <cellStyle name="HEADING2" xfId="184" xr:uid="{00000000-0005-0000-0000-0000EE000000}"/>
    <cellStyle name="HEADINGS" xfId="185" xr:uid="{00000000-0005-0000-0000-0000EF000000}"/>
    <cellStyle name="HEADINGSTOP" xfId="186" xr:uid="{00000000-0005-0000-0000-0000F0000000}"/>
    <cellStyle name="headoption" xfId="187" xr:uid="{00000000-0005-0000-0000-0000F1000000}"/>
    <cellStyle name="Hoa-Scholl" xfId="188" xr:uid="{00000000-0005-0000-0000-0000F2000000}"/>
    <cellStyle name="i·0" xfId="189" xr:uid="{00000000-0005-0000-0000-0000F3000000}"/>
    <cellStyle name="Input [yellow]" xfId="190" xr:uid="{00000000-0005-0000-0000-0000F4000000}"/>
    <cellStyle name="Input 2" xfId="468" xr:uid="{00000000-0005-0000-0000-0000F5000000}"/>
    <cellStyle name="khanh" xfId="191" xr:uid="{00000000-0005-0000-0000-0000F6000000}"/>
    <cellStyle name="Ledger 17 x 11 in" xfId="192" xr:uid="{00000000-0005-0000-0000-0000F7000000}"/>
    <cellStyle name="Ledger 17 x 11 in 2" xfId="193" xr:uid="{00000000-0005-0000-0000-0000F8000000}"/>
    <cellStyle name="Ledger 17 x 11 in 3" xfId="194" xr:uid="{00000000-0005-0000-0000-0000F9000000}"/>
    <cellStyle name="Ledger 17 x 11 in 4" xfId="391" xr:uid="{00000000-0005-0000-0000-0000FA000000}"/>
    <cellStyle name="Ledger 17 x 11 in_bieu 1" xfId="195" xr:uid="{00000000-0005-0000-0000-0000FB000000}"/>
    <cellStyle name="Link Currency (0)" xfId="196" xr:uid="{00000000-0005-0000-0000-0000FC000000}"/>
    <cellStyle name="Link Currency (2)" xfId="197" xr:uid="{00000000-0005-0000-0000-0000FD000000}"/>
    <cellStyle name="Link Units (0)" xfId="198" xr:uid="{00000000-0005-0000-0000-0000FE000000}"/>
    <cellStyle name="Link Units (1)" xfId="199" xr:uid="{00000000-0005-0000-0000-0000FF000000}"/>
    <cellStyle name="Link Units (2)" xfId="200" xr:uid="{00000000-0005-0000-0000-000000010000}"/>
    <cellStyle name="Linked Cell 2" xfId="469" xr:uid="{00000000-0005-0000-0000-000001010000}"/>
    <cellStyle name="Migliaia (0)_CALPREZZ" xfId="201" xr:uid="{00000000-0005-0000-0000-000002010000}"/>
    <cellStyle name="Migliaia_ PESO ELETTR." xfId="202" xr:uid="{00000000-0005-0000-0000-000003010000}"/>
    <cellStyle name="Millares [0]_Well Timing" xfId="203" xr:uid="{00000000-0005-0000-0000-000004010000}"/>
    <cellStyle name="Millares_Well Timing" xfId="204" xr:uid="{00000000-0005-0000-0000-000005010000}"/>
    <cellStyle name="Milliers [0]_      " xfId="205" xr:uid="{00000000-0005-0000-0000-000006010000}"/>
    <cellStyle name="Milliers_      " xfId="206" xr:uid="{00000000-0005-0000-0000-000007010000}"/>
    <cellStyle name="Model" xfId="207" xr:uid="{00000000-0005-0000-0000-000008010000}"/>
    <cellStyle name="moi" xfId="208" xr:uid="{00000000-0005-0000-0000-000009010000}"/>
    <cellStyle name="Moneda [0]_Well Timing" xfId="209" xr:uid="{00000000-0005-0000-0000-00000A010000}"/>
    <cellStyle name="Moneda_Well Timing" xfId="210" xr:uid="{00000000-0005-0000-0000-00000B010000}"/>
    <cellStyle name="Monétaire [0]_      " xfId="211" xr:uid="{00000000-0005-0000-0000-00000C010000}"/>
    <cellStyle name="Monétaire_      " xfId="212" xr:uid="{00000000-0005-0000-0000-00000D010000}"/>
    <cellStyle name="n" xfId="213" xr:uid="{00000000-0005-0000-0000-00000E010000}"/>
    <cellStyle name="Neutral 2" xfId="470" xr:uid="{00000000-0005-0000-0000-00000F010000}"/>
    <cellStyle name="New Times Roman" xfId="214" xr:uid="{00000000-0005-0000-0000-000010010000}"/>
    <cellStyle name="no dec" xfId="215" xr:uid="{00000000-0005-0000-0000-000011010000}"/>
    <cellStyle name="Normal" xfId="0" builtinId="0"/>
    <cellStyle name="Normal - Style1" xfId="216" xr:uid="{00000000-0005-0000-0000-000013010000}"/>
    <cellStyle name="Normal 10" xfId="217" xr:uid="{00000000-0005-0000-0000-000014010000}"/>
    <cellStyle name="Normal 10 2 24" xfId="397" xr:uid="{00000000-0005-0000-0000-000015010000}"/>
    <cellStyle name="Normal 10 2 4" xfId="399" xr:uid="{00000000-0005-0000-0000-000016010000}"/>
    <cellStyle name="Normal 11" xfId="4" xr:uid="{00000000-0005-0000-0000-000017010000}"/>
    <cellStyle name="Normal 11 2" xfId="392" xr:uid="{00000000-0005-0000-0000-000018010000}"/>
    <cellStyle name="Normal 12" xfId="218" xr:uid="{00000000-0005-0000-0000-000019010000}"/>
    <cellStyle name="Normal 12 2" xfId="432" xr:uid="{00000000-0005-0000-0000-00001A010000}"/>
    <cellStyle name="Normal 13" xfId="5" xr:uid="{00000000-0005-0000-0000-00001B010000}"/>
    <cellStyle name="Normal 14" xfId="377" xr:uid="{00000000-0005-0000-0000-00001C010000}"/>
    <cellStyle name="Normal 15" xfId="381" xr:uid="{00000000-0005-0000-0000-00001D010000}"/>
    <cellStyle name="Normal 16" xfId="400" xr:uid="{00000000-0005-0000-0000-00001E010000}"/>
    <cellStyle name="Normal 17" xfId="403" xr:uid="{00000000-0005-0000-0000-00001F010000}"/>
    <cellStyle name="Normal 18" xfId="402" xr:uid="{00000000-0005-0000-0000-000020010000}"/>
    <cellStyle name="Normal 19" xfId="409" xr:uid="{00000000-0005-0000-0000-000021010000}"/>
    <cellStyle name="Normal 2" xfId="2" xr:uid="{00000000-0005-0000-0000-000022010000}"/>
    <cellStyle name="Normal 2 2" xfId="219" xr:uid="{00000000-0005-0000-0000-000023010000}"/>
    <cellStyle name="Normal 2 2 2" xfId="384" xr:uid="{00000000-0005-0000-0000-000024010000}"/>
    <cellStyle name="Normal 2 3" xfId="220" xr:uid="{00000000-0005-0000-0000-000025010000}"/>
    <cellStyle name="Normal 2 3 2" xfId="221" xr:uid="{00000000-0005-0000-0000-000026010000}"/>
    <cellStyle name="Normal 2 3 3" xfId="386" xr:uid="{00000000-0005-0000-0000-000027010000}"/>
    <cellStyle name="Normal 2 4" xfId="393" xr:uid="{00000000-0005-0000-0000-000028010000}"/>
    <cellStyle name="Normal 2 5" xfId="379" xr:uid="{00000000-0005-0000-0000-000029010000}"/>
    <cellStyle name="Normal 2_160507 Bieu mau NSDP ND sua ND73" xfId="222" xr:uid="{00000000-0005-0000-0000-00002A010000}"/>
    <cellStyle name="Normal 20" xfId="401" xr:uid="{00000000-0005-0000-0000-00002B010000}"/>
    <cellStyle name="Normal 21" xfId="406" xr:uid="{00000000-0005-0000-0000-00002C010000}"/>
    <cellStyle name="Normal 22" xfId="422" xr:uid="{00000000-0005-0000-0000-00002D010000}"/>
    <cellStyle name="Normal 23" xfId="223" xr:uid="{00000000-0005-0000-0000-00002E010000}"/>
    <cellStyle name="Normal 24" xfId="224" xr:uid="{00000000-0005-0000-0000-00002F010000}"/>
    <cellStyle name="Normal 25" xfId="225" xr:uid="{00000000-0005-0000-0000-000030010000}"/>
    <cellStyle name="Normal 26" xfId="226" xr:uid="{00000000-0005-0000-0000-000031010000}"/>
    <cellStyle name="Normal 27" xfId="227" xr:uid="{00000000-0005-0000-0000-000032010000}"/>
    <cellStyle name="Normal 28" xfId="228" xr:uid="{00000000-0005-0000-0000-000033010000}"/>
    <cellStyle name="Normal 29" xfId="229" xr:uid="{00000000-0005-0000-0000-000034010000}"/>
    <cellStyle name="Normal 3" xfId="230" xr:uid="{00000000-0005-0000-0000-000035010000}"/>
    <cellStyle name="Normal 30" xfId="231" xr:uid="{00000000-0005-0000-0000-000036010000}"/>
    <cellStyle name="Normal 31" xfId="232" xr:uid="{00000000-0005-0000-0000-000037010000}"/>
    <cellStyle name="Normal 32" xfId="233" xr:uid="{00000000-0005-0000-0000-000038010000}"/>
    <cellStyle name="Normal 33" xfId="419" xr:uid="{00000000-0005-0000-0000-000039010000}"/>
    <cellStyle name="Normal 34" xfId="420" xr:uid="{00000000-0005-0000-0000-00003A010000}"/>
    <cellStyle name="Normal 35" xfId="407" xr:uid="{00000000-0005-0000-0000-00003B010000}"/>
    <cellStyle name="Normal 36" xfId="433" xr:uid="{00000000-0005-0000-0000-00003C010000}"/>
    <cellStyle name="Normal 4" xfId="234" xr:uid="{00000000-0005-0000-0000-00003D010000}"/>
    <cellStyle name="Normal 4 2" xfId="235" xr:uid="{00000000-0005-0000-0000-00003E010000}"/>
    <cellStyle name="Normal 4_160513 Bieu mau NSDP ND sua ND73" xfId="236" xr:uid="{00000000-0005-0000-0000-00003F010000}"/>
    <cellStyle name="Normal 5" xfId="237" xr:uid="{00000000-0005-0000-0000-000040010000}"/>
    <cellStyle name="Normal 5 3" xfId="372" xr:uid="{00000000-0005-0000-0000-000041010000}"/>
    <cellStyle name="Normal 52 2" xfId="398" xr:uid="{00000000-0005-0000-0000-000042010000}"/>
    <cellStyle name="Normal 6" xfId="238" xr:uid="{00000000-0005-0000-0000-000043010000}"/>
    <cellStyle name="Normal 6 2" xfId="395" xr:uid="{00000000-0005-0000-0000-000044010000}"/>
    <cellStyle name="Normal 7" xfId="239" xr:uid="{00000000-0005-0000-0000-000045010000}"/>
    <cellStyle name="Normal 7 2" xfId="383" xr:uid="{00000000-0005-0000-0000-000046010000}"/>
    <cellStyle name="Normal 8" xfId="240" xr:uid="{00000000-0005-0000-0000-000047010000}"/>
    <cellStyle name="Normal 9" xfId="241" xr:uid="{00000000-0005-0000-0000-000048010000}"/>
    <cellStyle name="Normal 9 2" xfId="242" xr:uid="{00000000-0005-0000-0000-000049010000}"/>
    <cellStyle name="Normal 9_BieuHD2016-2020Tquang2(OK)" xfId="243" xr:uid="{00000000-0005-0000-0000-00004A010000}"/>
    <cellStyle name="Normal_Bieu so 2(DPsua)" xfId="371" xr:uid="{00000000-0005-0000-0000-00004B010000}"/>
    <cellStyle name="Normal_Mau giao thu (Bo)" xfId="1" xr:uid="{00000000-0005-0000-0000-00004C010000}"/>
    <cellStyle name="Normal_Sheet1" xfId="3" xr:uid="{00000000-0005-0000-0000-00004D010000}"/>
    <cellStyle name="Normal1" xfId="244" xr:uid="{00000000-0005-0000-0000-00004E010000}"/>
    <cellStyle name="Normale_ PESO ELETTR." xfId="245" xr:uid="{00000000-0005-0000-0000-00004F010000}"/>
    <cellStyle name="Normalny_Cennik obowiazuje od 06-08-2001 r (1)" xfId="246" xr:uid="{00000000-0005-0000-0000-000050010000}"/>
    <cellStyle name="Note 2" xfId="471" xr:uid="{00000000-0005-0000-0000-000051010000}"/>
    <cellStyle name="Œ…‹æØ‚è [0.00]_laroux" xfId="247" xr:uid="{00000000-0005-0000-0000-000052010000}"/>
    <cellStyle name="Œ…‹æØ‚è_laroux" xfId="248" xr:uid="{00000000-0005-0000-0000-000053010000}"/>
    <cellStyle name="oft Excel]_x000d__x000a_Comment=open=/f ‚ðw’è‚·‚é‚ÆAƒ†[ƒU[’è‹`ŠÖ”‚ðŠÖ”“\‚è•t‚¯‚Ìˆê——‚É“o˜^‚·‚é‚±‚Æ‚ª‚Å‚«‚Ü‚·B_x000d__x000a_Maximized" xfId="249" xr:uid="{00000000-0005-0000-0000-000054010000}"/>
    <cellStyle name="oft Excel]_x000d__x000a_Comment=open=/f ‚ðŽw’è‚·‚é‚ÆAƒ†[ƒU[’è‹`ŠÖ”‚ðŠÖ”“\‚è•t‚¯‚Ìˆê——‚É“o˜^‚·‚é‚±‚Æ‚ª‚Å‚«‚Ü‚·B_x000d__x000a_Maximized" xfId="250" xr:uid="{00000000-0005-0000-0000-000055010000}"/>
    <cellStyle name="oft Excel]_x000d__x000a_Comment=The open=/f lines load custom functions into the Paste Function list._x000d__x000a_Maximized=2_x000d__x000a_Basics=1_x000d__x000a_A" xfId="251" xr:uid="{00000000-0005-0000-0000-000056010000}"/>
    <cellStyle name="oft Excel]_x000d__x000a_Comment=The open=/f lines load custom functions into the Paste Function list._x000d__x000a_Maximized=3_x000d__x000a_Basics=1_x000d__x000a_A" xfId="252" xr:uid="{00000000-0005-0000-0000-000057010000}"/>
    <cellStyle name="omma [0]_Mktg Prog" xfId="253" xr:uid="{00000000-0005-0000-0000-000058010000}"/>
    <cellStyle name="ormal_Sheet1_1" xfId="254" xr:uid="{00000000-0005-0000-0000-000059010000}"/>
    <cellStyle name="Output 2" xfId="472" xr:uid="{00000000-0005-0000-0000-00005A010000}"/>
    <cellStyle name="per.style" xfId="255" xr:uid="{00000000-0005-0000-0000-00005B010000}"/>
    <cellStyle name="Percent [0]" xfId="256" xr:uid="{00000000-0005-0000-0000-00005C010000}"/>
    <cellStyle name="Percent [00]" xfId="257" xr:uid="{00000000-0005-0000-0000-00005D010000}"/>
    <cellStyle name="Percent [2]" xfId="258" xr:uid="{00000000-0005-0000-0000-00005E010000}"/>
    <cellStyle name="Percent 10" xfId="259" xr:uid="{00000000-0005-0000-0000-00005F010000}"/>
    <cellStyle name="Percent 11" xfId="385" xr:uid="{00000000-0005-0000-0000-000060010000}"/>
    <cellStyle name="Percent 12" xfId="421" xr:uid="{00000000-0005-0000-0000-000061010000}"/>
    <cellStyle name="Percent 13" xfId="417" xr:uid="{00000000-0005-0000-0000-000062010000}"/>
    <cellStyle name="Percent 14" xfId="426" xr:uid="{00000000-0005-0000-0000-000063010000}"/>
    <cellStyle name="Percent 15" xfId="425" xr:uid="{00000000-0005-0000-0000-000064010000}"/>
    <cellStyle name="Percent 2" xfId="260" xr:uid="{00000000-0005-0000-0000-000065010000}"/>
    <cellStyle name="Percent 3" xfId="387" xr:uid="{00000000-0005-0000-0000-000066010000}"/>
    <cellStyle name="Percent 4" xfId="408" xr:uid="{00000000-0005-0000-0000-000067010000}"/>
    <cellStyle name="Percent 5" xfId="404" xr:uid="{00000000-0005-0000-0000-000068010000}"/>
    <cellStyle name="Percent 6" xfId="405" xr:uid="{00000000-0005-0000-0000-000069010000}"/>
    <cellStyle name="Percent 7" xfId="413" xr:uid="{00000000-0005-0000-0000-00006A010000}"/>
    <cellStyle name="Percent 8" xfId="414" xr:uid="{00000000-0005-0000-0000-00006B010000}"/>
    <cellStyle name="Percent 9" xfId="418" xr:uid="{00000000-0005-0000-0000-00006C010000}"/>
    <cellStyle name="PERCENTAGE" xfId="261" xr:uid="{00000000-0005-0000-0000-00006D010000}"/>
    <cellStyle name="PrePop Currency (0)" xfId="262" xr:uid="{00000000-0005-0000-0000-00006E010000}"/>
    <cellStyle name="PrePop Currency (2)" xfId="263" xr:uid="{00000000-0005-0000-0000-00006F010000}"/>
    <cellStyle name="PrePop Units (0)" xfId="264" xr:uid="{00000000-0005-0000-0000-000070010000}"/>
    <cellStyle name="PrePop Units (1)" xfId="265" xr:uid="{00000000-0005-0000-0000-000071010000}"/>
    <cellStyle name="PrePop Units (2)" xfId="266" xr:uid="{00000000-0005-0000-0000-000072010000}"/>
    <cellStyle name="pricing" xfId="267" xr:uid="{00000000-0005-0000-0000-000073010000}"/>
    <cellStyle name="PSChar" xfId="268" xr:uid="{00000000-0005-0000-0000-000074010000}"/>
    <cellStyle name="PSHeading" xfId="269" xr:uid="{00000000-0005-0000-0000-000075010000}"/>
    <cellStyle name="regstoresfromspecstores" xfId="270" xr:uid="{00000000-0005-0000-0000-000076010000}"/>
    <cellStyle name="RevList" xfId="271" xr:uid="{00000000-0005-0000-0000-000077010000}"/>
    <cellStyle name="S—_x0008_" xfId="272" xr:uid="{00000000-0005-0000-0000-000078010000}"/>
    <cellStyle name="s]_x000d__x000a_spooler=yes_x000d__x000a_load=_x000d__x000a_Beep=yes_x000d__x000a_NullPort=None_x000d__x000a_BorderWidth=3_x000d__x000a_CursorBlinkRate=1200_x000d__x000a_DoubleClickSpeed=452_x000d__x000a_Programs=co" xfId="273" xr:uid="{00000000-0005-0000-0000-000079010000}"/>
    <cellStyle name="SAPBEXaggData" xfId="274" xr:uid="{00000000-0005-0000-0000-00007A010000}"/>
    <cellStyle name="SAPBEXaggDataEmph" xfId="275" xr:uid="{00000000-0005-0000-0000-00007B010000}"/>
    <cellStyle name="SAPBEXaggItem" xfId="276" xr:uid="{00000000-0005-0000-0000-00007C010000}"/>
    <cellStyle name="SAPBEXchaText" xfId="277" xr:uid="{00000000-0005-0000-0000-00007D010000}"/>
    <cellStyle name="SAPBEXexcBad7" xfId="278" xr:uid="{00000000-0005-0000-0000-00007E010000}"/>
    <cellStyle name="SAPBEXexcBad8" xfId="279" xr:uid="{00000000-0005-0000-0000-00007F010000}"/>
    <cellStyle name="SAPBEXexcBad9" xfId="280" xr:uid="{00000000-0005-0000-0000-000080010000}"/>
    <cellStyle name="SAPBEXexcCritical4" xfId="281" xr:uid="{00000000-0005-0000-0000-000081010000}"/>
    <cellStyle name="SAPBEXexcCritical5" xfId="282" xr:uid="{00000000-0005-0000-0000-000082010000}"/>
    <cellStyle name="SAPBEXexcCritical6" xfId="283" xr:uid="{00000000-0005-0000-0000-000083010000}"/>
    <cellStyle name="SAPBEXexcGood1" xfId="284" xr:uid="{00000000-0005-0000-0000-000084010000}"/>
    <cellStyle name="SAPBEXexcGood2" xfId="285" xr:uid="{00000000-0005-0000-0000-000085010000}"/>
    <cellStyle name="SAPBEXexcGood3" xfId="286" xr:uid="{00000000-0005-0000-0000-000086010000}"/>
    <cellStyle name="SAPBEXfilterDrill" xfId="287" xr:uid="{00000000-0005-0000-0000-000087010000}"/>
    <cellStyle name="SAPBEXfilterItem" xfId="288" xr:uid="{00000000-0005-0000-0000-000088010000}"/>
    <cellStyle name="SAPBEXfilterText" xfId="289" xr:uid="{00000000-0005-0000-0000-000089010000}"/>
    <cellStyle name="SAPBEXformats" xfId="290" xr:uid="{00000000-0005-0000-0000-00008A010000}"/>
    <cellStyle name="SAPBEXheaderItem" xfId="291" xr:uid="{00000000-0005-0000-0000-00008B010000}"/>
    <cellStyle name="SAPBEXheaderText" xfId="292" xr:uid="{00000000-0005-0000-0000-00008C010000}"/>
    <cellStyle name="SAPBEXresData" xfId="293" xr:uid="{00000000-0005-0000-0000-00008D010000}"/>
    <cellStyle name="SAPBEXresDataEmph" xfId="294" xr:uid="{00000000-0005-0000-0000-00008E010000}"/>
    <cellStyle name="SAPBEXresItem" xfId="295" xr:uid="{00000000-0005-0000-0000-00008F010000}"/>
    <cellStyle name="SAPBEXstdData" xfId="296" xr:uid="{00000000-0005-0000-0000-000090010000}"/>
    <cellStyle name="SAPBEXstdDataEmph" xfId="297" xr:uid="{00000000-0005-0000-0000-000091010000}"/>
    <cellStyle name="SAPBEXstdItem" xfId="298" xr:uid="{00000000-0005-0000-0000-000092010000}"/>
    <cellStyle name="SAPBEXtitle" xfId="299" xr:uid="{00000000-0005-0000-0000-000093010000}"/>
    <cellStyle name="SAPBEXundefined" xfId="300" xr:uid="{00000000-0005-0000-0000-000094010000}"/>
    <cellStyle name="SHADEDSTORES" xfId="301" xr:uid="{00000000-0005-0000-0000-000095010000}"/>
    <cellStyle name="specstores" xfId="302" xr:uid="{00000000-0005-0000-0000-000096010000}"/>
    <cellStyle name="Standard" xfId="303" xr:uid="{00000000-0005-0000-0000-000097010000}"/>
    <cellStyle name="style" xfId="304" xr:uid="{00000000-0005-0000-0000-000098010000}"/>
    <cellStyle name="Style 1" xfId="305" xr:uid="{00000000-0005-0000-0000-000099010000}"/>
    <cellStyle name="Style 2" xfId="306" xr:uid="{00000000-0005-0000-0000-00009A010000}"/>
    <cellStyle name="Style 3" xfId="307" xr:uid="{00000000-0005-0000-0000-00009B010000}"/>
    <cellStyle name="Style 4" xfId="308" xr:uid="{00000000-0005-0000-0000-00009C010000}"/>
    <cellStyle name="Style 5" xfId="309" xr:uid="{00000000-0005-0000-0000-00009D010000}"/>
    <cellStyle name="Style 6" xfId="310" xr:uid="{00000000-0005-0000-0000-00009E010000}"/>
    <cellStyle name="subhead" xfId="311" xr:uid="{00000000-0005-0000-0000-00009F010000}"/>
    <cellStyle name="Subtotal" xfId="312" xr:uid="{00000000-0005-0000-0000-0000A0010000}"/>
    <cellStyle name="T" xfId="313" xr:uid="{00000000-0005-0000-0000-0000A1010000}"/>
    <cellStyle name="T_50-BB Vung tau 2011" xfId="314" xr:uid="{00000000-0005-0000-0000-0000A2010000}"/>
    <cellStyle name="T_50-BB Vung tau 2011_27-8Tong hop PA uoc 2012-DT 2013 -PA 420.000 ty-490.000 ty chuyen doi" xfId="315" xr:uid="{00000000-0005-0000-0000-0000A3010000}"/>
    <cellStyle name="T_bieu 1" xfId="316" xr:uid="{00000000-0005-0000-0000-0000A4010000}"/>
    <cellStyle name="T_bieu 2" xfId="317" xr:uid="{00000000-0005-0000-0000-0000A5010000}"/>
    <cellStyle name="T_bieu 4" xfId="318" xr:uid="{00000000-0005-0000-0000-0000A6010000}"/>
    <cellStyle name="Text Indent A" xfId="319" xr:uid="{00000000-0005-0000-0000-0000A7010000}"/>
    <cellStyle name="Text Indent B" xfId="320" xr:uid="{00000000-0005-0000-0000-0000A8010000}"/>
    <cellStyle name="Text Indent C" xfId="321" xr:uid="{00000000-0005-0000-0000-0000A9010000}"/>
    <cellStyle name="Title 2" xfId="473" xr:uid="{00000000-0005-0000-0000-0000AF010000}"/>
    <cellStyle name="Total 2" xfId="474" xr:uid="{00000000-0005-0000-0000-0000B0010000}"/>
    <cellStyle name="th" xfId="322" xr:uid="{00000000-0005-0000-0000-0000AA010000}"/>
    <cellStyle name="þ_x001d_ð·_x000c_æþ'_x000d_ßþU_x0001_Ø_x0005_ü_x0014__x0007__x0001__x0001_" xfId="323" xr:uid="{00000000-0005-0000-0000-0000AB010000}"/>
    <cellStyle name="þ_x001d_ðÇ%Uý—&amp;Hý9_x0008_Ÿ s_x000a__x0007__x0001__x0001_" xfId="324" xr:uid="{00000000-0005-0000-0000-0000AC010000}"/>
    <cellStyle name="þ_x001d_ðK_x000c_Fý_x001b__x000d_9ýU_x0001_Ð_x0008_¦)_x0007__x0001__x0001_" xfId="325" xr:uid="{00000000-0005-0000-0000-0000AD010000}"/>
    <cellStyle name="Thuyet minh" xfId="326" xr:uid="{00000000-0005-0000-0000-0000AE010000}"/>
    <cellStyle name="Valuta (0)_CALPREZZ" xfId="327" xr:uid="{00000000-0005-0000-0000-0000B1010000}"/>
    <cellStyle name="Valuta_ PESO ELETTR." xfId="328" xr:uid="{00000000-0005-0000-0000-0000B2010000}"/>
    <cellStyle name="viet" xfId="329" xr:uid="{00000000-0005-0000-0000-0000B3010000}"/>
    <cellStyle name="viet2" xfId="330" xr:uid="{00000000-0005-0000-0000-0000B4010000}"/>
    <cellStyle name="Vn Time 13" xfId="331" xr:uid="{00000000-0005-0000-0000-0000B5010000}"/>
    <cellStyle name="Vn Time 14" xfId="332" xr:uid="{00000000-0005-0000-0000-0000B6010000}"/>
    <cellStyle name="vnbo" xfId="333" xr:uid="{00000000-0005-0000-0000-0000B7010000}"/>
    <cellStyle name="vntxt1" xfId="338" xr:uid="{00000000-0005-0000-0000-0000BC010000}"/>
    <cellStyle name="vntxt2" xfId="339" xr:uid="{00000000-0005-0000-0000-0000BD010000}"/>
    <cellStyle name="vnhead1" xfId="334" xr:uid="{00000000-0005-0000-0000-0000B8010000}"/>
    <cellStyle name="vnhead2" xfId="335" xr:uid="{00000000-0005-0000-0000-0000B9010000}"/>
    <cellStyle name="vnhead3" xfId="336" xr:uid="{00000000-0005-0000-0000-0000BA010000}"/>
    <cellStyle name="vnhead4" xfId="337" xr:uid="{00000000-0005-0000-0000-0000BB010000}"/>
    <cellStyle name="Währung [0]_UXO VII" xfId="340" xr:uid="{00000000-0005-0000-0000-0000BE010000}"/>
    <cellStyle name="Währung_UXO VII" xfId="341" xr:uid="{00000000-0005-0000-0000-0000BF010000}"/>
    <cellStyle name="Walutowy [0]_Invoices2001Slovakia" xfId="342" xr:uid="{00000000-0005-0000-0000-0000C0010000}"/>
    <cellStyle name="Walutowy_Invoices2001Slovakia" xfId="343" xr:uid="{00000000-0005-0000-0000-0000C1010000}"/>
    <cellStyle name="Warning Text 2" xfId="475" xr:uid="{00000000-0005-0000-0000-0000C2010000}"/>
    <cellStyle name="xuan" xfId="344" xr:uid="{00000000-0005-0000-0000-0000C3010000}"/>
    <cellStyle name=" [0.00]_ Att. 1- Cover" xfId="345" xr:uid="{00000000-0005-0000-0000-0000C4010000}"/>
    <cellStyle name="_ Att. 1- Cover" xfId="346" xr:uid="{00000000-0005-0000-0000-0000C5010000}"/>
    <cellStyle name="?_ Att. 1- Cover" xfId="347" xr:uid="{00000000-0005-0000-0000-0000C6010000}"/>
    <cellStyle name="똿뗦먛귟 [0.00]_PRODUCT DETAIL Q1" xfId="348" xr:uid="{00000000-0005-0000-0000-0000C7010000}"/>
    <cellStyle name="똿뗦먛귟_PRODUCT DETAIL Q1" xfId="349" xr:uid="{00000000-0005-0000-0000-0000C8010000}"/>
    <cellStyle name="믅됞 [0.00]_PRODUCT DETAIL Q1" xfId="350" xr:uid="{00000000-0005-0000-0000-0000C9010000}"/>
    <cellStyle name="믅됞_PRODUCT DETAIL Q1" xfId="351" xr:uid="{00000000-0005-0000-0000-0000CA010000}"/>
    <cellStyle name="백분율_95" xfId="352" xr:uid="{00000000-0005-0000-0000-0000CB010000}"/>
    <cellStyle name="뷭?_BOOKSHIP" xfId="353" xr:uid="{00000000-0005-0000-0000-0000CC010000}"/>
    <cellStyle name="안건회계법인" xfId="354" xr:uid="{00000000-0005-0000-0000-0000CD010000}"/>
    <cellStyle name="콤마 [0]_ 비목별 월별기술 " xfId="355" xr:uid="{00000000-0005-0000-0000-0000CE010000}"/>
    <cellStyle name="콤마_ 비목별 월별기술 " xfId="356" xr:uid="{00000000-0005-0000-0000-0000CF010000}"/>
    <cellStyle name="통화 [0]_1202" xfId="357" xr:uid="{00000000-0005-0000-0000-0000D0010000}"/>
    <cellStyle name="통화_1202" xfId="358" xr:uid="{00000000-0005-0000-0000-0000D1010000}"/>
    <cellStyle name="표준_(정보부문)월별인원계획" xfId="359" xr:uid="{00000000-0005-0000-0000-0000D2010000}"/>
    <cellStyle name="一般_00Q3902REV.1" xfId="360" xr:uid="{00000000-0005-0000-0000-0000D3010000}"/>
    <cellStyle name="千分位[0]_00Q3902REV.1" xfId="361" xr:uid="{00000000-0005-0000-0000-0000D4010000}"/>
    <cellStyle name="千分位_00Q3902REV.1" xfId="362" xr:uid="{00000000-0005-0000-0000-0000D5010000}"/>
    <cellStyle name="桁区切り_NADUONG BQ (Draft)" xfId="363" xr:uid="{00000000-0005-0000-0000-0000D6010000}"/>
    <cellStyle name="標準_BOQ-08" xfId="364" xr:uid="{00000000-0005-0000-0000-0000D7010000}"/>
    <cellStyle name="貨幣 [0]_00Q3902REV.1" xfId="365" xr:uid="{00000000-0005-0000-0000-0000D8010000}"/>
    <cellStyle name="貨幣[0]_BRE" xfId="366" xr:uid="{00000000-0005-0000-0000-0000D9010000}"/>
    <cellStyle name="貨幣_00Q3902REV.1" xfId="367" xr:uid="{00000000-0005-0000-0000-0000DA010000}"/>
    <cellStyle name="通貨_MITSUI1_BQ" xfId="368" xr:uid="{00000000-0005-0000-0000-0000DB01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LONG%202021\Ho%20so%20XD%20DT%202022\KH%203%20nam%20dang%20lam\KH%203%20nam%202022-2024%20ky%20lan%201\TCDT_01-CHINH-THUC-2022-Bieu-KH-TC-NS-03-nam-2022-2024_Gui%20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TONG%20HOP%202021\X&#194;Y%20D&#431;NG%20D&#7920;%20TO&#193;N%202022\PHUONG%20AN%20TRINH%20HDND\Phuong%20an%20sau%20khi%20hop%20UB\Ho%20so%20chinh%20thuc%20cap%20nhat%20lai%20von%20DTPT_S&#417;%20KHDT%20chinh%20thuc\Bi&#7875;u%20DT%202022%20k&#232;m%20T&#7901;%20tr&#236;nh%20UBND%20t&#7881;nh_11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TXH 69-7"/>
      <sheetName val="DT thu 69-7"/>
      <sheetName val="SẮC THUẾ 69-7"/>
      <sheetName val="Chi CĐ NSĐP 69-7"/>
      <sheetName val="vay, trả nợ 20-7"/>
      <sheetName val="CCTL 20-7"/>
      <sheetName val="Bieu 07-31"/>
      <sheetName val="Bieu 08-31"/>
      <sheetName val="Bieu 09-31"/>
      <sheetName val="Bieu 10-31"/>
      <sheetName val="Bieu 11-31"/>
      <sheetName val="Bieu 32 Chi"/>
      <sheetName val="PL15 ND 31"/>
      <sheetName val="Sheet1"/>
    </sheetNames>
    <sheetDataSet>
      <sheetData sheetId="0" refreshError="1"/>
      <sheetData sheetId="1" refreshError="1"/>
      <sheetData sheetId="2" refreshError="1"/>
      <sheetData sheetId="3">
        <row r="59">
          <cell r="K59">
            <v>789492</v>
          </cell>
        </row>
      </sheetData>
      <sheetData sheetId="4">
        <row r="46">
          <cell r="H46">
            <v>91000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 cac cap huong"/>
      <sheetName val="Bieu 01 TT"/>
      <sheetName val="BIeu 02_TT"/>
      <sheetName val="Bieu 03_TTr"/>
      <sheetName val="Bieu 3a_ phí le phi"/>
      <sheetName val="Bieu 03b_TT"/>
      <sheetName val="Bieu 04_TTr"/>
      <sheetName val="Bieu4a 10% tien dat"/>
      <sheetName val="Bieu 05_TTr"/>
      <sheetName val="Bieu 06_TTr"/>
      <sheetName val="Bieu 07_TTr"/>
      <sheetName val="De xuat ngoai so KT"/>
      <sheetName val="Bieu 07a"/>
      <sheetName val="CLTL"/>
      <sheetName val="Bieu 8_TTr "/>
      <sheetName val="Bieu 09_TTr"/>
      <sheetName val="Bieu 09a_TTr"/>
      <sheetName val="DT chi TX 2022 theo ĐM HĐND"/>
      <sheetName val="TH chinh sach "/>
    </sheetNames>
    <sheetDataSet>
      <sheetData sheetId="0"/>
      <sheetData sheetId="1">
        <row r="109">
          <cell r="E109">
            <v>1090347</v>
          </cell>
        </row>
        <row r="113">
          <cell r="E113">
            <v>292168</v>
          </cell>
        </row>
        <row r="115">
          <cell r="E115">
            <v>3790</v>
          </cell>
        </row>
        <row r="116">
          <cell r="E116">
            <v>60426</v>
          </cell>
        </row>
      </sheetData>
      <sheetData sheetId="2">
        <row r="104">
          <cell r="Y104">
            <v>27667.200000000001</v>
          </cell>
        </row>
      </sheetData>
      <sheetData sheetId="3"/>
      <sheetData sheetId="4"/>
      <sheetData sheetId="5"/>
      <sheetData sheetId="6">
        <row r="22">
          <cell r="C22">
            <v>81791</v>
          </cell>
        </row>
        <row r="23">
          <cell r="C23">
            <v>206800.2</v>
          </cell>
        </row>
        <row r="26">
          <cell r="C26">
            <v>3202366</v>
          </cell>
        </row>
        <row r="28">
          <cell r="C28">
            <v>1864598</v>
          </cell>
        </row>
        <row r="44">
          <cell r="C44">
            <v>1500</v>
          </cell>
        </row>
        <row r="50">
          <cell r="C50">
            <v>71809</v>
          </cell>
        </row>
      </sheetData>
      <sheetData sheetId="7"/>
      <sheetData sheetId="8">
        <row r="11">
          <cell r="C11">
            <v>141190</v>
          </cell>
        </row>
        <row r="17">
          <cell r="C17">
            <v>9710</v>
          </cell>
        </row>
        <row r="19">
          <cell r="C19">
            <v>11000</v>
          </cell>
        </row>
        <row r="20">
          <cell r="C20">
            <v>8219</v>
          </cell>
        </row>
        <row r="21">
          <cell r="C21">
            <v>15789</v>
          </cell>
        </row>
        <row r="26">
          <cell r="C26">
            <v>0</v>
          </cell>
        </row>
      </sheetData>
      <sheetData sheetId="9"/>
      <sheetData sheetId="10"/>
      <sheetData sheetId="11"/>
      <sheetData sheetId="12"/>
      <sheetData sheetId="13"/>
      <sheetData sheetId="14"/>
      <sheetData sheetId="15"/>
      <sheetData sheetId="16">
        <row r="9">
          <cell r="C9">
            <v>1300</v>
          </cell>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58"/>
  <sheetViews>
    <sheetView tabSelected="1" zoomScale="85" zoomScaleNormal="85" workbookViewId="0">
      <pane xSplit="2" ySplit="7" topLeftCell="C8" activePane="bottomRight" state="frozen"/>
      <selection activeCell="M54" sqref="M54"/>
      <selection pane="topRight" activeCell="M54" sqref="M54"/>
      <selection pane="bottomLeft" activeCell="M54" sqref="M54"/>
      <selection pane="bottomRight" activeCell="I10" sqref="I10"/>
    </sheetView>
  </sheetViews>
  <sheetFormatPr defaultColWidth="9.125" defaultRowHeight="15.75" outlineLevelCol="1"/>
  <cols>
    <col min="1" max="1" width="5.375" style="213" customWidth="1"/>
    <col min="2" max="2" width="33.75" style="213" customWidth="1"/>
    <col min="3" max="3" width="11.75" style="213" customWidth="1"/>
    <col min="4" max="4" width="12.125" style="213" hidden="1" customWidth="1" outlineLevel="1"/>
    <col min="5" max="5" width="12.75" style="213" hidden="1" customWidth="1" outlineLevel="1"/>
    <col min="6" max="7" width="12.375" style="213" hidden="1" customWidth="1" outlineLevel="1"/>
    <col min="8" max="8" width="12.375" style="213" customWidth="1" collapsed="1"/>
    <col min="9" max="9" width="12.375" style="213" customWidth="1"/>
    <col min="10" max="10" width="12.25" style="213" customWidth="1"/>
    <col min="11" max="11" width="12" style="213" customWidth="1"/>
    <col min="12" max="12" width="11.375" style="213" customWidth="1"/>
    <col min="13" max="16384" width="9.125" style="213"/>
  </cols>
  <sheetData>
    <row r="1" spans="1:53">
      <c r="A1" s="958"/>
      <c r="B1" s="958"/>
    </row>
    <row r="3" spans="1:53" s="11" customFormat="1" ht="24" customHeight="1">
      <c r="A3" s="9" t="s">
        <v>233</v>
      </c>
      <c r="B3" s="10"/>
      <c r="L3" s="12" t="s">
        <v>310</v>
      </c>
    </row>
    <row r="4" spans="1:53" ht="24.95" customHeight="1">
      <c r="A4" s="959" t="s">
        <v>751</v>
      </c>
      <c r="B4" s="959"/>
      <c r="C4" s="959"/>
      <c r="D4" s="959"/>
      <c r="E4" s="959"/>
      <c r="F4" s="959"/>
      <c r="G4" s="959"/>
      <c r="H4" s="959"/>
      <c r="I4" s="959"/>
      <c r="J4" s="959"/>
      <c r="K4" s="959"/>
    </row>
    <row r="5" spans="1:53" ht="11.25" customHeight="1">
      <c r="A5" s="954"/>
      <c r="B5" s="954"/>
      <c r="C5" s="954"/>
      <c r="D5" s="954"/>
      <c r="E5" s="954"/>
      <c r="F5" s="954"/>
      <c r="G5" s="954"/>
      <c r="H5" s="954"/>
      <c r="I5" s="954"/>
      <c r="J5" s="954"/>
      <c r="K5" s="954"/>
    </row>
    <row r="6" spans="1:53" s="17" customFormat="1" ht="16.5" customHeight="1">
      <c r="A6" s="952" t="s">
        <v>0</v>
      </c>
      <c r="B6" s="952" t="s">
        <v>1</v>
      </c>
      <c r="C6" s="952" t="s">
        <v>2</v>
      </c>
      <c r="D6" s="952" t="s">
        <v>182</v>
      </c>
      <c r="E6" s="952"/>
      <c r="F6" s="955" t="s">
        <v>183</v>
      </c>
      <c r="G6" s="956"/>
      <c r="H6" s="955" t="s">
        <v>572</v>
      </c>
      <c r="I6" s="956"/>
      <c r="J6" s="952" t="s">
        <v>582</v>
      </c>
      <c r="K6" s="952" t="s">
        <v>609</v>
      </c>
      <c r="L6" s="952" t="s">
        <v>752</v>
      </c>
    </row>
    <row r="7" spans="1:53" s="17" customFormat="1" ht="39.75" customHeight="1">
      <c r="A7" s="952"/>
      <c r="B7" s="952"/>
      <c r="C7" s="952"/>
      <c r="D7" s="631" t="s">
        <v>3</v>
      </c>
      <c r="E7" s="631" t="s">
        <v>4</v>
      </c>
      <c r="F7" s="631" t="s">
        <v>570</v>
      </c>
      <c r="G7" s="631" t="s">
        <v>571</v>
      </c>
      <c r="H7" s="631" t="s">
        <v>570</v>
      </c>
      <c r="I7" s="631" t="s">
        <v>569</v>
      </c>
      <c r="J7" s="952"/>
      <c r="K7" s="952"/>
      <c r="L7" s="952"/>
    </row>
    <row r="8" spans="1:53" ht="33" customHeight="1">
      <c r="A8" s="18">
        <v>1</v>
      </c>
      <c r="B8" s="19" t="s">
        <v>5</v>
      </c>
      <c r="C8" s="20" t="s">
        <v>6</v>
      </c>
      <c r="D8" s="21">
        <v>18140</v>
      </c>
      <c r="E8" s="21">
        <v>18080</v>
      </c>
      <c r="F8" s="21">
        <v>19850</v>
      </c>
      <c r="G8" s="22">
        <v>21500</v>
      </c>
      <c r="H8" s="21">
        <v>28900</v>
      </c>
      <c r="I8" s="22">
        <v>26487</v>
      </c>
      <c r="J8" s="632">
        <v>29800</v>
      </c>
      <c r="K8" s="21">
        <v>33980</v>
      </c>
      <c r="L8" s="22">
        <v>38450</v>
      </c>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ht="21.95" customHeight="1">
      <c r="A9" s="212">
        <v>2</v>
      </c>
      <c r="B9" s="23" t="s">
        <v>7</v>
      </c>
      <c r="C9" s="212" t="s">
        <v>8</v>
      </c>
      <c r="D9" s="310">
        <v>9</v>
      </c>
      <c r="E9" s="310">
        <v>9.01</v>
      </c>
      <c r="F9" s="310">
        <v>9.17</v>
      </c>
      <c r="G9" s="311">
        <v>9.17</v>
      </c>
      <c r="H9" s="310" t="s">
        <v>753</v>
      </c>
      <c r="I9" s="787">
        <v>7.5</v>
      </c>
      <c r="J9" s="634">
        <v>10.06</v>
      </c>
      <c r="K9" s="310">
        <v>10.94</v>
      </c>
      <c r="L9" s="310">
        <v>11.34</v>
      </c>
      <c r="M9" s="786"/>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ht="21.95" customHeight="1">
      <c r="A10" s="212">
        <v>3</v>
      </c>
      <c r="B10" s="23" t="s">
        <v>9</v>
      </c>
      <c r="C10" s="212"/>
      <c r="D10" s="310"/>
      <c r="E10" s="310"/>
      <c r="F10" s="310"/>
      <c r="G10" s="311"/>
      <c r="H10" s="310"/>
      <c r="I10" s="311"/>
      <c r="J10" s="634"/>
      <c r="K10" s="310"/>
      <c r="L10" s="311"/>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ht="21.95" customHeight="1">
      <c r="A11" s="212"/>
      <c r="B11" s="24" t="s">
        <v>10</v>
      </c>
      <c r="C11" s="212" t="s">
        <v>8</v>
      </c>
      <c r="D11" s="312" t="s">
        <v>343</v>
      </c>
      <c r="E11" s="310">
        <v>27.27</v>
      </c>
      <c r="F11" s="312" t="s">
        <v>344</v>
      </c>
      <c r="G11" s="311">
        <v>29.1</v>
      </c>
      <c r="H11" s="312" t="s">
        <v>754</v>
      </c>
      <c r="I11" s="311">
        <v>20.260000000000002</v>
      </c>
      <c r="J11" s="634">
        <v>20.100000000000001</v>
      </c>
      <c r="K11" s="310">
        <v>19.63</v>
      </c>
      <c r="L11" s="310">
        <v>19.350000000000001</v>
      </c>
    </row>
    <row r="12" spans="1:53" ht="21.95" customHeight="1">
      <c r="A12" s="212"/>
      <c r="B12" s="24" t="s">
        <v>11</v>
      </c>
      <c r="C12" s="212" t="s">
        <v>8</v>
      </c>
      <c r="D12" s="312" t="s">
        <v>345</v>
      </c>
      <c r="E12" s="312">
        <v>24.83</v>
      </c>
      <c r="F12" s="312" t="s">
        <v>346</v>
      </c>
      <c r="G12" s="311">
        <v>27.25</v>
      </c>
      <c r="H12" s="312" t="s">
        <v>343</v>
      </c>
      <c r="I12" s="311">
        <v>28.03</v>
      </c>
      <c r="J12" s="634">
        <v>29.33</v>
      </c>
      <c r="K12" s="310">
        <v>30.55</v>
      </c>
      <c r="L12" s="310">
        <v>31.16</v>
      </c>
    </row>
    <row r="13" spans="1:53" ht="21.95" customHeight="1">
      <c r="A13" s="212"/>
      <c r="B13" s="24" t="s">
        <v>12</v>
      </c>
      <c r="C13" s="212" t="s">
        <v>8</v>
      </c>
      <c r="D13" s="312" t="s">
        <v>347</v>
      </c>
      <c r="E13" s="312">
        <v>39.659999999999997</v>
      </c>
      <c r="F13" s="312" t="s">
        <v>347</v>
      </c>
      <c r="G13" s="311">
        <f>100-G11-G12-G14</f>
        <v>35.450000000000003</v>
      </c>
      <c r="H13" s="312" t="s">
        <v>755</v>
      </c>
      <c r="I13" s="311">
        <v>43.05</v>
      </c>
      <c r="J13" s="634">
        <v>42.05</v>
      </c>
      <c r="K13" s="310">
        <v>42.23</v>
      </c>
      <c r="L13" s="310">
        <v>42.5</v>
      </c>
    </row>
    <row r="14" spans="1:53">
      <c r="A14" s="212"/>
      <c r="B14" s="25" t="s">
        <v>212</v>
      </c>
      <c r="C14" s="212" t="s">
        <v>8</v>
      </c>
      <c r="D14" s="313" t="s">
        <v>348</v>
      </c>
      <c r="E14" s="312">
        <v>8.24</v>
      </c>
      <c r="F14" s="26" t="s">
        <v>349</v>
      </c>
      <c r="G14" s="311">
        <v>8.1999999999999993</v>
      </c>
      <c r="H14" s="635" t="s">
        <v>348</v>
      </c>
      <c r="I14" s="633">
        <v>6.9629801555065569</v>
      </c>
      <c r="J14" s="636">
        <v>6.7944250871080136</v>
      </c>
      <c r="K14" s="636">
        <v>6.6164941988084038</v>
      </c>
      <c r="L14" s="636">
        <v>6.4561601353256268</v>
      </c>
    </row>
    <row r="15" spans="1:53" ht="35.25" customHeight="1">
      <c r="A15" s="212">
        <v>4</v>
      </c>
      <c r="B15" s="23" t="s">
        <v>13</v>
      </c>
      <c r="C15" s="212" t="s">
        <v>8</v>
      </c>
      <c r="D15" s="310">
        <v>102.1</v>
      </c>
      <c r="E15" s="310">
        <v>103.12</v>
      </c>
      <c r="F15" s="310">
        <v>102.3</v>
      </c>
      <c r="G15" s="311">
        <v>102.5</v>
      </c>
      <c r="H15" s="634"/>
      <c r="I15" s="637">
        <v>103.75</v>
      </c>
      <c r="J15" s="634"/>
      <c r="K15" s="634"/>
      <c r="L15" s="633"/>
    </row>
    <row r="16" spans="1:53" ht="31.5">
      <c r="A16" s="212">
        <v>5</v>
      </c>
      <c r="B16" s="23" t="s">
        <v>14</v>
      </c>
      <c r="C16" s="27" t="s">
        <v>6</v>
      </c>
      <c r="D16" s="28">
        <f>D8*D17/100</f>
        <v>11217.776000000002</v>
      </c>
      <c r="E16" s="310">
        <f t="shared" ref="E16:E21" si="0">D16</f>
        <v>11217.776000000002</v>
      </c>
      <c r="F16" s="28">
        <f t="shared" ref="F16" si="1">F8*F17/100</f>
        <v>12477.71</v>
      </c>
      <c r="G16" s="29">
        <v>13500</v>
      </c>
      <c r="H16" s="638">
        <v>20000</v>
      </c>
      <c r="I16" s="638">
        <v>19270</v>
      </c>
      <c r="J16" s="639">
        <v>22500</v>
      </c>
      <c r="K16" s="639">
        <v>25410</v>
      </c>
      <c r="L16" s="639">
        <v>28570</v>
      </c>
    </row>
    <row r="17" spans="1:13" ht="21.95" customHeight="1">
      <c r="A17" s="212"/>
      <c r="B17" s="24" t="s">
        <v>15</v>
      </c>
      <c r="C17" s="30" t="s">
        <v>8</v>
      </c>
      <c r="D17" s="33">
        <v>61.84</v>
      </c>
      <c r="E17" s="310">
        <f t="shared" si="0"/>
        <v>61.84</v>
      </c>
      <c r="F17" s="33">
        <v>62.86</v>
      </c>
      <c r="G17" s="34">
        <v>67.5</v>
      </c>
      <c r="H17" s="640">
        <f>H16/H8*100</f>
        <v>69.20415224913495</v>
      </c>
      <c r="I17" s="640">
        <f>I16/I8*100</f>
        <v>72.75267112168234</v>
      </c>
      <c r="J17" s="640">
        <f>J16/J8*100</f>
        <v>75.503355704697981</v>
      </c>
      <c r="K17" s="640">
        <f>K16/K8*100</f>
        <v>74.779281930547384</v>
      </c>
      <c r="L17" s="640">
        <f>L16/L8*100</f>
        <v>74.304291287386221</v>
      </c>
      <c r="M17" s="31"/>
    </row>
    <row r="18" spans="1:13" ht="21.95" customHeight="1">
      <c r="A18" s="212">
        <v>6</v>
      </c>
      <c r="B18" s="23" t="s">
        <v>16</v>
      </c>
      <c r="C18" s="27" t="s">
        <v>17</v>
      </c>
      <c r="D18" s="28">
        <v>80</v>
      </c>
      <c r="E18" s="32">
        <v>135</v>
      </c>
      <c r="F18" s="28">
        <v>50</v>
      </c>
      <c r="G18" s="29">
        <v>37</v>
      </c>
      <c r="H18" s="641">
        <v>162</v>
      </c>
      <c r="I18" s="641">
        <v>290.5</v>
      </c>
      <c r="J18" s="642">
        <v>176</v>
      </c>
      <c r="K18" s="641">
        <v>194</v>
      </c>
      <c r="L18" s="641">
        <v>216</v>
      </c>
    </row>
    <row r="19" spans="1:13" ht="21.95" customHeight="1">
      <c r="A19" s="212"/>
      <c r="B19" s="24" t="s">
        <v>18</v>
      </c>
      <c r="C19" s="30" t="s">
        <v>8</v>
      </c>
      <c r="D19" s="33">
        <v>23.1</v>
      </c>
      <c r="E19" s="310">
        <f>D19</f>
        <v>23.1</v>
      </c>
      <c r="F19" s="33">
        <v>23.8</v>
      </c>
      <c r="G19" s="34">
        <f>G18/F18*100-100</f>
        <v>-26</v>
      </c>
      <c r="H19" s="643"/>
      <c r="I19" s="643"/>
      <c r="J19" s="644">
        <v>8</v>
      </c>
      <c r="K19" s="643">
        <v>10.199999999999999</v>
      </c>
      <c r="L19" s="643">
        <v>11.3</v>
      </c>
    </row>
    <row r="20" spans="1:13" ht="21.95" customHeight="1">
      <c r="A20" s="212">
        <v>7</v>
      </c>
      <c r="B20" s="23" t="s">
        <v>19</v>
      </c>
      <c r="C20" s="212" t="s">
        <v>17</v>
      </c>
      <c r="D20" s="35">
        <v>8.1999999999999993</v>
      </c>
      <c r="E20" s="310">
        <v>18.260000000000002</v>
      </c>
      <c r="F20" s="32">
        <v>176</v>
      </c>
      <c r="G20" s="36">
        <v>179</v>
      </c>
      <c r="H20" s="645">
        <v>6.3</v>
      </c>
      <c r="I20" s="645">
        <v>6.3</v>
      </c>
      <c r="J20" s="646">
        <v>6.6</v>
      </c>
      <c r="K20" s="645">
        <v>6.9</v>
      </c>
      <c r="L20" s="645">
        <v>7.2</v>
      </c>
    </row>
    <row r="21" spans="1:13" ht="21.95" customHeight="1">
      <c r="A21" s="212"/>
      <c r="B21" s="24" t="s">
        <v>20</v>
      </c>
      <c r="C21" s="30" t="s">
        <v>8</v>
      </c>
      <c r="D21" s="37">
        <v>10</v>
      </c>
      <c r="E21" s="35">
        <f t="shared" si="0"/>
        <v>10</v>
      </c>
      <c r="F21" s="37">
        <v>10</v>
      </c>
      <c r="G21" s="34">
        <f>G20/F20*100-100</f>
        <v>1.7045454545454533</v>
      </c>
      <c r="H21" s="643"/>
      <c r="I21" s="643"/>
      <c r="J21" s="644">
        <v>4.7</v>
      </c>
      <c r="K21" s="643">
        <v>4.5</v>
      </c>
      <c r="L21" s="643">
        <v>4.3</v>
      </c>
    </row>
    <row r="22" spans="1:13" ht="21.95" customHeight="1">
      <c r="A22" s="212">
        <v>8</v>
      </c>
      <c r="B22" s="23" t="s">
        <v>21</v>
      </c>
      <c r="C22" s="27" t="s">
        <v>26</v>
      </c>
      <c r="D22" s="28">
        <v>520000</v>
      </c>
      <c r="E22" s="32">
        <v>520047</v>
      </c>
      <c r="F22" s="28">
        <v>533000</v>
      </c>
      <c r="G22" s="29">
        <v>532573</v>
      </c>
      <c r="H22" s="647">
        <v>567000</v>
      </c>
      <c r="I22" s="647">
        <v>567000</v>
      </c>
      <c r="J22" s="647">
        <v>580000</v>
      </c>
      <c r="K22" s="647">
        <v>593000</v>
      </c>
      <c r="L22" s="647">
        <v>606000</v>
      </c>
    </row>
    <row r="23" spans="1:13" ht="21.95" customHeight="1">
      <c r="A23" s="212">
        <f>+A22+1</f>
        <v>9</v>
      </c>
      <c r="B23" s="23" t="s">
        <v>698</v>
      </c>
      <c r="C23" s="27" t="s">
        <v>22</v>
      </c>
      <c r="D23" s="41">
        <f>D8*1000/D22</f>
        <v>34.884615384615387</v>
      </c>
      <c r="E23" s="41">
        <f t="shared" ref="E23:G23" si="2">E8*1000/E22</f>
        <v>34.766088449697818</v>
      </c>
      <c r="F23" s="41">
        <f t="shared" si="2"/>
        <v>37.242026266416509</v>
      </c>
      <c r="G23" s="314">
        <f t="shared" si="2"/>
        <v>40.370052556175395</v>
      </c>
      <c r="H23" s="41" t="s">
        <v>756</v>
      </c>
      <c r="I23" s="41">
        <v>46.76</v>
      </c>
      <c r="J23" s="41">
        <v>51.38</v>
      </c>
      <c r="K23" s="41">
        <v>57.3</v>
      </c>
      <c r="L23" s="41">
        <f t="shared" ref="L23" si="3">L8/L22*1000</f>
        <v>63.448844884488445</v>
      </c>
    </row>
    <row r="24" spans="1:13" ht="21.95" customHeight="1">
      <c r="A24" s="212">
        <f>+A23+1</f>
        <v>10</v>
      </c>
      <c r="B24" s="23" t="s">
        <v>23</v>
      </c>
      <c r="C24" s="212" t="s">
        <v>8</v>
      </c>
      <c r="D24" s="38" t="s">
        <v>350</v>
      </c>
      <c r="E24" s="39">
        <v>2.73</v>
      </c>
      <c r="F24" s="38" t="s">
        <v>350</v>
      </c>
      <c r="G24" s="40">
        <v>3.4</v>
      </c>
      <c r="H24" s="38" t="s">
        <v>757</v>
      </c>
      <c r="I24" s="648">
        <v>4</v>
      </c>
      <c r="J24" s="38">
        <v>44259</v>
      </c>
      <c r="K24" s="648" t="s">
        <v>350</v>
      </c>
      <c r="L24" s="38" t="s">
        <v>350</v>
      </c>
    </row>
    <row r="25" spans="1:13" ht="21.95" customHeight="1">
      <c r="A25" s="212">
        <v>11</v>
      </c>
      <c r="B25" s="23" t="s">
        <v>24</v>
      </c>
      <c r="C25" s="212" t="s">
        <v>8</v>
      </c>
      <c r="D25" s="41">
        <v>19.53</v>
      </c>
      <c r="E25" s="41">
        <v>19.53</v>
      </c>
      <c r="F25" s="41">
        <v>16.03</v>
      </c>
      <c r="G25" s="41">
        <v>15.45</v>
      </c>
      <c r="H25" s="649" t="s">
        <v>758</v>
      </c>
      <c r="I25" s="649">
        <v>6.12</v>
      </c>
      <c r="J25" s="649">
        <v>30</v>
      </c>
      <c r="K25" s="649">
        <v>26.5</v>
      </c>
      <c r="L25" s="649">
        <v>23</v>
      </c>
    </row>
    <row r="26" spans="1:13" ht="21.95" customHeight="1">
      <c r="A26" s="212">
        <v>12</v>
      </c>
      <c r="B26" s="23" t="s">
        <v>25</v>
      </c>
      <c r="C26" s="212"/>
      <c r="D26" s="32"/>
      <c r="E26" s="32"/>
      <c r="F26" s="32"/>
      <c r="G26" s="32"/>
      <c r="H26" s="32"/>
      <c r="I26" s="32"/>
      <c r="J26" s="243"/>
      <c r="K26" s="32"/>
      <c r="L26" s="32"/>
    </row>
    <row r="27" spans="1:13" ht="33" customHeight="1">
      <c r="A27" s="212"/>
      <c r="B27" s="42" t="s">
        <v>626</v>
      </c>
      <c r="C27" s="212"/>
      <c r="D27" s="32"/>
      <c r="E27" s="32"/>
      <c r="F27" s="32"/>
      <c r="G27" s="32"/>
      <c r="H27" s="243">
        <v>10960</v>
      </c>
      <c r="I27" s="243">
        <v>10960</v>
      </c>
      <c r="J27" s="243">
        <v>12700</v>
      </c>
      <c r="K27" s="243">
        <v>12800</v>
      </c>
      <c r="L27" s="243">
        <v>12900</v>
      </c>
    </row>
    <row r="28" spans="1:13" ht="21" customHeight="1">
      <c r="A28" s="212"/>
      <c r="B28" s="42" t="s">
        <v>39</v>
      </c>
      <c r="C28" s="212"/>
      <c r="D28" s="32"/>
      <c r="E28" s="32"/>
      <c r="F28" s="32"/>
      <c r="G28" s="32"/>
      <c r="H28" s="32"/>
      <c r="I28" s="32"/>
      <c r="J28" s="243"/>
      <c r="K28" s="32"/>
      <c r="L28" s="32"/>
    </row>
    <row r="29" spans="1:13" ht="21.95" customHeight="1">
      <c r="A29" s="212"/>
      <c r="B29" s="42" t="s">
        <v>627</v>
      </c>
      <c r="C29" s="212" t="s">
        <v>26</v>
      </c>
      <c r="D29" s="32">
        <v>9835</v>
      </c>
      <c r="E29" s="32">
        <f>D29</f>
        <v>9835</v>
      </c>
      <c r="F29" s="32">
        <v>9985</v>
      </c>
      <c r="G29" s="32">
        <v>9250</v>
      </c>
      <c r="H29" s="32">
        <v>9300</v>
      </c>
      <c r="I29" s="32">
        <v>9336</v>
      </c>
      <c r="J29" s="243">
        <v>9500</v>
      </c>
      <c r="K29" s="32">
        <v>9700</v>
      </c>
      <c r="L29" s="32">
        <v>9900</v>
      </c>
    </row>
    <row r="30" spans="1:13" ht="21.95" customHeight="1">
      <c r="A30" s="212"/>
      <c r="B30" s="23" t="s">
        <v>27</v>
      </c>
      <c r="C30" s="212" t="s">
        <v>26</v>
      </c>
      <c r="D30" s="32">
        <v>148000</v>
      </c>
      <c r="E30" s="32">
        <f>D30</f>
        <v>148000</v>
      </c>
      <c r="F30" s="32">
        <f>D30*1.07</f>
        <v>158360</v>
      </c>
      <c r="G30" s="32">
        <v>154000</v>
      </c>
      <c r="H30" s="32">
        <v>164300</v>
      </c>
      <c r="I30" s="32">
        <v>164300</v>
      </c>
      <c r="J30" s="243">
        <v>166300</v>
      </c>
      <c r="K30" s="32">
        <v>168300</v>
      </c>
      <c r="L30" s="32">
        <v>170300</v>
      </c>
    </row>
    <row r="31" spans="1:13" ht="21.95" customHeight="1">
      <c r="A31" s="212"/>
      <c r="B31" s="23" t="s">
        <v>28</v>
      </c>
      <c r="C31" s="212"/>
      <c r="D31" s="32"/>
      <c r="E31" s="32"/>
      <c r="F31" s="32"/>
      <c r="G31" s="32"/>
      <c r="H31" s="32"/>
      <c r="I31" s="32"/>
      <c r="J31" s="243"/>
      <c r="K31" s="32"/>
      <c r="L31" s="32"/>
    </row>
    <row r="32" spans="1:13" ht="21.95" customHeight="1">
      <c r="A32" s="212"/>
      <c r="B32" s="42" t="s">
        <v>29</v>
      </c>
      <c r="C32" s="212" t="s">
        <v>26</v>
      </c>
      <c r="D32" s="32">
        <v>2631</v>
      </c>
      <c r="E32" s="32">
        <f>D32</f>
        <v>2631</v>
      </c>
      <c r="F32" s="32">
        <v>2726</v>
      </c>
      <c r="G32" s="32">
        <v>2930</v>
      </c>
      <c r="H32" s="32">
        <v>2486</v>
      </c>
      <c r="I32" s="32">
        <v>2486</v>
      </c>
      <c r="J32" s="243">
        <v>2500</v>
      </c>
      <c r="K32" s="32">
        <v>2500</v>
      </c>
      <c r="L32" s="32">
        <v>2500</v>
      </c>
    </row>
    <row r="33" spans="1:12" ht="21.95" customHeight="1">
      <c r="A33" s="212"/>
      <c r="B33" s="23" t="s">
        <v>30</v>
      </c>
      <c r="C33" s="212" t="s">
        <v>26</v>
      </c>
      <c r="D33" s="32">
        <v>15148</v>
      </c>
      <c r="E33" s="32">
        <f>D33</f>
        <v>15148</v>
      </c>
      <c r="F33" s="32">
        <f>E33*1.05</f>
        <v>15905.400000000001</v>
      </c>
      <c r="G33" s="32">
        <v>12500</v>
      </c>
      <c r="H33" s="32">
        <v>15050</v>
      </c>
      <c r="I33" s="32">
        <v>15373</v>
      </c>
      <c r="J33" s="243">
        <v>16000</v>
      </c>
      <c r="K33" s="32">
        <v>16500</v>
      </c>
      <c r="L33" s="32">
        <v>17000</v>
      </c>
    </row>
    <row r="34" spans="1:12" ht="31.5">
      <c r="A34" s="212"/>
      <c r="B34" s="42" t="s">
        <v>31</v>
      </c>
      <c r="C34" s="212" t="s">
        <v>26</v>
      </c>
      <c r="D34" s="32">
        <v>45723</v>
      </c>
      <c r="E34" s="32">
        <f>D34</f>
        <v>45723</v>
      </c>
      <c r="F34" s="32">
        <f>E34*1.05</f>
        <v>48009.15</v>
      </c>
      <c r="G34" s="36">
        <v>38000</v>
      </c>
      <c r="H34" s="32">
        <v>36400</v>
      </c>
      <c r="I34" s="36">
        <v>36384</v>
      </c>
      <c r="J34" s="243">
        <v>37000</v>
      </c>
      <c r="K34" s="36">
        <v>37500</v>
      </c>
      <c r="L34" s="243">
        <v>38000</v>
      </c>
    </row>
    <row r="35" spans="1:12" ht="31.5">
      <c r="A35" s="212"/>
      <c r="B35" s="23" t="s">
        <v>32</v>
      </c>
      <c r="C35" s="212" t="s">
        <v>33</v>
      </c>
      <c r="D35" s="32">
        <v>5</v>
      </c>
      <c r="E35" s="32">
        <f>D35</f>
        <v>5</v>
      </c>
      <c r="F35" s="32">
        <v>5</v>
      </c>
      <c r="G35" s="36">
        <v>1</v>
      </c>
      <c r="H35" s="32">
        <v>1</v>
      </c>
      <c r="I35" s="32">
        <v>1</v>
      </c>
      <c r="J35" s="32">
        <v>1</v>
      </c>
      <c r="K35" s="32">
        <v>1</v>
      </c>
      <c r="L35" s="32">
        <v>1</v>
      </c>
    </row>
    <row r="36" spans="1:12" ht="21.95" customHeight="1">
      <c r="A36" s="212">
        <v>13</v>
      </c>
      <c r="B36" s="23" t="s">
        <v>34</v>
      </c>
      <c r="C36" s="212"/>
      <c r="D36" s="32"/>
      <c r="E36" s="32"/>
      <c r="F36" s="32"/>
      <c r="G36" s="36"/>
      <c r="H36" s="32"/>
      <c r="I36" s="36"/>
      <c r="J36" s="243"/>
      <c r="K36" s="32"/>
      <c r="L36" s="32"/>
    </row>
    <row r="37" spans="1:12" ht="21.95" customHeight="1">
      <c r="A37" s="212"/>
      <c r="B37" s="23" t="s">
        <v>35</v>
      </c>
      <c r="C37" s="212" t="s">
        <v>36</v>
      </c>
      <c r="D37" s="32">
        <v>131</v>
      </c>
      <c r="E37" s="32">
        <v>131</v>
      </c>
      <c r="F37" s="32">
        <v>31</v>
      </c>
      <c r="G37" s="36">
        <v>29</v>
      </c>
      <c r="H37" s="32">
        <v>115</v>
      </c>
      <c r="I37" s="36">
        <v>115</v>
      </c>
      <c r="J37" s="243">
        <v>115</v>
      </c>
      <c r="K37" s="32">
        <v>115</v>
      </c>
      <c r="L37" s="32">
        <v>115</v>
      </c>
    </row>
    <row r="38" spans="1:12" ht="21.95" customHeight="1">
      <c r="A38" s="212"/>
      <c r="B38" s="23" t="s">
        <v>37</v>
      </c>
      <c r="C38" s="212" t="s">
        <v>38</v>
      </c>
      <c r="D38" s="32">
        <v>1955</v>
      </c>
      <c r="E38" s="32">
        <v>1955</v>
      </c>
      <c r="F38" s="32">
        <v>2055</v>
      </c>
      <c r="G38" s="36">
        <v>2140</v>
      </c>
      <c r="H38" s="32">
        <v>2645</v>
      </c>
      <c r="I38" s="36">
        <v>2630</v>
      </c>
      <c r="J38" s="243">
        <v>2640</v>
      </c>
      <c r="K38" s="32">
        <v>2705</v>
      </c>
      <c r="L38" s="32">
        <v>2815</v>
      </c>
    </row>
    <row r="39" spans="1:12" ht="21.95" customHeight="1">
      <c r="A39" s="212"/>
      <c r="B39" s="23" t="s">
        <v>39</v>
      </c>
      <c r="C39" s="212"/>
      <c r="D39" s="32"/>
      <c r="E39" s="32"/>
      <c r="F39" s="32"/>
      <c r="G39" s="36"/>
      <c r="H39" s="32"/>
      <c r="I39" s="36"/>
      <c r="J39" s="243"/>
      <c r="K39" s="32"/>
      <c r="L39" s="32"/>
    </row>
    <row r="40" spans="1:12" ht="21.95" customHeight="1">
      <c r="A40" s="212"/>
      <c r="B40" s="23" t="s">
        <v>40</v>
      </c>
      <c r="C40" s="212" t="s">
        <v>38</v>
      </c>
      <c r="D40" s="32">
        <v>825</v>
      </c>
      <c r="E40" s="32">
        <v>825</v>
      </c>
      <c r="F40" s="32">
        <v>915</v>
      </c>
      <c r="G40" s="36">
        <v>980</v>
      </c>
      <c r="H40" s="32">
        <v>1235</v>
      </c>
      <c r="I40" s="36">
        <v>1235</v>
      </c>
      <c r="J40" s="243">
        <v>1235</v>
      </c>
      <c r="K40" s="32">
        <v>1275</v>
      </c>
      <c r="L40" s="32">
        <v>1335</v>
      </c>
    </row>
    <row r="41" spans="1:12" ht="21.95" customHeight="1">
      <c r="A41" s="212"/>
      <c r="B41" s="23" t="s">
        <v>41</v>
      </c>
      <c r="C41" s="212" t="s">
        <v>38</v>
      </c>
      <c r="D41" s="32">
        <v>450</v>
      </c>
      <c r="E41" s="32">
        <v>450</v>
      </c>
      <c r="F41" s="32">
        <v>460</v>
      </c>
      <c r="G41" s="36">
        <v>570</v>
      </c>
      <c r="H41" s="32">
        <v>870</v>
      </c>
      <c r="I41" s="36">
        <v>870</v>
      </c>
      <c r="J41" s="243">
        <v>870</v>
      </c>
      <c r="K41" s="32">
        <v>890</v>
      </c>
      <c r="L41" s="32">
        <v>940</v>
      </c>
    </row>
    <row r="42" spans="1:12" ht="21.95" customHeight="1">
      <c r="A42" s="212"/>
      <c r="B42" s="23" t="s">
        <v>42</v>
      </c>
      <c r="C42" s="212" t="s">
        <v>38</v>
      </c>
      <c r="D42" s="32">
        <v>170</v>
      </c>
      <c r="E42" s="32">
        <v>170</v>
      </c>
      <c r="F42" s="32">
        <v>170</v>
      </c>
      <c r="G42" s="36">
        <v>80</v>
      </c>
      <c r="H42" s="32">
        <v>30</v>
      </c>
      <c r="I42" s="36">
        <v>30</v>
      </c>
      <c r="J42" s="243">
        <v>40</v>
      </c>
      <c r="K42" s="32">
        <v>45</v>
      </c>
      <c r="L42" s="32">
        <v>45</v>
      </c>
    </row>
    <row r="43" spans="1:12" ht="21.95" customHeight="1">
      <c r="A43" s="212"/>
      <c r="B43" s="23" t="s">
        <v>43</v>
      </c>
      <c r="C43" s="212" t="s">
        <v>38</v>
      </c>
      <c r="D43" s="32">
        <v>510</v>
      </c>
      <c r="E43" s="32">
        <v>510</v>
      </c>
      <c r="F43" s="32">
        <v>510</v>
      </c>
      <c r="G43" s="36">
        <v>510</v>
      </c>
      <c r="H43" s="32">
        <v>510</v>
      </c>
      <c r="I43" s="36">
        <v>495</v>
      </c>
      <c r="J43" s="243">
        <v>495</v>
      </c>
      <c r="K43" s="32">
        <v>495</v>
      </c>
      <c r="L43" s="32">
        <v>495</v>
      </c>
    </row>
    <row r="44" spans="1:12" ht="21.95" customHeight="1">
      <c r="A44" s="212"/>
      <c r="B44" s="42" t="s">
        <v>44</v>
      </c>
      <c r="C44" s="212"/>
      <c r="D44" s="32"/>
      <c r="E44" s="32"/>
      <c r="F44" s="32"/>
      <c r="G44" s="36"/>
      <c r="H44" s="32"/>
      <c r="I44" s="36"/>
      <c r="J44" s="243"/>
      <c r="K44" s="32"/>
      <c r="L44" s="32"/>
    </row>
    <row r="45" spans="1:12" ht="21.95" customHeight="1">
      <c r="A45" s="212"/>
      <c r="B45" s="23" t="s">
        <v>45</v>
      </c>
      <c r="C45" s="212" t="s">
        <v>26</v>
      </c>
      <c r="D45" s="32">
        <v>90000</v>
      </c>
      <c r="E45" s="32">
        <v>83127</v>
      </c>
      <c r="F45" s="32">
        <v>92000</v>
      </c>
      <c r="G45" s="36">
        <v>90000</v>
      </c>
      <c r="H45" s="32">
        <v>198262</v>
      </c>
      <c r="I45" s="36">
        <v>198262</v>
      </c>
      <c r="J45" s="243">
        <v>198500</v>
      </c>
      <c r="K45" s="32">
        <v>199000</v>
      </c>
      <c r="L45" s="32">
        <v>199500</v>
      </c>
    </row>
    <row r="46" spans="1:12" ht="21.95" customHeight="1">
      <c r="A46" s="212"/>
      <c r="B46" s="23" t="s">
        <v>46</v>
      </c>
      <c r="C46" s="212" t="s">
        <v>26</v>
      </c>
      <c r="D46" s="32">
        <v>9950</v>
      </c>
      <c r="E46" s="32">
        <v>9950</v>
      </c>
      <c r="F46" s="32">
        <v>10630</v>
      </c>
      <c r="G46" s="36">
        <v>9950</v>
      </c>
      <c r="H46" s="32">
        <v>7046</v>
      </c>
      <c r="I46" s="36">
        <v>7500</v>
      </c>
      <c r="J46" s="243">
        <v>7875</v>
      </c>
      <c r="K46" s="32">
        <v>8269</v>
      </c>
      <c r="L46" s="32">
        <v>8682</v>
      </c>
    </row>
    <row r="47" spans="1:12">
      <c r="A47" s="212"/>
      <c r="B47" s="23" t="s">
        <v>47</v>
      </c>
      <c r="C47" s="212" t="s">
        <v>26</v>
      </c>
      <c r="D47" s="32">
        <v>98147</v>
      </c>
      <c r="E47" s="32">
        <f t="shared" ref="E47:E53" si="4">D47</f>
        <v>98147</v>
      </c>
      <c r="F47" s="32">
        <v>98147</v>
      </c>
      <c r="G47" s="36">
        <v>98147</v>
      </c>
      <c r="H47" s="32">
        <v>60541</v>
      </c>
      <c r="I47" s="36">
        <v>47000</v>
      </c>
      <c r="J47" s="243">
        <v>94000</v>
      </c>
      <c r="K47" s="32">
        <v>47000</v>
      </c>
      <c r="L47" s="32">
        <v>47000</v>
      </c>
    </row>
    <row r="48" spans="1:12" ht="63">
      <c r="A48" s="212"/>
      <c r="B48" s="23" t="s">
        <v>48</v>
      </c>
      <c r="C48" s="212" t="s">
        <v>22</v>
      </c>
      <c r="D48" s="32">
        <v>197743</v>
      </c>
      <c r="E48" s="32">
        <f t="shared" si="4"/>
        <v>197743</v>
      </c>
      <c r="F48" s="32">
        <v>216455</v>
      </c>
      <c r="G48" s="36">
        <v>197743</v>
      </c>
      <c r="H48" s="243">
        <v>155726</v>
      </c>
      <c r="I48" s="650">
        <v>162937</v>
      </c>
      <c r="J48" s="243">
        <v>154790</v>
      </c>
      <c r="K48" s="243">
        <v>147051</v>
      </c>
      <c r="L48" s="243">
        <v>139698</v>
      </c>
    </row>
    <row r="49" spans="1:12" ht="21.95" customHeight="1">
      <c r="A49" s="212"/>
      <c r="B49" s="23" t="s">
        <v>49</v>
      </c>
      <c r="C49" s="212" t="s">
        <v>26</v>
      </c>
      <c r="D49" s="32">
        <v>6</v>
      </c>
      <c r="E49" s="32">
        <f t="shared" si="4"/>
        <v>6</v>
      </c>
      <c r="F49" s="32">
        <v>6</v>
      </c>
      <c r="G49" s="36">
        <v>6</v>
      </c>
      <c r="H49" s="32"/>
      <c r="I49" s="36"/>
      <c r="J49" s="243"/>
      <c r="K49" s="32"/>
      <c r="L49" s="32"/>
    </row>
    <row r="50" spans="1:12">
      <c r="A50" s="212"/>
      <c r="B50" s="23" t="s">
        <v>50</v>
      </c>
      <c r="C50" s="212" t="s">
        <v>26</v>
      </c>
      <c r="D50" s="32">
        <v>40406</v>
      </c>
      <c r="E50" s="32">
        <f t="shared" si="4"/>
        <v>40406</v>
      </c>
      <c r="F50" s="32">
        <v>40406</v>
      </c>
      <c r="G50" s="36">
        <v>40406</v>
      </c>
      <c r="H50" s="32"/>
      <c r="I50" s="36"/>
      <c r="J50" s="243"/>
      <c r="K50" s="32"/>
      <c r="L50" s="32"/>
    </row>
    <row r="51" spans="1:12" ht="94.5">
      <c r="A51" s="212"/>
      <c r="B51" s="23" t="s">
        <v>51</v>
      </c>
      <c r="C51" s="212" t="s">
        <v>26</v>
      </c>
      <c r="D51" s="32">
        <v>2704</v>
      </c>
      <c r="E51" s="32">
        <f t="shared" si="4"/>
        <v>2704</v>
      </c>
      <c r="F51" s="32">
        <v>4600</v>
      </c>
      <c r="G51" s="36">
        <v>4500</v>
      </c>
      <c r="H51" s="32">
        <v>4150</v>
      </c>
      <c r="I51" s="36">
        <v>4150</v>
      </c>
      <c r="J51" s="243">
        <v>4000</v>
      </c>
      <c r="K51" s="32">
        <v>3900</v>
      </c>
      <c r="L51" s="32">
        <v>3800</v>
      </c>
    </row>
    <row r="52" spans="1:12">
      <c r="A52" s="212"/>
      <c r="B52" s="23" t="s">
        <v>52</v>
      </c>
      <c r="C52" s="212" t="s">
        <v>26</v>
      </c>
      <c r="D52" s="32">
        <v>4829</v>
      </c>
      <c r="E52" s="32">
        <f t="shared" si="4"/>
        <v>4829</v>
      </c>
      <c r="F52" s="32">
        <v>2629</v>
      </c>
      <c r="G52" s="36">
        <v>2680</v>
      </c>
      <c r="H52" s="32">
        <v>7000</v>
      </c>
      <c r="I52" s="36">
        <v>7000</v>
      </c>
      <c r="J52" s="243">
        <v>14000</v>
      </c>
      <c r="K52" s="32">
        <v>7000</v>
      </c>
      <c r="L52" s="32">
        <v>7000</v>
      </c>
    </row>
    <row r="53" spans="1:12" ht="31.5">
      <c r="A53" s="212"/>
      <c r="B53" s="23" t="s">
        <v>53</v>
      </c>
      <c r="C53" s="212" t="s">
        <v>26</v>
      </c>
      <c r="D53" s="32">
        <v>0</v>
      </c>
      <c r="E53" s="32">
        <f t="shared" si="4"/>
        <v>0</v>
      </c>
      <c r="F53" s="32">
        <v>0</v>
      </c>
      <c r="G53" s="36"/>
      <c r="H53" s="32">
        <v>500</v>
      </c>
      <c r="I53" s="36">
        <v>500</v>
      </c>
      <c r="J53" s="243">
        <v>1000</v>
      </c>
      <c r="K53" s="32">
        <v>500</v>
      </c>
      <c r="L53" s="32">
        <v>500</v>
      </c>
    </row>
    <row r="55" spans="1:12" ht="44.25" customHeight="1">
      <c r="A55" s="957" t="s">
        <v>591</v>
      </c>
      <c r="B55" s="957"/>
      <c r="C55" s="957"/>
      <c r="D55" s="957"/>
      <c r="E55" s="957"/>
      <c r="F55" s="957"/>
      <c r="G55" s="957"/>
      <c r="H55" s="957"/>
      <c r="I55" s="957"/>
      <c r="J55" s="957"/>
      <c r="K55" s="957"/>
      <c r="L55" s="957"/>
    </row>
    <row r="56" spans="1:12">
      <c r="E56" s="953"/>
      <c r="F56" s="953"/>
      <c r="G56" s="953"/>
      <c r="H56" s="953"/>
      <c r="I56" s="953"/>
      <c r="J56" s="953"/>
      <c r="K56" s="953"/>
    </row>
    <row r="57" spans="1:12">
      <c r="E57" s="953"/>
      <c r="F57" s="953"/>
      <c r="G57" s="953"/>
      <c r="H57" s="953"/>
      <c r="I57" s="953"/>
      <c r="J57" s="953"/>
      <c r="K57" s="953"/>
    </row>
    <row r="58" spans="1:12">
      <c r="F58" s="954"/>
      <c r="G58" s="954"/>
      <c r="H58" s="954"/>
      <c r="I58" s="954"/>
      <c r="J58" s="954"/>
      <c r="K58" s="954"/>
    </row>
  </sheetData>
  <mergeCells count="16">
    <mergeCell ref="A1:B1"/>
    <mergeCell ref="A4:K4"/>
    <mergeCell ref="E56:K56"/>
    <mergeCell ref="A5:K5"/>
    <mergeCell ref="A6:A7"/>
    <mergeCell ref="B6:B7"/>
    <mergeCell ref="L6:L7"/>
    <mergeCell ref="E57:K57"/>
    <mergeCell ref="F58:K58"/>
    <mergeCell ref="C6:C7"/>
    <mergeCell ref="D6:E6"/>
    <mergeCell ref="J6:J7"/>
    <mergeCell ref="K6:K7"/>
    <mergeCell ref="F6:G6"/>
    <mergeCell ref="H6:I6"/>
    <mergeCell ref="A55:L55"/>
  </mergeCells>
  <phoneticPr fontId="149" type="noConversion"/>
  <printOptions horizontalCentered="1"/>
  <pageMargins left="0.70866141732283472" right="0.19685039370078741" top="0.74803149606299213" bottom="0.35433070866141736" header="0.31496062992125984" footer="0.31496062992125984"/>
  <pageSetup paperSize="9" scale="83"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H36"/>
  <sheetViews>
    <sheetView zoomScale="85" zoomScaleNormal="85" workbookViewId="0">
      <pane xSplit="2" ySplit="7" topLeftCell="F8" activePane="bottomRight" state="frozen"/>
      <selection activeCell="M54" sqref="M54"/>
      <selection pane="topRight" activeCell="M54" sqref="M54"/>
      <selection pane="bottomLeft" activeCell="M54" sqref="M54"/>
      <selection pane="bottomRight" activeCell="H17" sqref="H17"/>
    </sheetView>
  </sheetViews>
  <sheetFormatPr defaultColWidth="9.125" defaultRowHeight="15.75" outlineLevelRow="1" outlineLevelCol="1"/>
  <cols>
    <col min="1" max="1" width="6.375" style="156" customWidth="1"/>
    <col min="2" max="2" width="33.875" style="156" customWidth="1"/>
    <col min="3" max="5" width="12.375" style="156" hidden="1" customWidth="1" outlineLevel="1"/>
    <col min="6" max="6" width="13" style="156" customWidth="1" collapsed="1"/>
    <col min="7" max="7" width="9.375" style="156" hidden="1" customWidth="1" outlineLevel="1"/>
    <col min="8" max="8" width="12.75" style="156" customWidth="1" collapsed="1"/>
    <col min="9" max="9" width="11.625" style="156" customWidth="1"/>
    <col min="10" max="10" width="12.625" style="156" customWidth="1"/>
    <col min="11" max="11" width="12.75" style="156" customWidth="1"/>
    <col min="12" max="12" width="12" style="156" hidden="1" customWidth="1" outlineLevel="1"/>
    <col min="13" max="13" width="12.625" style="156" hidden="1" customWidth="1" outlineLevel="1"/>
    <col min="14" max="14" width="13.375" style="156" hidden="1" customWidth="1" outlineLevel="1"/>
    <col min="15" max="15" width="12.625" style="156" hidden="1" customWidth="1" outlineLevel="1"/>
    <col min="16" max="16" width="9.125" style="156" hidden="1" customWidth="1" outlineLevel="1"/>
    <col min="17" max="17" width="12.625" style="156" hidden="1" customWidth="1" outlineLevel="1"/>
    <col min="18" max="18" width="14.375" style="156" hidden="1" customWidth="1" outlineLevel="1"/>
    <col min="19" max="19" width="9.125" style="156" hidden="1" customWidth="1" outlineLevel="1"/>
    <col min="20" max="20" width="11.75" style="156" hidden="1" customWidth="1" outlineLevel="1"/>
    <col min="21" max="21" width="12.25" style="460" bestFit="1" customWidth="1" collapsed="1"/>
    <col min="22" max="22" width="12.25" style="460" bestFit="1" customWidth="1"/>
    <col min="23" max="23" width="12.875" style="460" customWidth="1"/>
    <col min="24" max="24" width="13.125" style="460" customWidth="1"/>
    <col min="25" max="25" width="14.875" style="460" customWidth="1"/>
    <col min="26" max="26" width="15" style="460" customWidth="1"/>
    <col min="27" max="34" width="9.125" style="460"/>
    <col min="35" max="16384" width="9.125" style="156"/>
  </cols>
  <sheetData>
    <row r="1" spans="1:34" ht="12.75" customHeight="1">
      <c r="F1" s="188"/>
      <c r="G1" s="188"/>
      <c r="H1" s="188"/>
      <c r="I1" s="188"/>
      <c r="J1" s="189"/>
      <c r="K1" s="189"/>
    </row>
    <row r="2" spans="1:34" ht="12.75" customHeight="1">
      <c r="J2" s="1047"/>
      <c r="K2" s="1047"/>
    </row>
    <row r="3" spans="1:34" s="161" customFormat="1" ht="21.75" customHeight="1">
      <c r="A3" s="190" t="s">
        <v>233</v>
      </c>
      <c r="F3" s="162"/>
      <c r="H3" s="162"/>
      <c r="I3" s="302"/>
      <c r="J3" s="162"/>
      <c r="K3" s="505" t="s">
        <v>237</v>
      </c>
      <c r="U3" s="461"/>
      <c r="V3" s="461"/>
      <c r="W3" s="461"/>
      <c r="X3" s="461"/>
      <c r="Y3" s="461"/>
      <c r="Z3" s="461"/>
      <c r="AA3" s="461"/>
      <c r="AB3" s="461"/>
      <c r="AC3" s="461"/>
      <c r="AD3" s="461"/>
      <c r="AE3" s="461"/>
      <c r="AF3" s="461"/>
      <c r="AG3" s="461"/>
      <c r="AH3" s="461"/>
    </row>
    <row r="4" spans="1:34" ht="27" customHeight="1">
      <c r="A4" s="959" t="s">
        <v>715</v>
      </c>
      <c r="B4" s="959"/>
      <c r="C4" s="959"/>
      <c r="D4" s="959"/>
      <c r="E4" s="959"/>
      <c r="F4" s="959"/>
      <c r="G4" s="959"/>
      <c r="H4" s="959"/>
      <c r="I4" s="959"/>
      <c r="J4" s="959"/>
      <c r="K4" s="959"/>
    </row>
    <row r="5" spans="1:34" ht="18.75" customHeight="1">
      <c r="J5" s="130" t="s">
        <v>54</v>
      </c>
    </row>
    <row r="6" spans="1:34" ht="48.75" customHeight="1">
      <c r="A6" s="211" t="s">
        <v>0</v>
      </c>
      <c r="B6" s="211" t="s">
        <v>213</v>
      </c>
      <c r="C6" s="211" t="s">
        <v>308</v>
      </c>
      <c r="D6" s="211" t="s">
        <v>309</v>
      </c>
      <c r="E6" s="211" t="s">
        <v>238</v>
      </c>
      <c r="F6" s="211" t="s">
        <v>622</v>
      </c>
      <c r="G6" s="211" t="s">
        <v>238</v>
      </c>
      <c r="H6" s="211" t="s">
        <v>710</v>
      </c>
      <c r="I6" s="211" t="s">
        <v>238</v>
      </c>
      <c r="J6" s="211" t="s">
        <v>623</v>
      </c>
      <c r="K6" s="211" t="s">
        <v>711</v>
      </c>
      <c r="L6" s="1048" t="s">
        <v>690</v>
      </c>
      <c r="M6" s="1049"/>
      <c r="N6" s="1049"/>
      <c r="O6" s="1049"/>
      <c r="P6" s="1049"/>
      <c r="Q6" s="1049"/>
      <c r="R6" s="1049"/>
      <c r="S6" s="1049"/>
      <c r="T6" s="1049"/>
    </row>
    <row r="7" spans="1:34">
      <c r="A7" s="211" t="s">
        <v>158</v>
      </c>
      <c r="B7" s="211" t="s">
        <v>160</v>
      </c>
      <c r="C7" s="211">
        <v>1</v>
      </c>
      <c r="D7" s="211">
        <v>1</v>
      </c>
      <c r="E7" s="211" t="s">
        <v>264</v>
      </c>
      <c r="F7" s="211">
        <v>1</v>
      </c>
      <c r="G7" s="211" t="s">
        <v>264</v>
      </c>
      <c r="H7" s="211">
        <v>2</v>
      </c>
      <c r="I7" s="211" t="s">
        <v>264</v>
      </c>
      <c r="J7" s="211">
        <v>4</v>
      </c>
      <c r="K7" s="211">
        <v>5</v>
      </c>
    </row>
    <row r="8" spans="1:34" ht="30.75" customHeight="1">
      <c r="A8" s="166"/>
      <c r="B8" s="191" t="s">
        <v>293</v>
      </c>
      <c r="C8" s="168">
        <f>C9+C12</f>
        <v>4563132</v>
      </c>
      <c r="D8" s="168">
        <v>6670782</v>
      </c>
      <c r="E8" s="168">
        <v>146.07662715103822</v>
      </c>
      <c r="F8" s="168">
        <f>F9+F12</f>
        <v>6792702</v>
      </c>
      <c r="G8" s="192">
        <f>F8/C8*100</f>
        <v>148.86051948530087</v>
      </c>
      <c r="H8" s="168">
        <f>H9+H12+H32</f>
        <v>7031797</v>
      </c>
      <c r="I8" s="192">
        <f>H8/F8*100</f>
        <v>103.51988060126884</v>
      </c>
      <c r="J8" s="168">
        <f>J9+J12+J32</f>
        <v>7216336.8475003643</v>
      </c>
      <c r="K8" s="168">
        <f>K9+K12+K32</f>
        <v>7418687.6341003636</v>
      </c>
      <c r="L8" s="159">
        <f>F8-'Bieu 09-31'!G17</f>
        <v>-83900</v>
      </c>
      <c r="M8" s="159">
        <f>H8-'Bieu 09-31'!I17</f>
        <v>0</v>
      </c>
      <c r="N8" s="159">
        <f>J8-'Bieu 09-31'!J17</f>
        <v>1387.0141670312732</v>
      </c>
      <c r="O8" s="159">
        <f>K8-'Bieu 09-31'!K17</f>
        <v>1386.3307670308277</v>
      </c>
      <c r="Q8" s="159">
        <f>J8-'Bieu 09-31'!J9</f>
        <v>105467.8475003643</v>
      </c>
      <c r="R8" s="159">
        <f>K8-'Bieu 09-31'!K9</f>
        <v>105467.16410036385</v>
      </c>
      <c r="V8" s="462">
        <f>H8+'Bieu 09-31'!I27</f>
        <v>8197048</v>
      </c>
      <c r="W8" s="159"/>
      <c r="X8" s="159"/>
      <c r="Y8" s="159"/>
      <c r="Z8" s="159"/>
    </row>
    <row r="9" spans="1:34">
      <c r="A9" s="119" t="s">
        <v>158</v>
      </c>
      <c r="B9" s="120" t="s">
        <v>294</v>
      </c>
      <c r="C9" s="177">
        <f>C10+C11</f>
        <v>1996264</v>
      </c>
      <c r="D9" s="177">
        <v>2659463</v>
      </c>
      <c r="E9" s="177">
        <v>133.22200871227452</v>
      </c>
      <c r="F9" s="177">
        <f>F10+F11</f>
        <v>2366615</v>
      </c>
      <c r="G9" s="193">
        <f>F9/C9*100</f>
        <v>118.5522055199112</v>
      </c>
      <c r="H9" s="177">
        <f t="shared" ref="H9:K9" si="0">H10+H11</f>
        <v>2612390</v>
      </c>
      <c r="I9" s="193">
        <f>H9/F9*100</f>
        <v>110.38508587159296</v>
      </c>
      <c r="J9" s="177">
        <f t="shared" si="0"/>
        <v>2612390</v>
      </c>
      <c r="K9" s="177">
        <f t="shared" si="0"/>
        <v>2612390</v>
      </c>
      <c r="L9" s="159"/>
      <c r="M9" s="159"/>
      <c r="N9" s="159"/>
      <c r="O9" s="159"/>
      <c r="P9" s="159"/>
      <c r="Q9" s="159"/>
      <c r="R9" s="159"/>
      <c r="S9" s="159"/>
      <c r="T9" s="159"/>
      <c r="U9" s="159"/>
      <c r="V9" s="462">
        <f>H8-'Bieu 09-31'!I9</f>
        <v>48400</v>
      </c>
      <c r="X9" s="159"/>
      <c r="Y9" s="159"/>
    </row>
    <row r="10" spans="1:34">
      <c r="A10" s="121" t="s">
        <v>60</v>
      </c>
      <c r="B10" s="122" t="s">
        <v>288</v>
      </c>
      <c r="C10" s="175">
        <v>1778544</v>
      </c>
      <c r="D10" s="175">
        <v>1913342</v>
      </c>
      <c r="E10" s="175">
        <v>107.57912089889257</v>
      </c>
      <c r="F10" s="175">
        <f>'Bieu 09-31'!G20</f>
        <v>2007071</v>
      </c>
      <c r="G10" s="194">
        <f>F10/C10*100</f>
        <v>112.84910578540649</v>
      </c>
      <c r="H10" s="175">
        <f>'Bieu 09-31'!I20</f>
        <v>2425182</v>
      </c>
      <c r="I10" s="194">
        <f t="shared" ref="I10:I27" si="1">H10/F10*100</f>
        <v>120.83189882171584</v>
      </c>
      <c r="J10" s="175">
        <f>'Bieu 09-31'!J20</f>
        <v>2425182</v>
      </c>
      <c r="K10" s="175">
        <f>'Bieu 09-31'!K20</f>
        <v>2425182</v>
      </c>
      <c r="O10" s="159"/>
    </row>
    <row r="11" spans="1:34">
      <c r="A11" s="121" t="s">
        <v>103</v>
      </c>
      <c r="B11" s="122" t="s">
        <v>289</v>
      </c>
      <c r="C11" s="175">
        <v>217720</v>
      </c>
      <c r="D11" s="175">
        <v>746121</v>
      </c>
      <c r="E11" s="175">
        <v>342.69750137791658</v>
      </c>
      <c r="F11" s="175">
        <f>'Bieu 09-31'!G21</f>
        <v>359544</v>
      </c>
      <c r="G11" s="194">
        <f>F11/C11*100</f>
        <v>165.14054749219181</v>
      </c>
      <c r="H11" s="176">
        <f>'Bieu 09-31'!I21</f>
        <v>187208</v>
      </c>
      <c r="I11" s="194">
        <f t="shared" si="1"/>
        <v>52.068175244198208</v>
      </c>
      <c r="J11" s="175">
        <f>'Bieu 09-31'!J21</f>
        <v>187208</v>
      </c>
      <c r="K11" s="175">
        <f>'Bieu 09-31'!K21</f>
        <v>187208</v>
      </c>
    </row>
    <row r="12" spans="1:34" ht="31.5">
      <c r="A12" s="119" t="s">
        <v>160</v>
      </c>
      <c r="B12" s="120" t="s">
        <v>295</v>
      </c>
      <c r="C12" s="177">
        <f>C13+C19+C24+C25+C26+C27</f>
        <v>2566868</v>
      </c>
      <c r="D12" s="177">
        <v>4011319</v>
      </c>
      <c r="E12" s="177">
        <v>156.06010501220058</v>
      </c>
      <c r="F12" s="177">
        <f>F13+F19+F24+F25+F26+F28+F29+F31</f>
        <v>4426087</v>
      </c>
      <c r="G12" s="193">
        <f t="shared" ref="G12:G26" si="2">F12/C12*100</f>
        <v>172.4314222624615</v>
      </c>
      <c r="H12" s="172">
        <f>H13+H19+H24+H25+H26+H29</f>
        <v>4371007</v>
      </c>
      <c r="I12" s="193">
        <f t="shared" si="1"/>
        <v>98.755559933638907</v>
      </c>
      <c r="J12" s="172">
        <f>J13+J19+J24+J25+J26+J29</f>
        <v>4499866.0141670313</v>
      </c>
      <c r="K12" s="172">
        <f>K13+K19+K24+K25+K26+K29</f>
        <v>4702216.8007670306</v>
      </c>
      <c r="L12" s="159"/>
      <c r="M12" s="195"/>
      <c r="N12" s="195"/>
      <c r="O12" s="195"/>
      <c r="Q12" s="159">
        <f>H8-H9</f>
        <v>4419407</v>
      </c>
      <c r="R12" s="156">
        <v>4451655</v>
      </c>
      <c r="S12" s="156">
        <v>20578</v>
      </c>
      <c r="T12" s="198">
        <f>S12+R12</f>
        <v>4472233</v>
      </c>
      <c r="U12" s="575"/>
      <c r="V12" s="575"/>
      <c r="W12" s="575"/>
      <c r="X12" s="575"/>
      <c r="Y12" s="575"/>
      <c r="Z12" s="737"/>
      <c r="AA12" s="737"/>
    </row>
    <row r="13" spans="1:34">
      <c r="A13" s="119" t="s">
        <v>60</v>
      </c>
      <c r="B13" s="120" t="s">
        <v>137</v>
      </c>
      <c r="C13" s="177">
        <f>C14</f>
        <v>959533</v>
      </c>
      <c r="D13" s="177">
        <v>2011005</v>
      </c>
      <c r="E13" s="177">
        <v>209.58164023540618</v>
      </c>
      <c r="F13" s="172">
        <f>F14+F18</f>
        <v>1748521</v>
      </c>
      <c r="G13" s="204">
        <f t="shared" si="2"/>
        <v>182.22624964435826</v>
      </c>
      <c r="H13" s="172">
        <f>H14+H18</f>
        <v>1740044</v>
      </c>
      <c r="I13" s="204">
        <f t="shared" si="1"/>
        <v>99.515190266516669</v>
      </c>
      <c r="J13" s="172">
        <f>J14+J18</f>
        <v>1770938.0357670309</v>
      </c>
      <c r="K13" s="172">
        <f>K14+K18</f>
        <v>1786142.0357670309</v>
      </c>
      <c r="R13" s="159">
        <f>R12-F12</f>
        <v>25568</v>
      </c>
      <c r="T13" s="196">
        <f>T12-F12</f>
        <v>46146</v>
      </c>
      <c r="U13" s="575"/>
      <c r="V13" s="159"/>
      <c r="W13" s="159"/>
      <c r="X13" s="575"/>
      <c r="Y13" s="575"/>
    </row>
    <row r="14" spans="1:34">
      <c r="A14" s="121">
        <v>1</v>
      </c>
      <c r="B14" s="122" t="s">
        <v>296</v>
      </c>
      <c r="C14" s="175">
        <f>373803+3500+C16+C17</f>
        <v>959533</v>
      </c>
      <c r="D14" s="175">
        <v>2011005</v>
      </c>
      <c r="E14" s="175">
        <v>209.58164023540618</v>
      </c>
      <c r="F14" s="176">
        <f>513733+F16+F17</f>
        <v>1748521</v>
      </c>
      <c r="G14" s="570">
        <f t="shared" si="2"/>
        <v>182.22624964435826</v>
      </c>
      <c r="H14" s="176">
        <f>Sheet2!F14+Sheet2!F39</f>
        <v>1740044</v>
      </c>
      <c r="I14" s="570">
        <f t="shared" si="1"/>
        <v>99.515190266516669</v>
      </c>
      <c r="J14" s="176">
        <f>'Bieu 11-31'!H18-'Bieu 11-31'!H26+J17-'Bieu 11-31'!H29-J18</f>
        <v>1770938.0357670309</v>
      </c>
      <c r="K14" s="176">
        <f>'Bieu 11-31'!I18-'Bieu 11-31'!I26+K17-'Bieu 11-31'!I29-K18</f>
        <v>1786142.0357670309</v>
      </c>
      <c r="L14" s="159"/>
      <c r="M14" s="196"/>
      <c r="U14" s="159"/>
      <c r="V14" s="159"/>
      <c r="W14" s="159"/>
      <c r="X14" s="156"/>
    </row>
    <row r="15" spans="1:34">
      <c r="A15" s="123"/>
      <c r="B15" s="124" t="s">
        <v>39</v>
      </c>
      <c r="C15" s="175"/>
      <c r="D15" s="175"/>
      <c r="E15" s="175"/>
      <c r="F15" s="176"/>
      <c r="G15" s="570"/>
      <c r="H15" s="176"/>
      <c r="I15" s="570"/>
      <c r="J15" s="176"/>
      <c r="K15" s="176"/>
      <c r="L15" s="159"/>
      <c r="M15" s="196"/>
      <c r="Q15" s="159"/>
      <c r="U15" s="159"/>
      <c r="V15" s="159"/>
      <c r="W15" s="159"/>
      <c r="X15" s="156"/>
    </row>
    <row r="16" spans="1:34">
      <c r="A16" s="123" t="s">
        <v>176</v>
      </c>
      <c r="B16" s="124" t="s">
        <v>252</v>
      </c>
      <c r="C16" s="175">
        <v>247993</v>
      </c>
      <c r="D16" s="175">
        <v>280896</v>
      </c>
      <c r="E16" s="175">
        <v>113.26771320158231</v>
      </c>
      <c r="F16" s="176"/>
      <c r="G16" s="570">
        <f t="shared" si="2"/>
        <v>0</v>
      </c>
      <c r="H16" s="176"/>
      <c r="I16" s="570"/>
      <c r="J16" s="176"/>
      <c r="K16" s="176">
        <f>J16*$O$12</f>
        <v>0</v>
      </c>
      <c r="L16" s="159"/>
      <c r="M16" s="196"/>
      <c r="N16" s="197"/>
      <c r="O16" s="159"/>
      <c r="U16" s="156"/>
      <c r="V16" s="156"/>
      <c r="W16" s="156"/>
      <c r="X16" s="156"/>
    </row>
    <row r="17" spans="1:34">
      <c r="A17" s="123" t="s">
        <v>176</v>
      </c>
      <c r="B17" s="124" t="s">
        <v>695</v>
      </c>
      <c r="C17" s="175">
        <f>171975+162262</f>
        <v>334237</v>
      </c>
      <c r="D17" s="175">
        <v>1262488</v>
      </c>
      <c r="E17" s="175">
        <v>377.72239458827119</v>
      </c>
      <c r="F17" s="176">
        <v>1234788</v>
      </c>
      <c r="G17" s="570">
        <f t="shared" si="2"/>
        <v>369.43486208887703</v>
      </c>
      <c r="H17" s="176">
        <v>1382515</v>
      </c>
      <c r="I17" s="570">
        <f t="shared" si="1"/>
        <v>111.9637541019187</v>
      </c>
      <c r="J17" s="176">
        <f>'Bieu 11-31'!H43</f>
        <v>1341296.4000000001</v>
      </c>
      <c r="K17" s="176">
        <f>'Bieu 11-31'!I43</f>
        <v>1343548.4000000001</v>
      </c>
      <c r="L17" s="159"/>
      <c r="M17" s="196"/>
      <c r="N17" s="159"/>
      <c r="O17" s="159"/>
      <c r="U17" s="159"/>
      <c r="V17" s="159"/>
      <c r="W17" s="156"/>
      <c r="X17" s="156"/>
    </row>
    <row r="18" spans="1:34" hidden="1" outlineLevel="1">
      <c r="A18" s="309"/>
      <c r="B18" s="122"/>
      <c r="C18" s="175"/>
      <c r="D18" s="175"/>
      <c r="E18" s="175"/>
      <c r="F18" s="176"/>
      <c r="G18" s="176"/>
      <c r="H18" s="176"/>
      <c r="I18" s="204"/>
      <c r="J18" s="176"/>
      <c r="K18" s="176"/>
      <c r="L18" s="159"/>
      <c r="M18" s="196"/>
      <c r="N18" s="159"/>
    </row>
    <row r="19" spans="1:34" collapsed="1">
      <c r="A19" s="119" t="s">
        <v>103</v>
      </c>
      <c r="B19" s="120" t="s">
        <v>155</v>
      </c>
      <c r="C19" s="177">
        <f>1463782+C22+C23</f>
        <v>1564315</v>
      </c>
      <c r="D19" s="177">
        <v>1946236</v>
      </c>
      <c r="E19" s="177">
        <v>124.41458401920329</v>
      </c>
      <c r="F19" s="177">
        <f>SUM(F21:F23)</f>
        <v>1779289</v>
      </c>
      <c r="G19" s="177">
        <f t="shared" ref="G19:K19" si="3">SUM(G21:G23)</f>
        <v>1034.7604816714713</v>
      </c>
      <c r="H19" s="172">
        <f t="shared" si="3"/>
        <v>1804680</v>
      </c>
      <c r="I19" s="193">
        <f t="shared" si="1"/>
        <v>101.42703068472856</v>
      </c>
      <c r="J19" s="172">
        <f t="shared" si="3"/>
        <v>2197713.5999999996</v>
      </c>
      <c r="K19" s="172">
        <f t="shared" si="3"/>
        <v>2336502.5999999996</v>
      </c>
      <c r="M19" s="196"/>
      <c r="U19" s="575"/>
      <c r="V19" s="575"/>
      <c r="W19" s="575"/>
      <c r="X19" s="575"/>
    </row>
    <row r="20" spans="1:34">
      <c r="A20" s="123"/>
      <c r="B20" s="124" t="s">
        <v>39</v>
      </c>
      <c r="C20" s="175"/>
      <c r="D20" s="175"/>
      <c r="E20" s="175"/>
      <c r="F20" s="175"/>
      <c r="G20" s="193"/>
      <c r="H20" s="176"/>
      <c r="I20" s="193"/>
      <c r="J20" s="175"/>
      <c r="K20" s="175"/>
      <c r="M20" s="196"/>
    </row>
    <row r="21" spans="1:34">
      <c r="A21" s="123" t="s">
        <v>176</v>
      </c>
      <c r="B21" s="124" t="s">
        <v>339</v>
      </c>
      <c r="C21" s="175">
        <v>1463782</v>
      </c>
      <c r="D21" s="175">
        <v>1522778</v>
      </c>
      <c r="E21" s="175">
        <v>104.03038157321241</v>
      </c>
      <c r="F21" s="175">
        <v>1636507</v>
      </c>
      <c r="G21" s="194">
        <f t="shared" si="2"/>
        <v>111.79991282854959</v>
      </c>
      <c r="H21" s="176">
        <f>Sheet2!F22</f>
        <v>1741764</v>
      </c>
      <c r="I21" s="194">
        <f t="shared" si="1"/>
        <v>106.43180872431344</v>
      </c>
      <c r="J21" s="175">
        <v>1989827</v>
      </c>
      <c r="K21" s="175">
        <v>2118568</v>
      </c>
      <c r="L21" s="159"/>
      <c r="M21" s="159"/>
      <c r="N21" s="159"/>
    </row>
    <row r="22" spans="1:34">
      <c r="A22" s="123" t="s">
        <v>176</v>
      </c>
      <c r="B22" s="124" t="s">
        <v>252</v>
      </c>
      <c r="C22" s="175">
        <v>85063</v>
      </c>
      <c r="D22" s="175">
        <v>104811</v>
      </c>
      <c r="E22" s="175">
        <v>123.2157342205189</v>
      </c>
      <c r="F22" s="175"/>
      <c r="G22" s="194">
        <f t="shared" si="2"/>
        <v>0</v>
      </c>
      <c r="H22" s="175"/>
      <c r="I22" s="194"/>
      <c r="J22" s="175"/>
      <c r="K22" s="175">
        <f>J22*$O$12</f>
        <v>0</v>
      </c>
      <c r="M22" s="159"/>
      <c r="N22" s="159"/>
    </row>
    <row r="23" spans="1:34">
      <c r="A23" s="123" t="s">
        <v>176</v>
      </c>
      <c r="B23" s="124" t="s">
        <v>253</v>
      </c>
      <c r="C23" s="175">
        <v>15470</v>
      </c>
      <c r="D23" s="175">
        <v>318647</v>
      </c>
      <c r="E23" s="175">
        <v>2059.7737556561087</v>
      </c>
      <c r="F23" s="175">
        <v>142782</v>
      </c>
      <c r="G23" s="194">
        <f t="shared" si="2"/>
        <v>922.9605688429217</v>
      </c>
      <c r="H23" s="175">
        <f>Sheet2!F45</f>
        <v>62916</v>
      </c>
      <c r="I23" s="194">
        <f t="shared" si="1"/>
        <v>44.064377862755812</v>
      </c>
      <c r="J23" s="175">
        <f>'Bieu 07-31'!P36-'Bieu 11-31'!H43</f>
        <v>207886.59999999986</v>
      </c>
      <c r="K23" s="175">
        <f>'Bieu 07-31'!Q36-'Bieu 11-31'!I43</f>
        <v>217934.59999999986</v>
      </c>
      <c r="N23" s="159"/>
    </row>
    <row r="24" spans="1:34" s="178" customFormat="1">
      <c r="A24" s="119" t="s">
        <v>104</v>
      </c>
      <c r="B24" s="120" t="s">
        <v>319</v>
      </c>
      <c r="C24" s="177">
        <v>0</v>
      </c>
      <c r="D24" s="177">
        <v>400</v>
      </c>
      <c r="E24" s="177">
        <v>0</v>
      </c>
      <c r="F24" s="177">
        <v>2000</v>
      </c>
      <c r="G24" s="193">
        <v>0</v>
      </c>
      <c r="H24" s="177">
        <f>'Chi CĐ NSĐP 69-7'!M39</f>
        <v>2200</v>
      </c>
      <c r="I24" s="193">
        <f t="shared" si="1"/>
        <v>110.00000000000001</v>
      </c>
      <c r="J24" s="172">
        <f>'Chi CĐ NSĐP 69-7'!N39</f>
        <v>5904.2983999999997</v>
      </c>
      <c r="K24" s="172">
        <f>'Chi CĐ NSĐP 69-7'!O39</f>
        <v>7340.5949999999993</v>
      </c>
      <c r="L24" s="199"/>
      <c r="N24" s="179"/>
      <c r="U24" s="463"/>
      <c r="V24" s="463"/>
      <c r="W24" s="463"/>
      <c r="X24" s="463"/>
      <c r="Y24" s="463"/>
      <c r="Z24" s="463"/>
      <c r="AA24" s="463"/>
      <c r="AB24" s="463"/>
      <c r="AC24" s="463"/>
      <c r="AD24" s="463"/>
      <c r="AE24" s="463"/>
      <c r="AF24" s="463"/>
      <c r="AG24" s="463"/>
      <c r="AH24" s="463"/>
    </row>
    <row r="25" spans="1:34" s="178" customFormat="1">
      <c r="A25" s="200" t="s">
        <v>124</v>
      </c>
      <c r="B25" s="201" t="s">
        <v>340</v>
      </c>
      <c r="C25" s="202">
        <v>1000</v>
      </c>
      <c r="D25" s="202">
        <v>1000</v>
      </c>
      <c r="E25" s="202">
        <v>100</v>
      </c>
      <c r="F25" s="202">
        <v>1000</v>
      </c>
      <c r="G25" s="194">
        <f t="shared" si="2"/>
        <v>100</v>
      </c>
      <c r="H25" s="202">
        <f>'Chi CĐ NSĐP 69-7'!M54</f>
        <v>1000</v>
      </c>
      <c r="I25" s="193">
        <f t="shared" si="1"/>
        <v>100</v>
      </c>
      <c r="J25" s="202">
        <f>'Chi CĐ NSĐP 69-7'!N54</f>
        <v>1000</v>
      </c>
      <c r="K25" s="202">
        <f>'Chi CĐ NSĐP 69-7'!O54</f>
        <v>1000</v>
      </c>
      <c r="N25" s="179"/>
      <c r="U25" s="463"/>
      <c r="V25" s="463"/>
      <c r="W25" s="463"/>
      <c r="X25" s="463"/>
      <c r="Y25" s="463"/>
      <c r="Z25" s="463"/>
      <c r="AA25" s="463"/>
      <c r="AB25" s="463"/>
      <c r="AC25" s="463"/>
      <c r="AD25" s="463"/>
      <c r="AE25" s="463"/>
      <c r="AF25" s="463"/>
      <c r="AG25" s="463"/>
      <c r="AH25" s="463"/>
    </row>
    <row r="26" spans="1:34" s="178" customFormat="1">
      <c r="A26" s="200" t="s">
        <v>129</v>
      </c>
      <c r="B26" s="201" t="s">
        <v>341</v>
      </c>
      <c r="C26" s="202">
        <v>42020</v>
      </c>
      <c r="D26" s="202">
        <v>45178</v>
      </c>
      <c r="E26" s="202">
        <v>107.51546882436935</v>
      </c>
      <c r="F26" s="202">
        <v>66785</v>
      </c>
      <c r="G26" s="194">
        <f t="shared" si="2"/>
        <v>158.93622084721562</v>
      </c>
      <c r="H26" s="203">
        <f>Sheet2!F29</f>
        <v>62229</v>
      </c>
      <c r="I26" s="204">
        <f t="shared" si="1"/>
        <v>93.178108856779218</v>
      </c>
      <c r="J26" s="203">
        <f>(('Bieu 09-31'!J18+'Bieu 09-31'!J21)-'Bieu 09-31'!J13)*2%</f>
        <v>62730.080000000002</v>
      </c>
      <c r="K26" s="203">
        <f>(('Bieu 09-31'!K18+'Bieu 09-31'!K21)-'Bieu 09-31'!K13)*2%</f>
        <v>66531.109400000001</v>
      </c>
      <c r="M26" s="179"/>
      <c r="N26" s="179"/>
      <c r="O26" s="179"/>
      <c r="U26" s="463"/>
      <c r="V26" s="463"/>
      <c r="W26" s="463"/>
      <c r="X26" s="463"/>
      <c r="Y26" s="463"/>
      <c r="Z26" s="463"/>
      <c r="AA26" s="463"/>
      <c r="AB26" s="463"/>
      <c r="AC26" s="463"/>
      <c r="AD26" s="463"/>
      <c r="AE26" s="463"/>
      <c r="AF26" s="463"/>
      <c r="AG26" s="463"/>
      <c r="AH26" s="463"/>
    </row>
    <row r="27" spans="1:34" s="182" customFormat="1" ht="47.25">
      <c r="A27" s="123"/>
      <c r="B27" s="124" t="s">
        <v>740</v>
      </c>
      <c r="C27" s="180"/>
      <c r="D27" s="180"/>
      <c r="E27" s="180"/>
      <c r="F27" s="180">
        <v>16908</v>
      </c>
      <c r="G27" s="180"/>
      <c r="H27" s="181">
        <f>'DT thu 69-7'!R78</f>
        <v>16260</v>
      </c>
      <c r="I27" s="220">
        <f t="shared" si="1"/>
        <v>96.167494677075936</v>
      </c>
      <c r="J27" s="181">
        <f>'DT thu 69-7'!S78</f>
        <v>9420</v>
      </c>
      <c r="K27" s="181">
        <f>'DT thu 69-7'!T78</f>
        <v>10300.009399999995</v>
      </c>
      <c r="L27" s="183"/>
      <c r="M27" s="179"/>
      <c r="N27" s="179"/>
      <c r="O27" s="179"/>
      <c r="U27" s="464"/>
      <c r="V27" s="464"/>
      <c r="W27" s="464"/>
      <c r="X27" s="464"/>
      <c r="Y27" s="464"/>
      <c r="Z27" s="464"/>
      <c r="AA27" s="464"/>
      <c r="AB27" s="464"/>
      <c r="AC27" s="464"/>
      <c r="AD27" s="464"/>
      <c r="AE27" s="464"/>
      <c r="AF27" s="464"/>
      <c r="AG27" s="464"/>
      <c r="AH27" s="464"/>
    </row>
    <row r="28" spans="1:34" s="178" customFormat="1" ht="31.5">
      <c r="A28" s="200" t="s">
        <v>342</v>
      </c>
      <c r="B28" s="201" t="s">
        <v>696</v>
      </c>
      <c r="C28" s="202"/>
      <c r="D28" s="202"/>
      <c r="E28" s="202"/>
      <c r="F28" s="202"/>
      <c r="G28" s="194"/>
      <c r="H28" s="203"/>
      <c r="I28" s="204"/>
      <c r="J28" s="172"/>
      <c r="K28" s="172"/>
      <c r="M28" s="179"/>
      <c r="N28" s="179"/>
      <c r="O28" s="179"/>
      <c r="U28" s="463"/>
      <c r="V28" s="463"/>
      <c r="W28" s="463"/>
      <c r="X28" s="463"/>
      <c r="Y28" s="463"/>
      <c r="Z28" s="463"/>
      <c r="AA28" s="463"/>
      <c r="AB28" s="463"/>
      <c r="AC28" s="463"/>
      <c r="AD28" s="463"/>
      <c r="AE28" s="463"/>
      <c r="AF28" s="463"/>
      <c r="AG28" s="463"/>
      <c r="AH28" s="463"/>
    </row>
    <row r="29" spans="1:34" s="178" customFormat="1" ht="78.75">
      <c r="A29" s="119" t="s">
        <v>502</v>
      </c>
      <c r="B29" s="120" t="s">
        <v>697</v>
      </c>
      <c r="C29" s="177"/>
      <c r="D29" s="177"/>
      <c r="E29" s="177"/>
      <c r="F29" s="177">
        <v>789492</v>
      </c>
      <c r="G29" s="177"/>
      <c r="H29" s="172">
        <f>Sheet2!F32</f>
        <v>760854</v>
      </c>
      <c r="I29" s="204"/>
      <c r="J29" s="172">
        <f>'DT thu 69-7'!N78-'DT thu 69-7'!S78</f>
        <v>461580</v>
      </c>
      <c r="K29" s="172">
        <f>'DT thu 69-7'!O78-'DT thu 69-7'!T78</f>
        <v>504700.46059999976</v>
      </c>
      <c r="N29" s="179"/>
      <c r="U29" s="463"/>
      <c r="V29" s="463"/>
      <c r="W29" s="463"/>
      <c r="X29" s="463"/>
      <c r="Y29" s="463"/>
      <c r="Z29" s="463"/>
      <c r="AA29" s="463"/>
      <c r="AB29" s="463"/>
      <c r="AC29" s="463"/>
      <c r="AD29" s="463"/>
      <c r="AE29" s="463"/>
      <c r="AF29" s="463"/>
      <c r="AG29" s="463"/>
      <c r="AH29" s="463"/>
    </row>
    <row r="30" spans="1:34" s="178" customFormat="1" ht="47.25">
      <c r="A30" s="119"/>
      <c r="B30" s="571" t="s">
        <v>741</v>
      </c>
      <c r="C30" s="177"/>
      <c r="D30" s="177"/>
      <c r="E30" s="177"/>
      <c r="F30" s="177"/>
      <c r="G30" s="177"/>
      <c r="H30" s="181">
        <f>'Bieu 07-31'!O31</f>
        <v>48000</v>
      </c>
      <c r="I30" s="573"/>
      <c r="J30" s="574">
        <f>'Bieu 07-31'!P31</f>
        <v>30000</v>
      </c>
      <c r="K30" s="574">
        <f>'Bieu 07-31'!Q31</f>
        <v>30000</v>
      </c>
      <c r="N30" s="179"/>
      <c r="U30" s="463"/>
      <c r="V30" s="463"/>
      <c r="W30" s="463"/>
      <c r="X30" s="463"/>
      <c r="Y30" s="463"/>
      <c r="Z30" s="463"/>
      <c r="AA30" s="463"/>
      <c r="AB30" s="463"/>
      <c r="AC30" s="463"/>
      <c r="AD30" s="463"/>
      <c r="AE30" s="463"/>
      <c r="AF30" s="463"/>
      <c r="AG30" s="463"/>
      <c r="AH30" s="463"/>
    </row>
    <row r="31" spans="1:34" s="178" customFormat="1" ht="31.5">
      <c r="A31" s="119" t="s">
        <v>716</v>
      </c>
      <c r="B31" s="120" t="s">
        <v>707</v>
      </c>
      <c r="C31" s="177"/>
      <c r="D31" s="177"/>
      <c r="E31" s="177"/>
      <c r="F31" s="177">
        <v>39000</v>
      </c>
      <c r="G31" s="177"/>
      <c r="H31" s="172"/>
      <c r="I31" s="221"/>
      <c r="J31" s="203"/>
      <c r="K31" s="203"/>
      <c r="N31" s="179"/>
      <c r="U31" s="463"/>
      <c r="V31" s="463"/>
      <c r="W31" s="463"/>
      <c r="X31" s="463"/>
      <c r="Y31" s="463"/>
      <c r="Z31" s="463"/>
      <c r="AA31" s="463"/>
      <c r="AB31" s="463"/>
      <c r="AC31" s="463"/>
      <c r="AD31" s="463"/>
      <c r="AE31" s="463"/>
      <c r="AF31" s="463"/>
      <c r="AG31" s="463"/>
      <c r="AH31" s="463"/>
    </row>
    <row r="32" spans="1:34" s="178" customFormat="1">
      <c r="A32" s="119" t="s">
        <v>162</v>
      </c>
      <c r="B32" s="120" t="s">
        <v>601</v>
      </c>
      <c r="C32" s="177">
        <v>0</v>
      </c>
      <c r="D32" s="177">
        <v>0</v>
      </c>
      <c r="E32" s="177"/>
      <c r="F32" s="177">
        <v>83900</v>
      </c>
      <c r="G32" s="193"/>
      <c r="H32" s="172">
        <f>'Bieu 09-31'!I23</f>
        <v>48400</v>
      </c>
      <c r="I32" s="221"/>
      <c r="J32" s="203">
        <f>'Bieu 11-31'!H29</f>
        <v>104080.83333333333</v>
      </c>
      <c r="K32" s="203">
        <f>'Bieu 11-31'!I29</f>
        <v>104080.83333333333</v>
      </c>
      <c r="N32" s="179"/>
      <c r="U32" s="463"/>
      <c r="V32" s="463"/>
      <c r="W32" s="463"/>
      <c r="X32" s="463"/>
      <c r="Y32" s="463"/>
      <c r="Z32" s="463"/>
      <c r="AA32" s="463"/>
      <c r="AB32" s="463"/>
      <c r="AC32" s="463"/>
      <c r="AD32" s="463"/>
      <c r="AE32" s="463"/>
      <c r="AF32" s="463"/>
      <c r="AG32" s="463"/>
      <c r="AH32" s="463"/>
    </row>
    <row r="33" spans="1:34" s="182" customFormat="1" ht="10.5" customHeight="1">
      <c r="A33" s="206"/>
      <c r="B33" s="207"/>
      <c r="C33" s="208"/>
      <c r="D33" s="208"/>
      <c r="E33" s="208"/>
      <c r="F33" s="208"/>
      <c r="G33" s="208"/>
      <c r="H33" s="209"/>
      <c r="I33" s="210"/>
      <c r="J33" s="209"/>
      <c r="K33" s="209"/>
      <c r="N33" s="183"/>
      <c r="U33" s="464"/>
      <c r="V33" s="464"/>
      <c r="W33" s="464"/>
      <c r="X33" s="464"/>
      <c r="Y33" s="464"/>
      <c r="Z33" s="464"/>
      <c r="AA33" s="464"/>
      <c r="AB33" s="464"/>
      <c r="AC33" s="464"/>
      <c r="AD33" s="464"/>
      <c r="AE33" s="464"/>
      <c r="AF33" s="464"/>
      <c r="AG33" s="464"/>
      <c r="AH33" s="464"/>
    </row>
    <row r="34" spans="1:34" ht="44.25" customHeight="1">
      <c r="A34" s="1046"/>
      <c r="B34" s="1046"/>
      <c r="C34" s="1046"/>
      <c r="D34" s="1046"/>
      <c r="E34" s="1046"/>
      <c r="F34" s="1046"/>
      <c r="G34" s="1046"/>
      <c r="H34" s="1046"/>
      <c r="I34" s="1046"/>
      <c r="J34" s="1046"/>
      <c r="K34" s="1046"/>
      <c r="N34" s="159">
        <f>N27*2%</f>
        <v>0</v>
      </c>
    </row>
    <row r="35" spans="1:34" ht="35.25" customHeight="1">
      <c r="B35" s="1045"/>
      <c r="C35" s="1045"/>
      <c r="D35" s="1045"/>
      <c r="E35" s="1045"/>
      <c r="F35" s="1045"/>
      <c r="G35" s="1045"/>
      <c r="H35" s="1045"/>
      <c r="I35" s="1045"/>
      <c r="J35" s="1045"/>
    </row>
    <row r="36" spans="1:34">
      <c r="C36" s="159"/>
      <c r="D36" s="159"/>
      <c r="E36" s="159"/>
    </row>
  </sheetData>
  <mergeCells count="5">
    <mergeCell ref="B35:J35"/>
    <mergeCell ref="A4:K4"/>
    <mergeCell ref="A34:K34"/>
    <mergeCell ref="J2:K2"/>
    <mergeCell ref="L6:T6"/>
  </mergeCells>
  <printOptions horizontalCentered="1"/>
  <pageMargins left="0.2" right="0.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R60"/>
  <sheetViews>
    <sheetView topLeftCell="A4" zoomScale="85" zoomScaleNormal="85" workbookViewId="0">
      <pane xSplit="1" ySplit="4" topLeftCell="B8" activePane="bottomRight" state="frozen"/>
      <selection activeCell="A4" sqref="A4"/>
      <selection pane="topRight" activeCell="B4" sqref="B4"/>
      <selection pane="bottomLeft" activeCell="A8" sqref="A8"/>
      <selection pane="bottomRight" activeCell="N21" sqref="N21"/>
    </sheetView>
  </sheetViews>
  <sheetFormatPr defaultColWidth="9.125" defaultRowHeight="15.75" outlineLevelRow="1" outlineLevelCol="1"/>
  <cols>
    <col min="1" max="1" width="4.125" style="98" customWidth="1"/>
    <col min="2" max="2" width="49.25" style="98" customWidth="1"/>
    <col min="3" max="3" width="12.25" style="98" hidden="1" customWidth="1" outlineLevel="1"/>
    <col min="4" max="4" width="12.625" style="98" hidden="1" customWidth="1" outlineLevel="1"/>
    <col min="5" max="5" width="11.875" style="98" customWidth="1" collapsed="1"/>
    <col min="6" max="7" width="11.875" style="98" customWidth="1"/>
    <col min="8" max="8" width="12.25" style="98" customWidth="1"/>
    <col min="9" max="9" width="12.625" style="98" customWidth="1"/>
    <col min="10" max="10" width="13.375" style="98" hidden="1" customWidth="1" outlineLevel="1"/>
    <col min="11" max="11" width="14.25" style="98" hidden="1" customWidth="1" outlineLevel="1"/>
    <col min="12" max="12" width="12.25" style="98" hidden="1" customWidth="1" outlineLevel="1"/>
    <col min="13" max="13" width="21.875" style="98" customWidth="1" collapsed="1"/>
    <col min="14" max="14" width="14.875" style="98" customWidth="1"/>
    <col min="15" max="15" width="22.25" style="98" customWidth="1"/>
    <col min="16" max="16" width="12.625" style="98" customWidth="1"/>
    <col min="17" max="17" width="9.125" style="98"/>
    <col min="18" max="18" width="15.375" style="98" customWidth="1"/>
    <col min="19" max="16384" width="9.125" style="98"/>
  </cols>
  <sheetData>
    <row r="1" spans="1:14">
      <c r="A1" s="618"/>
      <c r="B1" s="618"/>
      <c r="C1" s="466"/>
      <c r="D1" s="466"/>
      <c r="E1" s="466"/>
      <c r="F1" s="466"/>
      <c r="G1" s="466"/>
      <c r="H1" s="466"/>
      <c r="I1" s="466"/>
      <c r="J1" s="466"/>
      <c r="K1" s="466"/>
      <c r="L1" s="466"/>
    </row>
    <row r="2" spans="1:14" s="618" customFormat="1">
      <c r="A2" s="618" t="s">
        <v>233</v>
      </c>
      <c r="I2" s="618" t="s">
        <v>338</v>
      </c>
    </row>
    <row r="3" spans="1:14" ht="16.5" customHeight="1">
      <c r="A3" s="465"/>
      <c r="B3" s="466"/>
      <c r="C3" s="466"/>
      <c r="D3" s="466"/>
      <c r="E3" s="466"/>
      <c r="F3" s="466"/>
      <c r="G3" s="1050"/>
      <c r="H3" s="1050"/>
      <c r="I3" s="1050"/>
      <c r="J3" s="466"/>
      <c r="K3" s="466"/>
      <c r="L3" s="466"/>
    </row>
    <row r="4" spans="1:14" s="776" customFormat="1" ht="18.75" customHeight="1">
      <c r="A4" s="1061" t="s">
        <v>717</v>
      </c>
      <c r="B4" s="1061"/>
      <c r="C4" s="1061"/>
      <c r="D4" s="1061"/>
      <c r="E4" s="1061"/>
      <c r="F4" s="1061"/>
      <c r="G4" s="1061"/>
      <c r="H4" s="1061"/>
      <c r="I4" s="1061"/>
    </row>
    <row r="5" spans="1:14" ht="15.75" customHeight="1">
      <c r="A5" s="465"/>
      <c r="B5" s="466"/>
      <c r="C5" s="466"/>
      <c r="D5" s="466"/>
      <c r="E5" s="467"/>
      <c r="F5" s="467"/>
      <c r="G5" s="467"/>
      <c r="H5" s="1051" t="s">
        <v>54</v>
      </c>
      <c r="I5" s="1051"/>
      <c r="J5" s="466"/>
      <c r="K5" s="466"/>
      <c r="L5" s="466"/>
    </row>
    <row r="6" spans="1:14" ht="51.75" customHeight="1">
      <c r="A6" s="1052" t="s">
        <v>0</v>
      </c>
      <c r="B6" s="1052" t="s">
        <v>213</v>
      </c>
      <c r="C6" s="1054" t="s">
        <v>578</v>
      </c>
      <c r="D6" s="1055"/>
      <c r="E6" s="1054" t="s">
        <v>718</v>
      </c>
      <c r="F6" s="1055"/>
      <c r="G6" s="1058" t="s">
        <v>815</v>
      </c>
      <c r="H6" s="1059"/>
      <c r="I6" s="1060"/>
      <c r="J6" s="466"/>
      <c r="K6" s="466"/>
      <c r="L6" s="466"/>
      <c r="M6" s="786"/>
    </row>
    <row r="7" spans="1:14" ht="49.5" customHeight="1">
      <c r="A7" s="1053"/>
      <c r="B7" s="1053"/>
      <c r="C7" s="740" t="s">
        <v>308</v>
      </c>
      <c r="D7" s="740" t="s">
        <v>579</v>
      </c>
      <c r="E7" s="740" t="s">
        <v>631</v>
      </c>
      <c r="F7" s="740" t="s">
        <v>712</v>
      </c>
      <c r="G7" s="740" t="s">
        <v>710</v>
      </c>
      <c r="H7" s="740" t="s">
        <v>623</v>
      </c>
      <c r="I7" s="740" t="s">
        <v>711</v>
      </c>
      <c r="J7" s="466"/>
      <c r="K7" s="466"/>
      <c r="L7" s="466"/>
    </row>
    <row r="8" spans="1:14">
      <c r="A8" s="738" t="s">
        <v>158</v>
      </c>
      <c r="B8" s="738" t="s">
        <v>160</v>
      </c>
      <c r="C8" s="738">
        <v>1</v>
      </c>
      <c r="D8" s="738">
        <v>2</v>
      </c>
      <c r="E8" s="738">
        <v>1</v>
      </c>
      <c r="F8" s="738">
        <v>2</v>
      </c>
      <c r="G8" s="738">
        <v>3</v>
      </c>
      <c r="H8" s="738">
        <v>4</v>
      </c>
      <c r="I8" s="738">
        <v>5</v>
      </c>
      <c r="J8" s="466"/>
      <c r="K8" s="466"/>
      <c r="L8" s="466"/>
      <c r="N8" s="467"/>
    </row>
    <row r="9" spans="1:14" s="618" customFormat="1" ht="28.5" customHeight="1">
      <c r="A9" s="738"/>
      <c r="B9" s="468" t="s">
        <v>608</v>
      </c>
      <c r="C9" s="469">
        <v>1266852</v>
      </c>
      <c r="D9" s="469">
        <v>1322852</v>
      </c>
      <c r="E9" s="564">
        <f>E11+E12</f>
        <v>3010400</v>
      </c>
      <c r="F9" s="564">
        <f t="shared" ref="F9:I9" si="0">F11+F12</f>
        <v>3819321.7460000003</v>
      </c>
      <c r="G9" s="564">
        <f t="shared" si="0"/>
        <v>2799056</v>
      </c>
      <c r="H9" s="564">
        <f t="shared" si="0"/>
        <v>2654764.6638898114</v>
      </c>
      <c r="I9" s="564">
        <f t="shared" si="0"/>
        <v>2720507.3724918114</v>
      </c>
      <c r="J9" s="617"/>
      <c r="L9" s="617"/>
    </row>
    <row r="10" spans="1:14">
      <c r="A10" s="74"/>
      <c r="B10" s="470" t="s">
        <v>39</v>
      </c>
      <c r="C10" s="74"/>
      <c r="D10" s="74"/>
      <c r="E10" s="245"/>
      <c r="F10" s="245"/>
      <c r="G10" s="245"/>
      <c r="H10" s="245"/>
      <c r="I10" s="245"/>
      <c r="J10" s="466"/>
      <c r="K10" s="466"/>
      <c r="L10" s="466"/>
    </row>
    <row r="11" spans="1:14">
      <c r="A11" s="74"/>
      <c r="B11" s="471" t="s">
        <v>304</v>
      </c>
      <c r="C11" s="472">
        <v>1094877</v>
      </c>
      <c r="D11" s="472">
        <v>1150877</v>
      </c>
      <c r="E11" s="565">
        <f t="shared" ref="E11:I12" si="1">E15+E47</f>
        <v>2624370</v>
      </c>
      <c r="F11" s="565">
        <f t="shared" si="1"/>
        <v>3336350.7460000003</v>
      </c>
      <c r="G11" s="565">
        <f t="shared" si="1"/>
        <v>2506888</v>
      </c>
      <c r="H11" s="565">
        <f t="shared" si="1"/>
        <v>2443406.6638898114</v>
      </c>
      <c r="I11" s="565">
        <f t="shared" si="1"/>
        <v>2506897.3724918114</v>
      </c>
      <c r="J11" s="467"/>
      <c r="K11" s="619"/>
      <c r="L11" s="466"/>
    </row>
    <row r="12" spans="1:14">
      <c r="A12" s="74"/>
      <c r="B12" s="471" t="s">
        <v>305</v>
      </c>
      <c r="C12" s="472">
        <v>171975</v>
      </c>
      <c r="D12" s="472">
        <v>171975</v>
      </c>
      <c r="E12" s="565">
        <f t="shared" si="1"/>
        <v>386030</v>
      </c>
      <c r="F12" s="565">
        <f t="shared" si="1"/>
        <v>482971</v>
      </c>
      <c r="G12" s="565">
        <f t="shared" si="1"/>
        <v>292168</v>
      </c>
      <c r="H12" s="565">
        <f t="shared" si="1"/>
        <v>211358</v>
      </c>
      <c r="I12" s="565">
        <f t="shared" si="1"/>
        <v>213610</v>
      </c>
      <c r="J12" s="466"/>
      <c r="K12" s="466"/>
      <c r="L12" s="466"/>
      <c r="N12" s="467"/>
    </row>
    <row r="13" spans="1:14" s="618" customFormat="1">
      <c r="A13" s="738" t="s">
        <v>158</v>
      </c>
      <c r="B13" s="468" t="s">
        <v>297</v>
      </c>
      <c r="C13" s="469">
        <v>1266852</v>
      </c>
      <c r="D13" s="469">
        <v>1322852</v>
      </c>
      <c r="E13" s="564">
        <f>E15+E16</f>
        <v>3010400</v>
      </c>
      <c r="F13" s="564">
        <f t="shared" ref="F13:I13" si="2">F15+F16</f>
        <v>3819321.7460000003</v>
      </c>
      <c r="G13" s="564">
        <f>G15+G16</f>
        <v>2799056</v>
      </c>
      <c r="H13" s="564">
        <f t="shared" si="2"/>
        <v>2654764.6638898114</v>
      </c>
      <c r="I13" s="564">
        <f t="shared" si="2"/>
        <v>2720507.3724918114</v>
      </c>
      <c r="J13" s="777"/>
      <c r="K13" s="777"/>
      <c r="L13" s="777"/>
      <c r="N13" s="617"/>
    </row>
    <row r="14" spans="1:14">
      <c r="A14" s="74"/>
      <c r="B14" s="470" t="s">
        <v>39</v>
      </c>
      <c r="C14" s="74"/>
      <c r="D14" s="74"/>
      <c r="E14" s="245"/>
      <c r="F14" s="245"/>
      <c r="G14" s="245"/>
      <c r="H14" s="245"/>
      <c r="I14" s="245"/>
      <c r="J14" s="466"/>
      <c r="K14" s="466"/>
      <c r="L14" s="466"/>
    </row>
    <row r="15" spans="1:14">
      <c r="A15" s="74"/>
      <c r="B15" s="471" t="s">
        <v>304</v>
      </c>
      <c r="C15" s="472">
        <v>1094877</v>
      </c>
      <c r="D15" s="472">
        <v>1150877</v>
      </c>
      <c r="E15" s="565">
        <f>E20+E32+E44+E41+E42</f>
        <v>2624370</v>
      </c>
      <c r="F15" s="565">
        <f>F20+F32+F44+F41+F42</f>
        <v>3336350.7460000003</v>
      </c>
      <c r="G15" s="565">
        <f>G20+G32+G44+G41+G42</f>
        <v>2506888</v>
      </c>
      <c r="H15" s="565">
        <f>H20+H32+H44+H41+H42</f>
        <v>2443406.6638898114</v>
      </c>
      <c r="I15" s="565">
        <f>I20+I32+I44+I41+I42</f>
        <v>2506897.3724918114</v>
      </c>
      <c r="J15" s="619"/>
      <c r="K15" s="619"/>
      <c r="L15" s="466"/>
      <c r="M15" s="467"/>
    </row>
    <row r="16" spans="1:14">
      <c r="A16" s="74"/>
      <c r="B16" s="471" t="s">
        <v>305</v>
      </c>
      <c r="C16" s="472">
        <v>171975</v>
      </c>
      <c r="D16" s="472">
        <v>171975</v>
      </c>
      <c r="E16" s="565">
        <f>E21+E33+E45</f>
        <v>386030</v>
      </c>
      <c r="F16" s="565">
        <f>F21+F33+F45</f>
        <v>482971</v>
      </c>
      <c r="G16" s="565">
        <f>G21+G33+G45</f>
        <v>292168</v>
      </c>
      <c r="H16" s="565">
        <f>H21+H33+H45</f>
        <v>211358</v>
      </c>
      <c r="I16" s="565">
        <f>I21+I33+I45</f>
        <v>213610</v>
      </c>
      <c r="J16" s="466"/>
      <c r="K16" s="466"/>
      <c r="L16" s="466"/>
      <c r="M16" s="467"/>
    </row>
    <row r="17" spans="1:16" s="618" customFormat="1" ht="31.5">
      <c r="A17" s="738" t="s">
        <v>60</v>
      </c>
      <c r="B17" s="468" t="s">
        <v>298</v>
      </c>
      <c r="C17" s="469">
        <v>881403</v>
      </c>
      <c r="D17" s="469">
        <v>937403</v>
      </c>
      <c r="E17" s="564">
        <f>E18+E30</f>
        <v>1775612</v>
      </c>
      <c r="F17" s="564">
        <f>F18+F30</f>
        <v>1884442.746</v>
      </c>
      <c r="G17" s="564">
        <f>G18+G30</f>
        <v>1416541</v>
      </c>
      <c r="H17" s="564">
        <f>H18+H30</f>
        <v>1337701.2638898112</v>
      </c>
      <c r="I17" s="564">
        <f>I18+I30</f>
        <v>1402687.9884718109</v>
      </c>
      <c r="J17" s="778"/>
      <c r="K17" s="617"/>
    </row>
    <row r="18" spans="1:16" s="618" customFormat="1">
      <c r="A18" s="738">
        <v>1</v>
      </c>
      <c r="B18" s="468" t="s">
        <v>324</v>
      </c>
      <c r="C18" s="469">
        <v>747853</v>
      </c>
      <c r="D18" s="469">
        <v>803853</v>
      </c>
      <c r="E18" s="564">
        <f>E20</f>
        <v>1387125</v>
      </c>
      <c r="F18" s="564">
        <f t="shared" ref="F18:I18" si="3">F20</f>
        <v>1283368</v>
      </c>
      <c r="G18" s="564">
        <f t="shared" si="3"/>
        <v>930163.8</v>
      </c>
      <c r="H18" s="564">
        <f t="shared" si="3"/>
        <v>842981.06910036399</v>
      </c>
      <c r="I18" s="564">
        <f t="shared" si="3"/>
        <v>884823.77770236379</v>
      </c>
      <c r="J18" s="617">
        <f>G18+G43</f>
        <v>2312678.7999999998</v>
      </c>
      <c r="K18" s="617">
        <f t="shared" ref="K18:L18" si="4">H18+H43</f>
        <v>2184277.469100364</v>
      </c>
      <c r="L18" s="617">
        <f t="shared" si="4"/>
        <v>2228372.177702364</v>
      </c>
    </row>
    <row r="19" spans="1:16">
      <c r="A19" s="74"/>
      <c r="B19" s="473" t="s">
        <v>39</v>
      </c>
      <c r="C19" s="472"/>
      <c r="D19" s="474"/>
      <c r="E19" s="435"/>
      <c r="F19" s="435"/>
      <c r="G19" s="435"/>
      <c r="H19" s="435"/>
      <c r="I19" s="435"/>
      <c r="J19" s="617"/>
      <c r="K19" s="779"/>
      <c r="L19" s="466"/>
      <c r="M19" s="629"/>
      <c r="N19" s="627"/>
      <c r="O19" s="627"/>
      <c r="P19" s="627"/>
    </row>
    <row r="20" spans="1:16">
      <c r="A20" s="74"/>
      <c r="B20" s="475" t="s">
        <v>304</v>
      </c>
      <c r="C20" s="474">
        <v>575878</v>
      </c>
      <c r="D20" s="474">
        <v>631878</v>
      </c>
      <c r="E20" s="435">
        <f>E22+E23+E24+E25+E26+E28+E29</f>
        <v>1387125</v>
      </c>
      <c r="F20" s="435">
        <f>808368+475000</f>
        <v>1283368</v>
      </c>
      <c r="G20" s="435">
        <f>G22+G23+G24+G25+G26+G28+G29</f>
        <v>930163.8</v>
      </c>
      <c r="H20" s="435">
        <f t="shared" ref="H20:I20" si="5">H22+H23+H24+H25+H26+H28+H29</f>
        <v>842981.06910036399</v>
      </c>
      <c r="I20" s="435">
        <f t="shared" si="5"/>
        <v>884823.77770236379</v>
      </c>
      <c r="J20" s="467">
        <f>G18-G29+G32</f>
        <v>1368141</v>
      </c>
      <c r="K20" s="467">
        <f>H18-H29+H30</f>
        <v>1233620.430556478</v>
      </c>
      <c r="L20" s="467">
        <f>I20-I29+I30</f>
        <v>1298607.1551384777</v>
      </c>
      <c r="M20" s="629"/>
      <c r="N20" s="627"/>
      <c r="O20" s="627"/>
      <c r="P20" s="627"/>
    </row>
    <row r="21" spans="1:16">
      <c r="A21" s="74"/>
      <c r="B21" s="475" t="s">
        <v>305</v>
      </c>
      <c r="C21" s="474">
        <v>171975</v>
      </c>
      <c r="D21" s="474">
        <v>171975</v>
      </c>
      <c r="E21" s="435"/>
      <c r="F21" s="435"/>
      <c r="G21" s="435">
        <v>0</v>
      </c>
      <c r="H21" s="435"/>
      <c r="I21" s="435"/>
      <c r="J21" s="617"/>
      <c r="K21" s="617"/>
      <c r="L21" s="466"/>
      <c r="M21" s="629"/>
      <c r="N21" s="627"/>
      <c r="O21" s="627"/>
      <c r="P21" s="627"/>
    </row>
    <row r="22" spans="1:16">
      <c r="A22" s="74" t="s">
        <v>144</v>
      </c>
      <c r="B22" s="473" t="s">
        <v>299</v>
      </c>
      <c r="C22" s="474">
        <v>54000</v>
      </c>
      <c r="D22" s="474">
        <v>110000</v>
      </c>
      <c r="E22" s="435">
        <v>119104</v>
      </c>
      <c r="F22" s="435">
        <v>191284</v>
      </c>
      <c r="G22" s="435">
        <f>235000-G35</f>
        <v>17199.799999999988</v>
      </c>
      <c r="H22" s="435">
        <f>'DT thu 69-7'!N56*12%</f>
        <v>30396</v>
      </c>
      <c r="I22" s="435">
        <f>'DT thu 69-7'!O56*12%</f>
        <v>33348</v>
      </c>
      <c r="J22" s="467"/>
      <c r="K22" s="625"/>
      <c r="L22" s="626"/>
      <c r="M22" s="627"/>
      <c r="N22" s="627"/>
      <c r="O22" s="628"/>
      <c r="P22" s="628"/>
    </row>
    <row r="23" spans="1:16">
      <c r="A23" s="74" t="s">
        <v>146</v>
      </c>
      <c r="B23" s="473" t="s">
        <v>300</v>
      </c>
      <c r="C23" s="474">
        <v>93208</v>
      </c>
      <c r="D23" s="474">
        <v>93208</v>
      </c>
      <c r="E23" s="435">
        <v>80290</v>
      </c>
      <c r="F23" s="435">
        <v>80753</v>
      </c>
      <c r="G23" s="435">
        <f>60000-G36</f>
        <v>50290</v>
      </c>
      <c r="H23" s="435">
        <f>'DT thu 69-7'!N77-H36</f>
        <v>90290</v>
      </c>
      <c r="I23" s="435">
        <f>'DT thu 69-7'!O77-I36</f>
        <v>100290</v>
      </c>
      <c r="J23" s="466"/>
      <c r="K23" s="626"/>
      <c r="L23" s="626"/>
      <c r="M23" s="629"/>
      <c r="N23" s="628"/>
      <c r="O23" s="628"/>
      <c r="P23" s="628"/>
    </row>
    <row r="24" spans="1:16">
      <c r="A24" s="74" t="s">
        <v>148</v>
      </c>
      <c r="B24" s="473" t="s">
        <v>301</v>
      </c>
      <c r="C24" s="474">
        <v>428670</v>
      </c>
      <c r="D24" s="474">
        <v>428670</v>
      </c>
      <c r="E24" s="435">
        <v>308339</v>
      </c>
      <c r="F24" s="435">
        <f>F20-F22-F23-F25-F28-F29-F26</f>
        <v>465270</v>
      </c>
      <c r="G24" s="435">
        <f>'Chi CĐ NSĐP 69-7'!M20-'Bieu 11-31'!G37</f>
        <v>283239</v>
      </c>
      <c r="H24" s="435">
        <f>G24*('Chi CĐ NSĐP 69-7'!N20/'Chi CĐ NSĐP 69-7'!M20)</f>
        <v>302155.63576703053</v>
      </c>
      <c r="I24" s="435">
        <f>H24</f>
        <v>302155.63576703053</v>
      </c>
      <c r="J24" s="467"/>
      <c r="K24" s="625"/>
      <c r="L24" s="625"/>
      <c r="M24" s="629"/>
      <c r="N24" s="628"/>
      <c r="O24" s="628"/>
      <c r="P24" s="628"/>
    </row>
    <row r="25" spans="1:16">
      <c r="A25" s="74" t="s">
        <v>150</v>
      </c>
      <c r="B25" s="473" t="s">
        <v>693</v>
      </c>
      <c r="C25" s="474"/>
      <c r="D25" s="474"/>
      <c r="E25" s="435">
        <v>6000</v>
      </c>
      <c r="F25" s="435">
        <v>12412</v>
      </c>
      <c r="G25" s="435">
        <v>6800</v>
      </c>
      <c r="H25" s="435">
        <f>G25</f>
        <v>6800</v>
      </c>
      <c r="I25" s="435">
        <f>H25</f>
        <v>6800</v>
      </c>
      <c r="J25" s="467"/>
      <c r="K25" s="625"/>
      <c r="L25" s="625"/>
      <c r="M25" s="629"/>
      <c r="N25" s="627"/>
      <c r="O25" s="627"/>
      <c r="P25" s="630"/>
    </row>
    <row r="26" spans="1:16" s="781" customFormat="1" ht="48.75" customHeight="1">
      <c r="A26" s="427" t="s">
        <v>193</v>
      </c>
      <c r="B26" s="476" t="s">
        <v>697</v>
      </c>
      <c r="C26" s="477"/>
      <c r="D26" s="477"/>
      <c r="E26" s="566">
        <f>'[2]Chi CĐ NSĐP 69-7'!K59</f>
        <v>789492</v>
      </c>
      <c r="F26" s="566">
        <f>'Chi CĐ NSĐP 69-7'!L59</f>
        <v>475000</v>
      </c>
      <c r="G26" s="477">
        <f>Sheet2!F33-Sheet2!F34</f>
        <v>524235</v>
      </c>
      <c r="H26" s="566">
        <f>'Bieu 07-31'!P30*67%</f>
        <v>309258.60000000003</v>
      </c>
      <c r="I26" s="566">
        <f>'Bieu 07-31'!Q30*67%</f>
        <v>338149.30860199983</v>
      </c>
      <c r="J26" s="566">
        <f>'Bieu 07-31'!R30*52%</f>
        <v>0</v>
      </c>
      <c r="K26" s="566">
        <f>'Bieu 07-31'!S30*52%</f>
        <v>0</v>
      </c>
      <c r="L26" s="566">
        <f>'Bieu 07-31'!T30*52%</f>
        <v>0</v>
      </c>
      <c r="M26" s="780"/>
      <c r="N26" s="627"/>
      <c r="O26" s="627"/>
      <c r="P26" s="627"/>
    </row>
    <row r="27" spans="1:16" s="785" customFormat="1" ht="42" customHeight="1">
      <c r="A27" s="579"/>
      <c r="B27" s="127" t="s">
        <v>741</v>
      </c>
      <c r="C27" s="580"/>
      <c r="D27" s="580"/>
      <c r="E27" s="581"/>
      <c r="F27" s="581">
        <v>79384</v>
      </c>
      <c r="G27" s="581">
        <f>'Bieu 07-31'!O31</f>
        <v>48000</v>
      </c>
      <c r="H27" s="581">
        <v>30000</v>
      </c>
      <c r="I27" s="581">
        <v>30000</v>
      </c>
      <c r="J27" s="782"/>
      <c r="K27" s="782"/>
      <c r="L27" s="782"/>
      <c r="M27" s="783"/>
      <c r="N27" s="784"/>
      <c r="O27" s="784"/>
      <c r="P27" s="784"/>
    </row>
    <row r="28" spans="1:16" s="781" customFormat="1" ht="18" customHeight="1">
      <c r="A28" s="427" t="s">
        <v>699</v>
      </c>
      <c r="B28" s="114" t="s">
        <v>641</v>
      </c>
      <c r="C28" s="477"/>
      <c r="D28" s="477"/>
      <c r="E28" s="566"/>
      <c r="F28" s="566">
        <v>41197</v>
      </c>
      <c r="G28" s="566"/>
      <c r="H28" s="566"/>
      <c r="I28" s="566"/>
      <c r="J28" s="466"/>
      <c r="K28" s="466"/>
      <c r="L28" s="466"/>
      <c r="M28" s="629"/>
      <c r="N28" s="627"/>
      <c r="O28" s="627"/>
      <c r="P28" s="627"/>
    </row>
    <row r="29" spans="1:16" s="781" customFormat="1">
      <c r="A29" s="427" t="s">
        <v>194</v>
      </c>
      <c r="B29" s="476" t="s">
        <v>597</v>
      </c>
      <c r="C29" s="477"/>
      <c r="D29" s="477"/>
      <c r="E29" s="566">
        <f>'vay, trả nợ 20-7'!H44</f>
        <v>83900</v>
      </c>
      <c r="F29" s="566">
        <f>'vay, trả nợ 20-7'!I44</f>
        <v>17452</v>
      </c>
      <c r="G29" s="566">
        <f>'vay, trả nợ 20-7'!K44</f>
        <v>48400</v>
      </c>
      <c r="H29" s="566">
        <f>'vay, trả nợ 20-7'!M44</f>
        <v>104080.83333333333</v>
      </c>
      <c r="I29" s="566">
        <f>'vay, trả nợ 20-7'!N44</f>
        <v>104080.83333333333</v>
      </c>
      <c r="J29" s="466"/>
      <c r="K29" s="466"/>
      <c r="L29" s="466"/>
      <c r="M29" s="466"/>
    </row>
    <row r="30" spans="1:16" s="618" customFormat="1" ht="20.25" customHeight="1">
      <c r="A30" s="738">
        <v>2</v>
      </c>
      <c r="B30" s="468" t="s">
        <v>302</v>
      </c>
      <c r="C30" s="478">
        <v>133550</v>
      </c>
      <c r="D30" s="478">
        <v>133550</v>
      </c>
      <c r="E30" s="567">
        <f>E35+E36+E37</f>
        <v>388487</v>
      </c>
      <c r="F30" s="567">
        <f t="shared" ref="F30" si="6">F35+F36+F37</f>
        <v>601074.74600000004</v>
      </c>
      <c r="G30" s="567">
        <f>G35+G36+G37+G38</f>
        <v>486377.2</v>
      </c>
      <c r="H30" s="567">
        <f t="shared" ref="H30:I30" si="7">H35+H36+H37+H38</f>
        <v>494720.19478944724</v>
      </c>
      <c r="I30" s="567">
        <f t="shared" si="7"/>
        <v>517864.21076944721</v>
      </c>
      <c r="J30" s="617"/>
      <c r="M30" s="617"/>
    </row>
    <row r="31" spans="1:16">
      <c r="A31" s="74"/>
      <c r="B31" s="473" t="s">
        <v>39</v>
      </c>
      <c r="C31" s="474"/>
      <c r="D31" s="474"/>
      <c r="E31" s="435"/>
      <c r="F31" s="435"/>
      <c r="G31" s="435"/>
      <c r="H31" s="435"/>
      <c r="I31" s="435"/>
      <c r="J31" s="619"/>
      <c r="K31" s="467"/>
      <c r="L31" s="466"/>
      <c r="M31" s="466"/>
    </row>
    <row r="32" spans="1:16">
      <c r="A32" s="74"/>
      <c r="B32" s="475" t="s">
        <v>304</v>
      </c>
      <c r="C32" s="474">
        <v>133550</v>
      </c>
      <c r="D32" s="474">
        <v>133550</v>
      </c>
      <c r="E32" s="435">
        <f>E35+E36+E37</f>
        <v>388487</v>
      </c>
      <c r="F32" s="435">
        <f t="shared" ref="F32:I32" si="8">F35+F36+F37</f>
        <v>601074.74600000004</v>
      </c>
      <c r="G32" s="435">
        <f>G35+G36+G37+G38</f>
        <v>486377.2</v>
      </c>
      <c r="H32" s="435">
        <f t="shared" si="8"/>
        <v>470487.19478944724</v>
      </c>
      <c r="I32" s="435">
        <f t="shared" si="8"/>
        <v>492135.19478944724</v>
      </c>
      <c r="J32" s="466"/>
      <c r="K32" s="466"/>
      <c r="L32" s="466"/>
      <c r="M32" s="466"/>
    </row>
    <row r="33" spans="1:18" ht="15.75" hidden="1" customHeight="1" outlineLevel="1">
      <c r="A33" s="74"/>
      <c r="B33" s="475" t="s">
        <v>305</v>
      </c>
      <c r="C33" s="474"/>
      <c r="D33" s="474"/>
      <c r="E33" s="435"/>
      <c r="F33" s="435"/>
      <c r="G33" s="435"/>
      <c r="H33" s="435"/>
      <c r="I33" s="435"/>
      <c r="J33" s="466"/>
      <c r="K33" s="466"/>
      <c r="L33" s="466"/>
      <c r="M33" s="466"/>
    </row>
    <row r="34" spans="1:18" collapsed="1">
      <c r="A34" s="479"/>
      <c r="B34" s="480" t="s">
        <v>39</v>
      </c>
      <c r="C34" s="474"/>
      <c r="D34" s="474"/>
      <c r="E34" s="435"/>
      <c r="F34" s="435"/>
      <c r="G34" s="435"/>
      <c r="H34" s="435"/>
      <c r="I34" s="435"/>
      <c r="J34" s="466"/>
      <c r="K34" s="466"/>
      <c r="L34" s="466"/>
      <c r="M34" s="466"/>
      <c r="N34" s="467"/>
    </row>
    <row r="35" spans="1:18">
      <c r="A35" s="74" t="s">
        <v>144</v>
      </c>
      <c r="B35" s="470" t="s">
        <v>299</v>
      </c>
      <c r="C35" s="474">
        <v>56000</v>
      </c>
      <c r="D35" s="474">
        <v>56000</v>
      </c>
      <c r="E35" s="435">
        <v>180896</v>
      </c>
      <c r="F35" s="435">
        <v>321437.74599999998</v>
      </c>
      <c r="G35" s="435">
        <f>Sheet2!H16+Sheet2!G16</f>
        <v>217800.2</v>
      </c>
      <c r="H35" s="435">
        <f>'DT thu 69-7'!N56-'Bieu 11-31'!H22</f>
        <v>222904</v>
      </c>
      <c r="I35" s="435">
        <f>'DT thu 69-7'!O56-'Bieu 11-31'!I22</f>
        <v>244552</v>
      </c>
      <c r="J35" s="466"/>
      <c r="K35" s="466"/>
      <c r="L35" s="466"/>
      <c r="M35" s="466"/>
      <c r="N35" s="467"/>
    </row>
    <row r="36" spans="1:18">
      <c r="A36" s="74" t="s">
        <v>146</v>
      </c>
      <c r="B36" s="470" t="s">
        <v>303</v>
      </c>
      <c r="C36" s="474"/>
      <c r="D36" s="474"/>
      <c r="E36" s="435">
        <v>9710</v>
      </c>
      <c r="F36" s="435">
        <v>9710</v>
      </c>
      <c r="G36" s="435">
        <v>9710</v>
      </c>
      <c r="H36" s="435">
        <f>G36</f>
        <v>9710</v>
      </c>
      <c r="I36" s="435">
        <f>H36</f>
        <v>9710</v>
      </c>
      <c r="N36" s="467"/>
    </row>
    <row r="37" spans="1:18" ht="21.75" customHeight="1">
      <c r="A37" s="74" t="s">
        <v>148</v>
      </c>
      <c r="B37" s="470" t="s">
        <v>301</v>
      </c>
      <c r="C37" s="474">
        <v>77550</v>
      </c>
      <c r="D37" s="474">
        <v>77550</v>
      </c>
      <c r="E37" s="435">
        <v>197881</v>
      </c>
      <c r="F37" s="435">
        <f>197881+72046</f>
        <v>269927</v>
      </c>
      <c r="G37" s="435">
        <f>Sheet2!G15+Sheet2!H15</f>
        <v>222981</v>
      </c>
      <c r="H37" s="435">
        <f>G37*('Chi CĐ NSĐP 69-7'!N20/'Chi CĐ NSĐP 69-7'!M20)</f>
        <v>237873.19478944721</v>
      </c>
      <c r="I37" s="435">
        <f>H37</f>
        <v>237873.19478944721</v>
      </c>
      <c r="J37" s="620"/>
      <c r="K37" s="620">
        <f>G37*K24</f>
        <v>0</v>
      </c>
      <c r="L37" s="620"/>
      <c r="N37" s="467"/>
    </row>
    <row r="38" spans="1:18" ht="63">
      <c r="A38" s="74" t="s">
        <v>150</v>
      </c>
      <c r="B38" s="476" t="s">
        <v>750</v>
      </c>
      <c r="C38" s="474"/>
      <c r="D38" s="474"/>
      <c r="E38" s="435"/>
      <c r="F38" s="435"/>
      <c r="G38" s="474">
        <f>Sheet2!G35+Sheet2!H32</f>
        <v>35886</v>
      </c>
      <c r="H38" s="435">
        <f>Sheet2!G33+('DT thu 69-7'!N78*3.4%)</f>
        <v>24233</v>
      </c>
      <c r="I38" s="435">
        <f>Sheet2!G33+('DT thu 69-7'!O78*3.4%)</f>
        <v>25729.015979999993</v>
      </c>
      <c r="J38" s="435">
        <f>'DT thu 69-7'!U76</f>
        <v>0</v>
      </c>
      <c r="K38" s="435">
        <f>'DT thu 69-7'!V76</f>
        <v>0</v>
      </c>
      <c r="L38" s="435">
        <f>'DT thu 69-7'!W76</f>
        <v>0</v>
      </c>
    </row>
    <row r="39" spans="1:18" s="618" customFormat="1" ht="21.75" customHeight="1">
      <c r="A39" s="738" t="s">
        <v>103</v>
      </c>
      <c r="B39" s="468" t="s">
        <v>700</v>
      </c>
      <c r="C39" s="478">
        <v>385449</v>
      </c>
      <c r="D39" s="478">
        <v>385449</v>
      </c>
      <c r="E39" s="567">
        <f>E40+E43</f>
        <v>1234788</v>
      </c>
      <c r="F39" s="567">
        <f t="shared" ref="F39:I39" si="9">F40+F43</f>
        <v>1934879</v>
      </c>
      <c r="G39" s="567">
        <f t="shared" si="9"/>
        <v>1382515</v>
      </c>
      <c r="H39" s="567">
        <f t="shared" si="9"/>
        <v>1341296.4000000001</v>
      </c>
      <c r="I39" s="567">
        <f t="shared" si="9"/>
        <v>1343548.4000000001</v>
      </c>
      <c r="J39" s="617"/>
      <c r="L39" s="617"/>
    </row>
    <row r="40" spans="1:18" s="618" customFormat="1" ht="18.75" customHeight="1">
      <c r="A40" s="738">
        <v>1</v>
      </c>
      <c r="B40" s="468" t="s">
        <v>306</v>
      </c>
      <c r="C40" s="478">
        <v>270393</v>
      </c>
      <c r="D40" s="478">
        <v>270393</v>
      </c>
      <c r="E40" s="567">
        <f>E41+E42</f>
        <v>0</v>
      </c>
      <c r="F40" s="567">
        <f t="shared" ref="F40:I40" si="10">F41+F42</f>
        <v>39765</v>
      </c>
      <c r="G40" s="567">
        <f t="shared" si="10"/>
        <v>0</v>
      </c>
      <c r="H40" s="567">
        <f t="shared" si="10"/>
        <v>0</v>
      </c>
      <c r="I40" s="567">
        <f t="shared" si="10"/>
        <v>0</v>
      </c>
    </row>
    <row r="41" spans="1:18">
      <c r="A41" s="74" t="s">
        <v>144</v>
      </c>
      <c r="B41" s="480" t="s">
        <v>335</v>
      </c>
      <c r="C41" s="474">
        <v>178483</v>
      </c>
      <c r="D41" s="474">
        <v>178483</v>
      </c>
      <c r="E41" s="435">
        <v>0</v>
      </c>
      <c r="F41" s="435">
        <v>39765</v>
      </c>
      <c r="G41" s="435">
        <v>0</v>
      </c>
      <c r="H41" s="435">
        <v>0</v>
      </c>
      <c r="I41" s="435"/>
    </row>
    <row r="42" spans="1:18">
      <c r="A42" s="74" t="s">
        <v>146</v>
      </c>
      <c r="B42" s="480" t="s">
        <v>336</v>
      </c>
      <c r="C42" s="474">
        <v>91910</v>
      </c>
      <c r="D42" s="474">
        <v>91910</v>
      </c>
      <c r="E42" s="435">
        <v>0</v>
      </c>
      <c r="F42" s="435">
        <v>0</v>
      </c>
      <c r="G42" s="435">
        <v>0</v>
      </c>
      <c r="H42" s="435">
        <v>0</v>
      </c>
      <c r="I42" s="435"/>
      <c r="J42" s="246"/>
      <c r="K42" s="246"/>
      <c r="L42" s="246"/>
      <c r="M42" s="246"/>
      <c r="N42" s="246"/>
      <c r="O42" s="246"/>
      <c r="P42" s="246"/>
      <c r="Q42" s="246"/>
      <c r="R42" s="246"/>
    </row>
    <row r="43" spans="1:18" ht="31.5" customHeight="1">
      <c r="A43" s="738">
        <v>2</v>
      </c>
      <c r="B43" s="468" t="s">
        <v>337</v>
      </c>
      <c r="C43" s="478">
        <v>115056</v>
      </c>
      <c r="D43" s="478">
        <v>115056</v>
      </c>
      <c r="E43" s="567">
        <f>E44+E45</f>
        <v>1234788</v>
      </c>
      <c r="F43" s="567">
        <f t="shared" ref="F43:I43" si="11">F44+F45</f>
        <v>1895114</v>
      </c>
      <c r="G43" s="567">
        <f t="shared" si="11"/>
        <v>1382515</v>
      </c>
      <c r="H43" s="567">
        <f t="shared" si="11"/>
        <v>1341296.4000000001</v>
      </c>
      <c r="I43" s="567">
        <f t="shared" si="11"/>
        <v>1343548.4000000001</v>
      </c>
      <c r="J43" s="621"/>
      <c r="K43" s="621"/>
      <c r="L43" s="246"/>
      <c r="M43" s="622"/>
      <c r="N43" s="622"/>
      <c r="O43" s="246"/>
      <c r="P43" s="246"/>
      <c r="Q43" s="246"/>
      <c r="R43" s="246"/>
    </row>
    <row r="44" spans="1:18" ht="17.25" customHeight="1">
      <c r="A44" s="481" t="s">
        <v>176</v>
      </c>
      <c r="B44" s="480" t="s">
        <v>586</v>
      </c>
      <c r="C44" s="474">
        <v>111300</v>
      </c>
      <c r="D44" s="474">
        <v>111300</v>
      </c>
      <c r="E44" s="435">
        <v>848758</v>
      </c>
      <c r="F44" s="435">
        <f>1934879-F45-F41</f>
        <v>1412143</v>
      </c>
      <c r="G44" s="435">
        <v>1090347</v>
      </c>
      <c r="H44" s="435">
        <v>1129938.4000000001</v>
      </c>
      <c r="I44" s="435">
        <v>1129938.4000000001</v>
      </c>
      <c r="J44" s="623"/>
      <c r="K44" s="624"/>
      <c r="L44" s="246"/>
      <c r="M44" s="622"/>
      <c r="N44" s="622"/>
      <c r="O44" s="622"/>
      <c r="P44" s="622"/>
      <c r="Q44" s="246"/>
      <c r="R44" s="246"/>
    </row>
    <row r="45" spans="1:18" ht="28.5" customHeight="1">
      <c r="A45" s="481" t="s">
        <v>176</v>
      </c>
      <c r="B45" s="480" t="s">
        <v>587</v>
      </c>
      <c r="C45" s="474">
        <v>3756</v>
      </c>
      <c r="D45" s="474">
        <v>3756</v>
      </c>
      <c r="E45" s="435">
        <v>386030</v>
      </c>
      <c r="F45" s="435">
        <v>482971</v>
      </c>
      <c r="G45" s="435">
        <v>292168</v>
      </c>
      <c r="H45" s="435">
        <f>5388+205970</f>
        <v>211358</v>
      </c>
      <c r="I45" s="435">
        <v>213610</v>
      </c>
      <c r="J45" s="622"/>
      <c r="K45" s="621"/>
      <c r="L45" s="246"/>
      <c r="M45" s="1056"/>
      <c r="N45" s="1056"/>
      <c r="O45" s="1056"/>
      <c r="P45" s="622"/>
      <c r="Q45" s="246"/>
      <c r="R45" s="621"/>
    </row>
    <row r="46" spans="1:18">
      <c r="A46" s="738" t="s">
        <v>160</v>
      </c>
      <c r="B46" s="468" t="s">
        <v>307</v>
      </c>
      <c r="C46" s="478">
        <v>0</v>
      </c>
      <c r="D46" s="478">
        <v>0</v>
      </c>
      <c r="E46" s="567">
        <v>0</v>
      </c>
      <c r="F46" s="567">
        <v>0</v>
      </c>
      <c r="G46" s="567">
        <f>G47</f>
        <v>0</v>
      </c>
      <c r="H46" s="567">
        <v>0</v>
      </c>
      <c r="I46" s="567">
        <v>0</v>
      </c>
      <c r="J46" s="246"/>
      <c r="K46" s="246"/>
      <c r="L46" s="246"/>
      <c r="M46" s="622"/>
      <c r="N46" s="622"/>
      <c r="O46" s="622"/>
      <c r="P46" s="622"/>
      <c r="Q46" s="246"/>
      <c r="R46" s="246"/>
    </row>
    <row r="47" spans="1:18" ht="20.25" customHeight="1">
      <c r="A47" s="74"/>
      <c r="B47" s="471" t="s">
        <v>304</v>
      </c>
      <c r="C47" s="474"/>
      <c r="D47" s="474"/>
      <c r="E47" s="435"/>
      <c r="F47" s="435"/>
      <c r="G47" s="435">
        <v>0</v>
      </c>
      <c r="H47" s="435">
        <v>0</v>
      </c>
      <c r="I47" s="435"/>
      <c r="K47" s="467"/>
      <c r="M47" s="620"/>
      <c r="N47" s="625"/>
      <c r="O47" s="625"/>
      <c r="P47" s="625"/>
    </row>
    <row r="48" spans="1:18">
      <c r="A48" s="74"/>
      <c r="B48" s="471" t="s">
        <v>305</v>
      </c>
      <c r="C48" s="474"/>
      <c r="D48" s="474"/>
      <c r="E48" s="435"/>
      <c r="F48" s="435"/>
      <c r="G48" s="435">
        <v>0</v>
      </c>
      <c r="H48" s="435">
        <v>0</v>
      </c>
      <c r="I48" s="435"/>
    </row>
    <row r="49" spans="1:12" ht="24" customHeight="1">
      <c r="A49" s="482" t="s">
        <v>701</v>
      </c>
      <c r="B49" s="466"/>
      <c r="C49" s="466"/>
      <c r="D49" s="466"/>
      <c r="E49" s="466"/>
      <c r="F49" s="466"/>
      <c r="G49" s="466"/>
      <c r="H49" s="466"/>
      <c r="I49" s="467"/>
      <c r="J49" s="466"/>
      <c r="K49" s="466"/>
      <c r="L49" s="466"/>
    </row>
    <row r="50" spans="1:12" ht="38.25" customHeight="1">
      <c r="A50" s="466"/>
      <c r="B50" s="1057"/>
      <c r="C50" s="1057"/>
      <c r="D50" s="1057"/>
      <c r="E50" s="1057"/>
      <c r="F50" s="1057"/>
      <c r="G50" s="1057"/>
      <c r="H50" s="1057"/>
      <c r="I50" s="1057"/>
      <c r="J50" s="466"/>
      <c r="K50" s="466"/>
      <c r="L50" s="466"/>
    </row>
    <row r="51" spans="1:12">
      <c r="A51" s="466"/>
      <c r="B51" s="466"/>
      <c r="C51" s="466"/>
      <c r="D51" s="466"/>
      <c r="E51" s="467"/>
      <c r="F51" s="467"/>
      <c r="G51" s="466"/>
      <c r="H51" s="466"/>
      <c r="I51" s="466"/>
      <c r="J51" s="466"/>
      <c r="K51" s="466"/>
      <c r="L51" s="466"/>
    </row>
    <row r="58" spans="1:12" ht="40.5" customHeight="1"/>
    <row r="59" spans="1:12" ht="45" customHeight="1"/>
    <row r="60" spans="1:12" ht="28.5" customHeight="1"/>
  </sheetData>
  <mergeCells count="10">
    <mergeCell ref="M45:O45"/>
    <mergeCell ref="B50:I50"/>
    <mergeCell ref="G6:I6"/>
    <mergeCell ref="E6:F6"/>
    <mergeCell ref="A4:I4"/>
    <mergeCell ref="G3:I3"/>
    <mergeCell ref="H5:I5"/>
    <mergeCell ref="A6:A7"/>
    <mergeCell ref="B6:B7"/>
    <mergeCell ref="C6:D6"/>
  </mergeCells>
  <dataValidations count="3">
    <dataValidation allowBlank="1" showInputMessage="1" showErrorMessage="1" prompt="SL trên TABMIS" sqref="D21" xr:uid="{00000000-0002-0000-0A00-000000000000}"/>
    <dataValidation allowBlank="1" showInputMessage="1" showErrorMessage="1" prompt="Lấy bằng số dự kiến thu chi 2019, các năm 2020, 2021 dự kiến theo số Sở KHĐT" sqref="G21" xr:uid="{00000000-0002-0000-0A00-000001000000}"/>
    <dataValidation allowBlank="1" showInputMessage="1" showErrorMessage="1" prompt="loại 70% CCTL: 220,500 tr.đ" sqref="G26" xr:uid="{00000000-0002-0000-0A00-000002000000}"/>
  </dataValidations>
  <printOptions horizontalCentered="1"/>
  <pageMargins left="0.53" right="0" top="0.6692913385826772" bottom="0.27559055118110237"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71"/>
  <sheetViews>
    <sheetView topLeftCell="A3" workbookViewId="0">
      <selection activeCell="I14" sqref="I14"/>
    </sheetView>
  </sheetViews>
  <sheetFormatPr defaultColWidth="9.125" defaultRowHeight="12.75" outlineLevelRow="2"/>
  <cols>
    <col min="1" max="1" width="4.25" style="735" customWidth="1"/>
    <col min="2" max="2" width="49" style="689" customWidth="1"/>
    <col min="3" max="3" width="12.875" style="689" customWidth="1"/>
    <col min="4" max="4" width="11.875" style="689" customWidth="1"/>
    <col min="5" max="5" width="10" style="689" customWidth="1"/>
    <col min="6" max="6" width="10.875" style="689" customWidth="1"/>
    <col min="7" max="7" width="10.125" style="689" customWidth="1"/>
    <col min="8" max="8" width="10.875" style="689" customWidth="1"/>
    <col min="9" max="9" width="10.375" style="689" customWidth="1"/>
    <col min="10" max="10" width="9" style="689" customWidth="1"/>
    <col min="11" max="15" width="9.125" style="689" customWidth="1"/>
    <col min="16" max="16384" width="9.125" style="689"/>
  </cols>
  <sheetData>
    <row r="1" spans="1:11" s="681" customFormat="1" ht="15.95" hidden="1" customHeight="1" outlineLevel="2">
      <c r="A1" s="679"/>
      <c r="B1" s="680" t="s">
        <v>763</v>
      </c>
      <c r="C1" s="681">
        <v>5280534</v>
      </c>
    </row>
    <row r="2" spans="1:11" s="681" customFormat="1" ht="15.95" hidden="1" customHeight="1" outlineLevel="2">
      <c r="A2" s="679"/>
      <c r="C2" s="681">
        <f>C1-C11</f>
        <v>-2103514</v>
      </c>
    </row>
    <row r="3" spans="1:11" s="683" customFormat="1" ht="15.95" customHeight="1" collapsed="1">
      <c r="A3" s="682"/>
      <c r="B3" s="683" t="s">
        <v>764</v>
      </c>
    </row>
    <row r="4" spans="1:11" s="684" customFormat="1" ht="18.75" customHeight="1">
      <c r="A4" s="1064" t="s">
        <v>765</v>
      </c>
      <c r="B4" s="1064"/>
      <c r="C4" s="1064"/>
      <c r="D4" s="1064"/>
      <c r="E4" s="1064"/>
      <c r="F4" s="1064"/>
      <c r="G4" s="1064"/>
      <c r="H4" s="1064"/>
    </row>
    <row r="5" spans="1:11" s="684" customFormat="1" ht="18.75" customHeight="1">
      <c r="A5" s="1065" t="s">
        <v>766</v>
      </c>
      <c r="B5" s="1065"/>
      <c r="C5" s="1065"/>
      <c r="D5" s="1065"/>
      <c r="E5" s="1065"/>
      <c r="F5" s="1065"/>
      <c r="G5" s="1065"/>
      <c r="H5" s="1065"/>
    </row>
    <row r="6" spans="1:11" s="688" customFormat="1" ht="24" customHeight="1">
      <c r="A6" s="685"/>
      <c r="B6" s="686"/>
      <c r="C6" s="687"/>
      <c r="D6" s="687"/>
      <c r="E6" s="687"/>
      <c r="F6" s="687"/>
      <c r="G6" s="1066" t="s">
        <v>664</v>
      </c>
      <c r="H6" s="1066"/>
    </row>
    <row r="7" spans="1:11" ht="15.95" customHeight="1">
      <c r="A7" s="1067" t="s">
        <v>0</v>
      </c>
      <c r="B7" s="1070" t="s">
        <v>767</v>
      </c>
      <c r="C7" s="1070" t="s">
        <v>768</v>
      </c>
      <c r="D7" s="1070" t="s">
        <v>769</v>
      </c>
      <c r="E7" s="1070" t="s">
        <v>770</v>
      </c>
      <c r="F7" s="1070"/>
      <c r="G7" s="1070"/>
      <c r="H7" s="1070"/>
      <c r="J7" s="690"/>
      <c r="K7" s="690"/>
    </row>
    <row r="8" spans="1:11" ht="15.95" customHeight="1">
      <c r="A8" s="1068"/>
      <c r="B8" s="1070"/>
      <c r="C8" s="1070"/>
      <c r="D8" s="1070"/>
      <c r="E8" s="1071" t="s">
        <v>771</v>
      </c>
      <c r="F8" s="1074" t="s">
        <v>772</v>
      </c>
      <c r="G8" s="1075"/>
      <c r="H8" s="1071" t="s">
        <v>302</v>
      </c>
      <c r="I8" s="691"/>
      <c r="J8" s="690"/>
      <c r="K8" s="690"/>
    </row>
    <row r="9" spans="1:11" ht="12" customHeight="1">
      <c r="A9" s="1068"/>
      <c r="B9" s="1070"/>
      <c r="C9" s="1070"/>
      <c r="D9" s="1070"/>
      <c r="E9" s="1072"/>
      <c r="F9" s="1076"/>
      <c r="G9" s="1077"/>
      <c r="H9" s="1072"/>
    </row>
    <row r="10" spans="1:11" ht="52.5" customHeight="1">
      <c r="A10" s="1069"/>
      <c r="B10" s="1070"/>
      <c r="C10" s="1070"/>
      <c r="D10" s="1070"/>
      <c r="E10" s="1073"/>
      <c r="F10" s="950" t="s">
        <v>324</v>
      </c>
      <c r="G10" s="950" t="s">
        <v>773</v>
      </c>
      <c r="H10" s="1073"/>
    </row>
    <row r="11" spans="1:11" s="684" customFormat="1" ht="33" customHeight="1">
      <c r="A11" s="692" t="s">
        <v>158</v>
      </c>
      <c r="B11" s="693" t="s">
        <v>774</v>
      </c>
      <c r="C11" s="692">
        <f t="shared" ref="C11:H11" si="0">C12+C38</f>
        <v>7384048</v>
      </c>
      <c r="D11" s="692">
        <f t="shared" si="0"/>
        <v>8197048</v>
      </c>
      <c r="E11" s="692">
        <f t="shared" si="0"/>
        <v>4606615</v>
      </c>
      <c r="F11" s="692">
        <f t="shared" si="0"/>
        <v>4419407</v>
      </c>
      <c r="G11" s="692">
        <f t="shared" si="0"/>
        <v>187208</v>
      </c>
      <c r="H11" s="692">
        <f t="shared" si="0"/>
        <v>3590433.2</v>
      </c>
      <c r="I11" s="694">
        <f>D11-C11</f>
        <v>813000</v>
      </c>
    </row>
    <row r="12" spans="1:11" s="684" customFormat="1" ht="33" customHeight="1">
      <c r="A12" s="695" t="s">
        <v>60</v>
      </c>
      <c r="B12" s="696" t="s">
        <v>775</v>
      </c>
      <c r="C12" s="695">
        <f t="shared" ref="C12:H12" si="1">C13+C37</f>
        <v>5937317</v>
      </c>
      <c r="D12" s="695">
        <f t="shared" si="1"/>
        <v>6750317</v>
      </c>
      <c r="E12" s="695">
        <f t="shared" si="1"/>
        <v>3159884</v>
      </c>
      <c r="F12" s="695">
        <f t="shared" si="1"/>
        <v>2973976</v>
      </c>
      <c r="G12" s="695">
        <f t="shared" si="1"/>
        <v>185908</v>
      </c>
      <c r="H12" s="695">
        <f t="shared" si="1"/>
        <v>3590433.2</v>
      </c>
    </row>
    <row r="13" spans="1:11" s="684" customFormat="1" ht="29.25" customHeight="1">
      <c r="A13" s="697" t="s">
        <v>520</v>
      </c>
      <c r="B13" s="696" t="s">
        <v>776</v>
      </c>
      <c r="C13" s="697">
        <f t="shared" ref="C13:H13" si="2">C14+C22+C28+C29+C32+C27</f>
        <v>5888917</v>
      </c>
      <c r="D13" s="697">
        <f t="shared" si="2"/>
        <v>6701917</v>
      </c>
      <c r="E13" s="697">
        <f>E14+E22+E28+E29+E32+E27</f>
        <v>3111484</v>
      </c>
      <c r="F13" s="697">
        <f t="shared" si="2"/>
        <v>2925576</v>
      </c>
      <c r="G13" s="697">
        <f t="shared" si="2"/>
        <v>185908</v>
      </c>
      <c r="H13" s="697">
        <f t="shared" si="2"/>
        <v>3590433.2</v>
      </c>
    </row>
    <row r="14" spans="1:11" s="684" customFormat="1" ht="22.5" customHeight="1">
      <c r="A14" s="698" t="s">
        <v>186</v>
      </c>
      <c r="B14" s="696" t="s">
        <v>777</v>
      </c>
      <c r="C14" s="697">
        <f t="shared" ref="C14:H14" si="3">C15+C16+C20+C21</f>
        <v>801220</v>
      </c>
      <c r="D14" s="697">
        <f t="shared" si="3"/>
        <v>808020</v>
      </c>
      <c r="E14" s="697">
        <f t="shared" si="3"/>
        <v>519429</v>
      </c>
      <c r="F14" s="697">
        <f t="shared" si="3"/>
        <v>357529</v>
      </c>
      <c r="G14" s="697">
        <f t="shared" si="3"/>
        <v>161900</v>
      </c>
      <c r="H14" s="697">
        <f t="shared" si="3"/>
        <v>288591.2</v>
      </c>
    </row>
    <row r="15" spans="1:11" ht="22.5" customHeight="1">
      <c r="A15" s="699" t="s">
        <v>138</v>
      </c>
      <c r="B15" s="700" t="s">
        <v>778</v>
      </c>
      <c r="C15" s="701">
        <v>506220</v>
      </c>
      <c r="D15" s="701">
        <v>506220</v>
      </c>
      <c r="E15" s="701">
        <f>D15-H15</f>
        <v>424429</v>
      </c>
      <c r="F15" s="701">
        <f>E15-G15</f>
        <v>283239</v>
      </c>
      <c r="G15" s="701">
        <f>'[3]Bieu 05_TTr'!C11</f>
        <v>141190</v>
      </c>
      <c r="H15" s="701">
        <f>'[3]Bieu 04_TTr'!C22</f>
        <v>81791</v>
      </c>
      <c r="I15" s="684"/>
    </row>
    <row r="16" spans="1:11" ht="22.5" customHeight="1">
      <c r="A16" s="699" t="s">
        <v>140</v>
      </c>
      <c r="B16" s="700" t="s">
        <v>779</v>
      </c>
      <c r="C16" s="701">
        <v>235000</v>
      </c>
      <c r="D16" s="701">
        <v>235000</v>
      </c>
      <c r="E16" s="701">
        <f>E18+E19</f>
        <v>28200</v>
      </c>
      <c r="F16" s="701">
        <f t="shared" ref="F16:F29" si="4">E16-G16</f>
        <v>17200</v>
      </c>
      <c r="G16" s="701">
        <f>'[3]Bieu 05_TTr'!C19</f>
        <v>11000</v>
      </c>
      <c r="H16" s="701">
        <f>'[3]Bieu 04_TTr'!C23</f>
        <v>206800.2</v>
      </c>
      <c r="I16" s="684"/>
    </row>
    <row r="17" spans="1:10" s="706" customFormat="1" ht="27.75" customHeight="1">
      <c r="A17" s="702"/>
      <c r="B17" s="703" t="s">
        <v>28</v>
      </c>
      <c r="C17" s="704"/>
      <c r="D17" s="704"/>
      <c r="E17" s="704"/>
      <c r="F17" s="704">
        <f t="shared" si="4"/>
        <v>0</v>
      </c>
      <c r="G17" s="704"/>
      <c r="H17" s="704"/>
      <c r="I17" s="705"/>
    </row>
    <row r="18" spans="1:10" ht="22.5" customHeight="1">
      <c r="A18" s="699" t="s">
        <v>176</v>
      </c>
      <c r="B18" s="700" t="s">
        <v>780</v>
      </c>
      <c r="C18" s="701"/>
      <c r="D18" s="701">
        <f>D16*2%</f>
        <v>4700</v>
      </c>
      <c r="E18" s="701">
        <f>D18</f>
        <v>4700</v>
      </c>
      <c r="F18" s="701">
        <f t="shared" si="4"/>
        <v>4700</v>
      </c>
      <c r="G18" s="701"/>
      <c r="H18" s="701">
        <v>0</v>
      </c>
      <c r="I18" s="684"/>
    </row>
    <row r="19" spans="1:10" ht="24.75" customHeight="1">
      <c r="A19" s="699" t="s">
        <v>176</v>
      </c>
      <c r="B19" s="700" t="s">
        <v>781</v>
      </c>
      <c r="C19" s="701"/>
      <c r="D19" s="701">
        <f>D16*10%</f>
        <v>23500</v>
      </c>
      <c r="E19" s="701">
        <f>D19</f>
        <v>23500</v>
      </c>
      <c r="F19" s="701">
        <f t="shared" si="4"/>
        <v>12500</v>
      </c>
      <c r="G19" s="701">
        <f>'[3]Bieu 05_TTr'!C19</f>
        <v>11000</v>
      </c>
      <c r="H19" s="701">
        <v>0</v>
      </c>
      <c r="I19" s="684"/>
    </row>
    <row r="20" spans="1:10" ht="22.5" customHeight="1">
      <c r="A20" s="699" t="s">
        <v>396</v>
      </c>
      <c r="B20" s="700" t="s">
        <v>149</v>
      </c>
      <c r="C20" s="701">
        <v>60000</v>
      </c>
      <c r="D20" s="701">
        <v>60000</v>
      </c>
      <c r="E20" s="701">
        <f>D20</f>
        <v>60000</v>
      </c>
      <c r="F20" s="701">
        <f t="shared" si="4"/>
        <v>50290</v>
      </c>
      <c r="G20" s="701">
        <f>'[3]Bieu 05_TTr'!C17</f>
        <v>9710</v>
      </c>
      <c r="H20" s="701">
        <v>0</v>
      </c>
      <c r="I20" s="684"/>
    </row>
    <row r="21" spans="1:10" ht="34.5" customHeight="1">
      <c r="A21" s="699" t="s">
        <v>397</v>
      </c>
      <c r="B21" s="700" t="s">
        <v>595</v>
      </c>
      <c r="C21" s="701"/>
      <c r="D21" s="701">
        <v>6800</v>
      </c>
      <c r="E21" s="701">
        <f>D21</f>
        <v>6800</v>
      </c>
      <c r="F21" s="701">
        <f t="shared" si="4"/>
        <v>6800</v>
      </c>
      <c r="G21" s="701"/>
      <c r="H21" s="701"/>
      <c r="I21" s="684"/>
    </row>
    <row r="22" spans="1:10" s="684" customFormat="1" ht="24.75" customHeight="1">
      <c r="A22" s="698" t="s">
        <v>187</v>
      </c>
      <c r="B22" s="696" t="s">
        <v>782</v>
      </c>
      <c r="C22" s="697">
        <f>C24+C25+C26</f>
        <v>4968919</v>
      </c>
      <c r="D22" s="697">
        <f t="shared" ref="D22:G22" si="5">D24+D25+D26</f>
        <v>4959919</v>
      </c>
      <c r="E22" s="697">
        <f t="shared" si="5"/>
        <v>1757553</v>
      </c>
      <c r="F22" s="697">
        <f t="shared" si="5"/>
        <v>1741764</v>
      </c>
      <c r="G22" s="697">
        <f t="shared" si="5"/>
        <v>15789</v>
      </c>
      <c r="H22" s="697">
        <f>'[3]Bieu 04_TTr'!C26</f>
        <v>3202366</v>
      </c>
    </row>
    <row r="23" spans="1:10" s="706" customFormat="1" ht="28.5" hidden="1" customHeight="1" outlineLevel="1">
      <c r="A23" s="702"/>
      <c r="B23" s="707" t="s">
        <v>783</v>
      </c>
      <c r="C23" s="704"/>
      <c r="D23" s="704"/>
      <c r="E23" s="704"/>
      <c r="F23" s="704">
        <f t="shared" si="4"/>
        <v>0</v>
      </c>
      <c r="G23" s="704"/>
      <c r="H23" s="704"/>
      <c r="I23" s="705"/>
      <c r="J23" s="705"/>
    </row>
    <row r="24" spans="1:10" ht="24.75" customHeight="1" collapsed="1">
      <c r="A24" s="699" t="s">
        <v>408</v>
      </c>
      <c r="B24" s="708" t="s">
        <v>784</v>
      </c>
      <c r="C24" s="701">
        <v>2271049</v>
      </c>
      <c r="D24" s="701">
        <f>C24</f>
        <v>2271049</v>
      </c>
      <c r="E24" s="701">
        <f>D24-H24</f>
        <v>406451</v>
      </c>
      <c r="F24" s="701">
        <f t="shared" si="4"/>
        <v>406451</v>
      </c>
      <c r="G24" s="701">
        <f>'[3]Bieu 05_TTr'!C26</f>
        <v>0</v>
      </c>
      <c r="H24" s="701">
        <f>'[3]Bieu 04_TTr'!C28</f>
        <v>1864598</v>
      </c>
      <c r="I24" s="684"/>
      <c r="J24" s="684"/>
    </row>
    <row r="25" spans="1:10" ht="24.75" customHeight="1">
      <c r="A25" s="699" t="s">
        <v>409</v>
      </c>
      <c r="B25" s="708" t="s">
        <v>785</v>
      </c>
      <c r="C25" s="701">
        <v>16388</v>
      </c>
      <c r="D25" s="701">
        <f>C25</f>
        <v>16388</v>
      </c>
      <c r="E25" s="701">
        <f t="shared" ref="E25:E26" si="6">D25-H25</f>
        <v>14888</v>
      </c>
      <c r="F25" s="701">
        <f t="shared" si="4"/>
        <v>14888</v>
      </c>
      <c r="G25" s="701">
        <v>0</v>
      </c>
      <c r="H25" s="701">
        <f>'[3]Bieu 04_TTr'!C44</f>
        <v>1500</v>
      </c>
      <c r="I25" s="684"/>
      <c r="J25" s="684"/>
    </row>
    <row r="26" spans="1:10" ht="24.75" customHeight="1">
      <c r="A26" s="699" t="s">
        <v>410</v>
      </c>
      <c r="B26" s="708" t="s">
        <v>786</v>
      </c>
      <c r="C26" s="701">
        <f>4968919-C24-C25</f>
        <v>2681482</v>
      </c>
      <c r="D26" s="701">
        <f>C26-D21-D27</f>
        <v>2672482</v>
      </c>
      <c r="E26" s="701">
        <f t="shared" si="6"/>
        <v>1336214</v>
      </c>
      <c r="F26" s="701">
        <f t="shared" si="4"/>
        <v>1320425</v>
      </c>
      <c r="G26" s="701">
        <f>'[3]Bieu 05_TTr'!C21-'[3]Bieu 05_TTr'!C26</f>
        <v>15789</v>
      </c>
      <c r="H26" s="701">
        <f>H22-H24-H25</f>
        <v>1336268</v>
      </c>
      <c r="I26" s="684"/>
      <c r="J26" s="684"/>
    </row>
    <row r="27" spans="1:10" s="684" customFormat="1" ht="22.5" customHeight="1">
      <c r="A27" s="698" t="s">
        <v>188</v>
      </c>
      <c r="B27" s="696" t="s">
        <v>787</v>
      </c>
      <c r="C27" s="697"/>
      <c r="D27" s="697">
        <v>2200</v>
      </c>
      <c r="E27" s="697">
        <f>D27</f>
        <v>2200</v>
      </c>
      <c r="F27" s="697">
        <f t="shared" si="4"/>
        <v>2200</v>
      </c>
      <c r="G27" s="697"/>
      <c r="H27" s="697"/>
    </row>
    <row r="28" spans="1:10" s="684" customFormat="1" ht="27" customHeight="1">
      <c r="A28" s="698" t="s">
        <v>189</v>
      </c>
      <c r="B28" s="696" t="s">
        <v>788</v>
      </c>
      <c r="C28" s="697">
        <v>1000</v>
      </c>
      <c r="D28" s="697">
        <v>1000</v>
      </c>
      <c r="E28" s="697">
        <v>1000</v>
      </c>
      <c r="F28" s="697">
        <f t="shared" si="4"/>
        <v>1000</v>
      </c>
      <c r="G28" s="697"/>
      <c r="H28" s="697">
        <v>0</v>
      </c>
    </row>
    <row r="29" spans="1:10" s="684" customFormat="1" ht="27.75" customHeight="1" collapsed="1">
      <c r="A29" s="698" t="s">
        <v>190</v>
      </c>
      <c r="B29" s="696" t="s">
        <v>157</v>
      </c>
      <c r="C29" s="697">
        <v>117778</v>
      </c>
      <c r="D29" s="697">
        <f>C29+D31</f>
        <v>134038</v>
      </c>
      <c r="E29" s="697">
        <f>D29-H29</f>
        <v>62229</v>
      </c>
      <c r="F29" s="697">
        <f t="shared" si="4"/>
        <v>62229</v>
      </c>
      <c r="G29" s="697"/>
      <c r="H29" s="697">
        <f>'[3]Bieu 04_TTr'!C50</f>
        <v>71809</v>
      </c>
    </row>
    <row r="30" spans="1:10" s="712" customFormat="1" ht="22.5" customHeight="1">
      <c r="A30" s="709"/>
      <c r="B30" s="710" t="s">
        <v>789</v>
      </c>
      <c r="C30" s="709">
        <f>C29/(C13)*100</f>
        <v>1.9999942264426549</v>
      </c>
      <c r="D30" s="709">
        <f>D29/(D13)*100</f>
        <v>1.9999949268246682</v>
      </c>
      <c r="E30" s="709">
        <f>E29/(E13)*100</f>
        <v>1.9999781454765637</v>
      </c>
      <c r="F30" s="711"/>
      <c r="G30" s="709"/>
      <c r="H30" s="709">
        <f>H29/(H13)*100</f>
        <v>2.0000093582022358</v>
      </c>
      <c r="I30" s="684"/>
    </row>
    <row r="31" spans="1:10" s="712" customFormat="1" ht="39" customHeight="1">
      <c r="A31" s="709"/>
      <c r="B31" s="710" t="s">
        <v>790</v>
      </c>
      <c r="C31" s="709"/>
      <c r="D31" s="713">
        <v>16260</v>
      </c>
      <c r="E31" s="713">
        <f>D31</f>
        <v>16260</v>
      </c>
      <c r="F31" s="713"/>
      <c r="G31" s="713"/>
      <c r="H31" s="713"/>
      <c r="I31" s="684"/>
    </row>
    <row r="32" spans="1:10" s="684" customFormat="1" ht="31.5" customHeight="1">
      <c r="A32" s="698" t="s">
        <v>573</v>
      </c>
      <c r="B32" s="696" t="s">
        <v>791</v>
      </c>
      <c r="C32" s="697"/>
      <c r="D32" s="697">
        <f>D33</f>
        <v>796740</v>
      </c>
      <c r="E32" s="697">
        <f t="shared" ref="E32:H32" si="7">E33</f>
        <v>769073</v>
      </c>
      <c r="F32" s="697">
        <f t="shared" si="7"/>
        <v>760854</v>
      </c>
      <c r="G32" s="697">
        <f t="shared" si="7"/>
        <v>8219</v>
      </c>
      <c r="H32" s="697">
        <f t="shared" si="7"/>
        <v>27667</v>
      </c>
      <c r="I32" s="951">
        <f>F32-F34-F35-F36</f>
        <v>451042</v>
      </c>
    </row>
    <row r="33" spans="1:11" ht="51">
      <c r="A33" s="699" t="s">
        <v>176</v>
      </c>
      <c r="B33" s="714" t="s">
        <v>792</v>
      </c>
      <c r="C33" s="701"/>
      <c r="D33" s="701">
        <v>796740</v>
      </c>
      <c r="E33" s="701">
        <f>F33+G33</f>
        <v>769073</v>
      </c>
      <c r="F33" s="701">
        <f>D33-H33-G33</f>
        <v>760854</v>
      </c>
      <c r="G33" s="701">
        <f>G35</f>
        <v>8219</v>
      </c>
      <c r="H33" s="701">
        <f>ROUND('[3]BIeu 02_TT'!Y104,0)</f>
        <v>27667</v>
      </c>
    </row>
    <row r="34" spans="1:11" s="706" customFormat="1" ht="38.25" customHeight="1">
      <c r="A34" s="715"/>
      <c r="B34" s="716" t="s">
        <v>793</v>
      </c>
      <c r="C34" s="717"/>
      <c r="D34" s="717">
        <v>236619</v>
      </c>
      <c r="E34" s="717">
        <f>F34+G34</f>
        <v>236619</v>
      </c>
      <c r="F34" s="717">
        <f>D34</f>
        <v>236619</v>
      </c>
      <c r="G34" s="717"/>
      <c r="H34" s="717"/>
    </row>
    <row r="35" spans="1:11" s="706" customFormat="1" ht="69.75" customHeight="1">
      <c r="A35" s="715"/>
      <c r="B35" s="716" t="s">
        <v>794</v>
      </c>
      <c r="C35" s="717"/>
      <c r="D35" s="717">
        <v>72873</v>
      </c>
      <c r="E35" s="717">
        <f t="shared" ref="E35:E36" si="8">F35+G35</f>
        <v>72873</v>
      </c>
      <c r="F35" s="717">
        <f>D35-G35</f>
        <v>64654</v>
      </c>
      <c r="G35" s="717">
        <f>'[3]Bieu 05_TTr'!C20</f>
        <v>8219</v>
      </c>
      <c r="H35" s="717"/>
    </row>
    <row r="36" spans="1:11" s="706" customFormat="1" ht="39" customHeight="1">
      <c r="A36" s="715"/>
      <c r="B36" s="718" t="s">
        <v>795</v>
      </c>
      <c r="C36" s="717"/>
      <c r="D36" s="717">
        <v>8539</v>
      </c>
      <c r="E36" s="717">
        <f t="shared" si="8"/>
        <v>8539</v>
      </c>
      <c r="F36" s="717">
        <f>D36</f>
        <v>8539</v>
      </c>
      <c r="G36" s="717"/>
      <c r="H36" s="717"/>
    </row>
    <row r="37" spans="1:11" s="684" customFormat="1" ht="22.5" customHeight="1">
      <c r="A37" s="719" t="s">
        <v>522</v>
      </c>
      <c r="B37" s="720" t="s">
        <v>597</v>
      </c>
      <c r="C37" s="721">
        <v>48400</v>
      </c>
      <c r="D37" s="721">
        <v>48400</v>
      </c>
      <c r="E37" s="721">
        <f>D37</f>
        <v>48400</v>
      </c>
      <c r="F37" s="721">
        <f>E37</f>
        <v>48400</v>
      </c>
      <c r="G37" s="721"/>
      <c r="H37" s="721"/>
    </row>
    <row r="38" spans="1:11" s="684" customFormat="1" ht="28.15" customHeight="1">
      <c r="A38" s="697" t="s">
        <v>103</v>
      </c>
      <c r="B38" s="722" t="s">
        <v>796</v>
      </c>
      <c r="C38" s="697">
        <f>C39+C45</f>
        <v>1446731</v>
      </c>
      <c r="D38" s="697">
        <f t="shared" ref="D38:G38" si="9">D39+D45</f>
        <v>1446731</v>
      </c>
      <c r="E38" s="697">
        <f t="shared" si="9"/>
        <v>1446731</v>
      </c>
      <c r="F38" s="697">
        <f t="shared" si="9"/>
        <v>1445431</v>
      </c>
      <c r="G38" s="697">
        <f t="shared" si="9"/>
        <v>1300</v>
      </c>
      <c r="H38" s="697">
        <v>0</v>
      </c>
    </row>
    <row r="39" spans="1:11" ht="31.5" customHeight="1">
      <c r="A39" s="699" t="s">
        <v>186</v>
      </c>
      <c r="B39" s="723" t="s">
        <v>797</v>
      </c>
      <c r="C39" s="701">
        <f>C40+C44</f>
        <v>1382515</v>
      </c>
      <c r="D39" s="701">
        <f t="shared" ref="D39:H39" si="10">D40+D44</f>
        <v>1382515</v>
      </c>
      <c r="E39" s="701">
        <f t="shared" si="10"/>
        <v>1382515</v>
      </c>
      <c r="F39" s="701">
        <f t="shared" si="10"/>
        <v>1382515</v>
      </c>
      <c r="G39" s="701">
        <f t="shared" si="10"/>
        <v>0</v>
      </c>
      <c r="H39" s="701">
        <f t="shared" si="10"/>
        <v>0</v>
      </c>
    </row>
    <row r="40" spans="1:11" ht="24" customHeight="1">
      <c r="A40" s="724" t="s">
        <v>176</v>
      </c>
      <c r="B40" s="723" t="s">
        <v>798</v>
      </c>
      <c r="C40" s="701">
        <f>'[3]Bieu 01 TT'!E109</f>
        <v>1090347</v>
      </c>
      <c r="D40" s="701">
        <f>C40</f>
        <v>1090347</v>
      </c>
      <c r="E40" s="701">
        <f>D40-H40</f>
        <v>1090347</v>
      </c>
      <c r="F40" s="701">
        <f>E40-G40</f>
        <v>1090347</v>
      </c>
      <c r="G40" s="701"/>
      <c r="H40" s="701"/>
    </row>
    <row r="41" spans="1:11" ht="21.75" hidden="1" customHeight="1" outlineLevel="1">
      <c r="A41" s="725"/>
      <c r="B41" s="723" t="s">
        <v>799</v>
      </c>
      <c r="C41" s="701"/>
      <c r="D41" s="701">
        <f t="shared" ref="D41:D43" si="11">E41+H41</f>
        <v>0</v>
      </c>
      <c r="E41" s="701"/>
      <c r="F41" s="701">
        <f t="shared" ref="F41:F44" si="12">E41-G41</f>
        <v>0</v>
      </c>
      <c r="G41" s="701"/>
      <c r="H41" s="701"/>
    </row>
    <row r="42" spans="1:11" ht="21.75" hidden="1" customHeight="1" outlineLevel="1">
      <c r="A42" s="726"/>
      <c r="B42" s="727" t="s">
        <v>39</v>
      </c>
      <c r="C42" s="701"/>
      <c r="D42" s="701">
        <f t="shared" si="11"/>
        <v>0</v>
      </c>
      <c r="E42" s="701"/>
      <c r="F42" s="701">
        <f t="shared" si="12"/>
        <v>0</v>
      </c>
      <c r="G42" s="701"/>
      <c r="H42" s="701"/>
    </row>
    <row r="43" spans="1:11" s="706" customFormat="1" ht="22.5" hidden="1" customHeight="1" outlineLevel="1">
      <c r="A43" s="726"/>
      <c r="B43" s="727" t="s">
        <v>800</v>
      </c>
      <c r="C43" s="704"/>
      <c r="D43" s="701">
        <f t="shared" si="11"/>
        <v>0</v>
      </c>
      <c r="E43" s="704"/>
      <c r="F43" s="701">
        <f t="shared" si="12"/>
        <v>0</v>
      </c>
      <c r="G43" s="704"/>
      <c r="H43" s="704"/>
    </row>
    <row r="44" spans="1:11" ht="23.25" customHeight="1" collapsed="1">
      <c r="A44" s="724" t="s">
        <v>176</v>
      </c>
      <c r="B44" s="723" t="s">
        <v>801</v>
      </c>
      <c r="C44" s="701">
        <f>'[3]Bieu 01 TT'!E113</f>
        <v>292168</v>
      </c>
      <c r="D44" s="701">
        <f>C44</f>
        <v>292168</v>
      </c>
      <c r="E44" s="701">
        <f>D44-H44</f>
        <v>292168</v>
      </c>
      <c r="F44" s="701">
        <f t="shared" si="12"/>
        <v>292168</v>
      </c>
      <c r="G44" s="701"/>
      <c r="H44" s="701"/>
    </row>
    <row r="45" spans="1:11" ht="40.9" customHeight="1">
      <c r="A45" s="699" t="s">
        <v>187</v>
      </c>
      <c r="B45" s="723" t="s">
        <v>802</v>
      </c>
      <c r="C45" s="701">
        <f>C46+C47</f>
        <v>64216</v>
      </c>
      <c r="D45" s="701">
        <f t="shared" ref="D45:H45" si="13">D46+D47</f>
        <v>64216</v>
      </c>
      <c r="E45" s="701">
        <f t="shared" si="13"/>
        <v>64216</v>
      </c>
      <c r="F45" s="701">
        <f t="shared" si="13"/>
        <v>62916</v>
      </c>
      <c r="G45" s="701">
        <f t="shared" si="13"/>
        <v>1300</v>
      </c>
      <c r="H45" s="701">
        <f t="shared" si="13"/>
        <v>0</v>
      </c>
      <c r="I45" s="788" t="s">
        <v>803</v>
      </c>
      <c r="J45" s="690"/>
      <c r="K45" s="690"/>
    </row>
    <row r="46" spans="1:11" ht="21" customHeight="1">
      <c r="A46" s="699" t="s">
        <v>176</v>
      </c>
      <c r="B46" s="723" t="s">
        <v>804</v>
      </c>
      <c r="C46" s="701">
        <f>'[3]Bieu 01 TT'!E115</f>
        <v>3790</v>
      </c>
      <c r="D46" s="701">
        <f>C46</f>
        <v>3790</v>
      </c>
      <c r="E46" s="701">
        <f>D46-H46</f>
        <v>3790</v>
      </c>
      <c r="F46" s="701">
        <f>E46-G46</f>
        <v>3790</v>
      </c>
      <c r="G46" s="701"/>
      <c r="H46" s="701">
        <v>0</v>
      </c>
      <c r="I46" s="691"/>
      <c r="J46" s="690"/>
      <c r="K46" s="690"/>
    </row>
    <row r="47" spans="1:11" ht="20.25" customHeight="1">
      <c r="A47" s="699" t="s">
        <v>176</v>
      </c>
      <c r="B47" s="723" t="s">
        <v>798</v>
      </c>
      <c r="C47" s="701">
        <f>'[3]Bieu 01 TT'!E116</f>
        <v>60426</v>
      </c>
      <c r="D47" s="701">
        <f>C47</f>
        <v>60426</v>
      </c>
      <c r="E47" s="701">
        <f>D47-H47</f>
        <v>60426</v>
      </c>
      <c r="F47" s="701">
        <f>E47-G47</f>
        <v>59126</v>
      </c>
      <c r="G47" s="701">
        <f>'[3]Bieu 09a_TTr'!C9</f>
        <v>1300</v>
      </c>
      <c r="H47" s="701">
        <v>0</v>
      </c>
      <c r="I47" s="691"/>
      <c r="J47" s="690"/>
      <c r="K47" s="690"/>
    </row>
    <row r="48" spans="1:11" ht="27.75" hidden="1" customHeight="1" outlineLevel="1">
      <c r="A48" s="699">
        <v>3</v>
      </c>
      <c r="B48" s="723" t="s">
        <v>805</v>
      </c>
      <c r="C48" s="701">
        <f>C49+C50</f>
        <v>333056</v>
      </c>
      <c r="D48" s="701">
        <v>333056</v>
      </c>
      <c r="E48" s="701">
        <v>333056</v>
      </c>
      <c r="F48" s="701">
        <v>333056</v>
      </c>
      <c r="G48" s="701"/>
      <c r="H48" s="701">
        <v>0</v>
      </c>
      <c r="I48" s="691"/>
      <c r="J48" s="690"/>
      <c r="K48" s="690"/>
    </row>
    <row r="49" spans="1:43" ht="27.75" hidden="1" customHeight="1" outlineLevel="1">
      <c r="A49" s="699"/>
      <c r="B49" s="723" t="s">
        <v>806</v>
      </c>
      <c r="C49" s="701">
        <v>107800</v>
      </c>
      <c r="D49" s="701">
        <v>107800</v>
      </c>
      <c r="E49" s="701">
        <v>107800</v>
      </c>
      <c r="F49" s="701">
        <v>107800</v>
      </c>
      <c r="G49" s="701"/>
      <c r="H49" s="701"/>
      <c r="I49" s="691"/>
      <c r="J49" s="690"/>
      <c r="K49" s="690"/>
    </row>
    <row r="50" spans="1:43" ht="27.75" hidden="1" customHeight="1" outlineLevel="1">
      <c r="A50" s="699"/>
      <c r="B50" s="723" t="s">
        <v>807</v>
      </c>
      <c r="C50" s="701">
        <v>225256</v>
      </c>
      <c r="D50" s="701">
        <v>225256</v>
      </c>
      <c r="E50" s="701">
        <v>225256</v>
      </c>
      <c r="F50" s="701">
        <v>225256</v>
      </c>
      <c r="G50" s="701"/>
      <c r="H50" s="701"/>
      <c r="I50" s="691"/>
      <c r="J50" s="690"/>
      <c r="K50" s="690"/>
    </row>
    <row r="51" spans="1:43" ht="30" hidden="1" customHeight="1" outlineLevel="1">
      <c r="A51" s="699">
        <v>4</v>
      </c>
      <c r="B51" s="723" t="s">
        <v>808</v>
      </c>
      <c r="C51" s="701">
        <v>171975</v>
      </c>
      <c r="D51" s="701">
        <v>171975</v>
      </c>
      <c r="E51" s="701">
        <v>171975</v>
      </c>
      <c r="F51" s="701">
        <v>171975</v>
      </c>
      <c r="G51" s="701"/>
      <c r="H51" s="701">
        <v>0</v>
      </c>
      <c r="I51" s="691"/>
      <c r="J51" s="690"/>
      <c r="K51" s="690"/>
    </row>
    <row r="52" spans="1:43" s="684" customFormat="1" ht="30" customHeight="1" collapsed="1">
      <c r="A52" s="697" t="s">
        <v>160</v>
      </c>
      <c r="B52" s="696" t="s">
        <v>809</v>
      </c>
      <c r="C52" s="697">
        <v>48400</v>
      </c>
      <c r="D52" s="697">
        <f>C52</f>
        <v>48400</v>
      </c>
      <c r="E52" s="697">
        <f>D52</f>
        <v>48400</v>
      </c>
      <c r="F52" s="697">
        <f>E52</f>
        <v>48400</v>
      </c>
      <c r="G52" s="697"/>
      <c r="H52" s="697">
        <v>0</v>
      </c>
      <c r="I52" s="789"/>
      <c r="J52" s="790"/>
      <c r="K52" s="790"/>
    </row>
    <row r="53" spans="1:43" s="684" customFormat="1" ht="24.75" customHeight="1">
      <c r="A53" s="697" t="s">
        <v>162</v>
      </c>
      <c r="B53" s="696" t="s">
        <v>810</v>
      </c>
      <c r="C53" s="697">
        <f>C54+C55</f>
        <v>57000</v>
      </c>
      <c r="D53" s="697">
        <f t="shared" ref="D53:H53" si="14">D54+D55</f>
        <v>57000</v>
      </c>
      <c r="E53" s="697">
        <f t="shared" si="14"/>
        <v>57000</v>
      </c>
      <c r="F53" s="697">
        <f t="shared" si="14"/>
        <v>57000</v>
      </c>
      <c r="G53" s="697">
        <f t="shared" si="14"/>
        <v>0</v>
      </c>
      <c r="H53" s="697">
        <f t="shared" si="14"/>
        <v>0</v>
      </c>
      <c r="I53" s="791"/>
      <c r="J53" s="792"/>
      <c r="K53" s="790"/>
    </row>
    <row r="54" spans="1:43" ht="24.75" customHeight="1">
      <c r="A54" s="699" t="s">
        <v>186</v>
      </c>
      <c r="B54" s="700" t="s">
        <v>811</v>
      </c>
      <c r="C54" s="701">
        <v>48400</v>
      </c>
      <c r="D54" s="701">
        <v>48400</v>
      </c>
      <c r="E54" s="701">
        <f>D54</f>
        <v>48400</v>
      </c>
      <c r="F54" s="701">
        <f>E54</f>
        <v>48400</v>
      </c>
      <c r="G54" s="701"/>
      <c r="H54" s="701"/>
      <c r="I54" s="949"/>
      <c r="J54" s="793"/>
      <c r="K54" s="690"/>
    </row>
    <row r="55" spans="1:43" ht="24.75" customHeight="1">
      <c r="A55" s="699" t="s">
        <v>187</v>
      </c>
      <c r="B55" s="729" t="s">
        <v>599</v>
      </c>
      <c r="C55" s="701">
        <v>8600</v>
      </c>
      <c r="D55" s="701">
        <v>8600</v>
      </c>
      <c r="E55" s="701">
        <f>D55</f>
        <v>8600</v>
      </c>
      <c r="F55" s="701">
        <f>E55</f>
        <v>8600</v>
      </c>
      <c r="G55" s="701"/>
      <c r="H55" s="701"/>
    </row>
    <row r="56" spans="1:43" ht="12.75" customHeight="1">
      <c r="A56" s="730"/>
      <c r="B56" s="731"/>
      <c r="C56" s="730"/>
      <c r="D56" s="730"/>
      <c r="E56" s="730"/>
      <c r="F56" s="730"/>
      <c r="G56" s="730"/>
      <c r="H56" s="730"/>
    </row>
    <row r="57" spans="1:43" ht="9" customHeight="1">
      <c r="A57" s="728"/>
      <c r="B57" s="948"/>
      <c r="C57" s="728"/>
      <c r="D57" s="728"/>
      <c r="E57" s="728"/>
      <c r="F57" s="728"/>
      <c r="G57" s="728"/>
      <c r="H57" s="728"/>
    </row>
    <row r="58" spans="1:43" ht="17.25" customHeight="1">
      <c r="A58" s="1062" t="s">
        <v>226</v>
      </c>
      <c r="B58" s="1062"/>
      <c r="C58" s="728"/>
      <c r="D58" s="728"/>
      <c r="E58" s="728"/>
      <c r="F58" s="728"/>
      <c r="G58" s="728"/>
      <c r="H58" s="728"/>
    </row>
    <row r="59" spans="1:43" s="734" customFormat="1" ht="28.5" customHeight="1">
      <c r="A59" s="1063" t="s">
        <v>812</v>
      </c>
      <c r="B59" s="1063"/>
      <c r="C59" s="1063"/>
      <c r="D59" s="1063"/>
      <c r="E59" s="1063"/>
      <c r="F59" s="1063"/>
      <c r="G59" s="1063"/>
      <c r="H59" s="1063"/>
      <c r="I59" s="732"/>
      <c r="J59" s="732"/>
      <c r="K59" s="733"/>
      <c r="L59" s="732"/>
      <c r="M59" s="732"/>
      <c r="N59" s="732"/>
      <c r="O59" s="733"/>
      <c r="P59" s="732"/>
      <c r="Q59" s="732"/>
      <c r="R59" s="732"/>
      <c r="S59" s="733"/>
      <c r="T59" s="732"/>
      <c r="U59" s="732"/>
      <c r="V59" s="732"/>
      <c r="W59" s="733"/>
      <c r="X59" s="732"/>
      <c r="Y59" s="732"/>
      <c r="Z59" s="732"/>
      <c r="AA59" s="733"/>
      <c r="AB59" s="732"/>
      <c r="AC59" s="732"/>
      <c r="AD59" s="732"/>
      <c r="AE59" s="733"/>
      <c r="AF59" s="732"/>
      <c r="AG59" s="732"/>
      <c r="AH59" s="732"/>
      <c r="AI59" s="733"/>
      <c r="AJ59" s="732"/>
      <c r="AK59" s="732"/>
      <c r="AL59" s="732"/>
      <c r="AM59" s="733"/>
      <c r="AN59" s="732"/>
      <c r="AO59" s="732"/>
      <c r="AP59" s="732"/>
      <c r="AQ59" s="733"/>
    </row>
    <row r="60" spans="1:43" ht="18" customHeight="1">
      <c r="A60" s="1063" t="s">
        <v>813</v>
      </c>
      <c r="B60" s="1063"/>
      <c r="C60" s="1063"/>
      <c r="D60" s="1063"/>
      <c r="E60" s="1063"/>
      <c r="F60" s="1063"/>
      <c r="G60" s="1063"/>
      <c r="H60" s="1063"/>
    </row>
    <row r="61" spans="1:43" ht="18" customHeight="1">
      <c r="A61" s="1063" t="s">
        <v>814</v>
      </c>
      <c r="B61" s="1063"/>
      <c r="C61" s="1063"/>
      <c r="D61" s="1063"/>
      <c r="E61" s="1063"/>
      <c r="F61" s="1063"/>
      <c r="G61" s="1063"/>
      <c r="H61" s="1063"/>
    </row>
    <row r="62" spans="1:43" ht="18" customHeight="1">
      <c r="C62" s="736"/>
      <c r="D62" s="736"/>
      <c r="E62" s="736"/>
      <c r="F62" s="736"/>
      <c r="G62" s="736"/>
      <c r="H62" s="736"/>
    </row>
    <row r="63" spans="1:43" ht="18" customHeight="1">
      <c r="C63" s="736"/>
      <c r="D63" s="736"/>
      <c r="E63" s="736"/>
      <c r="F63" s="736"/>
      <c r="G63" s="736"/>
      <c r="H63" s="736"/>
    </row>
    <row r="64" spans="1:43" ht="18" customHeight="1">
      <c r="C64" s="736"/>
      <c r="D64" s="736"/>
      <c r="E64" s="736"/>
      <c r="F64" s="736"/>
      <c r="G64" s="736"/>
      <c r="H64" s="736"/>
    </row>
    <row r="65" spans="1:8" ht="18" customHeight="1">
      <c r="C65" s="736"/>
      <c r="D65" s="736"/>
      <c r="E65" s="736"/>
      <c r="F65" s="736"/>
      <c r="G65" s="736"/>
      <c r="H65" s="736"/>
    </row>
    <row r="66" spans="1:8" ht="18" customHeight="1">
      <c r="C66" s="736"/>
      <c r="D66" s="736"/>
      <c r="E66" s="736"/>
      <c r="F66" s="736"/>
      <c r="G66" s="736"/>
      <c r="H66" s="736"/>
    </row>
    <row r="67" spans="1:8" ht="18" customHeight="1">
      <c r="A67" s="689"/>
      <c r="C67" s="736"/>
      <c r="D67" s="736"/>
      <c r="E67" s="736"/>
      <c r="F67" s="736"/>
      <c r="G67" s="736"/>
      <c r="H67" s="736"/>
    </row>
    <row r="68" spans="1:8" ht="18" customHeight="1">
      <c r="A68" s="689"/>
      <c r="C68" s="736"/>
      <c r="D68" s="736"/>
      <c r="E68" s="736"/>
      <c r="F68" s="736"/>
      <c r="G68" s="736"/>
      <c r="H68" s="736"/>
    </row>
    <row r="69" spans="1:8" ht="18" customHeight="1">
      <c r="A69" s="689"/>
      <c r="C69" s="736"/>
      <c r="D69" s="736"/>
      <c r="E69" s="736"/>
      <c r="F69" s="736"/>
      <c r="G69" s="736"/>
      <c r="H69" s="736"/>
    </row>
    <row r="70" spans="1:8" ht="18" customHeight="1">
      <c r="A70" s="689"/>
      <c r="C70" s="736"/>
      <c r="D70" s="736"/>
      <c r="E70" s="736"/>
      <c r="F70" s="736"/>
      <c r="G70" s="736"/>
      <c r="H70" s="736"/>
    </row>
    <row r="71" spans="1:8" ht="18" customHeight="1">
      <c r="A71" s="689"/>
      <c r="C71" s="736"/>
      <c r="D71" s="736"/>
      <c r="E71" s="736"/>
      <c r="F71" s="736"/>
      <c r="G71" s="736"/>
      <c r="H71" s="736"/>
    </row>
  </sheetData>
  <mergeCells count="15">
    <mergeCell ref="A58:B58"/>
    <mergeCell ref="A59:H59"/>
    <mergeCell ref="A60:H60"/>
    <mergeCell ref="A61:H61"/>
    <mergeCell ref="A4:H4"/>
    <mergeCell ref="A5:H5"/>
    <mergeCell ref="G6:H6"/>
    <mergeCell ref="A7:A10"/>
    <mergeCell ref="B7:B10"/>
    <mergeCell ref="C7:C10"/>
    <mergeCell ref="D7:D10"/>
    <mergeCell ref="E7:H7"/>
    <mergeCell ref="E8:E10"/>
    <mergeCell ref="F8:G9"/>
    <mergeCell ref="H8:H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V77"/>
  <sheetViews>
    <sheetView zoomScale="85" zoomScaleNormal="85" workbookViewId="0">
      <pane xSplit="2" ySplit="6" topLeftCell="C28" activePane="bottomRight" state="frozen"/>
      <selection activeCell="B51" sqref="B51"/>
      <selection pane="topRight" activeCell="B51" sqref="B51"/>
      <selection pane="bottomLeft" activeCell="B51" sqref="B51"/>
      <selection pane="bottomRight" activeCell="I10" activeCellId="1" sqref="I57 I10"/>
    </sheetView>
  </sheetViews>
  <sheetFormatPr defaultColWidth="9.125" defaultRowHeight="15" outlineLevelRow="1" outlineLevelCol="1"/>
  <cols>
    <col min="1" max="1" width="5.75" style="512" customWidth="1"/>
    <col min="2" max="2" width="44" style="512" customWidth="1"/>
    <col min="3" max="4" width="10.75" style="511" customWidth="1"/>
    <col min="5" max="5" width="12.375" style="513" bestFit="1" customWidth="1"/>
    <col min="6" max="6" width="11.75" style="513" hidden="1" customWidth="1" outlineLevel="1"/>
    <col min="7" max="7" width="8.625" style="513" hidden="1" customWidth="1" outlineLevel="1"/>
    <col min="8" max="8" width="15.875" style="513" hidden="1" customWidth="1" outlineLevel="1"/>
    <col min="9" max="9" width="10.75" style="513" customWidth="1" collapsed="1"/>
    <col min="10" max="10" width="11.875" style="523" hidden="1" customWidth="1" outlineLevel="1"/>
    <col min="11" max="11" width="10.25" style="523" customWidth="1" collapsed="1"/>
    <col min="12" max="12" width="9.875" style="513" customWidth="1"/>
    <col min="13" max="13" width="8.875" style="512" hidden="1" customWidth="1" outlineLevel="1"/>
    <col min="14" max="14" width="17" style="510" hidden="1" customWidth="1" outlineLevel="1"/>
    <col min="15" max="16" width="9.125" style="510" hidden="1" customWidth="1" outlineLevel="1"/>
    <col min="17" max="17" width="10" style="510" customWidth="1" collapsed="1"/>
    <col min="18" max="18" width="13.875" style="511" customWidth="1"/>
    <col min="19" max="19" width="16.75" style="510" customWidth="1"/>
    <col min="20" max="20" width="15.625" style="510" customWidth="1"/>
    <col min="21" max="21" width="9.125" style="510" customWidth="1"/>
    <col min="22" max="22" width="9.125" style="510"/>
    <col min="23" max="16384" width="9.125" style="512"/>
  </cols>
  <sheetData>
    <row r="1" spans="1:22" ht="15.75">
      <c r="A1" s="506" t="s">
        <v>233</v>
      </c>
      <c r="B1" s="507"/>
      <c r="C1" s="507"/>
      <c r="D1" s="507"/>
      <c r="E1" s="507"/>
      <c r="F1" s="507"/>
      <c r="G1" s="507"/>
      <c r="H1" s="507"/>
      <c r="I1" s="507"/>
      <c r="J1" s="508"/>
      <c r="K1" s="1083" t="s">
        <v>629</v>
      </c>
      <c r="L1" s="1083"/>
      <c r="M1" s="509"/>
    </row>
    <row r="2" spans="1:22" s="513" customFormat="1">
      <c r="A2" s="1084" t="s">
        <v>719</v>
      </c>
      <c r="B2" s="1084"/>
      <c r="C2" s="1084"/>
      <c r="D2" s="1084"/>
      <c r="E2" s="1084"/>
      <c r="F2" s="1084"/>
      <c r="G2" s="1084"/>
      <c r="H2" s="1084"/>
      <c r="I2" s="1084"/>
      <c r="J2" s="1084"/>
      <c r="K2" s="1084"/>
      <c r="L2" s="1084"/>
      <c r="M2" s="1084"/>
      <c r="N2" s="510"/>
      <c r="O2" s="510"/>
      <c r="P2" s="510"/>
      <c r="Q2" s="510"/>
      <c r="R2" s="511"/>
      <c r="S2" s="510"/>
      <c r="T2" s="510"/>
      <c r="U2" s="510"/>
      <c r="V2" s="510"/>
    </row>
    <row r="3" spans="1:22" s="513" customFormat="1">
      <c r="A3" s="1085"/>
      <c r="B3" s="1085"/>
      <c r="C3" s="1085"/>
      <c r="D3" s="1085"/>
      <c r="E3" s="1085"/>
      <c r="F3" s="1085"/>
      <c r="G3" s="1085"/>
      <c r="H3" s="1085"/>
      <c r="I3" s="1085"/>
      <c r="J3" s="1085"/>
      <c r="K3" s="1085"/>
      <c r="L3" s="1085"/>
      <c r="M3" s="1085"/>
      <c r="N3" s="510"/>
      <c r="O3" s="510"/>
      <c r="P3" s="510"/>
      <c r="Q3" s="510"/>
      <c r="R3" s="511"/>
      <c r="S3" s="510"/>
      <c r="T3" s="510"/>
      <c r="U3" s="510"/>
      <c r="V3" s="510"/>
    </row>
    <row r="4" spans="1:22" s="521" customFormat="1">
      <c r="A4" s="513"/>
      <c r="B4" s="513"/>
      <c r="C4" s="514"/>
      <c r="D4" s="514"/>
      <c r="E4" s="513"/>
      <c r="F4" s="513"/>
      <c r="G4" s="513"/>
      <c r="H4" s="515">
        <v>1.1109944682781303</v>
      </c>
      <c r="I4" s="514"/>
      <c r="J4" s="516"/>
      <c r="K4" s="517" t="s">
        <v>54</v>
      </c>
      <c r="L4" s="513"/>
      <c r="M4" s="518"/>
      <c r="N4" s="513"/>
      <c r="O4" s="513"/>
      <c r="P4" s="513"/>
      <c r="Q4" s="519"/>
      <c r="R4" s="520"/>
      <c r="S4" s="519"/>
      <c r="T4" s="519"/>
      <c r="U4" s="519"/>
      <c r="V4" s="519"/>
    </row>
    <row r="5" spans="1:22" s="526" customFormat="1" ht="101.25" customHeight="1">
      <c r="A5" s="522" t="s">
        <v>0</v>
      </c>
      <c r="B5" s="522" t="s">
        <v>213</v>
      </c>
      <c r="C5" s="522" t="s">
        <v>720</v>
      </c>
      <c r="D5" s="522" t="s">
        <v>721</v>
      </c>
      <c r="E5" s="522" t="s">
        <v>712</v>
      </c>
      <c r="F5" s="522" t="s">
        <v>722</v>
      </c>
      <c r="G5" s="522" t="s">
        <v>723</v>
      </c>
      <c r="H5" s="522" t="s">
        <v>630</v>
      </c>
      <c r="I5" s="522" t="s">
        <v>724</v>
      </c>
      <c r="J5" s="522" t="s">
        <v>632</v>
      </c>
      <c r="K5" s="522" t="s">
        <v>725</v>
      </c>
      <c r="L5" s="522" t="s">
        <v>726</v>
      </c>
      <c r="M5" s="522" t="s">
        <v>633</v>
      </c>
      <c r="N5" s="523"/>
      <c r="O5" s="523"/>
      <c r="P5" s="523"/>
      <c r="Q5" s="524"/>
      <c r="R5" s="525"/>
      <c r="S5" s="524"/>
      <c r="T5" s="524"/>
      <c r="U5" s="524"/>
      <c r="V5" s="524"/>
    </row>
    <row r="6" spans="1:22" s="526" customFormat="1" ht="14.25">
      <c r="A6" s="522" t="s">
        <v>158</v>
      </c>
      <c r="B6" s="522" t="s">
        <v>160</v>
      </c>
      <c r="C6" s="522">
        <v>1</v>
      </c>
      <c r="D6" s="522">
        <v>2</v>
      </c>
      <c r="E6" s="522">
        <v>3</v>
      </c>
      <c r="F6" s="522" t="s">
        <v>634</v>
      </c>
      <c r="G6" s="522" t="s">
        <v>635</v>
      </c>
      <c r="H6" s="522" t="s">
        <v>636</v>
      </c>
      <c r="I6" s="522">
        <v>4</v>
      </c>
      <c r="J6" s="522">
        <v>5</v>
      </c>
      <c r="K6" s="522" t="s">
        <v>637</v>
      </c>
      <c r="L6" s="522" t="s">
        <v>638</v>
      </c>
      <c r="M6" s="522">
        <v>8</v>
      </c>
      <c r="N6" s="523"/>
      <c r="O6" s="523"/>
      <c r="P6" s="523"/>
      <c r="Q6" s="524"/>
      <c r="R6" s="525"/>
      <c r="S6" s="524"/>
      <c r="T6" s="524"/>
      <c r="U6" s="524"/>
      <c r="V6" s="524"/>
    </row>
    <row r="7" spans="1:22" s="526" customFormat="1" ht="28.5">
      <c r="A7" s="527" t="s">
        <v>158</v>
      </c>
      <c r="B7" s="528" t="s">
        <v>639</v>
      </c>
      <c r="C7" s="529">
        <f>C8+C56</f>
        <v>6996865</v>
      </c>
      <c r="D7" s="529">
        <f>D8+D56</f>
        <v>7842264.6919999989</v>
      </c>
      <c r="E7" s="529">
        <f>E8+E56+E64</f>
        <v>10604885.067403998</v>
      </c>
      <c r="F7" s="529">
        <f>F8+F56</f>
        <v>7464186.7663999991</v>
      </c>
      <c r="G7" s="529">
        <f>G8+G56</f>
        <v>0</v>
      </c>
      <c r="H7" s="529">
        <f>H8+H56</f>
        <v>627698.30100400001</v>
      </c>
      <c r="I7" s="529">
        <f>I8+I56</f>
        <v>7527375.5520390021</v>
      </c>
      <c r="J7" s="529">
        <f>J8+J56</f>
        <v>7527375.5520390021</v>
      </c>
      <c r="K7" s="530">
        <f>J7/C7*100</f>
        <v>107.58211787763523</v>
      </c>
      <c r="L7" s="530">
        <f>J7/D7*100</f>
        <v>95.984716758129579</v>
      </c>
      <c r="M7" s="529">
        <f>M8+M56</f>
        <v>0</v>
      </c>
      <c r="N7" s="523"/>
      <c r="O7" s="523"/>
      <c r="P7" s="531"/>
      <c r="Q7" s="532"/>
      <c r="R7" s="533"/>
      <c r="S7" s="524"/>
      <c r="T7" s="524"/>
      <c r="U7" s="524"/>
      <c r="V7" s="524"/>
    </row>
    <row r="8" spans="1:22" s="526" customFormat="1" ht="28.5">
      <c r="A8" s="534" t="s">
        <v>60</v>
      </c>
      <c r="B8" s="535" t="s">
        <v>640</v>
      </c>
      <c r="C8" s="536">
        <f t="shared" ref="C8:H8" si="0">C10+C34+C48+C49+C50+C52+C55</f>
        <v>5555725</v>
      </c>
      <c r="D8" s="536">
        <f t="shared" si="0"/>
        <v>6401124.6919999989</v>
      </c>
      <c r="E8" s="536">
        <f t="shared" si="0"/>
        <v>6222100.2663999991</v>
      </c>
      <c r="F8" s="536">
        <f t="shared" si="0"/>
        <v>6023046.7663999991</v>
      </c>
      <c r="G8" s="536">
        <f t="shared" si="0"/>
        <v>0</v>
      </c>
      <c r="H8" s="536">
        <f t="shared" si="0"/>
        <v>199053.5</v>
      </c>
      <c r="I8" s="536">
        <f>I10+I34+I48+I49+I50+I52+I55+I51</f>
        <v>5882417.5000000019</v>
      </c>
      <c r="J8" s="536">
        <f>J10+J34+J48+J49+J50+J52+J55+J51</f>
        <v>5882417.5000000019</v>
      </c>
      <c r="K8" s="537">
        <f t="shared" ref="K8" si="1">J8/C8*100</f>
        <v>105.88028565128766</v>
      </c>
      <c r="L8" s="537">
        <f t="shared" ref="L8" si="2">J8/D8*100</f>
        <v>91.896624156560051</v>
      </c>
      <c r="M8" s="536">
        <f>M10+M34+M48+M49+M50+M52</f>
        <v>0</v>
      </c>
      <c r="N8" s="523"/>
      <c r="O8" s="523"/>
      <c r="P8" s="531"/>
      <c r="Q8" s="532"/>
      <c r="R8" s="525"/>
      <c r="S8" s="532">
        <f>D8-D54-D55-18000</f>
        <v>5509732.6919999989</v>
      </c>
      <c r="T8" s="532">
        <f>I8-S8</f>
        <v>372684.80800000299</v>
      </c>
      <c r="U8" s="524"/>
      <c r="V8" s="524"/>
    </row>
    <row r="9" spans="1:22" ht="45">
      <c r="A9" s="538"/>
      <c r="B9" s="539" t="s">
        <v>136</v>
      </c>
      <c r="C9" s="540"/>
      <c r="D9" s="540"/>
      <c r="E9" s="540"/>
      <c r="F9" s="540"/>
      <c r="G9" s="540"/>
      <c r="H9" s="540"/>
      <c r="I9" s="540"/>
      <c r="J9" s="536"/>
      <c r="K9" s="541"/>
      <c r="L9" s="541"/>
      <c r="M9" s="540"/>
      <c r="N9" s="513"/>
      <c r="O9" s="513"/>
      <c r="P9" s="513"/>
      <c r="Q9" s="542"/>
    </row>
    <row r="10" spans="1:22" s="526" customFormat="1" ht="18.75" customHeight="1">
      <c r="A10" s="534">
        <v>1</v>
      </c>
      <c r="B10" s="535" t="s">
        <v>137</v>
      </c>
      <c r="C10" s="536">
        <f>C11+C12</f>
        <v>896220</v>
      </c>
      <c r="D10" s="536">
        <f t="shared" ref="D10:J10" si="3">D11+D12</f>
        <v>902220</v>
      </c>
      <c r="E10" s="536">
        <f t="shared" si="3"/>
        <v>987281</v>
      </c>
      <c r="F10" s="536">
        <f t="shared" si="3"/>
        <v>902220</v>
      </c>
      <c r="G10" s="536">
        <f t="shared" si="3"/>
        <v>0</v>
      </c>
      <c r="H10" s="536">
        <f t="shared" si="3"/>
        <v>85061</v>
      </c>
      <c r="I10" s="536">
        <f t="shared" si="3"/>
        <v>807220</v>
      </c>
      <c r="J10" s="536">
        <f t="shared" si="3"/>
        <v>807220</v>
      </c>
      <c r="K10" s="537">
        <f>J10/C10*100</f>
        <v>90.069402602039688</v>
      </c>
      <c r="L10" s="537">
        <f>J10/D10*100</f>
        <v>89.470417414821227</v>
      </c>
      <c r="M10" s="536">
        <f>M11+M12</f>
        <v>0</v>
      </c>
      <c r="N10" s="523"/>
      <c r="O10" s="523"/>
      <c r="P10" s="523"/>
      <c r="Q10" s="524"/>
      <c r="R10" s="525"/>
      <c r="S10" s="524"/>
      <c r="T10" s="524"/>
      <c r="U10" s="524"/>
      <c r="V10" s="524"/>
    </row>
    <row r="11" spans="1:22" ht="60">
      <c r="A11" s="538" t="s">
        <v>138</v>
      </c>
      <c r="B11" s="543" t="s">
        <v>139</v>
      </c>
      <c r="C11" s="540">
        <v>0</v>
      </c>
      <c r="D11" s="540">
        <v>0</v>
      </c>
      <c r="E11" s="540"/>
      <c r="F11" s="540">
        <v>0</v>
      </c>
      <c r="G11" s="540"/>
      <c r="H11" s="540"/>
      <c r="I11" s="540"/>
      <c r="J11" s="536"/>
      <c r="K11" s="541"/>
      <c r="L11" s="541"/>
      <c r="M11" s="540"/>
      <c r="N11" s="513"/>
      <c r="O11" s="513"/>
      <c r="P11" s="513"/>
    </row>
    <row r="12" spans="1:22">
      <c r="A12" s="538" t="s">
        <v>140</v>
      </c>
      <c r="B12" s="543" t="s">
        <v>141</v>
      </c>
      <c r="C12" s="540">
        <f>C14</f>
        <v>896220</v>
      </c>
      <c r="D12" s="540">
        <f>D14</f>
        <v>902220</v>
      </c>
      <c r="E12" s="540">
        <f t="shared" ref="E12" si="4">E14</f>
        <v>987281</v>
      </c>
      <c r="F12" s="540">
        <f>F14</f>
        <v>902220</v>
      </c>
      <c r="G12" s="540">
        <f t="shared" ref="G12:H12" si="5">G14</f>
        <v>0</v>
      </c>
      <c r="H12" s="540">
        <f t="shared" si="5"/>
        <v>85061</v>
      </c>
      <c r="I12" s="540">
        <f>I14</f>
        <v>807220</v>
      </c>
      <c r="J12" s="540">
        <f>J14</f>
        <v>807220</v>
      </c>
      <c r="K12" s="541">
        <f t="shared" ref="K12:K67" si="6">J12/C12*100</f>
        <v>90.069402602039688</v>
      </c>
      <c r="L12" s="541">
        <f>J12/D12*100</f>
        <v>89.470417414821227</v>
      </c>
      <c r="M12" s="540"/>
      <c r="N12" s="514"/>
      <c r="O12" s="513"/>
      <c r="P12" s="513"/>
    </row>
    <row r="13" spans="1:22">
      <c r="A13" s="538"/>
      <c r="B13" s="543" t="s">
        <v>39</v>
      </c>
      <c r="C13" s="540"/>
      <c r="D13" s="540"/>
      <c r="E13" s="540"/>
      <c r="F13" s="540"/>
      <c r="G13" s="540"/>
      <c r="H13" s="540"/>
      <c r="I13" s="540"/>
      <c r="J13" s="540"/>
      <c r="K13" s="541"/>
      <c r="L13" s="541"/>
      <c r="M13" s="540"/>
      <c r="N13" s="513"/>
      <c r="O13" s="513"/>
      <c r="P13" s="513"/>
    </row>
    <row r="14" spans="1:22">
      <c r="A14" s="538" t="s">
        <v>142</v>
      </c>
      <c r="B14" s="543" t="s">
        <v>143</v>
      </c>
      <c r="C14" s="540">
        <f>C15+C16+C17+C18+C19</f>
        <v>896220</v>
      </c>
      <c r="D14" s="540">
        <f>D15+D16+D17+D18+D19</f>
        <v>902220</v>
      </c>
      <c r="E14" s="540">
        <f t="shared" ref="E14:J14" si="7">E15+E16+E17+E18+E19</f>
        <v>987281</v>
      </c>
      <c r="F14" s="540">
        <f t="shared" si="7"/>
        <v>902220</v>
      </c>
      <c r="G14" s="540">
        <f t="shared" si="7"/>
        <v>0</v>
      </c>
      <c r="H14" s="540">
        <f t="shared" si="7"/>
        <v>85061</v>
      </c>
      <c r="I14" s="540">
        <f t="shared" si="7"/>
        <v>807220</v>
      </c>
      <c r="J14" s="540">
        <f t="shared" si="7"/>
        <v>807220</v>
      </c>
      <c r="K14" s="541">
        <f t="shared" si="6"/>
        <v>90.069402602039688</v>
      </c>
      <c r="L14" s="541">
        <f t="shared" ref="L14:L67" si="8">J14/D14*100</f>
        <v>89.470417414821227</v>
      </c>
      <c r="M14" s="540">
        <f>M15+M16+M17+M18</f>
        <v>0</v>
      </c>
      <c r="N14" s="544">
        <f>I14/D14</f>
        <v>0.89470417414821224</v>
      </c>
      <c r="O14" s="513"/>
      <c r="P14" s="513"/>
      <c r="R14" s="545"/>
    </row>
    <row r="15" spans="1:22" s="513" customFormat="1">
      <c r="A15" s="538" t="s">
        <v>144</v>
      </c>
      <c r="B15" s="543" t="s">
        <v>145</v>
      </c>
      <c r="C15" s="540">
        <v>506220</v>
      </c>
      <c r="D15" s="540">
        <v>506220</v>
      </c>
      <c r="E15" s="540">
        <f>F15+H15</f>
        <v>538485</v>
      </c>
      <c r="F15" s="540">
        <f>D15</f>
        <v>506220</v>
      </c>
      <c r="G15" s="540"/>
      <c r="H15" s="540">
        <v>32265</v>
      </c>
      <c r="I15" s="540">
        <v>506220</v>
      </c>
      <c r="J15" s="540">
        <v>506220</v>
      </c>
      <c r="K15" s="541">
        <f t="shared" si="6"/>
        <v>100</v>
      </c>
      <c r="L15" s="541">
        <f t="shared" si="8"/>
        <v>100</v>
      </c>
      <c r="M15" s="540"/>
      <c r="N15" s="514"/>
      <c r="Q15" s="510"/>
      <c r="R15" s="546"/>
      <c r="S15" s="510"/>
      <c r="T15" s="510"/>
      <c r="U15" s="510"/>
      <c r="V15" s="510"/>
    </row>
    <row r="16" spans="1:22">
      <c r="A16" s="538" t="s">
        <v>146</v>
      </c>
      <c r="B16" s="543" t="s">
        <v>147</v>
      </c>
      <c r="C16" s="540">
        <v>300000</v>
      </c>
      <c r="D16" s="540">
        <v>300000</v>
      </c>
      <c r="E16" s="540">
        <f t="shared" ref="E16:E19" si="9">F16+H16</f>
        <v>300000</v>
      </c>
      <c r="F16" s="540">
        <f>D16</f>
        <v>300000</v>
      </c>
      <c r="G16" s="540"/>
      <c r="H16" s="540">
        <f>93676-93676</f>
        <v>0</v>
      </c>
      <c r="I16" s="540">
        <f>J16+M16</f>
        <v>235000</v>
      </c>
      <c r="J16" s="540">
        <v>235000</v>
      </c>
      <c r="K16" s="541">
        <f t="shared" si="6"/>
        <v>78.333333333333329</v>
      </c>
      <c r="L16" s="541">
        <f t="shared" si="8"/>
        <v>78.333333333333329</v>
      </c>
      <c r="M16" s="540"/>
      <c r="N16" s="514"/>
      <c r="O16" s="513"/>
      <c r="P16" s="513"/>
      <c r="R16" s="546"/>
    </row>
    <row r="17" spans="1:22">
      <c r="A17" s="538" t="s">
        <v>148</v>
      </c>
      <c r="B17" s="543" t="s">
        <v>149</v>
      </c>
      <c r="C17" s="540">
        <v>90000</v>
      </c>
      <c r="D17" s="540">
        <v>90000</v>
      </c>
      <c r="E17" s="540">
        <f t="shared" si="9"/>
        <v>95187</v>
      </c>
      <c r="F17" s="540">
        <v>90000</v>
      </c>
      <c r="G17" s="547"/>
      <c r="H17" s="540">
        <v>5187</v>
      </c>
      <c r="I17" s="547">
        <f>J17+M17</f>
        <v>60000</v>
      </c>
      <c r="J17" s="540">
        <v>60000</v>
      </c>
      <c r="K17" s="541">
        <f t="shared" si="6"/>
        <v>66.666666666666657</v>
      </c>
      <c r="L17" s="541">
        <f t="shared" si="8"/>
        <v>66.666666666666657</v>
      </c>
      <c r="M17" s="540"/>
      <c r="N17" s="513"/>
      <c r="O17" s="513"/>
      <c r="P17" s="513"/>
      <c r="R17" s="546"/>
    </row>
    <row r="18" spans="1:22">
      <c r="A18" s="538" t="s">
        <v>150</v>
      </c>
      <c r="B18" s="543" t="s">
        <v>641</v>
      </c>
      <c r="C18" s="540"/>
      <c r="D18" s="540"/>
      <c r="E18" s="540">
        <f t="shared" si="9"/>
        <v>41197</v>
      </c>
      <c r="F18" s="540"/>
      <c r="G18" s="540"/>
      <c r="H18" s="540">
        <f>724+40473</f>
        <v>41197</v>
      </c>
      <c r="I18" s="540">
        <v>0</v>
      </c>
      <c r="J18" s="540"/>
      <c r="K18" s="541"/>
      <c r="L18" s="541"/>
      <c r="M18" s="540"/>
      <c r="N18" s="513"/>
      <c r="O18" s="513"/>
      <c r="P18" s="513"/>
      <c r="R18" s="546"/>
    </row>
    <row r="19" spans="1:22">
      <c r="A19" s="538" t="s">
        <v>192</v>
      </c>
      <c r="B19" s="543" t="s">
        <v>727</v>
      </c>
      <c r="C19" s="540">
        <v>0</v>
      </c>
      <c r="D19" s="540">
        <v>6000</v>
      </c>
      <c r="E19" s="540">
        <f t="shared" si="9"/>
        <v>12412</v>
      </c>
      <c r="F19" s="540">
        <f t="shared" ref="F19:F33" si="10">D19</f>
        <v>6000</v>
      </c>
      <c r="G19" s="540"/>
      <c r="H19" s="540">
        <v>6412</v>
      </c>
      <c r="I19" s="540">
        <f>J19</f>
        <v>6000</v>
      </c>
      <c r="J19" s="540">
        <v>6000</v>
      </c>
      <c r="K19" s="541"/>
      <c r="L19" s="541">
        <f t="shared" si="8"/>
        <v>100</v>
      </c>
      <c r="M19" s="540"/>
      <c r="N19" s="513"/>
      <c r="O19" s="513"/>
      <c r="P19" s="513"/>
      <c r="R19" s="546"/>
      <c r="V19" s="519"/>
    </row>
    <row r="20" spans="1:22">
      <c r="A20" s="538" t="s">
        <v>151</v>
      </c>
      <c r="B20" s="543" t="s">
        <v>152</v>
      </c>
      <c r="C20" s="540"/>
      <c r="D20" s="540">
        <f>SUM(D21:D33)</f>
        <v>902220</v>
      </c>
      <c r="E20" s="540">
        <f t="shared" ref="E20:J20" si="11">SUM(E21:E33)</f>
        <v>987281.00199999998</v>
      </c>
      <c r="F20" s="540">
        <f t="shared" si="11"/>
        <v>902220</v>
      </c>
      <c r="G20" s="540">
        <f t="shared" si="11"/>
        <v>0</v>
      </c>
      <c r="H20" s="540">
        <f t="shared" si="11"/>
        <v>85061.001999999979</v>
      </c>
      <c r="I20" s="540">
        <f t="shared" si="11"/>
        <v>807220</v>
      </c>
      <c r="J20" s="540">
        <f t="shared" si="11"/>
        <v>807220</v>
      </c>
      <c r="K20" s="541"/>
      <c r="L20" s="541">
        <f t="shared" si="8"/>
        <v>89.470417414821227</v>
      </c>
      <c r="M20" s="540"/>
      <c r="N20" s="513"/>
      <c r="O20" s="513"/>
      <c r="P20" s="513"/>
      <c r="R20" s="546"/>
      <c r="V20" s="519"/>
    </row>
    <row r="21" spans="1:22">
      <c r="A21" s="548" t="s">
        <v>144</v>
      </c>
      <c r="B21" s="539" t="s">
        <v>153</v>
      </c>
      <c r="C21" s="540"/>
      <c r="D21" s="540">
        <v>99150</v>
      </c>
      <c r="E21" s="540">
        <f>F21+H21</f>
        <v>118791.61499999999</v>
      </c>
      <c r="F21" s="540">
        <f t="shared" si="10"/>
        <v>99150</v>
      </c>
      <c r="G21" s="540"/>
      <c r="H21" s="540">
        <v>19641.614999999991</v>
      </c>
      <c r="I21" s="540">
        <f>J21</f>
        <v>88709.91886679524</v>
      </c>
      <c r="J21" s="540">
        <v>88709.91886679524</v>
      </c>
      <c r="K21" s="541"/>
      <c r="L21" s="541">
        <f t="shared" si="8"/>
        <v>89.470417414821227</v>
      </c>
      <c r="M21" s="540"/>
      <c r="N21" s="1086" t="s">
        <v>642</v>
      </c>
      <c r="O21" s="513">
        <f>I21/$I$20</f>
        <v>0.1098955908758396</v>
      </c>
      <c r="P21" s="514">
        <f>D21*$N$14</f>
        <v>88709.91886679524</v>
      </c>
      <c r="Q21" s="549"/>
      <c r="R21" s="546"/>
      <c r="V21" s="1078"/>
    </row>
    <row r="22" spans="1:22">
      <c r="A22" s="548" t="s">
        <v>146</v>
      </c>
      <c r="B22" s="539" t="s">
        <v>154</v>
      </c>
      <c r="C22" s="540"/>
      <c r="D22" s="540">
        <v>28912.589999999997</v>
      </c>
      <c r="E22" s="540">
        <f t="shared" ref="E22:E33" si="12">F22+H22</f>
        <v>34640.174078999997</v>
      </c>
      <c r="F22" s="540">
        <f t="shared" si="10"/>
        <v>28912.589999999997</v>
      </c>
      <c r="G22" s="540"/>
      <c r="H22" s="540">
        <v>5727.5840790000002</v>
      </c>
      <c r="I22" s="540">
        <f t="shared" ref="I22:I33" si="13">J22</f>
        <v>25868.214958435856</v>
      </c>
      <c r="J22" s="540">
        <v>25868.214958435856</v>
      </c>
      <c r="K22" s="541"/>
      <c r="L22" s="541">
        <f t="shared" si="8"/>
        <v>89.470417414821227</v>
      </c>
      <c r="M22" s="540"/>
      <c r="N22" s="1086"/>
      <c r="O22" s="513"/>
      <c r="P22" s="514">
        <f t="shared" ref="P22:P33" si="14">D22*$N$14</f>
        <v>25868.214958435856</v>
      </c>
      <c r="Q22" s="549"/>
      <c r="R22" s="546"/>
      <c r="V22" s="1078"/>
    </row>
    <row r="23" spans="1:22">
      <c r="A23" s="548" t="s">
        <v>148</v>
      </c>
      <c r="B23" s="539" t="s">
        <v>643</v>
      </c>
      <c r="C23" s="540"/>
      <c r="D23" s="540">
        <v>0</v>
      </c>
      <c r="E23" s="540">
        <f t="shared" si="12"/>
        <v>0</v>
      </c>
      <c r="F23" s="540">
        <f t="shared" si="10"/>
        <v>0</v>
      </c>
      <c r="G23" s="540"/>
      <c r="H23" s="540">
        <v>0</v>
      </c>
      <c r="I23" s="540">
        <f t="shared" si="13"/>
        <v>0</v>
      </c>
      <c r="J23" s="540">
        <v>0</v>
      </c>
      <c r="K23" s="541"/>
      <c r="L23" s="541"/>
      <c r="M23" s="540"/>
      <c r="N23" s="1086"/>
      <c r="O23" s="513"/>
      <c r="P23" s="514">
        <f t="shared" si="14"/>
        <v>0</v>
      </c>
      <c r="Q23" s="549"/>
      <c r="R23" s="546"/>
      <c r="V23" s="1078"/>
    </row>
    <row r="24" spans="1:22">
      <c r="A24" s="548" t="s">
        <v>150</v>
      </c>
      <c r="B24" s="539" t="s">
        <v>644</v>
      </c>
      <c r="C24" s="540"/>
      <c r="D24" s="540">
        <v>0</v>
      </c>
      <c r="E24" s="540">
        <f t="shared" si="12"/>
        <v>0</v>
      </c>
      <c r="F24" s="540">
        <f t="shared" si="10"/>
        <v>0</v>
      </c>
      <c r="G24" s="540"/>
      <c r="H24" s="540">
        <v>0</v>
      </c>
      <c r="I24" s="540">
        <f t="shared" si="13"/>
        <v>0</v>
      </c>
      <c r="J24" s="540">
        <v>0</v>
      </c>
      <c r="K24" s="541"/>
      <c r="L24" s="541"/>
      <c r="M24" s="540"/>
      <c r="N24" s="1086"/>
      <c r="O24" s="513"/>
      <c r="P24" s="514">
        <f t="shared" si="14"/>
        <v>0</v>
      </c>
      <c r="Q24" s="549"/>
      <c r="R24" s="546"/>
      <c r="V24" s="1078"/>
    </row>
    <row r="25" spans="1:22">
      <c r="A25" s="548" t="s">
        <v>192</v>
      </c>
      <c r="B25" s="539" t="s">
        <v>329</v>
      </c>
      <c r="C25" s="540"/>
      <c r="D25" s="540">
        <v>6976</v>
      </c>
      <c r="E25" s="540">
        <f t="shared" si="12"/>
        <v>8357.9455999999991</v>
      </c>
      <c r="F25" s="540">
        <f t="shared" si="10"/>
        <v>6976</v>
      </c>
      <c r="G25" s="540"/>
      <c r="H25" s="540">
        <v>1381.9455999999991</v>
      </c>
      <c r="I25" s="540">
        <f t="shared" si="13"/>
        <v>6241.4563188579286</v>
      </c>
      <c r="J25" s="540">
        <v>6241.4563188579286</v>
      </c>
      <c r="K25" s="541"/>
      <c r="L25" s="541">
        <f t="shared" si="8"/>
        <v>89.470417414821227</v>
      </c>
      <c r="M25" s="540"/>
      <c r="N25" s="1086"/>
      <c r="O25" s="513"/>
      <c r="P25" s="514">
        <f t="shared" si="14"/>
        <v>6241.4563188579286</v>
      </c>
      <c r="Q25" s="549"/>
      <c r="R25" s="546"/>
      <c r="V25" s="1078"/>
    </row>
    <row r="26" spans="1:22">
      <c r="A26" s="548" t="s">
        <v>193</v>
      </c>
      <c r="B26" s="539" t="s">
        <v>330</v>
      </c>
      <c r="C26" s="540"/>
      <c r="D26" s="540">
        <v>3600</v>
      </c>
      <c r="E26" s="540">
        <f t="shared" si="12"/>
        <v>4313.16</v>
      </c>
      <c r="F26" s="540">
        <f t="shared" si="10"/>
        <v>3600</v>
      </c>
      <c r="G26" s="540"/>
      <c r="H26" s="540">
        <v>713.15999999999985</v>
      </c>
      <c r="I26" s="540">
        <f t="shared" si="13"/>
        <v>3220.9350269335641</v>
      </c>
      <c r="J26" s="540">
        <v>3220.9350269335641</v>
      </c>
      <c r="K26" s="541"/>
      <c r="L26" s="541">
        <f t="shared" si="8"/>
        <v>89.470417414821227</v>
      </c>
      <c r="M26" s="540"/>
      <c r="N26" s="1086"/>
      <c r="O26" s="513"/>
      <c r="P26" s="514">
        <f t="shared" si="14"/>
        <v>3220.9350269335641</v>
      </c>
      <c r="Q26" s="549"/>
      <c r="R26" s="546"/>
      <c r="V26" s="1078"/>
    </row>
    <row r="27" spans="1:22">
      <c r="A27" s="548" t="s">
        <v>194</v>
      </c>
      <c r="B27" s="539" t="s">
        <v>331</v>
      </c>
      <c r="C27" s="540"/>
      <c r="D27" s="540">
        <v>1200</v>
      </c>
      <c r="E27" s="540">
        <f t="shared" si="12"/>
        <v>1437.72</v>
      </c>
      <c r="F27" s="540">
        <f t="shared" si="10"/>
        <v>1200</v>
      </c>
      <c r="G27" s="540"/>
      <c r="H27" s="540">
        <v>237.72000000000003</v>
      </c>
      <c r="I27" s="540">
        <f t="shared" si="13"/>
        <v>1073.6450089778548</v>
      </c>
      <c r="J27" s="540">
        <v>1073.6450089778548</v>
      </c>
      <c r="K27" s="541"/>
      <c r="L27" s="541">
        <f t="shared" si="8"/>
        <v>89.470417414821242</v>
      </c>
      <c r="M27" s="540"/>
      <c r="N27" s="1086"/>
      <c r="O27" s="513"/>
      <c r="P27" s="514">
        <f t="shared" si="14"/>
        <v>1073.6450089778548</v>
      </c>
      <c r="Q27" s="549"/>
      <c r="R27" s="546"/>
      <c r="V27" s="1078"/>
    </row>
    <row r="28" spans="1:22">
      <c r="A28" s="548" t="s">
        <v>195</v>
      </c>
      <c r="B28" s="539" t="s">
        <v>645</v>
      </c>
      <c r="C28" s="540"/>
      <c r="D28" s="540">
        <v>16698</v>
      </c>
      <c r="E28" s="540">
        <f t="shared" si="12"/>
        <v>20005.873799999998</v>
      </c>
      <c r="F28" s="540">
        <f t="shared" si="10"/>
        <v>16698</v>
      </c>
      <c r="G28" s="540"/>
      <c r="H28" s="540">
        <v>3307.8737999999976</v>
      </c>
      <c r="I28" s="540">
        <f t="shared" si="13"/>
        <v>14939.770299926848</v>
      </c>
      <c r="J28" s="540">
        <v>14939.770299926848</v>
      </c>
      <c r="K28" s="541"/>
      <c r="L28" s="541">
        <f t="shared" si="8"/>
        <v>89.470417414821227</v>
      </c>
      <c r="M28" s="540"/>
      <c r="N28" s="1086"/>
      <c r="O28" s="513"/>
      <c r="P28" s="514">
        <f t="shared" si="14"/>
        <v>14939.770299926848</v>
      </c>
      <c r="Q28" s="549"/>
      <c r="R28" s="546"/>
      <c r="V28" s="1078"/>
    </row>
    <row r="29" spans="1:22">
      <c r="A29" s="548" t="s">
        <v>616</v>
      </c>
      <c r="B29" s="539" t="s">
        <v>328</v>
      </c>
      <c r="C29" s="540"/>
      <c r="D29" s="540">
        <v>20970</v>
      </c>
      <c r="E29" s="540">
        <f t="shared" si="12"/>
        <v>25124.156999999999</v>
      </c>
      <c r="F29" s="540">
        <f t="shared" si="10"/>
        <v>20970</v>
      </c>
      <c r="G29" s="540"/>
      <c r="H29" s="540">
        <v>4154.1569999999992</v>
      </c>
      <c r="I29" s="540">
        <f t="shared" si="13"/>
        <v>18761.94653188801</v>
      </c>
      <c r="J29" s="540">
        <v>18761.94653188801</v>
      </c>
      <c r="K29" s="541"/>
      <c r="L29" s="541">
        <f t="shared" si="8"/>
        <v>89.470417414821227</v>
      </c>
      <c r="M29" s="540"/>
      <c r="N29" s="1086"/>
      <c r="O29" s="513"/>
      <c r="P29" s="514">
        <f t="shared" si="14"/>
        <v>18761.94653188801</v>
      </c>
      <c r="Q29" s="549"/>
      <c r="V29" s="1078"/>
    </row>
    <row r="30" spans="1:22">
      <c r="A30" s="548" t="s">
        <v>196</v>
      </c>
      <c r="B30" s="539" t="s">
        <v>197</v>
      </c>
      <c r="C30" s="540"/>
      <c r="D30" s="540">
        <v>714875.83799999999</v>
      </c>
      <c r="E30" s="540">
        <f t="shared" si="12"/>
        <v>762823.96150780004</v>
      </c>
      <c r="F30" s="540">
        <f t="shared" si="10"/>
        <v>714875.83799999999</v>
      </c>
      <c r="G30" s="540"/>
      <c r="H30" s="540">
        <f>141624.1235078-93676</f>
        <v>47948.123507799988</v>
      </c>
      <c r="I30" s="540">
        <f t="shared" si="13"/>
        <v>639602.3962563012</v>
      </c>
      <c r="J30" s="540">
        <v>639602.3962563012</v>
      </c>
      <c r="K30" s="541"/>
      <c r="L30" s="541">
        <f t="shared" si="8"/>
        <v>89.470417414821242</v>
      </c>
      <c r="M30" s="540"/>
      <c r="N30" s="1086"/>
      <c r="O30" s="513"/>
      <c r="P30" s="514">
        <f t="shared" si="14"/>
        <v>639602.3962563012</v>
      </c>
      <c r="Q30" s="549"/>
      <c r="V30" s="1078"/>
    </row>
    <row r="31" spans="1:22">
      <c r="A31" s="548" t="s">
        <v>198</v>
      </c>
      <c r="B31" s="539" t="s">
        <v>199</v>
      </c>
      <c r="C31" s="540"/>
      <c r="D31" s="540">
        <v>8484</v>
      </c>
      <c r="E31" s="540">
        <f t="shared" si="12"/>
        <v>10164.680399999999</v>
      </c>
      <c r="F31" s="540">
        <f t="shared" si="10"/>
        <v>8484</v>
      </c>
      <c r="G31" s="540"/>
      <c r="H31" s="540">
        <v>1680.6803999999993</v>
      </c>
      <c r="I31" s="540">
        <f t="shared" si="13"/>
        <v>7590.6702134734323</v>
      </c>
      <c r="J31" s="540">
        <v>7590.6702134734323</v>
      </c>
      <c r="K31" s="541"/>
      <c r="L31" s="541">
        <f t="shared" si="8"/>
        <v>89.470417414821227</v>
      </c>
      <c r="M31" s="540"/>
      <c r="N31" s="1086"/>
      <c r="O31" s="513"/>
      <c r="P31" s="514">
        <f t="shared" si="14"/>
        <v>7590.6702134734323</v>
      </c>
      <c r="Q31" s="549"/>
      <c r="V31" s="1078"/>
    </row>
    <row r="32" spans="1:22">
      <c r="A32" s="548" t="s">
        <v>200</v>
      </c>
      <c r="B32" s="539" t="s">
        <v>201</v>
      </c>
      <c r="C32" s="540"/>
      <c r="D32" s="540">
        <v>1353.5720000000001</v>
      </c>
      <c r="E32" s="540">
        <f t="shared" si="12"/>
        <v>1621.7146132</v>
      </c>
      <c r="F32" s="540">
        <f t="shared" si="10"/>
        <v>1353.5720000000001</v>
      </c>
      <c r="G32" s="540"/>
      <c r="H32" s="540">
        <v>268.14261319999991</v>
      </c>
      <c r="I32" s="540">
        <f t="shared" si="13"/>
        <v>1211.046518410144</v>
      </c>
      <c r="J32" s="540">
        <v>1211.046518410144</v>
      </c>
      <c r="K32" s="541"/>
      <c r="L32" s="541">
        <f t="shared" si="8"/>
        <v>89.470417414821227</v>
      </c>
      <c r="M32" s="540"/>
      <c r="N32" s="1086"/>
      <c r="O32" s="513"/>
      <c r="P32" s="514">
        <f t="shared" si="14"/>
        <v>1211.046518410144</v>
      </c>
      <c r="Q32" s="549"/>
      <c r="V32" s="1078"/>
    </row>
    <row r="33" spans="1:22">
      <c r="A33" s="548" t="s">
        <v>202</v>
      </c>
      <c r="B33" s="539" t="s">
        <v>203</v>
      </c>
      <c r="C33" s="540"/>
      <c r="D33" s="540"/>
      <c r="E33" s="540">
        <f t="shared" si="12"/>
        <v>0</v>
      </c>
      <c r="F33" s="540">
        <f t="shared" si="10"/>
        <v>0</v>
      </c>
      <c r="G33" s="540"/>
      <c r="H33" s="540">
        <v>0</v>
      </c>
      <c r="I33" s="540">
        <f t="shared" si="13"/>
        <v>0</v>
      </c>
      <c r="J33" s="540">
        <v>0</v>
      </c>
      <c r="K33" s="541"/>
      <c r="L33" s="541"/>
      <c r="M33" s="540"/>
      <c r="N33" s="1086"/>
      <c r="O33" s="513"/>
      <c r="P33" s="514">
        <f t="shared" si="14"/>
        <v>0</v>
      </c>
      <c r="Q33" s="549"/>
      <c r="S33" s="550"/>
      <c r="V33" s="1078"/>
    </row>
    <row r="34" spans="1:22" s="526" customFormat="1" ht="18.75" customHeight="1">
      <c r="A34" s="534">
        <v>2</v>
      </c>
      <c r="B34" s="535" t="s">
        <v>155</v>
      </c>
      <c r="C34" s="536">
        <v>4463168</v>
      </c>
      <c r="D34" s="536">
        <f t="shared" ref="D34:G34" si="15">SUM(D36:D47)</f>
        <v>4457167.6919999989</v>
      </c>
      <c r="E34" s="536">
        <f t="shared" si="15"/>
        <v>4563256.1919999989</v>
      </c>
      <c r="F34" s="536">
        <f t="shared" si="15"/>
        <v>4457167.6919999989</v>
      </c>
      <c r="G34" s="536">
        <f t="shared" si="15"/>
        <v>0</v>
      </c>
      <c r="H34" s="536">
        <f>SUM(H36:H47)</f>
        <v>106088.5</v>
      </c>
      <c r="I34" s="536">
        <f>SUM(I36:I47)</f>
        <v>4951888.6500000022</v>
      </c>
      <c r="J34" s="536">
        <f>SUM(J36:J47)</f>
        <v>4951888.6500000022</v>
      </c>
      <c r="K34" s="537">
        <f t="shared" si="6"/>
        <v>110.95008411065868</v>
      </c>
      <c r="L34" s="537">
        <f>J34/D34*100</f>
        <v>111.09944682781307</v>
      </c>
      <c r="M34" s="536">
        <f>SUM(M36:M47)</f>
        <v>0</v>
      </c>
      <c r="N34" s="516">
        <v>0</v>
      </c>
      <c r="O34" s="531">
        <f>I34-D34</f>
        <v>494720.95800000336</v>
      </c>
      <c r="P34" s="523"/>
      <c r="Q34" s="532"/>
      <c r="R34" s="551"/>
      <c r="S34" s="533"/>
      <c r="T34" s="524"/>
      <c r="U34" s="524"/>
      <c r="V34" s="524"/>
    </row>
    <row r="35" spans="1:22" s="526" customFormat="1" ht="18.75" customHeight="1">
      <c r="A35" s="534"/>
      <c r="B35" s="535" t="s">
        <v>39</v>
      </c>
      <c r="C35" s="536"/>
      <c r="D35" s="536"/>
      <c r="E35" s="536"/>
      <c r="F35" s="536"/>
      <c r="G35" s="536"/>
      <c r="H35" s="536"/>
      <c r="I35" s="536"/>
      <c r="J35" s="536"/>
      <c r="K35" s="541"/>
      <c r="L35" s="541"/>
      <c r="M35" s="536"/>
      <c r="N35" s="523"/>
      <c r="O35" s="523"/>
      <c r="P35" s="523"/>
      <c r="Q35" s="524"/>
      <c r="R35" s="525"/>
      <c r="S35" s="533"/>
      <c r="T35" s="524"/>
      <c r="U35" s="524"/>
      <c r="V35" s="524"/>
    </row>
    <row r="36" spans="1:22" ht="21.75" customHeight="1">
      <c r="A36" s="548" t="s">
        <v>144</v>
      </c>
      <c r="B36" s="539" t="s">
        <v>153</v>
      </c>
      <c r="C36" s="540">
        <v>1969882</v>
      </c>
      <c r="D36" s="540">
        <v>1973977</v>
      </c>
      <c r="E36" s="540">
        <f t="shared" ref="E36:E53" si="16">F36+G36+H36</f>
        <v>1973977</v>
      </c>
      <c r="F36" s="540">
        <f>D36</f>
        <v>1973977</v>
      </c>
      <c r="G36" s="540"/>
      <c r="H36" s="540"/>
      <c r="I36" s="540">
        <f>J36+M36</f>
        <v>2193077.5275082588</v>
      </c>
      <c r="J36" s="540">
        <f>D36*$H$4</f>
        <v>2193077.5275082588</v>
      </c>
      <c r="K36" s="541">
        <f>J36/C36*100</f>
        <v>111.33040088229949</v>
      </c>
      <c r="L36" s="541">
        <f>J36/D36*100</f>
        <v>111.09944682781303</v>
      </c>
      <c r="M36" s="540"/>
      <c r="N36" s="513"/>
      <c r="O36" s="513"/>
      <c r="P36" s="513"/>
      <c r="V36" s="514"/>
    </row>
    <row r="37" spans="1:22" ht="21.75" customHeight="1">
      <c r="A37" s="548" t="s">
        <v>146</v>
      </c>
      <c r="B37" s="539" t="s">
        <v>154</v>
      </c>
      <c r="C37" s="540">
        <v>16442</v>
      </c>
      <c r="D37" s="540">
        <v>16442</v>
      </c>
      <c r="E37" s="540">
        <f t="shared" si="16"/>
        <v>16442</v>
      </c>
      <c r="F37" s="540">
        <f t="shared" ref="F37:F47" si="17">D37</f>
        <v>16442</v>
      </c>
      <c r="G37" s="540"/>
      <c r="H37" s="540"/>
      <c r="I37" s="540">
        <f t="shared" ref="I37:I51" si="18">J37+M37</f>
        <v>18266.971047429019</v>
      </c>
      <c r="J37" s="540">
        <f t="shared" ref="J37:J46" si="19">D37*$H$4</f>
        <v>18266.971047429019</v>
      </c>
      <c r="K37" s="541">
        <f t="shared" si="6"/>
        <v>111.09944682781303</v>
      </c>
      <c r="L37" s="541">
        <f t="shared" si="8"/>
        <v>111.09944682781303</v>
      </c>
      <c r="M37" s="540"/>
      <c r="N37" s="513"/>
      <c r="O37" s="513"/>
      <c r="P37" s="513"/>
      <c r="V37" s="514"/>
    </row>
    <row r="38" spans="1:22" ht="21.75" customHeight="1">
      <c r="A38" s="548" t="s">
        <v>616</v>
      </c>
      <c r="B38" s="539" t="s">
        <v>209</v>
      </c>
      <c r="C38" s="540">
        <v>75008</v>
      </c>
      <c r="D38" s="540">
        <v>83687</v>
      </c>
      <c r="E38" s="540">
        <f>F38+G38+H38</f>
        <v>83687</v>
      </c>
      <c r="F38" s="540">
        <f t="shared" si="17"/>
        <v>83687</v>
      </c>
      <c r="G38" s="540"/>
      <c r="H38" s="540"/>
      <c r="I38" s="540">
        <f t="shared" si="18"/>
        <v>92975.794066791888</v>
      </c>
      <c r="J38" s="540">
        <f t="shared" si="19"/>
        <v>92975.794066791888</v>
      </c>
      <c r="K38" s="541">
        <f>J38/C38*100</f>
        <v>123.95450360867093</v>
      </c>
      <c r="L38" s="541">
        <f t="shared" si="8"/>
        <v>111.09944682781303</v>
      </c>
      <c r="M38" s="540"/>
      <c r="N38" s="513"/>
      <c r="O38" s="513"/>
      <c r="P38" s="513"/>
      <c r="V38" s="513"/>
    </row>
    <row r="39" spans="1:22" ht="21.75" customHeight="1">
      <c r="A39" s="548" t="s">
        <v>148</v>
      </c>
      <c r="B39" s="539" t="s">
        <v>204</v>
      </c>
      <c r="C39" s="540"/>
      <c r="D39" s="540">
        <f>111588+33172</f>
        <v>144760</v>
      </c>
      <c r="E39" s="540">
        <f t="shared" si="16"/>
        <v>151810</v>
      </c>
      <c r="F39" s="540">
        <f t="shared" si="17"/>
        <v>144760</v>
      </c>
      <c r="G39" s="540"/>
      <c r="H39" s="540">
        <f>7050</f>
        <v>7050</v>
      </c>
      <c r="I39" s="540">
        <f t="shared" si="18"/>
        <v>160827.55922794214</v>
      </c>
      <c r="J39" s="540">
        <f t="shared" si="19"/>
        <v>160827.55922794214</v>
      </c>
      <c r="K39" s="541"/>
      <c r="L39" s="541">
        <f t="shared" si="8"/>
        <v>111.09944682781303</v>
      </c>
      <c r="M39" s="540"/>
      <c r="N39" s="513"/>
      <c r="O39" s="513"/>
      <c r="P39" s="513"/>
      <c r="V39" s="513"/>
    </row>
    <row r="40" spans="1:22" ht="21.75" customHeight="1">
      <c r="A40" s="548" t="s">
        <v>150</v>
      </c>
      <c r="B40" s="539" t="s">
        <v>205</v>
      </c>
      <c r="C40" s="540"/>
      <c r="D40" s="540">
        <v>485564.4</v>
      </c>
      <c r="E40" s="540">
        <f t="shared" si="16"/>
        <v>548736.9</v>
      </c>
      <c r="F40" s="540">
        <f t="shared" si="17"/>
        <v>485564.4</v>
      </c>
      <c r="G40" s="540"/>
      <c r="H40" s="540">
        <f>126345/2</f>
        <v>63172.5</v>
      </c>
      <c r="I40" s="540">
        <f t="shared" si="18"/>
        <v>539459.36239278945</v>
      </c>
      <c r="J40" s="540">
        <f t="shared" si="19"/>
        <v>539459.36239278945</v>
      </c>
      <c r="K40" s="541"/>
      <c r="L40" s="541">
        <f t="shared" si="8"/>
        <v>111.09944682781303</v>
      </c>
      <c r="M40" s="540"/>
      <c r="N40" s="513"/>
      <c r="O40" s="513"/>
      <c r="P40" s="513"/>
    </row>
    <row r="41" spans="1:22" ht="21.75" customHeight="1">
      <c r="A41" s="548" t="s">
        <v>193</v>
      </c>
      <c r="B41" s="539" t="s">
        <v>206</v>
      </c>
      <c r="C41" s="540"/>
      <c r="D41" s="540">
        <v>57889.313999999998</v>
      </c>
      <c r="E41" s="540">
        <f t="shared" si="16"/>
        <v>57889.313999999998</v>
      </c>
      <c r="F41" s="540">
        <f t="shared" si="17"/>
        <v>57889.313999999998</v>
      </c>
      <c r="G41" s="540"/>
      <c r="H41" s="540"/>
      <c r="I41" s="540">
        <f t="shared" si="18"/>
        <v>64314.707626415722</v>
      </c>
      <c r="J41" s="540">
        <f t="shared" si="19"/>
        <v>64314.707626415722</v>
      </c>
      <c r="K41" s="541"/>
      <c r="L41" s="541">
        <f>J41/D41*100</f>
        <v>111.09944682781303</v>
      </c>
      <c r="M41" s="540"/>
      <c r="N41" s="513"/>
      <c r="O41" s="513"/>
      <c r="P41" s="513"/>
    </row>
    <row r="42" spans="1:22" ht="21.75" customHeight="1">
      <c r="A42" s="548" t="s">
        <v>194</v>
      </c>
      <c r="B42" s="539" t="s">
        <v>207</v>
      </c>
      <c r="C42" s="540"/>
      <c r="D42" s="540">
        <v>29266.303</v>
      </c>
      <c r="E42" s="540">
        <f t="shared" si="16"/>
        <v>29266.303</v>
      </c>
      <c r="F42" s="540">
        <f t="shared" si="17"/>
        <v>29266.303</v>
      </c>
      <c r="G42" s="540"/>
      <c r="H42" s="540"/>
      <c r="I42" s="540">
        <f t="shared" si="18"/>
        <v>32514.700739951651</v>
      </c>
      <c r="J42" s="540">
        <f t="shared" si="19"/>
        <v>32514.700739951651</v>
      </c>
      <c r="K42" s="541"/>
      <c r="L42" s="541">
        <f t="shared" si="8"/>
        <v>111.09944682781303</v>
      </c>
      <c r="M42" s="540"/>
      <c r="N42" s="513"/>
      <c r="O42" s="513"/>
      <c r="P42" s="513"/>
    </row>
    <row r="43" spans="1:22" ht="21.75" customHeight="1">
      <c r="A43" s="548" t="s">
        <v>195</v>
      </c>
      <c r="B43" s="539" t="s">
        <v>208</v>
      </c>
      <c r="C43" s="540"/>
      <c r="D43" s="540">
        <v>18341</v>
      </c>
      <c r="E43" s="540">
        <f t="shared" si="16"/>
        <v>18341</v>
      </c>
      <c r="F43" s="540">
        <f t="shared" si="17"/>
        <v>18341</v>
      </c>
      <c r="G43" s="540"/>
      <c r="H43" s="540"/>
      <c r="I43" s="540">
        <f t="shared" si="18"/>
        <v>20376.749542689187</v>
      </c>
      <c r="J43" s="540">
        <f t="shared" si="19"/>
        <v>20376.749542689187</v>
      </c>
      <c r="K43" s="541"/>
      <c r="L43" s="541">
        <f t="shared" si="8"/>
        <v>111.09944682781303</v>
      </c>
      <c r="M43" s="540"/>
      <c r="N43" s="513"/>
      <c r="O43" s="513"/>
      <c r="P43" s="513"/>
    </row>
    <row r="44" spans="1:22" ht="21.75" customHeight="1">
      <c r="A44" s="548" t="s">
        <v>196</v>
      </c>
      <c r="B44" s="539" t="s">
        <v>197</v>
      </c>
      <c r="C44" s="540"/>
      <c r="D44" s="540">
        <v>349770.929</v>
      </c>
      <c r="E44" s="540">
        <f t="shared" si="16"/>
        <v>376404.929</v>
      </c>
      <c r="F44" s="540">
        <f t="shared" si="17"/>
        <v>349770.929</v>
      </c>
      <c r="G44" s="540"/>
      <c r="H44" s="540">
        <f>5771+12550+8313</f>
        <v>26634</v>
      </c>
      <c r="I44" s="540">
        <f t="shared" si="18"/>
        <v>388593.56728350266</v>
      </c>
      <c r="J44" s="540">
        <f t="shared" si="19"/>
        <v>388593.56728350266</v>
      </c>
      <c r="K44" s="541"/>
      <c r="L44" s="541">
        <f t="shared" si="8"/>
        <v>111.09944682781303</v>
      </c>
      <c r="M44" s="540"/>
      <c r="N44" s="513"/>
      <c r="O44" s="513"/>
      <c r="P44" s="513"/>
    </row>
    <row r="45" spans="1:22" ht="21.75" customHeight="1">
      <c r="A45" s="548" t="s">
        <v>198</v>
      </c>
      <c r="B45" s="539" t="s">
        <v>199</v>
      </c>
      <c r="C45" s="540"/>
      <c r="D45" s="540">
        <v>1078315.946</v>
      </c>
      <c r="E45" s="540">
        <f t="shared" si="16"/>
        <v>1078315.946</v>
      </c>
      <c r="F45" s="540">
        <f t="shared" si="17"/>
        <v>1078315.946</v>
      </c>
      <c r="G45" s="540"/>
      <c r="H45" s="540"/>
      <c r="I45" s="540">
        <f t="shared" si="18"/>
        <v>1198003.0510620992</v>
      </c>
      <c r="J45" s="540">
        <f t="shared" si="19"/>
        <v>1198003.0510620992</v>
      </c>
      <c r="K45" s="541"/>
      <c r="L45" s="541">
        <f t="shared" si="8"/>
        <v>111.09944682781303</v>
      </c>
      <c r="M45" s="540"/>
      <c r="N45" s="513"/>
      <c r="O45" s="513"/>
      <c r="P45" s="513"/>
    </row>
    <row r="46" spans="1:22" ht="21.75" customHeight="1">
      <c r="A46" s="548" t="s">
        <v>200</v>
      </c>
      <c r="B46" s="539" t="s">
        <v>201</v>
      </c>
      <c r="C46" s="540"/>
      <c r="D46" s="540">
        <v>120094</v>
      </c>
      <c r="E46" s="540">
        <f t="shared" si="16"/>
        <v>129326</v>
      </c>
      <c r="F46" s="540">
        <f t="shared" si="17"/>
        <v>120094</v>
      </c>
      <c r="G46" s="540"/>
      <c r="H46" s="540">
        <f>6793+2439</f>
        <v>9232</v>
      </c>
      <c r="I46" s="540">
        <f t="shared" si="18"/>
        <v>133423.76967339378</v>
      </c>
      <c r="J46" s="540">
        <f t="shared" si="19"/>
        <v>133423.76967339378</v>
      </c>
      <c r="K46" s="541"/>
      <c r="L46" s="541">
        <f t="shared" si="8"/>
        <v>111.09944682781303</v>
      </c>
      <c r="M46" s="540"/>
      <c r="N46" s="513"/>
      <c r="O46" s="513"/>
      <c r="P46" s="513"/>
    </row>
    <row r="47" spans="1:22" ht="21.75" customHeight="1">
      <c r="A47" s="548" t="s">
        <v>202</v>
      </c>
      <c r="B47" s="539" t="s">
        <v>203</v>
      </c>
      <c r="C47" s="540"/>
      <c r="D47" s="540">
        <f>99059.8</f>
        <v>99059.8</v>
      </c>
      <c r="E47" s="540">
        <f t="shared" si="16"/>
        <v>99059.8</v>
      </c>
      <c r="F47" s="540">
        <f t="shared" si="17"/>
        <v>99059.8</v>
      </c>
      <c r="G47" s="540"/>
      <c r="H47" s="540"/>
      <c r="I47" s="540">
        <f t="shared" si="18"/>
        <v>110054.88982873794</v>
      </c>
      <c r="J47" s="540">
        <f>D47*$H$4</f>
        <v>110054.88982873794</v>
      </c>
      <c r="K47" s="541"/>
      <c r="L47" s="541">
        <f t="shared" si="8"/>
        <v>111.09944682781303</v>
      </c>
      <c r="M47" s="540"/>
      <c r="N47" s="513"/>
      <c r="O47" s="513"/>
      <c r="P47" s="513"/>
    </row>
    <row r="48" spans="1:22" s="526" customFormat="1" ht="14.25">
      <c r="A48" s="534">
        <v>3</v>
      </c>
      <c r="B48" s="535" t="s">
        <v>728</v>
      </c>
      <c r="C48" s="536">
        <v>2000</v>
      </c>
      <c r="D48" s="536">
        <v>2000</v>
      </c>
      <c r="E48" s="536">
        <f>D48+H48</f>
        <v>9904</v>
      </c>
      <c r="F48" s="536">
        <v>2000</v>
      </c>
      <c r="G48" s="536"/>
      <c r="H48" s="536">
        <f>500+7143+261</f>
        <v>7904</v>
      </c>
      <c r="I48" s="536">
        <v>4660.2999999999993</v>
      </c>
      <c r="J48" s="536">
        <v>4660.2999999999993</v>
      </c>
      <c r="K48" s="537">
        <f t="shared" si="6"/>
        <v>233.01499999999999</v>
      </c>
      <c r="L48" s="537">
        <f t="shared" si="8"/>
        <v>233.01499999999999</v>
      </c>
      <c r="M48" s="536"/>
      <c r="N48" s="523"/>
      <c r="O48" s="523"/>
      <c r="P48" s="523"/>
      <c r="Q48" s="524"/>
      <c r="R48" s="525"/>
      <c r="S48" s="524"/>
      <c r="T48" s="524"/>
      <c r="U48" s="524"/>
      <c r="V48" s="524"/>
    </row>
    <row r="49" spans="1:22" s="526" customFormat="1" ht="14.25">
      <c r="A49" s="534">
        <v>4</v>
      </c>
      <c r="B49" s="535" t="s">
        <v>156</v>
      </c>
      <c r="C49" s="536">
        <v>1000</v>
      </c>
      <c r="D49" s="536">
        <v>1000</v>
      </c>
      <c r="E49" s="536">
        <f t="shared" si="16"/>
        <v>1000</v>
      </c>
      <c r="F49" s="536">
        <f>D49</f>
        <v>1000</v>
      </c>
      <c r="G49" s="536"/>
      <c r="H49" s="536"/>
      <c r="I49" s="536">
        <f t="shared" si="18"/>
        <v>1000</v>
      </c>
      <c r="J49" s="536">
        <v>1000</v>
      </c>
      <c r="K49" s="537">
        <f t="shared" si="6"/>
        <v>100</v>
      </c>
      <c r="L49" s="537">
        <f t="shared" si="8"/>
        <v>100</v>
      </c>
      <c r="M49" s="536"/>
      <c r="N49" s="523"/>
      <c r="O49" s="523"/>
      <c r="P49" s="523"/>
      <c r="Q49" s="524"/>
      <c r="R49" s="525"/>
      <c r="S49" s="524"/>
      <c r="T49" s="524"/>
      <c r="U49" s="524"/>
      <c r="V49" s="524"/>
    </row>
    <row r="50" spans="1:22" s="526" customFormat="1" ht="14.25">
      <c r="A50" s="534">
        <v>5</v>
      </c>
      <c r="B50" s="535" t="s">
        <v>157</v>
      </c>
      <c r="C50" s="536">
        <v>109437</v>
      </c>
      <c r="D50" s="536">
        <v>126345</v>
      </c>
      <c r="E50" s="536">
        <f t="shared" si="16"/>
        <v>0</v>
      </c>
      <c r="F50" s="536"/>
      <c r="G50" s="536"/>
      <c r="H50" s="536"/>
      <c r="I50" s="536">
        <f t="shared" si="18"/>
        <v>117648.55</v>
      </c>
      <c r="J50" s="536">
        <v>117648.55</v>
      </c>
      <c r="K50" s="537">
        <f t="shared" si="6"/>
        <v>107.50344947321291</v>
      </c>
      <c r="L50" s="537">
        <f t="shared" si="8"/>
        <v>93.116902133048413</v>
      </c>
      <c r="M50" s="536"/>
      <c r="N50" s="523"/>
      <c r="O50" s="523"/>
      <c r="P50" s="523"/>
      <c r="Q50" s="524"/>
      <c r="R50" s="525"/>
      <c r="S50" s="524"/>
      <c r="T50" s="524"/>
      <c r="U50" s="524"/>
      <c r="V50" s="524"/>
    </row>
    <row r="51" spans="1:22" s="526" customFormat="1" ht="14.25">
      <c r="A51" s="534">
        <v>6</v>
      </c>
      <c r="B51" s="535" t="s">
        <v>646</v>
      </c>
      <c r="C51" s="536"/>
      <c r="D51" s="536"/>
      <c r="E51" s="536"/>
      <c r="F51" s="536"/>
      <c r="G51" s="536"/>
      <c r="H51" s="536"/>
      <c r="I51" s="536">
        <f t="shared" si="18"/>
        <v>0</v>
      </c>
      <c r="J51" s="536">
        <v>0</v>
      </c>
      <c r="K51" s="537"/>
      <c r="L51" s="537"/>
      <c r="M51" s="536"/>
      <c r="N51" s="523"/>
      <c r="O51" s="523"/>
      <c r="P51" s="523"/>
      <c r="Q51" s="524"/>
      <c r="R51" s="525"/>
      <c r="S51" s="524"/>
      <c r="T51" s="524"/>
      <c r="U51" s="524"/>
      <c r="V51" s="524"/>
    </row>
    <row r="52" spans="1:22" s="526" customFormat="1">
      <c r="A52" s="534">
        <v>7</v>
      </c>
      <c r="B52" s="535" t="s">
        <v>647</v>
      </c>
      <c r="C52" s="536">
        <f>C53+C54</f>
        <v>0</v>
      </c>
      <c r="D52" s="536">
        <f>D53+D54</f>
        <v>828492</v>
      </c>
      <c r="E52" s="536">
        <f>F52+G52+H52</f>
        <v>618220.07440000004</v>
      </c>
      <c r="F52" s="536">
        <f>F53+F54</f>
        <v>618220.07440000004</v>
      </c>
      <c r="G52" s="536"/>
      <c r="H52" s="536"/>
      <c r="I52" s="536">
        <f>I53+I54</f>
        <v>0</v>
      </c>
      <c r="J52" s="536">
        <f>J53+J54</f>
        <v>0</v>
      </c>
      <c r="K52" s="541"/>
      <c r="L52" s="541">
        <f t="shared" si="8"/>
        <v>0</v>
      </c>
      <c r="M52" s="536">
        <f>M53+M54</f>
        <v>0</v>
      </c>
      <c r="N52" s="523"/>
      <c r="O52" s="523"/>
      <c r="P52" s="523"/>
      <c r="Q52" s="524"/>
      <c r="R52" s="525"/>
      <c r="S52" s="524"/>
      <c r="T52" s="524"/>
      <c r="U52" s="524"/>
      <c r="V52" s="524"/>
    </row>
    <row r="53" spans="1:22">
      <c r="A53" s="538"/>
      <c r="B53" s="543" t="s">
        <v>707</v>
      </c>
      <c r="C53" s="540"/>
      <c r="D53" s="540">
        <v>39000</v>
      </c>
      <c r="E53" s="540">
        <f t="shared" si="16"/>
        <v>0</v>
      </c>
      <c r="F53" s="540"/>
      <c r="G53" s="540"/>
      <c r="H53" s="540"/>
      <c r="I53" s="540">
        <f>J53+K53</f>
        <v>0</v>
      </c>
      <c r="J53" s="540"/>
      <c r="K53" s="541"/>
      <c r="L53" s="541"/>
      <c r="M53" s="540"/>
      <c r="N53" s="513"/>
      <c r="O53" s="513"/>
      <c r="P53" s="513"/>
    </row>
    <row r="54" spans="1:22" ht="62.25" customHeight="1">
      <c r="A54" s="538"/>
      <c r="B54" s="543" t="s">
        <v>648</v>
      </c>
      <c r="C54" s="540"/>
      <c r="D54" s="540">
        <v>789492</v>
      </c>
      <c r="E54" s="540">
        <v>618220.07440000004</v>
      </c>
      <c r="F54" s="540">
        <f>E54</f>
        <v>618220.07440000004</v>
      </c>
      <c r="G54" s="540"/>
      <c r="H54" s="540"/>
      <c r="I54" s="540">
        <f>J54</f>
        <v>0</v>
      </c>
      <c r="J54" s="540">
        <v>0</v>
      </c>
      <c r="K54" s="541"/>
      <c r="L54" s="541">
        <f t="shared" si="8"/>
        <v>0</v>
      </c>
      <c r="M54" s="540"/>
      <c r="N54" s="513"/>
      <c r="O54" s="513"/>
      <c r="P54" s="513"/>
    </row>
    <row r="55" spans="1:22" s="526" customFormat="1" ht="14.25">
      <c r="A55" s="534">
        <v>8</v>
      </c>
      <c r="B55" s="535" t="s">
        <v>597</v>
      </c>
      <c r="C55" s="536">
        <v>83900</v>
      </c>
      <c r="D55" s="536">
        <v>83900</v>
      </c>
      <c r="E55" s="536">
        <f>F55+G55+H55</f>
        <v>42439</v>
      </c>
      <c r="F55" s="536">
        <v>42439</v>
      </c>
      <c r="G55" s="536"/>
      <c r="H55" s="536"/>
      <c r="I55" s="552"/>
      <c r="J55" s="536"/>
      <c r="K55" s="537"/>
      <c r="L55" s="537"/>
      <c r="M55" s="536"/>
      <c r="N55" s="523"/>
      <c r="O55" s="523"/>
      <c r="P55" s="523"/>
      <c r="Q55" s="524"/>
      <c r="R55" s="525"/>
      <c r="S55" s="524"/>
      <c r="T55" s="524"/>
      <c r="U55" s="524"/>
      <c r="V55" s="524"/>
    </row>
    <row r="56" spans="1:22" s="526" customFormat="1" ht="14.25">
      <c r="A56" s="534" t="s">
        <v>103</v>
      </c>
      <c r="B56" s="535" t="s">
        <v>649</v>
      </c>
      <c r="C56" s="536">
        <f>C57+C58+C61</f>
        <v>1441140</v>
      </c>
      <c r="D56" s="536">
        <f>D57+D58+D61</f>
        <v>1441140</v>
      </c>
      <c r="E56" s="536">
        <f t="shared" ref="E56" si="20">E57+E58+E61</f>
        <v>1869784.801004</v>
      </c>
      <c r="F56" s="536">
        <f>F57+F58+F61</f>
        <v>1441140</v>
      </c>
      <c r="G56" s="536">
        <f t="shared" ref="G56:H56" si="21">G57+G58+G61</f>
        <v>0</v>
      </c>
      <c r="H56" s="536">
        <f t="shared" si="21"/>
        <v>428644.80100400001</v>
      </c>
      <c r="I56" s="536">
        <f>I57+I58+I61</f>
        <v>1644958.052039</v>
      </c>
      <c r="J56" s="536">
        <f>J57+J58+J61</f>
        <v>1644958.052039</v>
      </c>
      <c r="K56" s="537">
        <f t="shared" si="6"/>
        <v>114.14283498057094</v>
      </c>
      <c r="L56" s="537">
        <f t="shared" si="8"/>
        <v>114.14283498057094</v>
      </c>
      <c r="M56" s="536">
        <f>M57+M58+M61</f>
        <v>0</v>
      </c>
      <c r="N56" s="523"/>
      <c r="O56" s="523"/>
      <c r="P56" s="523"/>
      <c r="Q56" s="524"/>
      <c r="R56" s="525"/>
      <c r="S56" s="524"/>
      <c r="T56" s="524"/>
      <c r="U56" s="524"/>
      <c r="V56" s="524"/>
    </row>
    <row r="57" spans="1:22" s="526" customFormat="1" ht="36" customHeight="1">
      <c r="A57" s="534">
        <v>1</v>
      </c>
      <c r="B57" s="535" t="s">
        <v>650</v>
      </c>
      <c r="C57" s="536">
        <v>1234788</v>
      </c>
      <c r="D57" s="536">
        <f>C57</f>
        <v>1234788</v>
      </c>
      <c r="E57" s="536">
        <f>F57+H57</f>
        <v>1633910.801004</v>
      </c>
      <c r="F57" s="536">
        <f>D57</f>
        <v>1234788</v>
      </c>
      <c r="G57" s="536"/>
      <c r="H57" s="536">
        <v>399122.80100400001</v>
      </c>
      <c r="I57" s="536">
        <v>1572767.8</v>
      </c>
      <c r="J57" s="536">
        <f>I57</f>
        <v>1572767.8</v>
      </c>
      <c r="K57" s="537">
        <f t="shared" si="6"/>
        <v>127.37148401183038</v>
      </c>
      <c r="L57" s="537">
        <f t="shared" si="8"/>
        <v>127.37148401183038</v>
      </c>
      <c r="M57" s="536"/>
      <c r="N57" s="523"/>
      <c r="O57" s="523"/>
      <c r="P57" s="523"/>
      <c r="Q57" s="524"/>
      <c r="R57" s="525"/>
      <c r="S57" s="524"/>
      <c r="T57" s="524"/>
      <c r="U57" s="524"/>
      <c r="V57" s="524"/>
    </row>
    <row r="58" spans="1:22" s="526" customFormat="1" ht="28.5">
      <c r="A58" s="534">
        <v>2</v>
      </c>
      <c r="B58" s="535" t="s">
        <v>651</v>
      </c>
      <c r="C58" s="536">
        <f>C59+C60</f>
        <v>206352</v>
      </c>
      <c r="D58" s="536">
        <f>D59+D60</f>
        <v>206352</v>
      </c>
      <c r="E58" s="536">
        <f>F58+G58+H58</f>
        <v>235874</v>
      </c>
      <c r="F58" s="536">
        <f>F59+F60</f>
        <v>206352</v>
      </c>
      <c r="G58" s="536">
        <f t="shared" ref="G58:M58" si="22">G59+G60</f>
        <v>0</v>
      </c>
      <c r="H58" s="536">
        <f t="shared" si="22"/>
        <v>29522</v>
      </c>
      <c r="I58" s="536">
        <f t="shared" si="22"/>
        <v>72190.252038999999</v>
      </c>
      <c r="J58" s="536">
        <f t="shared" si="22"/>
        <v>72190.252038999999</v>
      </c>
      <c r="K58" s="537">
        <f t="shared" si="6"/>
        <v>34.98403312737458</v>
      </c>
      <c r="L58" s="537">
        <f t="shared" si="8"/>
        <v>34.98403312737458</v>
      </c>
      <c r="M58" s="536">
        <f t="shared" si="22"/>
        <v>0</v>
      </c>
      <c r="N58" s="523"/>
      <c r="O58" s="523"/>
      <c r="P58" s="523"/>
      <c r="Q58" s="524"/>
      <c r="R58" s="525"/>
      <c r="S58" s="524"/>
      <c r="T58" s="524"/>
      <c r="U58" s="524"/>
      <c r="V58" s="524"/>
    </row>
    <row r="59" spans="1:22">
      <c r="A59" s="538"/>
      <c r="B59" s="543" t="s">
        <v>652</v>
      </c>
      <c r="C59" s="540">
        <v>18680</v>
      </c>
      <c r="D59" s="540">
        <f>C59</f>
        <v>18680</v>
      </c>
      <c r="E59" s="540">
        <f t="shared" ref="E59:E61" si="23">F59+G59+H59</f>
        <v>18680</v>
      </c>
      <c r="F59" s="540">
        <f>D59</f>
        <v>18680</v>
      </c>
      <c r="G59" s="540"/>
      <c r="H59" s="540"/>
      <c r="I59" s="540">
        <v>4017</v>
      </c>
      <c r="J59" s="540">
        <f>I59</f>
        <v>4017</v>
      </c>
      <c r="K59" s="541">
        <f t="shared" si="6"/>
        <v>21.504282655246254</v>
      </c>
      <c r="L59" s="541">
        <f t="shared" si="8"/>
        <v>21.504282655246254</v>
      </c>
      <c r="M59" s="540"/>
      <c r="N59" s="513"/>
      <c r="O59" s="513"/>
      <c r="P59" s="513"/>
    </row>
    <row r="60" spans="1:22">
      <c r="A60" s="538"/>
      <c r="B60" s="543" t="s">
        <v>653</v>
      </c>
      <c r="C60" s="540">
        <v>187672</v>
      </c>
      <c r="D60" s="540">
        <f>C60</f>
        <v>187672</v>
      </c>
      <c r="E60" s="540">
        <f t="shared" si="23"/>
        <v>217194</v>
      </c>
      <c r="F60" s="540">
        <f>D60</f>
        <v>187672</v>
      </c>
      <c r="G60" s="540"/>
      <c r="H60" s="540">
        <v>29522</v>
      </c>
      <c r="I60" s="540">
        <v>68173.252038999999</v>
      </c>
      <c r="J60" s="540">
        <f>I60</f>
        <v>68173.252038999999</v>
      </c>
      <c r="K60" s="541">
        <f t="shared" si="6"/>
        <v>36.32574493744405</v>
      </c>
      <c r="L60" s="541">
        <f t="shared" si="8"/>
        <v>36.32574493744405</v>
      </c>
      <c r="M60" s="540"/>
      <c r="N60" s="513"/>
      <c r="O60" s="513"/>
      <c r="P60" s="513"/>
    </row>
    <row r="61" spans="1:22" s="526" customFormat="1" ht="36" hidden="1" customHeight="1" outlineLevel="1">
      <c r="A61" s="534">
        <v>3</v>
      </c>
      <c r="B61" s="535" t="s">
        <v>654</v>
      </c>
      <c r="C61" s="536">
        <f>C62+C63</f>
        <v>0</v>
      </c>
      <c r="D61" s="536">
        <f>D62+D63</f>
        <v>0</v>
      </c>
      <c r="E61" s="536">
        <f t="shared" si="23"/>
        <v>0</v>
      </c>
      <c r="F61" s="536">
        <f>F62+F63</f>
        <v>0</v>
      </c>
      <c r="G61" s="536">
        <f t="shared" ref="G61:H61" si="24">G62+G63</f>
        <v>0</v>
      </c>
      <c r="H61" s="536">
        <f t="shared" si="24"/>
        <v>0</v>
      </c>
      <c r="I61" s="536">
        <f>I62+I63</f>
        <v>0</v>
      </c>
      <c r="J61" s="536">
        <f>J62+J63</f>
        <v>0</v>
      </c>
      <c r="K61" s="537"/>
      <c r="L61" s="537"/>
      <c r="M61" s="536">
        <f t="shared" ref="M61" si="25">M62+M63</f>
        <v>0</v>
      </c>
      <c r="N61" s="523"/>
      <c r="O61" s="523"/>
      <c r="P61" s="523"/>
      <c r="Q61" s="524"/>
      <c r="R61" s="525"/>
      <c r="S61" s="524"/>
      <c r="T61" s="524"/>
      <c r="U61" s="524"/>
      <c r="V61" s="524"/>
    </row>
    <row r="62" spans="1:22" hidden="1" outlineLevel="1">
      <c r="A62" s="538"/>
      <c r="B62" s="543" t="s">
        <v>655</v>
      </c>
      <c r="C62" s="540"/>
      <c r="D62" s="540"/>
      <c r="E62" s="540"/>
      <c r="F62" s="540">
        <f>D62</f>
        <v>0</v>
      </c>
      <c r="G62" s="540"/>
      <c r="H62" s="540">
        <f>E62-F62</f>
        <v>0</v>
      </c>
      <c r="I62" s="540"/>
      <c r="J62" s="540">
        <f>I62</f>
        <v>0</v>
      </c>
      <c r="K62" s="541"/>
      <c r="L62" s="541"/>
      <c r="M62" s="540"/>
      <c r="N62" s="513"/>
      <c r="O62" s="513"/>
      <c r="P62" s="513"/>
    </row>
    <row r="63" spans="1:22" hidden="1" outlineLevel="1">
      <c r="A63" s="538"/>
      <c r="B63" s="543" t="s">
        <v>656</v>
      </c>
      <c r="C63" s="540"/>
      <c r="D63" s="540"/>
      <c r="E63" s="540"/>
      <c r="F63" s="540">
        <f>D63</f>
        <v>0</v>
      </c>
      <c r="G63" s="540"/>
      <c r="H63" s="540">
        <f>E63-F63</f>
        <v>0</v>
      </c>
      <c r="I63" s="540"/>
      <c r="J63" s="540">
        <f>I63</f>
        <v>0</v>
      </c>
      <c r="K63" s="541"/>
      <c r="L63" s="541"/>
      <c r="M63" s="540"/>
      <c r="N63" s="513"/>
      <c r="O63" s="513"/>
      <c r="P63" s="513"/>
    </row>
    <row r="64" spans="1:22" s="526" customFormat="1" ht="17.25" customHeight="1" collapsed="1">
      <c r="A64" s="534" t="s">
        <v>104</v>
      </c>
      <c r="B64" s="535" t="s">
        <v>254</v>
      </c>
      <c r="C64" s="536"/>
      <c r="D64" s="536"/>
      <c r="E64" s="536">
        <v>2513000</v>
      </c>
      <c r="F64" s="536"/>
      <c r="G64" s="536"/>
      <c r="H64" s="536"/>
      <c r="I64" s="536"/>
      <c r="J64" s="536"/>
      <c r="K64" s="537"/>
      <c r="L64" s="537"/>
      <c r="M64" s="536"/>
      <c r="N64" s="523"/>
      <c r="O64" s="523"/>
      <c r="P64" s="523"/>
      <c r="Q64" s="524"/>
      <c r="R64" s="525"/>
      <c r="S64" s="524"/>
      <c r="T64" s="524"/>
      <c r="U64" s="524"/>
      <c r="V64" s="524"/>
    </row>
    <row r="65" spans="1:22" s="526" customFormat="1" ht="17.25" customHeight="1">
      <c r="A65" s="534" t="s">
        <v>160</v>
      </c>
      <c r="B65" s="535" t="s">
        <v>598</v>
      </c>
      <c r="C65" s="536">
        <f>C66+C67</f>
        <v>91000</v>
      </c>
      <c r="D65" s="536">
        <f>C65</f>
        <v>91000</v>
      </c>
      <c r="E65" s="536">
        <f>F65+H65</f>
        <v>42439</v>
      </c>
      <c r="F65" s="536">
        <f>F55</f>
        <v>42439</v>
      </c>
      <c r="G65" s="536">
        <f t="shared" ref="G65:H65" si="26">G67</f>
        <v>0</v>
      </c>
      <c r="H65" s="536">
        <f t="shared" si="26"/>
        <v>0</v>
      </c>
      <c r="I65" s="536">
        <f>I66+I67</f>
        <v>134680</v>
      </c>
      <c r="J65" s="536">
        <f>J67</f>
        <v>0</v>
      </c>
      <c r="K65" s="537">
        <f t="shared" si="6"/>
        <v>0</v>
      </c>
      <c r="L65" s="537">
        <f t="shared" si="8"/>
        <v>0</v>
      </c>
      <c r="M65" s="536"/>
      <c r="N65" s="523"/>
      <c r="O65" s="523"/>
      <c r="P65" s="523"/>
      <c r="Q65" s="524"/>
      <c r="R65" s="525"/>
      <c r="S65" s="524"/>
      <c r="T65" s="524"/>
      <c r="U65" s="524"/>
      <c r="V65" s="524"/>
    </row>
    <row r="66" spans="1:22" outlineLevel="1">
      <c r="A66" s="538"/>
      <c r="B66" s="543" t="s">
        <v>262</v>
      </c>
      <c r="C66" s="540">
        <v>83900</v>
      </c>
      <c r="D66" s="540">
        <f>C66</f>
        <v>83900</v>
      </c>
      <c r="E66" s="540">
        <v>42439</v>
      </c>
      <c r="F66" s="540"/>
      <c r="G66" s="540"/>
      <c r="H66" s="540"/>
      <c r="I66" s="540">
        <v>134680</v>
      </c>
      <c r="J66" s="540"/>
      <c r="K66" s="541"/>
      <c r="L66" s="541"/>
      <c r="M66" s="540"/>
      <c r="N66" s="513"/>
      <c r="O66" s="513"/>
      <c r="P66" s="513"/>
    </row>
    <row r="67" spans="1:22" outlineLevel="1">
      <c r="A67" s="538"/>
      <c r="B67" s="543" t="s">
        <v>599</v>
      </c>
      <c r="C67" s="540">
        <v>7100</v>
      </c>
      <c r="D67" s="540">
        <f>C67</f>
        <v>7100</v>
      </c>
      <c r="E67" s="540"/>
      <c r="F67" s="540"/>
      <c r="G67" s="540"/>
      <c r="H67" s="540"/>
      <c r="I67" s="540"/>
      <c r="J67" s="540">
        <f>I67</f>
        <v>0</v>
      </c>
      <c r="K67" s="541">
        <f t="shared" si="6"/>
        <v>0</v>
      </c>
      <c r="L67" s="541">
        <f t="shared" si="8"/>
        <v>0</v>
      </c>
      <c r="M67" s="540"/>
      <c r="N67" s="513"/>
      <c r="O67" s="513"/>
      <c r="P67" s="513"/>
    </row>
    <row r="68" spans="1:22" s="526" customFormat="1" ht="28.5">
      <c r="A68" s="534" t="s">
        <v>171</v>
      </c>
      <c r="B68" s="535" t="s">
        <v>657</v>
      </c>
      <c r="C68" s="536"/>
      <c r="D68" s="536"/>
      <c r="E68" s="536"/>
      <c r="F68" s="536">
        <f>D68</f>
        <v>0</v>
      </c>
      <c r="G68" s="536"/>
      <c r="H68" s="536"/>
      <c r="I68" s="536"/>
      <c r="J68" s="536"/>
      <c r="K68" s="537"/>
      <c r="L68" s="537"/>
      <c r="M68" s="536"/>
      <c r="N68" s="523"/>
      <c r="O68" s="523"/>
      <c r="P68" s="523"/>
      <c r="Q68" s="524"/>
      <c r="R68" s="525"/>
      <c r="S68" s="524"/>
      <c r="T68" s="524"/>
      <c r="U68" s="524"/>
      <c r="V68" s="524"/>
    </row>
    <row r="69" spans="1:22">
      <c r="A69" s="553"/>
      <c r="B69" s="554"/>
      <c r="C69" s="553"/>
      <c r="D69" s="553"/>
      <c r="E69" s="553"/>
      <c r="F69" s="553"/>
      <c r="G69" s="553"/>
      <c r="H69" s="553"/>
      <c r="I69" s="553"/>
      <c r="J69" s="555"/>
      <c r="K69" s="556"/>
      <c r="L69" s="557"/>
      <c r="M69" s="553"/>
    </row>
    <row r="70" spans="1:22" ht="19.5" customHeight="1">
      <c r="A70" s="558" t="s">
        <v>658</v>
      </c>
      <c r="B70" s="513"/>
      <c r="M70" s="513"/>
    </row>
    <row r="71" spans="1:22" ht="30" customHeight="1">
      <c r="A71" s="558"/>
      <c r="B71" s="1079"/>
      <c r="C71" s="1079"/>
      <c r="D71" s="1079"/>
      <c r="E71" s="1079"/>
      <c r="F71" s="1079"/>
      <c r="G71" s="1079"/>
      <c r="H71" s="1079"/>
      <c r="I71" s="1079"/>
      <c r="J71" s="1079"/>
      <c r="K71" s="1079"/>
      <c r="L71" s="1079"/>
      <c r="M71" s="513"/>
    </row>
    <row r="72" spans="1:22" hidden="1">
      <c r="A72" s="1080"/>
      <c r="B72" s="513"/>
      <c r="F72" s="559"/>
      <c r="G72" s="559"/>
      <c r="H72" s="559"/>
      <c r="I72" s="559"/>
      <c r="J72" s="560" t="s">
        <v>659</v>
      </c>
      <c r="K72" s="561"/>
      <c r="L72" s="559"/>
      <c r="M72" s="513"/>
    </row>
    <row r="73" spans="1:22" hidden="1">
      <c r="A73" s="1080"/>
      <c r="B73" s="513"/>
      <c r="F73" s="562"/>
      <c r="G73" s="562"/>
      <c r="H73" s="562"/>
      <c r="I73" s="562"/>
      <c r="J73" s="563" t="s">
        <v>660</v>
      </c>
      <c r="K73" s="562"/>
      <c r="L73" s="562"/>
      <c r="M73" s="513"/>
    </row>
    <row r="74" spans="1:22" hidden="1">
      <c r="A74" s="1080"/>
      <c r="B74" s="513"/>
      <c r="F74" s="562"/>
      <c r="G74" s="562"/>
      <c r="H74" s="562"/>
      <c r="I74" s="562"/>
      <c r="J74" s="563" t="s">
        <v>661</v>
      </c>
      <c r="K74" s="562"/>
      <c r="L74" s="562"/>
      <c r="M74" s="513"/>
    </row>
    <row r="75" spans="1:22">
      <c r="A75" s="1080"/>
      <c r="B75" s="513"/>
      <c r="E75" s="1081" t="s">
        <v>729</v>
      </c>
      <c r="F75" s="1081"/>
      <c r="G75" s="1081"/>
      <c r="H75" s="1081"/>
      <c r="I75" s="1081"/>
      <c r="J75" s="1081"/>
      <c r="K75" s="1081"/>
      <c r="L75" s="1081"/>
      <c r="M75" s="1081"/>
    </row>
    <row r="76" spans="1:22">
      <c r="E76" s="1082" t="s">
        <v>660</v>
      </c>
      <c r="F76" s="1082"/>
      <c r="G76" s="1082"/>
      <c r="H76" s="1082"/>
      <c r="I76" s="1082"/>
      <c r="J76" s="1082"/>
      <c r="K76" s="1082"/>
      <c r="L76" s="1082"/>
      <c r="M76" s="1082"/>
    </row>
    <row r="77" spans="1:22">
      <c r="E77" s="1082" t="s">
        <v>661</v>
      </c>
      <c r="F77" s="1082"/>
      <c r="G77" s="1082"/>
      <c r="H77" s="1082"/>
      <c r="I77" s="1082"/>
      <c r="J77" s="1082"/>
      <c r="K77" s="1082"/>
      <c r="L77" s="1082"/>
      <c r="M77" s="1082"/>
    </row>
  </sheetData>
  <mergeCells count="10">
    <mergeCell ref="K1:L1"/>
    <mergeCell ref="A2:M2"/>
    <mergeCell ref="A3:M3"/>
    <mergeCell ref="E77:M77"/>
    <mergeCell ref="N21:N33"/>
    <mergeCell ref="V21:V33"/>
    <mergeCell ref="B71:L71"/>
    <mergeCell ref="A72:A75"/>
    <mergeCell ref="E75:M75"/>
    <mergeCell ref="E76:M76"/>
  </mergeCells>
  <dataValidations count="10">
    <dataValidation allowBlank="1" showInputMessage="1" showErrorMessage="1" prompt="Ước thực hiện bao gồm: Ngoài các nguồn chi tiết đã ghi chú bao gồm thêm: Nguồn chuyển DT năm trước sang, nguồn tiết kiệm chi phân bổ trong năm, nguồn tăng thu đất..." sqref="H34" xr:uid="{00000000-0002-0000-0C00-000000000000}"/>
    <dataValidation allowBlank="1" showInputMessage="1" showErrorMessage="1" prompt="Số liệu tại VB 26/LN: STC-SKHĐT ngày 17/7/2021 tham mưu UBND tỉnh báo cáo Cục quản lý nợ BTC" sqref="I59" xr:uid="{00000000-0002-0000-0C00-000001000000}"/>
    <dataValidation allowBlank="1" showInputMessage="1" showErrorMessage="1" prompt="Dự kiến tham mưu điều chỉnh KHV vào thời điểm Quý III/2021 để trả nợ gốc" sqref="H48" xr:uid="{00000000-0002-0000-0C00-000002000000}"/>
    <dataValidation allowBlank="1" showInputMessage="1" showErrorMessage="1" prompt="Nguồn DP tỉnh: 5.771 trđ (dịch bệnh: 3.821 trđ; khắc phục bão lũ: 1.950 trđ); Nguồn DP huyện: 12.550 trđ (dịch bệnh); Nguồn tăng thu: 8.313+2.100; Nguồn TKC: 11.184 trđ; " sqref="H44" xr:uid="{00000000-0002-0000-0C00-000003000000}"/>
    <dataValidation allowBlank="1" showInputMessage="1" showErrorMessage="1" prompt="Nguồn TKC (KP sửa trụ sở)" sqref="H45" xr:uid="{00000000-0002-0000-0C00-000004000000}"/>
    <dataValidation allowBlank="1" showInputMessage="1" showErrorMessage="1" prompt="DP chi Covid 19" sqref="H40" xr:uid="{00000000-0002-0000-0C00-000005000000}"/>
    <dataValidation allowBlank="1" showInputMessage="1" showErrorMessage="1" prompt="Nguồn DP: 7.050 trđ; nguồn TKC: 2.000 trđ" sqref="H39" xr:uid="{00000000-0002-0000-0C00-000006000000}"/>
    <dataValidation allowBlank="1" showInputMessage="1" showErrorMessage="1" prompt="Nguồn TKC: 6.793 trđ (Vốn ủy thác qua NHCS)+2.439 trđ (hỗ trợ ng nghèo)" sqref="H46" xr:uid="{00000000-0002-0000-0C00-000007000000}"/>
    <dataValidation allowBlank="1" showInputMessage="1" showErrorMessage="1" prompt="Nguồn TKC" sqref="H36" xr:uid="{00000000-0002-0000-0C00-000008000000}"/>
    <dataValidation allowBlank="1" showInputMessage="1" showErrorMessage="1" prompt="Số TƯ bổ sung đến nay" sqref="H60" xr:uid="{00000000-0002-0000-0C00-000009000000}"/>
  </dataValidations>
  <printOptions horizontalCentered="1"/>
  <pageMargins left="0.39370078740157483" right="0.19685039370078741" top="0.43" bottom="0.43307086614173229" header="0.19685039370078741" footer="0.27559055118110237"/>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CC"/>
  </sheetPr>
  <dimension ref="A1:IV59"/>
  <sheetViews>
    <sheetView topLeftCell="A2" zoomScale="80" zoomScaleNormal="80" workbookViewId="0">
      <pane xSplit="2" ySplit="7" topLeftCell="C30" activePane="bottomRight" state="frozen"/>
      <selection activeCell="A2" sqref="A2"/>
      <selection pane="topRight" activeCell="C2" sqref="C2"/>
      <selection pane="bottomLeft" activeCell="A9" sqref="A9"/>
      <selection pane="bottomRight" activeCell="F24" sqref="F24"/>
    </sheetView>
  </sheetViews>
  <sheetFormatPr defaultRowHeight="15.75" outlineLevelRow="1" outlineLevelCol="1"/>
  <cols>
    <col min="1" max="1" width="5.875" style="264" customWidth="1"/>
    <col min="2" max="2" width="57.625" style="264" customWidth="1"/>
    <col min="3" max="4" width="14.875" style="264" customWidth="1"/>
    <col min="5" max="5" width="14.625" style="264" customWidth="1"/>
    <col min="6" max="6" width="17.125" style="264" customWidth="1"/>
    <col min="7" max="7" width="14" style="264" customWidth="1"/>
    <col min="8" max="8" width="23" style="264" hidden="1" customWidth="1" outlineLevel="1"/>
    <col min="9" max="9" width="15.625" style="264" hidden="1" customWidth="1" outlineLevel="1"/>
    <col min="10" max="10" width="14.125" style="264" hidden="1" customWidth="1" outlineLevel="1"/>
    <col min="11" max="11" width="11.25" style="264" customWidth="1" collapsed="1"/>
    <col min="12" max="12" width="9.125" style="264"/>
    <col min="13" max="13" width="21.875" style="264" customWidth="1"/>
    <col min="14" max="256" width="9.125" style="264"/>
    <col min="257" max="257" width="5.875" style="264" customWidth="1"/>
    <col min="258" max="258" width="81.75" style="264" customWidth="1"/>
    <col min="259" max="261" width="14.875" style="264" customWidth="1"/>
    <col min="262" max="263" width="10.375" style="264" customWidth="1"/>
    <col min="264" max="512" width="9.125" style="264"/>
    <col min="513" max="513" width="5.875" style="264" customWidth="1"/>
    <col min="514" max="514" width="81.75" style="264" customWidth="1"/>
    <col min="515" max="517" width="14.875" style="264" customWidth="1"/>
    <col min="518" max="519" width="10.375" style="264" customWidth="1"/>
    <col min="520" max="768" width="9.125" style="264"/>
    <col min="769" max="769" width="5.875" style="264" customWidth="1"/>
    <col min="770" max="770" width="81.75" style="264" customWidth="1"/>
    <col min="771" max="773" width="14.875" style="264" customWidth="1"/>
    <col min="774" max="775" width="10.375" style="264" customWidth="1"/>
    <col min="776" max="1024" width="9.125" style="264"/>
    <col min="1025" max="1025" width="5.875" style="264" customWidth="1"/>
    <col min="1026" max="1026" width="81.75" style="264" customWidth="1"/>
    <col min="1027" max="1029" width="14.875" style="264" customWidth="1"/>
    <col min="1030" max="1031" width="10.375" style="264" customWidth="1"/>
    <col min="1032" max="1280" width="9.125" style="264"/>
    <col min="1281" max="1281" width="5.875" style="264" customWidth="1"/>
    <col min="1282" max="1282" width="81.75" style="264" customWidth="1"/>
    <col min="1283" max="1285" width="14.875" style="264" customWidth="1"/>
    <col min="1286" max="1287" width="10.375" style="264" customWidth="1"/>
    <col min="1288" max="1536" width="9.125" style="264"/>
    <col min="1537" max="1537" width="5.875" style="264" customWidth="1"/>
    <col min="1538" max="1538" width="81.75" style="264" customWidth="1"/>
    <col min="1539" max="1541" width="14.875" style="264" customWidth="1"/>
    <col min="1542" max="1543" width="10.375" style="264" customWidth="1"/>
    <col min="1544" max="1792" width="9.125" style="264"/>
    <col min="1793" max="1793" width="5.875" style="264" customWidth="1"/>
    <col min="1794" max="1794" width="81.75" style="264" customWidth="1"/>
    <col min="1795" max="1797" width="14.875" style="264" customWidth="1"/>
    <col min="1798" max="1799" width="10.375" style="264" customWidth="1"/>
    <col min="1800" max="2048" width="9.125" style="264"/>
    <col min="2049" max="2049" width="5.875" style="264" customWidth="1"/>
    <col min="2050" max="2050" width="81.75" style="264" customWidth="1"/>
    <col min="2051" max="2053" width="14.875" style="264" customWidth="1"/>
    <col min="2054" max="2055" width="10.375" style="264" customWidth="1"/>
    <col min="2056" max="2304" width="9.125" style="264"/>
    <col min="2305" max="2305" width="5.875" style="264" customWidth="1"/>
    <col min="2306" max="2306" width="81.75" style="264" customWidth="1"/>
    <col min="2307" max="2309" width="14.875" style="264" customWidth="1"/>
    <col min="2310" max="2311" width="10.375" style="264" customWidth="1"/>
    <col min="2312" max="2560" width="9.125" style="264"/>
    <col min="2561" max="2561" width="5.875" style="264" customWidth="1"/>
    <col min="2562" max="2562" width="81.75" style="264" customWidth="1"/>
    <col min="2563" max="2565" width="14.875" style="264" customWidth="1"/>
    <col min="2566" max="2567" width="10.375" style="264" customWidth="1"/>
    <col min="2568" max="2816" width="9.125" style="264"/>
    <col min="2817" max="2817" width="5.875" style="264" customWidth="1"/>
    <col min="2818" max="2818" width="81.75" style="264" customWidth="1"/>
    <col min="2819" max="2821" width="14.875" style="264" customWidth="1"/>
    <col min="2822" max="2823" width="10.375" style="264" customWidth="1"/>
    <col min="2824" max="3072" width="9.125" style="264"/>
    <col min="3073" max="3073" width="5.875" style="264" customWidth="1"/>
    <col min="3074" max="3074" width="81.75" style="264" customWidth="1"/>
    <col min="3075" max="3077" width="14.875" style="264" customWidth="1"/>
    <col min="3078" max="3079" width="10.375" style="264" customWidth="1"/>
    <col min="3080" max="3328" width="9.125" style="264"/>
    <col min="3329" max="3329" width="5.875" style="264" customWidth="1"/>
    <col min="3330" max="3330" width="81.75" style="264" customWidth="1"/>
    <col min="3331" max="3333" width="14.875" style="264" customWidth="1"/>
    <col min="3334" max="3335" width="10.375" style="264" customWidth="1"/>
    <col min="3336" max="3584" width="9.125" style="264"/>
    <col min="3585" max="3585" width="5.875" style="264" customWidth="1"/>
    <col min="3586" max="3586" width="81.75" style="264" customWidth="1"/>
    <col min="3587" max="3589" width="14.875" style="264" customWidth="1"/>
    <col min="3590" max="3591" width="10.375" style="264" customWidth="1"/>
    <col min="3592" max="3840" width="9.125" style="264"/>
    <col min="3841" max="3841" width="5.875" style="264" customWidth="1"/>
    <col min="3842" max="3842" width="81.75" style="264" customWidth="1"/>
    <col min="3843" max="3845" width="14.875" style="264" customWidth="1"/>
    <col min="3846" max="3847" width="10.375" style="264" customWidth="1"/>
    <col min="3848" max="4096" width="9.125" style="264"/>
    <col min="4097" max="4097" width="5.875" style="264" customWidth="1"/>
    <col min="4098" max="4098" width="81.75" style="264" customWidth="1"/>
    <col min="4099" max="4101" width="14.875" style="264" customWidth="1"/>
    <col min="4102" max="4103" width="10.375" style="264" customWidth="1"/>
    <col min="4104" max="4352" width="9.125" style="264"/>
    <col min="4353" max="4353" width="5.875" style="264" customWidth="1"/>
    <col min="4354" max="4354" width="81.75" style="264" customWidth="1"/>
    <col min="4355" max="4357" width="14.875" style="264" customWidth="1"/>
    <col min="4358" max="4359" width="10.375" style="264" customWidth="1"/>
    <col min="4360" max="4608" width="9.125" style="264"/>
    <col min="4609" max="4609" width="5.875" style="264" customWidth="1"/>
    <col min="4610" max="4610" width="81.75" style="264" customWidth="1"/>
    <col min="4611" max="4613" width="14.875" style="264" customWidth="1"/>
    <col min="4614" max="4615" width="10.375" style="264" customWidth="1"/>
    <col min="4616" max="4864" width="9.125" style="264"/>
    <col min="4865" max="4865" width="5.875" style="264" customWidth="1"/>
    <col min="4866" max="4866" width="81.75" style="264" customWidth="1"/>
    <col min="4867" max="4869" width="14.875" style="264" customWidth="1"/>
    <col min="4870" max="4871" width="10.375" style="264" customWidth="1"/>
    <col min="4872" max="5120" width="9.125" style="264"/>
    <col min="5121" max="5121" width="5.875" style="264" customWidth="1"/>
    <col min="5122" max="5122" width="81.75" style="264" customWidth="1"/>
    <col min="5123" max="5125" width="14.875" style="264" customWidth="1"/>
    <col min="5126" max="5127" width="10.375" style="264" customWidth="1"/>
    <col min="5128" max="5376" width="9.125" style="264"/>
    <col min="5377" max="5377" width="5.875" style="264" customWidth="1"/>
    <col min="5378" max="5378" width="81.75" style="264" customWidth="1"/>
    <col min="5379" max="5381" width="14.875" style="264" customWidth="1"/>
    <col min="5382" max="5383" width="10.375" style="264" customWidth="1"/>
    <col min="5384" max="5632" width="9.125" style="264"/>
    <col min="5633" max="5633" width="5.875" style="264" customWidth="1"/>
    <col min="5634" max="5634" width="81.75" style="264" customWidth="1"/>
    <col min="5635" max="5637" width="14.875" style="264" customWidth="1"/>
    <col min="5638" max="5639" width="10.375" style="264" customWidth="1"/>
    <col min="5640" max="5888" width="9.125" style="264"/>
    <col min="5889" max="5889" width="5.875" style="264" customWidth="1"/>
    <col min="5890" max="5890" width="81.75" style="264" customWidth="1"/>
    <col min="5891" max="5893" width="14.875" style="264" customWidth="1"/>
    <col min="5894" max="5895" width="10.375" style="264" customWidth="1"/>
    <col min="5896" max="6144" width="9.125" style="264"/>
    <col min="6145" max="6145" width="5.875" style="264" customWidth="1"/>
    <col min="6146" max="6146" width="81.75" style="264" customWidth="1"/>
    <col min="6147" max="6149" width="14.875" style="264" customWidth="1"/>
    <col min="6150" max="6151" width="10.375" style="264" customWidth="1"/>
    <col min="6152" max="6400" width="9.125" style="264"/>
    <col min="6401" max="6401" width="5.875" style="264" customWidth="1"/>
    <col min="6402" max="6402" width="81.75" style="264" customWidth="1"/>
    <col min="6403" max="6405" width="14.875" style="264" customWidth="1"/>
    <col min="6406" max="6407" width="10.375" style="264" customWidth="1"/>
    <col min="6408" max="6656" width="9.125" style="264"/>
    <col min="6657" max="6657" width="5.875" style="264" customWidth="1"/>
    <col min="6658" max="6658" width="81.75" style="264" customWidth="1"/>
    <col min="6659" max="6661" width="14.875" style="264" customWidth="1"/>
    <col min="6662" max="6663" width="10.375" style="264" customWidth="1"/>
    <col min="6664" max="6912" width="9.125" style="264"/>
    <col min="6913" max="6913" width="5.875" style="264" customWidth="1"/>
    <col min="6914" max="6914" width="81.75" style="264" customWidth="1"/>
    <col min="6915" max="6917" width="14.875" style="264" customWidth="1"/>
    <col min="6918" max="6919" width="10.375" style="264" customWidth="1"/>
    <col min="6920" max="7168" width="9.125" style="264"/>
    <col min="7169" max="7169" width="5.875" style="264" customWidth="1"/>
    <col min="7170" max="7170" width="81.75" style="264" customWidth="1"/>
    <col min="7171" max="7173" width="14.875" style="264" customWidth="1"/>
    <col min="7174" max="7175" width="10.375" style="264" customWidth="1"/>
    <col min="7176" max="7424" width="9.125" style="264"/>
    <col min="7425" max="7425" width="5.875" style="264" customWidth="1"/>
    <col min="7426" max="7426" width="81.75" style="264" customWidth="1"/>
    <col min="7427" max="7429" width="14.875" style="264" customWidth="1"/>
    <col min="7430" max="7431" width="10.375" style="264" customWidth="1"/>
    <col min="7432" max="7680" width="9.125" style="264"/>
    <col min="7681" max="7681" width="5.875" style="264" customWidth="1"/>
    <col min="7682" max="7682" width="81.75" style="264" customWidth="1"/>
    <col min="7683" max="7685" width="14.875" style="264" customWidth="1"/>
    <col min="7686" max="7687" width="10.375" style="264" customWidth="1"/>
    <col min="7688" max="7936" width="9.125" style="264"/>
    <col min="7937" max="7937" width="5.875" style="264" customWidth="1"/>
    <col min="7938" max="7938" width="81.75" style="264" customWidth="1"/>
    <col min="7939" max="7941" width="14.875" style="264" customWidth="1"/>
    <col min="7942" max="7943" width="10.375" style="264" customWidth="1"/>
    <col min="7944" max="8192" width="9.125" style="264"/>
    <col min="8193" max="8193" width="5.875" style="264" customWidth="1"/>
    <col min="8194" max="8194" width="81.75" style="264" customWidth="1"/>
    <col min="8195" max="8197" width="14.875" style="264" customWidth="1"/>
    <col min="8198" max="8199" width="10.375" style="264" customWidth="1"/>
    <col min="8200" max="8448" width="9.125" style="264"/>
    <col min="8449" max="8449" width="5.875" style="264" customWidth="1"/>
    <col min="8450" max="8450" width="81.75" style="264" customWidth="1"/>
    <col min="8451" max="8453" width="14.875" style="264" customWidth="1"/>
    <col min="8454" max="8455" width="10.375" style="264" customWidth="1"/>
    <col min="8456" max="8704" width="9.125" style="264"/>
    <col min="8705" max="8705" width="5.875" style="264" customWidth="1"/>
    <col min="8706" max="8706" width="81.75" style="264" customWidth="1"/>
    <col min="8707" max="8709" width="14.875" style="264" customWidth="1"/>
    <col min="8710" max="8711" width="10.375" style="264" customWidth="1"/>
    <col min="8712" max="8960" width="9.125" style="264"/>
    <col min="8961" max="8961" width="5.875" style="264" customWidth="1"/>
    <col min="8962" max="8962" width="81.75" style="264" customWidth="1"/>
    <col min="8963" max="8965" width="14.875" style="264" customWidth="1"/>
    <col min="8966" max="8967" width="10.375" style="264" customWidth="1"/>
    <col min="8968" max="9216" width="9.125" style="264"/>
    <col min="9217" max="9217" width="5.875" style="264" customWidth="1"/>
    <col min="9218" max="9218" width="81.75" style="264" customWidth="1"/>
    <col min="9219" max="9221" width="14.875" style="264" customWidth="1"/>
    <col min="9222" max="9223" width="10.375" style="264" customWidth="1"/>
    <col min="9224" max="9472" width="9.125" style="264"/>
    <col min="9473" max="9473" width="5.875" style="264" customWidth="1"/>
    <col min="9474" max="9474" width="81.75" style="264" customWidth="1"/>
    <col min="9475" max="9477" width="14.875" style="264" customWidth="1"/>
    <col min="9478" max="9479" width="10.375" style="264" customWidth="1"/>
    <col min="9480" max="9728" width="9.125" style="264"/>
    <col min="9729" max="9729" width="5.875" style="264" customWidth="1"/>
    <col min="9730" max="9730" width="81.75" style="264" customWidth="1"/>
    <col min="9731" max="9733" width="14.875" style="264" customWidth="1"/>
    <col min="9734" max="9735" width="10.375" style="264" customWidth="1"/>
    <col min="9736" max="9984" width="9.125" style="264"/>
    <col min="9985" max="9985" width="5.875" style="264" customWidth="1"/>
    <col min="9986" max="9986" width="81.75" style="264" customWidth="1"/>
    <col min="9987" max="9989" width="14.875" style="264" customWidth="1"/>
    <col min="9990" max="9991" width="10.375" style="264" customWidth="1"/>
    <col min="9992" max="10240" width="9.125" style="264"/>
    <col min="10241" max="10241" width="5.875" style="264" customWidth="1"/>
    <col min="10242" max="10242" width="81.75" style="264" customWidth="1"/>
    <col min="10243" max="10245" width="14.875" style="264" customWidth="1"/>
    <col min="10246" max="10247" width="10.375" style="264" customWidth="1"/>
    <col min="10248" max="10496" width="9.125" style="264"/>
    <col min="10497" max="10497" width="5.875" style="264" customWidth="1"/>
    <col min="10498" max="10498" width="81.75" style="264" customWidth="1"/>
    <col min="10499" max="10501" width="14.875" style="264" customWidth="1"/>
    <col min="10502" max="10503" width="10.375" style="264" customWidth="1"/>
    <col min="10504" max="10752" width="9.125" style="264"/>
    <col min="10753" max="10753" width="5.875" style="264" customWidth="1"/>
    <col min="10754" max="10754" width="81.75" style="264" customWidth="1"/>
    <col min="10755" max="10757" width="14.875" style="264" customWidth="1"/>
    <col min="10758" max="10759" width="10.375" style="264" customWidth="1"/>
    <col min="10760" max="11008" width="9.125" style="264"/>
    <col min="11009" max="11009" width="5.875" style="264" customWidth="1"/>
    <col min="11010" max="11010" width="81.75" style="264" customWidth="1"/>
    <col min="11011" max="11013" width="14.875" style="264" customWidth="1"/>
    <col min="11014" max="11015" width="10.375" style="264" customWidth="1"/>
    <col min="11016" max="11264" width="9.125" style="264"/>
    <col min="11265" max="11265" width="5.875" style="264" customWidth="1"/>
    <col min="11266" max="11266" width="81.75" style="264" customWidth="1"/>
    <col min="11267" max="11269" width="14.875" style="264" customWidth="1"/>
    <col min="11270" max="11271" width="10.375" style="264" customWidth="1"/>
    <col min="11272" max="11520" width="9.125" style="264"/>
    <col min="11521" max="11521" width="5.875" style="264" customWidth="1"/>
    <col min="11522" max="11522" width="81.75" style="264" customWidth="1"/>
    <col min="11523" max="11525" width="14.875" style="264" customWidth="1"/>
    <col min="11526" max="11527" width="10.375" style="264" customWidth="1"/>
    <col min="11528" max="11776" width="9.125" style="264"/>
    <col min="11777" max="11777" width="5.875" style="264" customWidth="1"/>
    <col min="11778" max="11778" width="81.75" style="264" customWidth="1"/>
    <col min="11779" max="11781" width="14.875" style="264" customWidth="1"/>
    <col min="11782" max="11783" width="10.375" style="264" customWidth="1"/>
    <col min="11784" max="12032" width="9.125" style="264"/>
    <col min="12033" max="12033" width="5.875" style="264" customWidth="1"/>
    <col min="12034" max="12034" width="81.75" style="264" customWidth="1"/>
    <col min="12035" max="12037" width="14.875" style="264" customWidth="1"/>
    <col min="12038" max="12039" width="10.375" style="264" customWidth="1"/>
    <col min="12040" max="12288" width="9.125" style="264"/>
    <col min="12289" max="12289" width="5.875" style="264" customWidth="1"/>
    <col min="12290" max="12290" width="81.75" style="264" customWidth="1"/>
    <col min="12291" max="12293" width="14.875" style="264" customWidth="1"/>
    <col min="12294" max="12295" width="10.375" style="264" customWidth="1"/>
    <col min="12296" max="12544" width="9.125" style="264"/>
    <col min="12545" max="12545" width="5.875" style="264" customWidth="1"/>
    <col min="12546" max="12546" width="81.75" style="264" customWidth="1"/>
    <col min="12547" max="12549" width="14.875" style="264" customWidth="1"/>
    <col min="12550" max="12551" width="10.375" style="264" customWidth="1"/>
    <col min="12552" max="12800" width="9.125" style="264"/>
    <col min="12801" max="12801" width="5.875" style="264" customWidth="1"/>
    <col min="12802" max="12802" width="81.75" style="264" customWidth="1"/>
    <col min="12803" max="12805" width="14.875" style="264" customWidth="1"/>
    <col min="12806" max="12807" width="10.375" style="264" customWidth="1"/>
    <col min="12808" max="13056" width="9.125" style="264"/>
    <col min="13057" max="13057" width="5.875" style="264" customWidth="1"/>
    <col min="13058" max="13058" width="81.75" style="264" customWidth="1"/>
    <col min="13059" max="13061" width="14.875" style="264" customWidth="1"/>
    <col min="13062" max="13063" width="10.375" style="264" customWidth="1"/>
    <col min="13064" max="13312" width="9.125" style="264"/>
    <col min="13313" max="13313" width="5.875" style="264" customWidth="1"/>
    <col min="13314" max="13314" width="81.75" style="264" customWidth="1"/>
    <col min="13315" max="13317" width="14.875" style="264" customWidth="1"/>
    <col min="13318" max="13319" width="10.375" style="264" customWidth="1"/>
    <col min="13320" max="13568" width="9.125" style="264"/>
    <col min="13569" max="13569" width="5.875" style="264" customWidth="1"/>
    <col min="13570" max="13570" width="81.75" style="264" customWidth="1"/>
    <col min="13571" max="13573" width="14.875" style="264" customWidth="1"/>
    <col min="13574" max="13575" width="10.375" style="264" customWidth="1"/>
    <col min="13576" max="13824" width="9.125" style="264"/>
    <col min="13825" max="13825" width="5.875" style="264" customWidth="1"/>
    <col min="13826" max="13826" width="81.75" style="264" customWidth="1"/>
    <col min="13827" max="13829" width="14.875" style="264" customWidth="1"/>
    <col min="13830" max="13831" width="10.375" style="264" customWidth="1"/>
    <col min="13832" max="14080" width="9.125" style="264"/>
    <col min="14081" max="14081" width="5.875" style="264" customWidth="1"/>
    <col min="14082" max="14082" width="81.75" style="264" customWidth="1"/>
    <col min="14083" max="14085" width="14.875" style="264" customWidth="1"/>
    <col min="14086" max="14087" width="10.375" style="264" customWidth="1"/>
    <col min="14088" max="14336" width="9.125" style="264"/>
    <col min="14337" max="14337" width="5.875" style="264" customWidth="1"/>
    <col min="14338" max="14338" width="81.75" style="264" customWidth="1"/>
    <col min="14339" max="14341" width="14.875" style="264" customWidth="1"/>
    <col min="14342" max="14343" width="10.375" style="264" customWidth="1"/>
    <col min="14344" max="14592" width="9.125" style="264"/>
    <col min="14593" max="14593" width="5.875" style="264" customWidth="1"/>
    <col min="14594" max="14594" width="81.75" style="264" customWidth="1"/>
    <col min="14595" max="14597" width="14.875" style="264" customWidth="1"/>
    <col min="14598" max="14599" width="10.375" style="264" customWidth="1"/>
    <col min="14600" max="14848" width="9.125" style="264"/>
    <col min="14849" max="14849" width="5.875" style="264" customWidth="1"/>
    <col min="14850" max="14850" width="81.75" style="264" customWidth="1"/>
    <col min="14851" max="14853" width="14.875" style="264" customWidth="1"/>
    <col min="14854" max="14855" width="10.375" style="264" customWidth="1"/>
    <col min="14856" max="15104" width="9.125" style="264"/>
    <col min="15105" max="15105" width="5.875" style="264" customWidth="1"/>
    <col min="15106" max="15106" width="81.75" style="264" customWidth="1"/>
    <col min="15107" max="15109" width="14.875" style="264" customWidth="1"/>
    <col min="15110" max="15111" width="10.375" style="264" customWidth="1"/>
    <col min="15112" max="15360" width="9.125" style="264"/>
    <col min="15361" max="15361" width="5.875" style="264" customWidth="1"/>
    <col min="15362" max="15362" width="81.75" style="264" customWidth="1"/>
    <col min="15363" max="15365" width="14.875" style="264" customWidth="1"/>
    <col min="15366" max="15367" width="10.375" style="264" customWidth="1"/>
    <col min="15368" max="15616" width="9.125" style="264"/>
    <col min="15617" max="15617" width="5.875" style="264" customWidth="1"/>
    <col min="15618" max="15618" width="81.75" style="264" customWidth="1"/>
    <col min="15619" max="15621" width="14.875" style="264" customWidth="1"/>
    <col min="15622" max="15623" width="10.375" style="264" customWidth="1"/>
    <col min="15624" max="15872" width="9.125" style="264"/>
    <col min="15873" max="15873" width="5.875" style="264" customWidth="1"/>
    <col min="15874" max="15874" width="81.75" style="264" customWidth="1"/>
    <col min="15875" max="15877" width="14.875" style="264" customWidth="1"/>
    <col min="15878" max="15879" width="10.375" style="264" customWidth="1"/>
    <col min="15880" max="16128" width="9.125" style="264"/>
    <col min="16129" max="16129" width="5.875" style="264" customWidth="1"/>
    <col min="16130" max="16130" width="81.75" style="264" customWidth="1"/>
    <col min="16131" max="16133" width="14.875" style="264" customWidth="1"/>
    <col min="16134" max="16135" width="10.375" style="264" customWidth="1"/>
    <col min="16136" max="16384" width="9.125" style="264"/>
  </cols>
  <sheetData>
    <row r="1" spans="1:11" ht="18.75">
      <c r="A1" s="260" t="s">
        <v>233</v>
      </c>
      <c r="B1" s="261"/>
      <c r="C1" s="262"/>
      <c r="D1" s="262"/>
      <c r="E1" s="262"/>
      <c r="F1" s="1087" t="s">
        <v>662</v>
      </c>
      <c r="G1" s="1087"/>
      <c r="H1" s="263"/>
      <c r="I1" s="263"/>
      <c r="J1" s="263"/>
    </row>
    <row r="2" spans="1:11" ht="21" customHeight="1">
      <c r="A2" s="1088" t="s">
        <v>663</v>
      </c>
      <c r="B2" s="1088"/>
      <c r="C2" s="1088"/>
      <c r="D2" s="1088"/>
      <c r="E2" s="1088"/>
      <c r="F2" s="1088"/>
      <c r="G2" s="1088"/>
      <c r="H2" s="263"/>
      <c r="I2" s="263"/>
      <c r="J2" s="263"/>
    </row>
    <row r="3" spans="1:11" ht="19.5" customHeight="1">
      <c r="A3" s="265"/>
      <c r="B3" s="265"/>
      <c r="C3" s="266"/>
      <c r="D3" s="266"/>
      <c r="E3" s="266"/>
      <c r="F3" s="1089" t="s">
        <v>664</v>
      </c>
      <c r="G3" s="1089"/>
      <c r="H3" s="263"/>
      <c r="I3" s="263"/>
      <c r="J3" s="263"/>
    </row>
    <row r="4" spans="1:11" s="269" customFormat="1" ht="21.75" customHeight="1">
      <c r="A4" s="267" t="s">
        <v>665</v>
      </c>
      <c r="B4" s="1090" t="s">
        <v>213</v>
      </c>
      <c r="C4" s="1093" t="s">
        <v>625</v>
      </c>
      <c r="D4" s="1093" t="s">
        <v>624</v>
      </c>
      <c r="E4" s="1093" t="s">
        <v>631</v>
      </c>
      <c r="F4" s="1094" t="s">
        <v>666</v>
      </c>
      <c r="G4" s="1094"/>
      <c r="H4" s="268"/>
      <c r="I4" s="268"/>
      <c r="J4" s="268"/>
    </row>
    <row r="5" spans="1:11" s="269" customFormat="1" ht="3" customHeight="1">
      <c r="A5" s="270" t="s">
        <v>667</v>
      </c>
      <c r="B5" s="1091"/>
      <c r="C5" s="1093"/>
      <c r="D5" s="1093"/>
      <c r="E5" s="1093"/>
      <c r="F5" s="1094"/>
      <c r="G5" s="1094"/>
      <c r="H5" s="268"/>
      <c r="I5" s="268"/>
      <c r="J5" s="268"/>
    </row>
    <row r="6" spans="1:11" s="269" customFormat="1" ht="21.75" customHeight="1">
      <c r="A6" s="270"/>
      <c r="B6" s="1091"/>
      <c r="C6" s="1093"/>
      <c r="D6" s="1093"/>
      <c r="E6" s="1093"/>
      <c r="F6" s="1095" t="s">
        <v>239</v>
      </c>
      <c r="G6" s="1095" t="s">
        <v>668</v>
      </c>
      <c r="H6" s="268"/>
      <c r="I6" s="268"/>
      <c r="J6" s="268"/>
    </row>
    <row r="7" spans="1:11" s="269" customFormat="1" ht="30" customHeight="1">
      <c r="A7" s="271" t="s">
        <v>667</v>
      </c>
      <c r="B7" s="1092"/>
      <c r="C7" s="1093"/>
      <c r="D7" s="1093"/>
      <c r="E7" s="1093"/>
      <c r="F7" s="1096"/>
      <c r="G7" s="1096"/>
      <c r="H7" s="268"/>
      <c r="I7" s="268"/>
      <c r="J7" s="268"/>
    </row>
    <row r="8" spans="1:11" s="274" customFormat="1" ht="17.25" customHeight="1">
      <c r="A8" s="272" t="s">
        <v>158</v>
      </c>
      <c r="B8" s="272" t="s">
        <v>160</v>
      </c>
      <c r="C8" s="272">
        <v>1</v>
      </c>
      <c r="D8" s="272">
        <f>C8+1</f>
        <v>2</v>
      </c>
      <c r="E8" s="272">
        <v>3</v>
      </c>
      <c r="F8" s="272" t="s">
        <v>669</v>
      </c>
      <c r="G8" s="272" t="s">
        <v>670</v>
      </c>
      <c r="H8" s="273"/>
      <c r="I8" s="273"/>
      <c r="J8" s="273"/>
    </row>
    <row r="9" spans="1:11" s="282" customFormat="1" ht="25.5" customHeight="1">
      <c r="A9" s="275" t="s">
        <v>158</v>
      </c>
      <c r="B9" s="276" t="s">
        <v>357</v>
      </c>
      <c r="C9" s="277">
        <f>C10+C13</f>
        <v>8261747</v>
      </c>
      <c r="D9" s="277">
        <f>D10+D13+D16+D17+D18</f>
        <v>11190930.888887998</v>
      </c>
      <c r="E9" s="277">
        <f>E10+E13+E16+E17+E18</f>
        <v>7733827.2615999999</v>
      </c>
      <c r="F9" s="277">
        <f>E9-D9</f>
        <v>-3457103.6272879979</v>
      </c>
      <c r="G9" s="278">
        <f>E9/D9</f>
        <v>0.69107988766861939</v>
      </c>
      <c r="H9" s="279">
        <f>E9-E29</f>
        <v>5486723</v>
      </c>
      <c r="I9" s="279">
        <f>C20-C27-18000-C28</f>
        <v>5380973.0959999999</v>
      </c>
      <c r="J9" s="280">
        <f>H9/I9*100</f>
        <v>101.96525613701006</v>
      </c>
      <c r="K9" s="281"/>
    </row>
    <row r="10" spans="1:11" s="282" customFormat="1" ht="25.5" customHeight="1">
      <c r="A10" s="283" t="s">
        <v>60</v>
      </c>
      <c r="B10" s="284" t="s">
        <v>229</v>
      </c>
      <c r="C10" s="285">
        <f>C11+C12</f>
        <v>2993150</v>
      </c>
      <c r="D10" s="285">
        <f t="shared" ref="D10:E10" si="0">D11+D12</f>
        <v>2986150</v>
      </c>
      <c r="E10" s="285">
        <f t="shared" si="0"/>
        <v>2200900</v>
      </c>
      <c r="F10" s="285">
        <f t="shared" ref="F10:F39" si="1">E10-D10</f>
        <v>-785250</v>
      </c>
      <c r="G10" s="286">
        <f t="shared" ref="G10:G39" si="2">E10/D10</f>
        <v>0.73703598278720095</v>
      </c>
      <c r="H10" s="279">
        <v>5096723</v>
      </c>
      <c r="I10" s="279">
        <v>5095973.0959999999</v>
      </c>
      <c r="J10" s="280">
        <f>H10/I10</f>
        <v>1.0001471561929141</v>
      </c>
    </row>
    <row r="11" spans="1:11" s="292" customFormat="1" ht="25.5" customHeight="1">
      <c r="A11" s="287" t="s">
        <v>176</v>
      </c>
      <c r="B11" s="288" t="s">
        <v>671</v>
      </c>
      <c r="C11" s="289">
        <v>1959350</v>
      </c>
      <c r="D11" s="289">
        <v>1966150</v>
      </c>
      <c r="E11" s="289">
        <v>1133800</v>
      </c>
      <c r="F11" s="289">
        <f t="shared" si="1"/>
        <v>-832350</v>
      </c>
      <c r="G11" s="290">
        <f t="shared" si="2"/>
        <v>0.57665996999211655</v>
      </c>
      <c r="H11" s="266"/>
      <c r="I11" s="291">
        <f>H10-I10</f>
        <v>749.90400000009686</v>
      </c>
      <c r="J11" s="266"/>
    </row>
    <row r="12" spans="1:11" s="292" customFormat="1" ht="25.5" customHeight="1">
      <c r="A12" s="287" t="s">
        <v>176</v>
      </c>
      <c r="B12" s="288" t="s">
        <v>672</v>
      </c>
      <c r="C12" s="289">
        <v>1033800</v>
      </c>
      <c r="D12" s="289">
        <v>1020000</v>
      </c>
      <c r="E12" s="289">
        <v>1067100</v>
      </c>
      <c r="F12" s="289">
        <f t="shared" si="1"/>
        <v>47100</v>
      </c>
      <c r="G12" s="290">
        <f t="shared" si="2"/>
        <v>1.0461764705882353</v>
      </c>
      <c r="H12" s="266"/>
      <c r="I12" s="266"/>
      <c r="J12" s="266"/>
    </row>
    <row r="13" spans="1:11" s="282" customFormat="1" ht="25.5" customHeight="1">
      <c r="A13" s="283" t="s">
        <v>103</v>
      </c>
      <c r="B13" s="284" t="s">
        <v>230</v>
      </c>
      <c r="C13" s="285">
        <f>C14+C15</f>
        <v>5268597</v>
      </c>
      <c r="D13" s="285">
        <f>D14+D15</f>
        <v>5485593</v>
      </c>
      <c r="E13" s="285">
        <f>E14+E15</f>
        <v>5532927.2615999999</v>
      </c>
      <c r="F13" s="285">
        <f t="shared" si="1"/>
        <v>47334.261599999852</v>
      </c>
      <c r="G13" s="286">
        <f t="shared" si="2"/>
        <v>1.0086288322155872</v>
      </c>
      <c r="H13" s="280"/>
      <c r="I13" s="280"/>
      <c r="J13" s="280"/>
    </row>
    <row r="14" spans="1:11" s="292" customFormat="1" ht="25.5" customHeight="1">
      <c r="A14" s="293">
        <v>1</v>
      </c>
      <c r="B14" s="288" t="s">
        <v>243</v>
      </c>
      <c r="C14" s="289">
        <v>3285823</v>
      </c>
      <c r="D14" s="289">
        <v>3285823</v>
      </c>
      <c r="E14" s="289">
        <v>3285823</v>
      </c>
      <c r="F14" s="289">
        <f t="shared" si="1"/>
        <v>0</v>
      </c>
      <c r="G14" s="290">
        <f t="shared" si="2"/>
        <v>1</v>
      </c>
      <c r="H14" s="266"/>
      <c r="I14" s="266"/>
      <c r="J14" s="266"/>
    </row>
    <row r="15" spans="1:11" s="292" customFormat="1" ht="25.5" customHeight="1">
      <c r="A15" s="293">
        <f>A14+1</f>
        <v>2</v>
      </c>
      <c r="B15" s="288" t="s">
        <v>244</v>
      </c>
      <c r="C15" s="289">
        <v>1982774</v>
      </c>
      <c r="D15" s="289">
        <v>2199770</v>
      </c>
      <c r="E15" s="289">
        <v>2247104.2615999999</v>
      </c>
      <c r="F15" s="289">
        <f t="shared" si="1"/>
        <v>47334.261599999852</v>
      </c>
      <c r="G15" s="290">
        <f t="shared" si="2"/>
        <v>1.0215178230451365</v>
      </c>
      <c r="H15" s="266"/>
      <c r="I15" s="266"/>
      <c r="J15" s="266"/>
    </row>
    <row r="16" spans="1:11" s="282" customFormat="1" ht="25.5" customHeight="1">
      <c r="A16" s="283" t="s">
        <v>104</v>
      </c>
      <c r="B16" s="284" t="s">
        <v>245</v>
      </c>
      <c r="C16" s="285"/>
      <c r="D16" s="285"/>
      <c r="E16" s="285">
        <v>0</v>
      </c>
      <c r="F16" s="285">
        <f t="shared" si="1"/>
        <v>0</v>
      </c>
      <c r="G16" s="286"/>
      <c r="H16" s="280"/>
      <c r="I16" s="280"/>
      <c r="J16" s="280"/>
    </row>
    <row r="17" spans="1:13" s="282" customFormat="1" ht="25.5" customHeight="1">
      <c r="A17" s="283" t="s">
        <v>124</v>
      </c>
      <c r="B17" s="284" t="s">
        <v>246</v>
      </c>
      <c r="C17" s="285"/>
      <c r="D17" s="285">
        <v>122008.15048899874</v>
      </c>
      <c r="E17" s="285">
        <v>0</v>
      </c>
      <c r="F17" s="285">
        <f t="shared" si="1"/>
        <v>-122008.15048899874</v>
      </c>
      <c r="G17" s="286">
        <f t="shared" si="2"/>
        <v>0</v>
      </c>
      <c r="H17" s="280"/>
      <c r="I17" s="280"/>
      <c r="J17" s="280"/>
    </row>
    <row r="18" spans="1:13" s="282" customFormat="1" ht="25.5" customHeight="1">
      <c r="A18" s="283" t="s">
        <v>129</v>
      </c>
      <c r="B18" s="284" t="s">
        <v>284</v>
      </c>
      <c r="C18" s="285"/>
      <c r="D18" s="285">
        <v>2597179.7383989999</v>
      </c>
      <c r="E18" s="285">
        <v>0</v>
      </c>
      <c r="F18" s="285">
        <f t="shared" si="1"/>
        <v>-2597179.7383989999</v>
      </c>
      <c r="G18" s="286">
        <f t="shared" si="2"/>
        <v>0</v>
      </c>
      <c r="H18" s="280"/>
      <c r="I18" s="280"/>
      <c r="J18" s="280"/>
    </row>
    <row r="19" spans="1:13" s="282" customFormat="1" ht="25.5" customHeight="1">
      <c r="A19" s="283" t="s">
        <v>160</v>
      </c>
      <c r="B19" s="284" t="s">
        <v>358</v>
      </c>
      <c r="C19" s="285">
        <f>C20+C29</f>
        <v>8277847.0959999999</v>
      </c>
      <c r="D19" s="285">
        <f>D20+D29+D32</f>
        <v>11070930.888887998</v>
      </c>
      <c r="E19" s="285">
        <f>E20+E29+E32</f>
        <v>7733827.4616</v>
      </c>
      <c r="F19" s="285">
        <f t="shared" si="1"/>
        <v>-3337103.4272879977</v>
      </c>
      <c r="G19" s="286">
        <f t="shared" si="2"/>
        <v>0.69857065672431562</v>
      </c>
      <c r="H19" s="279"/>
      <c r="I19" s="280"/>
      <c r="J19" s="280"/>
    </row>
    <row r="20" spans="1:13" s="282" customFormat="1" ht="25.5" customHeight="1">
      <c r="A20" s="283" t="s">
        <v>60</v>
      </c>
      <c r="B20" s="284" t="s">
        <v>673</v>
      </c>
      <c r="C20" s="285">
        <f>C21+C22+C23+C25+C26+C27+C24+C28</f>
        <v>6295073.0959999999</v>
      </c>
      <c r="D20" s="285">
        <f>D21+D22+D23+D25+D26+D27+D24+D28</f>
        <v>7169484.35133</v>
      </c>
      <c r="E20" s="285">
        <f t="shared" ref="E20:F20" si="3">E21+E22+E23+E25+E26+E27+E24+E28</f>
        <v>5486723.2000000002</v>
      </c>
      <c r="F20" s="285">
        <f t="shared" si="3"/>
        <v>-1682761.1513299998</v>
      </c>
      <c r="G20" s="286">
        <f t="shared" si="2"/>
        <v>0.76528839887657563</v>
      </c>
      <c r="H20" s="294"/>
      <c r="I20" s="279">
        <f>C20-C27-18000</f>
        <v>5397073.0959999999</v>
      </c>
      <c r="J20" s="279">
        <f>E20-I20</f>
        <v>89650.104000000283</v>
      </c>
      <c r="L20" s="281"/>
      <c r="M20" s="281"/>
    </row>
    <row r="21" spans="1:13" s="292" customFormat="1" ht="25.5" customHeight="1">
      <c r="A21" s="293">
        <v>1</v>
      </c>
      <c r="B21" s="288" t="s">
        <v>674</v>
      </c>
      <c r="C21" s="289">
        <v>825372</v>
      </c>
      <c r="D21" s="289">
        <v>1469952.2553300001</v>
      </c>
      <c r="E21" s="289">
        <v>930372</v>
      </c>
      <c r="F21" s="289">
        <f t="shared" si="1"/>
        <v>-539580.25533000007</v>
      </c>
      <c r="G21" s="290">
        <f t="shared" si="2"/>
        <v>0.6329266795071069</v>
      </c>
      <c r="H21" s="266">
        <v>825048.33397387352</v>
      </c>
      <c r="I21" s="266"/>
      <c r="J21" s="266"/>
    </row>
    <row r="22" spans="1:13" s="292" customFormat="1" ht="25.5" customHeight="1">
      <c r="A22" s="293">
        <f>A21+1</f>
        <v>2</v>
      </c>
      <c r="B22" s="288" t="s">
        <v>675</v>
      </c>
      <c r="C22" s="289">
        <v>4445685.0959999999</v>
      </c>
      <c r="D22" s="289">
        <v>4801132.0959999999</v>
      </c>
      <c r="E22" s="289">
        <f>H9-E21-E23-E24-E25-E26+0.2</f>
        <v>4443941.74</v>
      </c>
      <c r="F22" s="289">
        <f t="shared" si="1"/>
        <v>-357190.35599999968</v>
      </c>
      <c r="G22" s="290">
        <f t="shared" si="2"/>
        <v>0.92560288930654744</v>
      </c>
      <c r="H22" s="291">
        <f>E22-C22</f>
        <v>-1743.3559999996796</v>
      </c>
      <c r="I22" s="291"/>
      <c r="J22" s="266"/>
    </row>
    <row r="23" spans="1:13" s="292" customFormat="1" ht="43.5" customHeight="1">
      <c r="A23" s="293">
        <f>A22+1</f>
        <v>3</v>
      </c>
      <c r="B23" s="295" t="s">
        <v>676</v>
      </c>
      <c r="C23" s="289">
        <v>1300</v>
      </c>
      <c r="D23" s="289">
        <v>1300</v>
      </c>
      <c r="E23" s="289">
        <v>1300</v>
      </c>
      <c r="F23" s="289">
        <f t="shared" si="1"/>
        <v>0</v>
      </c>
      <c r="G23" s="290">
        <f t="shared" si="2"/>
        <v>1</v>
      </c>
      <c r="H23" s="266"/>
      <c r="I23" s="266"/>
      <c r="J23" s="266"/>
    </row>
    <row r="24" spans="1:13" s="292" customFormat="1" ht="25.5" customHeight="1">
      <c r="A24" s="293">
        <f>A23+1</f>
        <v>4</v>
      </c>
      <c r="B24" s="288" t="s">
        <v>677</v>
      </c>
      <c r="C24" s="289">
        <v>1000</v>
      </c>
      <c r="D24" s="289">
        <v>1000</v>
      </c>
      <c r="E24" s="289">
        <v>1000</v>
      </c>
      <c r="F24" s="289">
        <f t="shared" si="1"/>
        <v>0</v>
      </c>
      <c r="G24" s="290">
        <f t="shared" si="2"/>
        <v>1</v>
      </c>
      <c r="H24" s="266"/>
      <c r="I24" s="266"/>
      <c r="J24" s="266"/>
    </row>
    <row r="25" spans="1:13" s="292" customFormat="1" ht="25.5" customHeight="1">
      <c r="A25" s="293">
        <f>A24+1</f>
        <v>5</v>
      </c>
      <c r="B25" s="288" t="s">
        <v>157</v>
      </c>
      <c r="C25" s="289">
        <v>125616</v>
      </c>
      <c r="D25" s="289">
        <v>0</v>
      </c>
      <c r="E25" s="289">
        <f>H9*2%</f>
        <v>109734.46</v>
      </c>
      <c r="F25" s="289">
        <f t="shared" si="1"/>
        <v>109734.46</v>
      </c>
      <c r="G25" s="290"/>
      <c r="H25" s="266"/>
      <c r="I25" s="266"/>
      <c r="J25" s="266"/>
    </row>
    <row r="26" spans="1:13" s="292" customFormat="1" ht="25.5" customHeight="1">
      <c r="A26" s="293">
        <f>A25+1</f>
        <v>6</v>
      </c>
      <c r="B26" s="288" t="s">
        <v>678</v>
      </c>
      <c r="C26" s="289"/>
      <c r="D26" s="289">
        <v>0</v>
      </c>
      <c r="E26" s="289">
        <v>375</v>
      </c>
      <c r="F26" s="289">
        <f t="shared" si="1"/>
        <v>375</v>
      </c>
      <c r="G26" s="290"/>
      <c r="H26" s="266"/>
      <c r="I26" s="266"/>
      <c r="J26" s="266"/>
    </row>
    <row r="27" spans="1:13" s="292" customFormat="1" ht="56.25">
      <c r="A27" s="293">
        <v>7</v>
      </c>
      <c r="B27" s="295" t="s">
        <v>648</v>
      </c>
      <c r="C27" s="289">
        <v>880000</v>
      </c>
      <c r="D27" s="289">
        <v>880000</v>
      </c>
      <c r="E27" s="289"/>
      <c r="F27" s="289">
        <f>E27-D27</f>
        <v>-880000</v>
      </c>
      <c r="G27" s="290">
        <f t="shared" si="2"/>
        <v>0</v>
      </c>
      <c r="H27" s="266"/>
      <c r="I27" s="266"/>
      <c r="J27" s="266"/>
    </row>
    <row r="28" spans="1:13" s="292" customFormat="1" ht="18.75">
      <c r="A28" s="293">
        <v>8</v>
      </c>
      <c r="B28" s="295" t="s">
        <v>597</v>
      </c>
      <c r="C28" s="289">
        <v>16100</v>
      </c>
      <c r="D28" s="289">
        <v>16100</v>
      </c>
      <c r="E28" s="289"/>
      <c r="F28" s="289">
        <f t="shared" si="1"/>
        <v>-16100</v>
      </c>
      <c r="G28" s="290"/>
      <c r="H28" s="266"/>
      <c r="I28" s="266"/>
      <c r="J28" s="266"/>
    </row>
    <row r="29" spans="1:13" s="282" customFormat="1" ht="25.5" customHeight="1">
      <c r="A29" s="283" t="s">
        <v>103</v>
      </c>
      <c r="B29" s="284" t="s">
        <v>679</v>
      </c>
      <c r="C29" s="285">
        <f>C30+C31</f>
        <v>1982774</v>
      </c>
      <c r="D29" s="285">
        <f>D30+D31</f>
        <v>2417064</v>
      </c>
      <c r="E29" s="285">
        <f>E30+E31</f>
        <v>2247104.2615999999</v>
      </c>
      <c r="F29" s="285">
        <f t="shared" si="1"/>
        <v>-169959.73840000015</v>
      </c>
      <c r="G29" s="286">
        <f t="shared" si="2"/>
        <v>0.92968339340621509</v>
      </c>
      <c r="H29" s="280"/>
      <c r="I29" s="280"/>
      <c r="J29" s="280"/>
    </row>
    <row r="30" spans="1:13" s="292" customFormat="1" ht="25.5" customHeight="1">
      <c r="A30" s="293">
        <v>1</v>
      </c>
      <c r="B30" s="288" t="s">
        <v>252</v>
      </c>
      <c r="C30" s="289">
        <v>661008</v>
      </c>
      <c r="D30" s="289">
        <v>752315</v>
      </c>
      <c r="E30" s="289">
        <v>0</v>
      </c>
      <c r="F30" s="289">
        <f t="shared" si="1"/>
        <v>-752315</v>
      </c>
      <c r="G30" s="290">
        <f t="shared" si="2"/>
        <v>0</v>
      </c>
      <c r="H30" s="266"/>
      <c r="I30" s="266"/>
      <c r="J30" s="266"/>
    </row>
    <row r="31" spans="1:13" s="292" customFormat="1" ht="25.5" customHeight="1">
      <c r="A31" s="293">
        <f>A30+1</f>
        <v>2</v>
      </c>
      <c r="B31" s="288" t="s">
        <v>253</v>
      </c>
      <c r="C31" s="289">
        <v>1321766</v>
      </c>
      <c r="D31" s="289">
        <v>1664749</v>
      </c>
      <c r="E31" s="289">
        <v>2247104.2615999999</v>
      </c>
      <c r="F31" s="289">
        <f t="shared" si="1"/>
        <v>582355.26159999985</v>
      </c>
      <c r="G31" s="290">
        <f t="shared" si="2"/>
        <v>1.3498156548524731</v>
      </c>
      <c r="H31" s="266"/>
      <c r="I31" s="266"/>
      <c r="J31" s="266"/>
    </row>
    <row r="32" spans="1:13" s="282" customFormat="1" ht="31.5" customHeight="1">
      <c r="A32" s="283" t="s">
        <v>104</v>
      </c>
      <c r="B32" s="284" t="s">
        <v>254</v>
      </c>
      <c r="C32" s="285"/>
      <c r="D32" s="285">
        <v>1484382.5375579968</v>
      </c>
      <c r="E32" s="285"/>
      <c r="F32" s="285">
        <f t="shared" si="1"/>
        <v>-1484382.5375579968</v>
      </c>
      <c r="G32" s="286"/>
      <c r="H32" s="280"/>
      <c r="I32" s="280"/>
      <c r="J32" s="280"/>
    </row>
    <row r="33" spans="1:256" s="282" customFormat="1" ht="23.25" customHeight="1">
      <c r="A33" s="283" t="s">
        <v>162</v>
      </c>
      <c r="B33" s="284" t="s">
        <v>680</v>
      </c>
      <c r="C33" s="285">
        <v>16100</v>
      </c>
      <c r="D33" s="285">
        <f>C33</f>
        <v>16100</v>
      </c>
      <c r="E33" s="285">
        <v>68778.588235294126</v>
      </c>
      <c r="F33" s="285">
        <f t="shared" si="1"/>
        <v>52678.588235294126</v>
      </c>
      <c r="G33" s="286"/>
      <c r="H33" s="280"/>
      <c r="I33" s="280"/>
      <c r="J33" s="280"/>
    </row>
    <row r="34" spans="1:256" s="282" customFormat="1" ht="25.5" customHeight="1">
      <c r="A34" s="283" t="s">
        <v>171</v>
      </c>
      <c r="B34" s="284" t="s">
        <v>681</v>
      </c>
      <c r="C34" s="285">
        <f>C35+C36</f>
        <v>18000</v>
      </c>
      <c r="D34" s="285">
        <f t="shared" ref="D34:F34" si="4">D35+D36</f>
        <v>18000</v>
      </c>
      <c r="E34" s="285">
        <f t="shared" si="4"/>
        <v>7143.4480000000003</v>
      </c>
      <c r="F34" s="285">
        <f t="shared" si="4"/>
        <v>-10856.552</v>
      </c>
      <c r="G34" s="286"/>
      <c r="H34" s="1098" t="s">
        <v>682</v>
      </c>
      <c r="I34" s="280"/>
      <c r="J34" s="280"/>
    </row>
    <row r="35" spans="1:256" s="282" customFormat="1" ht="31.5" customHeight="1" outlineLevel="1">
      <c r="A35" s="283" t="s">
        <v>60</v>
      </c>
      <c r="B35" s="284" t="s">
        <v>259</v>
      </c>
      <c r="C35" s="285">
        <v>18000</v>
      </c>
      <c r="D35" s="285"/>
      <c r="E35" s="285">
        <v>1143.4480000000001</v>
      </c>
      <c r="F35" s="285">
        <f t="shared" si="1"/>
        <v>1143.4480000000001</v>
      </c>
      <c r="G35" s="286"/>
      <c r="H35" s="1098"/>
      <c r="I35" s="280"/>
      <c r="J35" s="280"/>
    </row>
    <row r="36" spans="1:256" s="282" customFormat="1" ht="36" customHeight="1" outlineLevel="1">
      <c r="A36" s="283" t="s">
        <v>103</v>
      </c>
      <c r="B36" s="296" t="s">
        <v>260</v>
      </c>
      <c r="C36" s="285"/>
      <c r="D36" s="285">
        <v>18000</v>
      </c>
      <c r="E36" s="285">
        <v>6000</v>
      </c>
      <c r="F36" s="285">
        <f t="shared" si="1"/>
        <v>-12000</v>
      </c>
      <c r="G36" s="286"/>
      <c r="H36" s="1098"/>
      <c r="I36" s="280"/>
      <c r="J36" s="280"/>
    </row>
    <row r="37" spans="1:256" s="282" customFormat="1" ht="25.5" customHeight="1">
      <c r="A37" s="283" t="s">
        <v>533</v>
      </c>
      <c r="B37" s="284" t="s">
        <v>683</v>
      </c>
      <c r="C37" s="285"/>
      <c r="D37" s="285"/>
      <c r="E37" s="285"/>
      <c r="F37" s="285">
        <f t="shared" si="1"/>
        <v>0</v>
      </c>
      <c r="G37" s="286"/>
      <c r="H37" s="280"/>
      <c r="I37" s="280"/>
      <c r="J37" s="280"/>
    </row>
    <row r="38" spans="1:256" s="282" customFormat="1" ht="31.5" hidden="1" customHeight="1" outlineLevel="1">
      <c r="A38" s="283" t="s">
        <v>60</v>
      </c>
      <c r="B38" s="284" t="s">
        <v>262</v>
      </c>
      <c r="C38" s="285"/>
      <c r="D38" s="285"/>
      <c r="E38" s="285" t="e">
        <f>#REF!+#REF!</f>
        <v>#REF!</v>
      </c>
      <c r="F38" s="277" t="e">
        <f t="shared" si="1"/>
        <v>#REF!</v>
      </c>
      <c r="G38" s="297" t="e">
        <f t="shared" si="2"/>
        <v>#REF!</v>
      </c>
      <c r="H38" s="280"/>
      <c r="I38" s="280"/>
      <c r="J38" s="280"/>
    </row>
    <row r="39" spans="1:256" s="282" customFormat="1" ht="31.5" hidden="1" customHeight="1" outlineLevel="1">
      <c r="A39" s="283" t="s">
        <v>103</v>
      </c>
      <c r="B39" s="284" t="s">
        <v>599</v>
      </c>
      <c r="C39" s="285"/>
      <c r="D39" s="285"/>
      <c r="E39" s="285" t="e">
        <f>#REF!+#REF!</f>
        <v>#REF!</v>
      </c>
      <c r="F39" s="277" t="e">
        <f t="shared" si="1"/>
        <v>#REF!</v>
      </c>
      <c r="G39" s="297" t="e">
        <f t="shared" si="2"/>
        <v>#REF!</v>
      </c>
      <c r="H39" s="280"/>
      <c r="I39" s="280"/>
      <c r="J39" s="280"/>
    </row>
    <row r="40" spans="1:256" ht="6" customHeight="1" collapsed="1">
      <c r="A40" s="298"/>
      <c r="B40" s="298"/>
      <c r="C40" s="298"/>
      <c r="D40" s="298"/>
      <c r="E40" s="298"/>
      <c r="F40" s="298"/>
      <c r="G40" s="298"/>
    </row>
    <row r="41" spans="1:256" ht="54" customHeight="1">
      <c r="A41" s="1099" t="s">
        <v>684</v>
      </c>
      <c r="B41" s="1099"/>
      <c r="C41" s="1099"/>
      <c r="D41" s="1099"/>
      <c r="E41" s="1099"/>
      <c r="F41" s="1099"/>
      <c r="G41" s="1099"/>
    </row>
    <row r="42" spans="1:256" ht="40.5" customHeight="1">
      <c r="A42" s="1100" t="s">
        <v>685</v>
      </c>
      <c r="B42" s="1100"/>
      <c r="C42" s="1100"/>
      <c r="D42" s="1100"/>
      <c r="E42" s="1100"/>
      <c r="F42" s="1100"/>
      <c r="G42" s="1100"/>
    </row>
    <row r="43" spans="1:256" ht="15.75" customHeight="1">
      <c r="A43" s="1101" t="s">
        <v>686</v>
      </c>
      <c r="B43" s="1101"/>
      <c r="C43" s="1101"/>
      <c r="D43" s="1101"/>
      <c r="E43" s="1101"/>
      <c r="F43" s="1101"/>
      <c r="G43" s="1101"/>
    </row>
    <row r="44" spans="1:256" ht="15.75" customHeight="1">
      <c r="A44" s="1101" t="s">
        <v>687</v>
      </c>
      <c r="B44" s="1101"/>
      <c r="C44" s="1101"/>
      <c r="D44" s="1101"/>
      <c r="E44" s="1101"/>
      <c r="F44" s="1101"/>
      <c r="G44" s="1101"/>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t="s">
        <v>688</v>
      </c>
      <c r="CF44" s="299" t="s">
        <v>688</v>
      </c>
      <c r="CG44" s="299" t="s">
        <v>688</v>
      </c>
      <c r="CH44" s="299" t="s">
        <v>688</v>
      </c>
      <c r="CI44" s="299" t="s">
        <v>688</v>
      </c>
      <c r="CJ44" s="299" t="s">
        <v>688</v>
      </c>
      <c r="CK44" s="299" t="s">
        <v>688</v>
      </c>
      <c r="CL44" s="299" t="s">
        <v>688</v>
      </c>
      <c r="CM44" s="299" t="s">
        <v>688</v>
      </c>
      <c r="CN44" s="299" t="s">
        <v>688</v>
      </c>
      <c r="CO44" s="299" t="s">
        <v>688</v>
      </c>
      <c r="CP44" s="299" t="s">
        <v>688</v>
      </c>
      <c r="CQ44" s="299" t="s">
        <v>688</v>
      </c>
      <c r="CR44" s="299" t="s">
        <v>688</v>
      </c>
      <c r="CS44" s="299" t="s">
        <v>688</v>
      </c>
      <c r="CT44" s="299" t="s">
        <v>688</v>
      </c>
      <c r="CU44" s="299" t="s">
        <v>688</v>
      </c>
      <c r="CV44" s="299" t="s">
        <v>688</v>
      </c>
      <c r="CW44" s="299" t="s">
        <v>688</v>
      </c>
      <c r="CX44" s="299" t="s">
        <v>688</v>
      </c>
      <c r="CY44" s="299" t="s">
        <v>688</v>
      </c>
      <c r="CZ44" s="299" t="s">
        <v>688</v>
      </c>
      <c r="DA44" s="299" t="s">
        <v>688</v>
      </c>
      <c r="DB44" s="299" t="s">
        <v>688</v>
      </c>
      <c r="DC44" s="299" t="s">
        <v>688</v>
      </c>
      <c r="DD44" s="299" t="s">
        <v>688</v>
      </c>
      <c r="DE44" s="299" t="s">
        <v>688</v>
      </c>
      <c r="DF44" s="299" t="s">
        <v>688</v>
      </c>
      <c r="DG44" s="299" t="s">
        <v>688</v>
      </c>
      <c r="DH44" s="299" t="s">
        <v>688</v>
      </c>
      <c r="DI44" s="299" t="s">
        <v>688</v>
      </c>
      <c r="DJ44" s="299" t="s">
        <v>688</v>
      </c>
      <c r="DK44" s="299" t="s">
        <v>688</v>
      </c>
      <c r="DL44" s="299" t="s">
        <v>688</v>
      </c>
      <c r="DM44" s="299" t="s">
        <v>688</v>
      </c>
      <c r="DN44" s="299" t="s">
        <v>688</v>
      </c>
      <c r="DO44" s="299" t="s">
        <v>688</v>
      </c>
      <c r="DP44" s="299" t="s">
        <v>688</v>
      </c>
      <c r="DQ44" s="299" t="s">
        <v>688</v>
      </c>
      <c r="DR44" s="299" t="s">
        <v>688</v>
      </c>
      <c r="DS44" s="299" t="s">
        <v>688</v>
      </c>
      <c r="DT44" s="299" t="s">
        <v>688</v>
      </c>
      <c r="DU44" s="299" t="s">
        <v>688</v>
      </c>
      <c r="DV44" s="299" t="s">
        <v>688</v>
      </c>
      <c r="DW44" s="299" t="s">
        <v>688</v>
      </c>
      <c r="DX44" s="299" t="s">
        <v>688</v>
      </c>
      <c r="DY44" s="299" t="s">
        <v>688</v>
      </c>
      <c r="DZ44" s="299" t="s">
        <v>688</v>
      </c>
      <c r="EA44" s="299" t="s">
        <v>688</v>
      </c>
      <c r="EB44" s="299" t="s">
        <v>688</v>
      </c>
      <c r="EC44" s="299" t="s">
        <v>688</v>
      </c>
      <c r="ED44" s="299" t="s">
        <v>688</v>
      </c>
      <c r="EE44" s="299" t="s">
        <v>688</v>
      </c>
      <c r="EF44" s="299" t="s">
        <v>688</v>
      </c>
      <c r="EG44" s="299" t="s">
        <v>688</v>
      </c>
      <c r="EH44" s="299" t="s">
        <v>688</v>
      </c>
      <c r="EI44" s="299" t="s">
        <v>688</v>
      </c>
      <c r="EJ44" s="299" t="s">
        <v>688</v>
      </c>
      <c r="EK44" s="299" t="s">
        <v>688</v>
      </c>
      <c r="EL44" s="299" t="s">
        <v>688</v>
      </c>
      <c r="EM44" s="299" t="s">
        <v>688</v>
      </c>
      <c r="EN44" s="299" t="s">
        <v>688</v>
      </c>
      <c r="EO44" s="299" t="s">
        <v>688</v>
      </c>
      <c r="EP44" s="299" t="s">
        <v>688</v>
      </c>
      <c r="EQ44" s="299" t="s">
        <v>688</v>
      </c>
      <c r="ER44" s="299" t="s">
        <v>688</v>
      </c>
      <c r="ES44" s="299" t="s">
        <v>688</v>
      </c>
      <c r="ET44" s="299" t="s">
        <v>688</v>
      </c>
      <c r="EU44" s="299" t="s">
        <v>688</v>
      </c>
      <c r="EV44" s="299" t="s">
        <v>688</v>
      </c>
      <c r="EW44" s="299" t="s">
        <v>688</v>
      </c>
      <c r="EX44" s="299" t="s">
        <v>688</v>
      </c>
      <c r="EY44" s="299" t="s">
        <v>688</v>
      </c>
      <c r="EZ44" s="299" t="s">
        <v>688</v>
      </c>
      <c r="FA44" s="299" t="s">
        <v>688</v>
      </c>
      <c r="FB44" s="299" t="s">
        <v>688</v>
      </c>
      <c r="FC44" s="299" t="s">
        <v>688</v>
      </c>
      <c r="FD44" s="299" t="s">
        <v>688</v>
      </c>
      <c r="FE44" s="299" t="s">
        <v>688</v>
      </c>
      <c r="FF44" s="299" t="s">
        <v>688</v>
      </c>
      <c r="FG44" s="299" t="s">
        <v>688</v>
      </c>
      <c r="FH44" s="299" t="s">
        <v>688</v>
      </c>
      <c r="FI44" s="299" t="s">
        <v>688</v>
      </c>
      <c r="FJ44" s="299" t="s">
        <v>688</v>
      </c>
      <c r="FK44" s="299" t="s">
        <v>688</v>
      </c>
      <c r="FL44" s="299" t="s">
        <v>688</v>
      </c>
      <c r="FM44" s="299" t="s">
        <v>688</v>
      </c>
      <c r="FN44" s="299" t="s">
        <v>688</v>
      </c>
      <c r="FO44" s="299" t="s">
        <v>688</v>
      </c>
      <c r="FP44" s="299" t="s">
        <v>688</v>
      </c>
      <c r="FQ44" s="299" t="s">
        <v>688</v>
      </c>
      <c r="FR44" s="299" t="s">
        <v>688</v>
      </c>
      <c r="FS44" s="299" t="s">
        <v>688</v>
      </c>
      <c r="FT44" s="299" t="s">
        <v>688</v>
      </c>
      <c r="FU44" s="299" t="s">
        <v>688</v>
      </c>
      <c r="FV44" s="299" t="s">
        <v>688</v>
      </c>
      <c r="FW44" s="299" t="s">
        <v>688</v>
      </c>
      <c r="FX44" s="299" t="s">
        <v>688</v>
      </c>
      <c r="FY44" s="299" t="s">
        <v>688</v>
      </c>
      <c r="FZ44" s="299" t="s">
        <v>688</v>
      </c>
      <c r="GA44" s="299" t="s">
        <v>688</v>
      </c>
      <c r="GB44" s="299" t="s">
        <v>688</v>
      </c>
      <c r="GC44" s="299" t="s">
        <v>688</v>
      </c>
      <c r="GD44" s="299" t="s">
        <v>688</v>
      </c>
      <c r="GE44" s="299" t="s">
        <v>688</v>
      </c>
      <c r="GF44" s="299" t="s">
        <v>688</v>
      </c>
      <c r="GG44" s="299" t="s">
        <v>688</v>
      </c>
      <c r="GH44" s="299" t="s">
        <v>688</v>
      </c>
      <c r="GI44" s="299" t="s">
        <v>688</v>
      </c>
      <c r="GJ44" s="299" t="s">
        <v>688</v>
      </c>
      <c r="GK44" s="299" t="s">
        <v>688</v>
      </c>
      <c r="GL44" s="299" t="s">
        <v>688</v>
      </c>
      <c r="GM44" s="299" t="s">
        <v>688</v>
      </c>
      <c r="GN44" s="299" t="s">
        <v>688</v>
      </c>
      <c r="GO44" s="299" t="s">
        <v>688</v>
      </c>
      <c r="GP44" s="299" t="s">
        <v>688</v>
      </c>
      <c r="GQ44" s="299" t="s">
        <v>688</v>
      </c>
      <c r="GR44" s="299" t="s">
        <v>688</v>
      </c>
      <c r="GS44" s="299" t="s">
        <v>688</v>
      </c>
      <c r="GT44" s="299" t="s">
        <v>688</v>
      </c>
      <c r="GU44" s="299" t="s">
        <v>688</v>
      </c>
      <c r="GV44" s="299" t="s">
        <v>688</v>
      </c>
      <c r="GW44" s="299" t="s">
        <v>688</v>
      </c>
      <c r="GX44" s="299" t="s">
        <v>688</v>
      </c>
      <c r="GY44" s="299" t="s">
        <v>688</v>
      </c>
      <c r="GZ44" s="299" t="s">
        <v>688</v>
      </c>
      <c r="HA44" s="299" t="s">
        <v>688</v>
      </c>
      <c r="HB44" s="299" t="s">
        <v>688</v>
      </c>
      <c r="HC44" s="299" t="s">
        <v>688</v>
      </c>
      <c r="HD44" s="299" t="s">
        <v>688</v>
      </c>
      <c r="HE44" s="299" t="s">
        <v>688</v>
      </c>
      <c r="HF44" s="299" t="s">
        <v>688</v>
      </c>
      <c r="HG44" s="299" t="s">
        <v>688</v>
      </c>
      <c r="HH44" s="299" t="s">
        <v>688</v>
      </c>
      <c r="HI44" s="299" t="s">
        <v>688</v>
      </c>
      <c r="HJ44" s="299" t="s">
        <v>688</v>
      </c>
      <c r="HK44" s="299" t="s">
        <v>688</v>
      </c>
      <c r="HL44" s="299" t="s">
        <v>688</v>
      </c>
      <c r="HM44" s="299" t="s">
        <v>688</v>
      </c>
      <c r="HN44" s="299" t="s">
        <v>688</v>
      </c>
      <c r="HO44" s="299" t="s">
        <v>688</v>
      </c>
      <c r="HP44" s="299" t="s">
        <v>688</v>
      </c>
      <c r="HQ44" s="299" t="s">
        <v>688</v>
      </c>
      <c r="HR44" s="299" t="s">
        <v>688</v>
      </c>
      <c r="HS44" s="299" t="s">
        <v>688</v>
      </c>
      <c r="HT44" s="299" t="s">
        <v>688</v>
      </c>
      <c r="HU44" s="299" t="s">
        <v>688</v>
      </c>
      <c r="HV44" s="299" t="s">
        <v>688</v>
      </c>
      <c r="HW44" s="299" t="s">
        <v>688</v>
      </c>
      <c r="HX44" s="299" t="s">
        <v>688</v>
      </c>
      <c r="HY44" s="299" t="s">
        <v>688</v>
      </c>
      <c r="HZ44" s="299" t="s">
        <v>688</v>
      </c>
      <c r="IA44" s="299" t="s">
        <v>688</v>
      </c>
      <c r="IB44" s="299" t="s">
        <v>688</v>
      </c>
      <c r="IC44" s="299" t="s">
        <v>688</v>
      </c>
      <c r="ID44" s="299" t="s">
        <v>688</v>
      </c>
      <c r="IE44" s="299" t="s">
        <v>688</v>
      </c>
      <c r="IF44" s="299" t="s">
        <v>688</v>
      </c>
      <c r="IG44" s="299" t="s">
        <v>688</v>
      </c>
      <c r="IH44" s="299" t="s">
        <v>688</v>
      </c>
      <c r="II44" s="299" t="s">
        <v>688</v>
      </c>
      <c r="IJ44" s="299" t="s">
        <v>688</v>
      </c>
      <c r="IK44" s="299" t="s">
        <v>688</v>
      </c>
      <c r="IL44" s="299" t="s">
        <v>688</v>
      </c>
      <c r="IM44" s="299" t="s">
        <v>688</v>
      </c>
      <c r="IN44" s="299" t="s">
        <v>688</v>
      </c>
      <c r="IO44" s="299" t="s">
        <v>688</v>
      </c>
      <c r="IP44" s="299" t="s">
        <v>688</v>
      </c>
      <c r="IQ44" s="299" t="s">
        <v>688</v>
      </c>
      <c r="IR44" s="299" t="s">
        <v>688</v>
      </c>
      <c r="IS44" s="299" t="s">
        <v>688</v>
      </c>
      <c r="IT44" s="299" t="s">
        <v>688</v>
      </c>
      <c r="IU44" s="299" t="s">
        <v>688</v>
      </c>
      <c r="IV44" s="299" t="s">
        <v>688</v>
      </c>
    </row>
    <row r="45" spans="1:256" ht="18.75">
      <c r="A45" s="292"/>
      <c r="B45" s="300"/>
      <c r="C45" s="292"/>
      <c r="D45" s="292"/>
      <c r="E45" s="1102" t="s">
        <v>689</v>
      </c>
      <c r="F45" s="1102"/>
      <c r="G45" s="1102"/>
      <c r="H45" s="1102"/>
    </row>
    <row r="46" spans="1:256" ht="22.5" customHeight="1">
      <c r="A46" s="292"/>
      <c r="B46" s="292"/>
      <c r="C46" s="292"/>
      <c r="D46" s="292"/>
      <c r="E46" s="1097" t="s">
        <v>660</v>
      </c>
      <c r="F46" s="1097"/>
      <c r="G46" s="1097"/>
      <c r="H46" s="1097"/>
    </row>
    <row r="47" spans="1:256" ht="18.75">
      <c r="A47" s="292"/>
      <c r="B47" s="292"/>
      <c r="C47" s="292"/>
      <c r="D47" s="292"/>
      <c r="E47" s="1097" t="s">
        <v>661</v>
      </c>
      <c r="F47" s="1097"/>
      <c r="G47" s="1097"/>
      <c r="H47" s="1097"/>
    </row>
    <row r="48" spans="1:256" ht="18.75">
      <c r="A48" s="292"/>
      <c r="B48" s="292"/>
      <c r="C48" s="292"/>
      <c r="D48" s="292"/>
      <c r="E48" s="292"/>
      <c r="F48" s="292"/>
      <c r="G48" s="292"/>
    </row>
    <row r="49" spans="1:7" ht="18.75">
      <c r="A49" s="292"/>
      <c r="B49" s="292"/>
      <c r="C49" s="292"/>
      <c r="D49" s="292"/>
      <c r="E49" s="292"/>
      <c r="F49" s="292"/>
      <c r="G49" s="292"/>
    </row>
    <row r="50" spans="1:7" ht="18.75">
      <c r="A50" s="292"/>
      <c r="B50" s="292"/>
      <c r="C50" s="292"/>
      <c r="D50" s="292"/>
      <c r="E50" s="292"/>
      <c r="F50" s="292"/>
      <c r="G50" s="292"/>
    </row>
    <row r="51" spans="1:7" ht="18.75">
      <c r="A51" s="292"/>
      <c r="B51" s="292"/>
      <c r="C51" s="292"/>
      <c r="D51" s="292"/>
      <c r="E51" s="292"/>
      <c r="F51" s="292"/>
      <c r="G51" s="292"/>
    </row>
    <row r="52" spans="1:7" ht="18.75">
      <c r="A52" s="292"/>
      <c r="B52" s="292"/>
      <c r="C52" s="292"/>
      <c r="D52" s="292"/>
      <c r="E52" s="292"/>
      <c r="F52" s="292"/>
      <c r="G52" s="292"/>
    </row>
    <row r="53" spans="1:7" ht="18.75">
      <c r="A53" s="292"/>
      <c r="B53" s="292"/>
      <c r="C53" s="292"/>
      <c r="D53" s="292"/>
      <c r="E53" s="292"/>
      <c r="F53" s="292"/>
      <c r="G53" s="292"/>
    </row>
    <row r="54" spans="1:7" ht="18.75">
      <c r="A54" s="292"/>
      <c r="B54" s="292"/>
      <c r="C54" s="292"/>
      <c r="D54" s="292"/>
      <c r="E54" s="292"/>
      <c r="F54" s="292"/>
      <c r="G54" s="292"/>
    </row>
    <row r="55" spans="1:7" ht="22.5" customHeight="1">
      <c r="A55" s="292"/>
      <c r="B55" s="292"/>
      <c r="C55" s="292"/>
      <c r="D55" s="292"/>
      <c r="E55" s="292"/>
      <c r="F55" s="292"/>
      <c r="G55" s="292"/>
    </row>
    <row r="56" spans="1:7" ht="18.75">
      <c r="A56" s="292"/>
      <c r="B56" s="292"/>
      <c r="C56" s="292"/>
      <c r="D56" s="292"/>
      <c r="E56" s="292"/>
      <c r="F56" s="292"/>
      <c r="G56" s="292"/>
    </row>
    <row r="57" spans="1:7" ht="18.75">
      <c r="A57" s="292"/>
      <c r="B57" s="292"/>
      <c r="C57" s="292"/>
      <c r="D57" s="292"/>
      <c r="E57" s="292"/>
      <c r="F57" s="292"/>
      <c r="G57" s="292"/>
    </row>
    <row r="58" spans="1:7" ht="18.75">
      <c r="A58" s="292"/>
      <c r="B58" s="292"/>
      <c r="C58" s="292"/>
      <c r="D58" s="292"/>
      <c r="E58" s="292"/>
      <c r="F58" s="292"/>
      <c r="G58" s="292"/>
    </row>
    <row r="59" spans="1:7" ht="18.75">
      <c r="A59" s="292"/>
      <c r="B59" s="292"/>
      <c r="C59" s="292"/>
      <c r="D59" s="292"/>
      <c r="E59" s="292"/>
      <c r="F59" s="292"/>
      <c r="G59" s="292"/>
    </row>
  </sheetData>
  <mergeCells count="18">
    <mergeCell ref="E46:H46"/>
    <mergeCell ref="E47:H47"/>
    <mergeCell ref="H34:H36"/>
    <mergeCell ref="A41:G41"/>
    <mergeCell ref="A42:G42"/>
    <mergeCell ref="A43:G43"/>
    <mergeCell ref="A44:G44"/>
    <mergeCell ref="E45:H45"/>
    <mergeCell ref="F1:G1"/>
    <mergeCell ref="A2:G2"/>
    <mergeCell ref="F3:G3"/>
    <mergeCell ref="B4:B7"/>
    <mergeCell ref="C4:C7"/>
    <mergeCell ref="D4:D7"/>
    <mergeCell ref="E4:E7"/>
    <mergeCell ref="F4:G5"/>
    <mergeCell ref="F6:F7"/>
    <mergeCell ref="G6:G7"/>
  </mergeCells>
  <pageMargins left="0.66" right="0.19685039370078741" top="0.39370078740157483" bottom="0.15748031496062992" header="0.15748031496062992" footer="0.19685039370078741"/>
  <pageSetup paperSize="9" scale="65" fitToHeight="5" orientation="portrait" r:id="rId1"/>
  <headerFooter alignWithMargins="0">
    <oddHeader xml:space="preserve">&amp;C                                                                                                                                  </oddHeader>
    <oddFooter xml:space="preserve">&amp;C&amp;".VnTime,Italic"&amp;8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66"/>
  <sheetViews>
    <sheetView zoomScale="85" zoomScaleNormal="85" workbookViewId="0">
      <selection activeCell="AC28" sqref="AC28"/>
    </sheetView>
  </sheetViews>
  <sheetFormatPr defaultColWidth="9.125" defaultRowHeight="14.25" outlineLevelCol="1"/>
  <cols>
    <col min="1" max="1" width="6.125" style="2" customWidth="1"/>
    <col min="2" max="2" width="38.875" style="2" customWidth="1"/>
    <col min="3" max="3" width="18.875" style="2" hidden="1" customWidth="1" outlineLevel="1"/>
    <col min="4" max="4" width="16.125" style="2" hidden="1" customWidth="1" outlineLevel="1"/>
    <col min="5" max="6" width="18.875" style="2" hidden="1" customWidth="1" outlineLevel="1"/>
    <col min="7" max="7" width="17.25" style="2" hidden="1" customWidth="1" outlineLevel="1"/>
    <col min="8" max="8" width="16.125" style="2" hidden="1" customWidth="1" outlineLevel="1"/>
    <col min="9" max="9" width="19.875" style="2" hidden="1" customWidth="1" outlineLevel="1" collapsed="1"/>
    <col min="10" max="10" width="17.25" style="2" hidden="1" customWidth="1" outlineLevel="1"/>
    <col min="11" max="13" width="18.875" style="2" hidden="1" customWidth="1" outlineLevel="1"/>
    <col min="14" max="14" width="17.25" style="2" hidden="1" customWidth="1" outlineLevel="1"/>
    <col min="15" max="15" width="0" style="2" hidden="1" customWidth="1" outlineLevel="1" collapsed="1"/>
    <col min="16" max="16" width="13.375" style="2" bestFit="1" customWidth="1" collapsed="1"/>
    <col min="17" max="17" width="11.625" style="2" customWidth="1"/>
    <col min="18" max="18" width="12.625" style="2" customWidth="1"/>
    <col min="19" max="19" width="12.25" style="2" customWidth="1"/>
    <col min="20" max="20" width="12.625" style="2" customWidth="1"/>
    <col min="21" max="21" width="11.625" style="2" customWidth="1"/>
    <col min="22" max="16384" width="9.125" style="2"/>
  </cols>
  <sheetData>
    <row r="1" spans="1:21" ht="15">
      <c r="A1" s="1113" t="s">
        <v>367</v>
      </c>
      <c r="B1" s="1113"/>
      <c r="C1" s="1113"/>
      <c r="D1" s="1113"/>
      <c r="E1" s="1113"/>
      <c r="F1" s="1"/>
      <c r="G1" s="1"/>
      <c r="H1" s="1"/>
      <c r="I1" s="1"/>
      <c r="J1" s="1"/>
      <c r="K1" s="1113" t="s">
        <v>368</v>
      </c>
      <c r="L1" s="1113"/>
      <c r="M1" s="1113"/>
      <c r="N1" s="1113"/>
    </row>
    <row r="2" spans="1:21" ht="15">
      <c r="A2" s="1113" t="s">
        <v>369</v>
      </c>
      <c r="B2" s="1113"/>
      <c r="C2" s="1113"/>
      <c r="D2" s="1113"/>
      <c r="E2" s="1113"/>
      <c r="F2" s="1"/>
      <c r="G2" s="1"/>
      <c r="H2" s="1"/>
      <c r="I2" s="1"/>
      <c r="J2" s="1"/>
      <c r="K2" s="1113" t="s">
        <v>370</v>
      </c>
      <c r="L2" s="1113"/>
      <c r="M2" s="1113"/>
      <c r="N2" s="1113"/>
    </row>
    <row r="3" spans="1:21" ht="20.25">
      <c r="A3" s="1114" t="s">
        <v>371</v>
      </c>
      <c r="B3" s="1114"/>
      <c r="C3" s="1114"/>
      <c r="D3" s="1114"/>
      <c r="E3" s="1114"/>
      <c r="F3" s="1114"/>
      <c r="G3" s="1114"/>
      <c r="H3" s="1114"/>
      <c r="I3" s="1114"/>
      <c r="J3" s="1114"/>
      <c r="K3" s="1114"/>
      <c r="L3" s="1114"/>
      <c r="M3" s="1114"/>
      <c r="N3" s="1114"/>
    </row>
    <row r="4" spans="1:21">
      <c r="A4" s="1103" t="s">
        <v>372</v>
      </c>
      <c r="B4" s="1103"/>
      <c r="C4" s="1103"/>
      <c r="D4" s="1103"/>
      <c r="E4" s="1103"/>
      <c r="F4" s="1103"/>
      <c r="G4" s="1103"/>
      <c r="H4" s="1103"/>
      <c r="I4" s="1103"/>
      <c r="J4" s="1103"/>
      <c r="K4" s="1103"/>
      <c r="L4" s="1103"/>
      <c r="M4" s="1103"/>
      <c r="N4" s="1103"/>
    </row>
    <row r="5" spans="1:21">
      <c r="A5" s="1103"/>
      <c r="B5" s="1103"/>
      <c r="C5" s="1103"/>
      <c r="D5" s="1103"/>
      <c r="E5" s="1103"/>
      <c r="F5" s="1103"/>
      <c r="G5" s="1103"/>
      <c r="H5" s="1103"/>
      <c r="I5" s="1103"/>
      <c r="J5" s="1103"/>
      <c r="K5" s="1103"/>
      <c r="L5" s="1103"/>
      <c r="M5" s="1103"/>
      <c r="N5" s="1103"/>
    </row>
    <row r="6" spans="1:21">
      <c r="A6" s="1103" t="s">
        <v>373</v>
      </c>
      <c r="B6" s="1103"/>
      <c r="C6" s="1103"/>
      <c r="D6" s="1103"/>
      <c r="E6" s="1103"/>
      <c r="F6" s="1103"/>
      <c r="G6" s="1103"/>
      <c r="H6" s="1103"/>
      <c r="I6" s="1103"/>
      <c r="J6" s="1103"/>
      <c r="K6" s="1103"/>
      <c r="L6" s="1103"/>
      <c r="M6" s="1103"/>
      <c r="N6" s="1103"/>
    </row>
    <row r="7" spans="1:21" ht="15.75" thickBot="1">
      <c r="A7" s="3"/>
      <c r="B7" s="3"/>
      <c r="C7" s="3"/>
      <c r="D7" s="3"/>
      <c r="E7" s="3"/>
      <c r="F7" s="3"/>
      <c r="G7" s="3"/>
      <c r="H7" s="3"/>
      <c r="I7" s="3"/>
      <c r="J7" s="3"/>
      <c r="K7" s="3"/>
      <c r="L7" s="1106" t="s">
        <v>374</v>
      </c>
      <c r="M7" s="1106"/>
      <c r="N7" s="1106"/>
    </row>
    <row r="8" spans="1:21" ht="15" thickBot="1">
      <c r="A8" s="1107" t="s">
        <v>0</v>
      </c>
      <c r="B8" s="1107" t="s">
        <v>375</v>
      </c>
      <c r="C8" s="1110" t="s">
        <v>376</v>
      </c>
      <c r="D8" s="1111"/>
      <c r="E8" s="1111"/>
      <c r="F8" s="1111"/>
      <c r="G8" s="1111"/>
      <c r="H8" s="1112"/>
      <c r="I8" s="1110" t="s">
        <v>377</v>
      </c>
      <c r="J8" s="1111"/>
      <c r="K8" s="1111"/>
      <c r="L8" s="1111"/>
      <c r="M8" s="1111"/>
      <c r="N8" s="1112"/>
      <c r="P8" s="1110" t="s">
        <v>377</v>
      </c>
      <c r="Q8" s="1111"/>
      <c r="R8" s="1111"/>
      <c r="S8" s="1111"/>
      <c r="T8" s="1111"/>
      <c r="U8" s="1112"/>
    </row>
    <row r="9" spans="1:21" ht="15" thickBot="1">
      <c r="A9" s="1108"/>
      <c r="B9" s="1108"/>
      <c r="C9" s="1107" t="s">
        <v>378</v>
      </c>
      <c r="D9" s="1107" t="s">
        <v>379</v>
      </c>
      <c r="E9" s="1107" t="s">
        <v>380</v>
      </c>
      <c r="F9" s="1110" t="s">
        <v>381</v>
      </c>
      <c r="G9" s="1111"/>
      <c r="H9" s="1112"/>
      <c r="I9" s="1107" t="s">
        <v>378</v>
      </c>
      <c r="J9" s="1107" t="s">
        <v>379</v>
      </c>
      <c r="K9" s="1107" t="s">
        <v>380</v>
      </c>
      <c r="L9" s="1110" t="s">
        <v>381</v>
      </c>
      <c r="M9" s="1111"/>
      <c r="N9" s="1112"/>
      <c r="P9" s="1107" t="s">
        <v>378</v>
      </c>
      <c r="Q9" s="1107" t="s">
        <v>379</v>
      </c>
      <c r="R9" s="1107" t="s">
        <v>380</v>
      </c>
      <c r="S9" s="1110" t="s">
        <v>381</v>
      </c>
      <c r="T9" s="1111"/>
      <c r="U9" s="1112"/>
    </row>
    <row r="10" spans="1:21" ht="29.25" thickBot="1">
      <c r="A10" s="1109"/>
      <c r="B10" s="1109"/>
      <c r="C10" s="1109"/>
      <c r="D10" s="1109"/>
      <c r="E10" s="1109"/>
      <c r="F10" s="4" t="s">
        <v>382</v>
      </c>
      <c r="G10" s="4" t="s">
        <v>383</v>
      </c>
      <c r="H10" s="4" t="s">
        <v>384</v>
      </c>
      <c r="I10" s="1109"/>
      <c r="J10" s="1109"/>
      <c r="K10" s="1109"/>
      <c r="L10" s="4" t="s">
        <v>382</v>
      </c>
      <c r="M10" s="4" t="s">
        <v>383</v>
      </c>
      <c r="N10" s="4" t="s">
        <v>384</v>
      </c>
      <c r="P10" s="1109"/>
      <c r="Q10" s="1109"/>
      <c r="R10" s="1109"/>
      <c r="S10" s="4" t="s">
        <v>382</v>
      </c>
      <c r="T10" s="4" t="s">
        <v>383</v>
      </c>
      <c r="U10" s="4" t="s">
        <v>384</v>
      </c>
    </row>
    <row r="11" spans="1:21" ht="15" thickBot="1">
      <c r="A11" s="5" t="s">
        <v>158</v>
      </c>
      <c r="B11" s="4" t="s">
        <v>160</v>
      </c>
      <c r="C11" s="4" t="s">
        <v>385</v>
      </c>
      <c r="D11" s="4">
        <v>2</v>
      </c>
      <c r="E11" s="4" t="s">
        <v>386</v>
      </c>
      <c r="F11" s="4">
        <v>4</v>
      </c>
      <c r="G11" s="4">
        <v>5</v>
      </c>
      <c r="H11" s="4">
        <v>6</v>
      </c>
      <c r="I11" s="4" t="s">
        <v>387</v>
      </c>
      <c r="J11" s="4">
        <v>8</v>
      </c>
      <c r="K11" s="4" t="s">
        <v>388</v>
      </c>
      <c r="L11" s="4">
        <v>10</v>
      </c>
      <c r="M11" s="4">
        <v>11</v>
      </c>
      <c r="N11" s="4">
        <v>12</v>
      </c>
    </row>
    <row r="12" spans="1:21" ht="15" thickBot="1">
      <c r="A12" s="6"/>
      <c r="B12" s="7" t="s">
        <v>389</v>
      </c>
      <c r="C12" s="8">
        <v>1857235646162</v>
      </c>
      <c r="D12" s="8">
        <v>28003549318</v>
      </c>
      <c r="E12" s="8">
        <v>1829232096844</v>
      </c>
      <c r="F12" s="8">
        <v>1229306443665</v>
      </c>
      <c r="G12" s="8">
        <v>523467192098</v>
      </c>
      <c r="H12" s="8">
        <v>76458461081</v>
      </c>
      <c r="I12" s="8">
        <v>10154692052907</v>
      </c>
      <c r="J12" s="8">
        <v>434545396679</v>
      </c>
      <c r="K12" s="8">
        <v>9720146656228</v>
      </c>
      <c r="L12" s="8">
        <v>5903870582210</v>
      </c>
      <c r="M12" s="8">
        <v>3300456108547</v>
      </c>
      <c r="N12" s="8">
        <v>515819965471</v>
      </c>
      <c r="P12" s="2">
        <f>I12/1000000</f>
        <v>10154692.052906999</v>
      </c>
      <c r="Q12" s="2">
        <f t="shared" ref="Q12:U12" si="0">J12/1000000</f>
        <v>434545.396679</v>
      </c>
      <c r="R12" s="2">
        <f t="shared" si="0"/>
        <v>9720146.6562280003</v>
      </c>
      <c r="S12" s="2">
        <f t="shared" si="0"/>
        <v>5903870.5822099997</v>
      </c>
      <c r="T12" s="2">
        <f t="shared" si="0"/>
        <v>3300456.1085470002</v>
      </c>
      <c r="U12" s="2">
        <f t="shared" si="0"/>
        <v>515819.965471</v>
      </c>
    </row>
    <row r="13" spans="1:21" ht="15" thickBot="1">
      <c r="A13" s="6" t="s">
        <v>158</v>
      </c>
      <c r="B13" s="7" t="s">
        <v>390</v>
      </c>
      <c r="C13" s="8">
        <v>282317581733</v>
      </c>
      <c r="D13" s="8">
        <v>28003549318</v>
      </c>
      <c r="E13" s="8">
        <v>254314032415</v>
      </c>
      <c r="F13" s="8">
        <v>175263354654</v>
      </c>
      <c r="G13" s="8">
        <v>72999141541</v>
      </c>
      <c r="H13" s="8">
        <v>6051536220</v>
      </c>
      <c r="I13" s="8">
        <v>2469206281093</v>
      </c>
      <c r="J13" s="8">
        <v>434545396679</v>
      </c>
      <c r="K13" s="8">
        <v>2034660884414</v>
      </c>
      <c r="L13" s="8">
        <v>1284889285207</v>
      </c>
      <c r="M13" s="8">
        <v>683371145275</v>
      </c>
      <c r="N13" s="8">
        <v>66400453932</v>
      </c>
      <c r="P13" s="2">
        <f t="shared" ref="P13:P76" si="1">I13/1000000</f>
        <v>2469206.281093</v>
      </c>
      <c r="Q13" s="2">
        <f t="shared" ref="Q13:Q76" si="2">J13/1000000</f>
        <v>434545.396679</v>
      </c>
      <c r="R13" s="2">
        <f t="shared" ref="R13:R76" si="3">K13/1000000</f>
        <v>2034660.884414</v>
      </c>
      <c r="S13" s="2">
        <f t="shared" ref="S13:S76" si="4">L13/1000000</f>
        <v>1284889.2852070001</v>
      </c>
      <c r="T13" s="2">
        <f t="shared" ref="T13:T76" si="5">M13/1000000</f>
        <v>683371.14527500002</v>
      </c>
      <c r="U13" s="2">
        <f t="shared" ref="U13:U76" si="6">N13/1000000</f>
        <v>66400.453932000004</v>
      </c>
    </row>
    <row r="14" spans="1:21" ht="15" thickBot="1">
      <c r="A14" s="6" t="s">
        <v>60</v>
      </c>
      <c r="B14" s="7" t="s">
        <v>391</v>
      </c>
      <c r="C14" s="8">
        <v>265566285840</v>
      </c>
      <c r="D14" s="8">
        <v>11253253425</v>
      </c>
      <c r="E14" s="8">
        <v>254313032415</v>
      </c>
      <c r="F14" s="8">
        <v>175263354654</v>
      </c>
      <c r="G14" s="8">
        <v>72999141541</v>
      </c>
      <c r="H14" s="8">
        <v>6050536220</v>
      </c>
      <c r="I14" s="8">
        <v>2130093618569</v>
      </c>
      <c r="J14" s="8">
        <v>139366553345</v>
      </c>
      <c r="K14" s="8">
        <v>1990727065224</v>
      </c>
      <c r="L14" s="8">
        <v>1241039406017</v>
      </c>
      <c r="M14" s="8">
        <v>683308805275</v>
      </c>
      <c r="N14" s="8">
        <v>66378853932</v>
      </c>
      <c r="P14" s="2">
        <f t="shared" si="1"/>
        <v>2130093.6185690002</v>
      </c>
      <c r="Q14" s="2">
        <f t="shared" si="2"/>
        <v>139366.55334499999</v>
      </c>
      <c r="R14" s="2">
        <f t="shared" si="3"/>
        <v>1990727.065224</v>
      </c>
      <c r="S14" s="2">
        <f t="shared" si="4"/>
        <v>1241039.4060170001</v>
      </c>
      <c r="T14" s="2">
        <f t="shared" si="5"/>
        <v>683308.80527500005</v>
      </c>
      <c r="U14" s="2">
        <f t="shared" si="6"/>
        <v>66378.853931999998</v>
      </c>
    </row>
    <row r="15" spans="1:21" ht="15" thickBot="1">
      <c r="A15" s="6">
        <v>1</v>
      </c>
      <c r="B15" s="7" t="s">
        <v>392</v>
      </c>
      <c r="C15" s="8">
        <v>35667506682</v>
      </c>
      <c r="D15" s="8">
        <v>149953</v>
      </c>
      <c r="E15" s="8">
        <v>35667356729</v>
      </c>
      <c r="F15" s="8">
        <v>35712515101</v>
      </c>
      <c r="G15" s="8">
        <v>-45006105</v>
      </c>
      <c r="H15" s="8">
        <v>-152267</v>
      </c>
      <c r="I15" s="8">
        <v>779588934067</v>
      </c>
      <c r="J15" s="8">
        <v>456116717</v>
      </c>
      <c r="K15" s="8">
        <v>779132817350</v>
      </c>
      <c r="L15" s="8">
        <v>730522692987</v>
      </c>
      <c r="M15" s="8">
        <v>48602057350</v>
      </c>
      <c r="N15" s="8">
        <v>8067013</v>
      </c>
      <c r="P15" s="2">
        <f t="shared" si="1"/>
        <v>779588.93406700005</v>
      </c>
      <c r="Q15" s="2">
        <f t="shared" si="2"/>
        <v>456.11671699999999</v>
      </c>
      <c r="R15" s="2">
        <f t="shared" si="3"/>
        <v>779132.81735000003</v>
      </c>
      <c r="S15" s="2">
        <f t="shared" si="4"/>
        <v>730522.69298699999</v>
      </c>
      <c r="T15" s="2">
        <f t="shared" si="5"/>
        <v>48602.057350000003</v>
      </c>
      <c r="U15" s="2">
        <f t="shared" si="6"/>
        <v>8.0670129999999993</v>
      </c>
    </row>
    <row r="16" spans="1:21" ht="26.25" thickBot="1">
      <c r="A16" s="6" t="s">
        <v>138</v>
      </c>
      <c r="B16" s="7" t="s">
        <v>393</v>
      </c>
      <c r="C16" s="8">
        <v>20360205174</v>
      </c>
      <c r="D16" s="8"/>
      <c r="E16" s="8">
        <v>20360205174</v>
      </c>
      <c r="F16" s="8">
        <v>18485083353</v>
      </c>
      <c r="G16" s="8">
        <v>1875121821</v>
      </c>
      <c r="H16" s="8" t="s">
        <v>394</v>
      </c>
      <c r="I16" s="8">
        <v>401768651819</v>
      </c>
      <c r="J16" s="8"/>
      <c r="K16" s="8">
        <v>401768651819</v>
      </c>
      <c r="L16" s="8">
        <v>361589034088</v>
      </c>
      <c r="M16" s="8">
        <v>40179617731</v>
      </c>
      <c r="N16" s="8"/>
      <c r="P16" s="2">
        <f t="shared" si="1"/>
        <v>401768.65181900002</v>
      </c>
      <c r="Q16" s="2">
        <f t="shared" si="2"/>
        <v>0</v>
      </c>
      <c r="R16" s="2">
        <f t="shared" si="3"/>
        <v>401768.65181900002</v>
      </c>
      <c r="S16" s="2">
        <f t="shared" si="4"/>
        <v>361589.03408800001</v>
      </c>
      <c r="T16" s="2">
        <f t="shared" si="5"/>
        <v>40179.617730999998</v>
      </c>
      <c r="U16" s="2">
        <f t="shared" si="6"/>
        <v>0</v>
      </c>
    </row>
    <row r="17" spans="1:21" ht="26.25" thickBot="1">
      <c r="A17" s="6"/>
      <c r="B17" s="7" t="s">
        <v>541</v>
      </c>
      <c r="C17" s="8"/>
      <c r="D17" s="8"/>
      <c r="E17" s="8"/>
      <c r="F17" s="8"/>
      <c r="G17" s="8"/>
      <c r="H17" s="8" t="s">
        <v>394</v>
      </c>
      <c r="I17" s="8"/>
      <c r="J17" s="8"/>
      <c r="K17" s="8"/>
      <c r="L17" s="8"/>
      <c r="M17" s="8"/>
      <c r="N17" s="8"/>
      <c r="P17" s="2">
        <f t="shared" si="1"/>
        <v>0</v>
      </c>
      <c r="Q17" s="2">
        <f t="shared" si="2"/>
        <v>0</v>
      </c>
      <c r="R17" s="2">
        <f t="shared" si="3"/>
        <v>0</v>
      </c>
      <c r="S17" s="2">
        <f t="shared" si="4"/>
        <v>0</v>
      </c>
      <c r="T17" s="2">
        <f t="shared" si="5"/>
        <v>0</v>
      </c>
      <c r="U17" s="2">
        <f t="shared" si="6"/>
        <v>0</v>
      </c>
    </row>
    <row r="18" spans="1:21" ht="15" thickBot="1">
      <c r="A18" s="6" t="s">
        <v>140</v>
      </c>
      <c r="B18" s="7" t="s">
        <v>395</v>
      </c>
      <c r="C18" s="8"/>
      <c r="D18" s="8"/>
      <c r="E18" s="8"/>
      <c r="F18" s="8"/>
      <c r="G18" s="8"/>
      <c r="H18" s="8" t="s">
        <v>394</v>
      </c>
      <c r="I18" s="8"/>
      <c r="J18" s="8"/>
      <c r="K18" s="8"/>
      <c r="L18" s="8"/>
      <c r="M18" s="8"/>
      <c r="N18" s="8"/>
      <c r="P18" s="2">
        <f t="shared" si="1"/>
        <v>0</v>
      </c>
      <c r="Q18" s="2">
        <f t="shared" si="2"/>
        <v>0</v>
      </c>
      <c r="R18" s="2">
        <f t="shared" si="3"/>
        <v>0</v>
      </c>
      <c r="S18" s="2">
        <f t="shared" si="4"/>
        <v>0</v>
      </c>
      <c r="T18" s="2">
        <f t="shared" si="5"/>
        <v>0</v>
      </c>
      <c r="U18" s="2">
        <f t="shared" si="6"/>
        <v>0</v>
      </c>
    </row>
    <row r="19" spans="1:21" ht="15" thickBot="1">
      <c r="A19" s="6" t="s">
        <v>396</v>
      </c>
      <c r="B19" s="7" t="s">
        <v>116</v>
      </c>
      <c r="C19" s="8">
        <v>614573292</v>
      </c>
      <c r="D19" s="8"/>
      <c r="E19" s="8">
        <v>614573292</v>
      </c>
      <c r="F19" s="8">
        <v>568559295</v>
      </c>
      <c r="G19" s="8">
        <v>46013997</v>
      </c>
      <c r="H19" s="8" t="s">
        <v>394</v>
      </c>
      <c r="I19" s="8">
        <v>19168851127</v>
      </c>
      <c r="J19" s="8"/>
      <c r="K19" s="8">
        <v>19168851127</v>
      </c>
      <c r="L19" s="8">
        <v>17171156930</v>
      </c>
      <c r="M19" s="8">
        <v>1997694197</v>
      </c>
      <c r="N19" s="8"/>
      <c r="P19" s="2">
        <f t="shared" si="1"/>
        <v>19168.851127000002</v>
      </c>
      <c r="Q19" s="2">
        <f t="shared" si="2"/>
        <v>0</v>
      </c>
      <c r="R19" s="2">
        <f t="shared" si="3"/>
        <v>19168.851127000002</v>
      </c>
      <c r="S19" s="2">
        <f t="shared" si="4"/>
        <v>17171.156930000001</v>
      </c>
      <c r="T19" s="2">
        <f t="shared" si="5"/>
        <v>1997.694197</v>
      </c>
      <c r="U19" s="2">
        <f t="shared" si="6"/>
        <v>0</v>
      </c>
    </row>
    <row r="20" spans="1:21" ht="26.25" thickBot="1">
      <c r="A20" s="6"/>
      <c r="B20" s="7" t="s">
        <v>542</v>
      </c>
      <c r="C20" s="8"/>
      <c r="D20" s="8"/>
      <c r="E20" s="8"/>
      <c r="F20" s="8"/>
      <c r="G20" s="8"/>
      <c r="H20" s="8" t="s">
        <v>394</v>
      </c>
      <c r="I20" s="8"/>
      <c r="J20" s="8"/>
      <c r="K20" s="8"/>
      <c r="L20" s="8"/>
      <c r="M20" s="8"/>
      <c r="N20" s="8"/>
      <c r="P20" s="2">
        <f t="shared" si="1"/>
        <v>0</v>
      </c>
      <c r="Q20" s="2">
        <f t="shared" si="2"/>
        <v>0</v>
      </c>
      <c r="R20" s="2">
        <f t="shared" si="3"/>
        <v>0</v>
      </c>
      <c r="S20" s="2">
        <f t="shared" si="4"/>
        <v>0</v>
      </c>
      <c r="T20" s="2">
        <f t="shared" si="5"/>
        <v>0</v>
      </c>
      <c r="U20" s="2">
        <f t="shared" si="6"/>
        <v>0</v>
      </c>
    </row>
    <row r="21" spans="1:21" ht="15" thickBot="1">
      <c r="A21" s="6" t="s">
        <v>397</v>
      </c>
      <c r="B21" s="7" t="s">
        <v>398</v>
      </c>
      <c r="C21" s="8"/>
      <c r="D21" s="8"/>
      <c r="E21" s="8"/>
      <c r="F21" s="8"/>
      <c r="G21" s="8"/>
      <c r="H21" s="8" t="s">
        <v>394</v>
      </c>
      <c r="I21" s="8">
        <v>1014998964</v>
      </c>
      <c r="J21" s="8">
        <v>350042943</v>
      </c>
      <c r="K21" s="8">
        <v>664956021</v>
      </c>
      <c r="L21" s="8">
        <v>664956021</v>
      </c>
      <c r="M21" s="8"/>
      <c r="N21" s="8"/>
      <c r="P21" s="2">
        <f t="shared" si="1"/>
        <v>1014.998964</v>
      </c>
      <c r="Q21" s="2">
        <f t="shared" si="2"/>
        <v>350.04294299999998</v>
      </c>
      <c r="R21" s="2">
        <f t="shared" si="3"/>
        <v>664.95602099999996</v>
      </c>
      <c r="S21" s="2">
        <f t="shared" si="4"/>
        <v>664.95602099999996</v>
      </c>
      <c r="T21" s="2">
        <f t="shared" si="5"/>
        <v>0</v>
      </c>
      <c r="U21" s="2">
        <f t="shared" si="6"/>
        <v>0</v>
      </c>
    </row>
    <row r="22" spans="1:21" ht="15" thickBot="1">
      <c r="A22" s="6" t="s">
        <v>399</v>
      </c>
      <c r="B22" s="7" t="s">
        <v>117</v>
      </c>
      <c r="C22" s="8">
        <v>14654975263</v>
      </c>
      <c r="D22" s="8"/>
      <c r="E22" s="8">
        <v>14654975263</v>
      </c>
      <c r="F22" s="8">
        <v>16644940079</v>
      </c>
      <c r="G22" s="8">
        <v>-1989964816</v>
      </c>
      <c r="H22" s="8" t="s">
        <v>394</v>
      </c>
      <c r="I22" s="8">
        <v>356670731557</v>
      </c>
      <c r="J22" s="8"/>
      <c r="K22" s="8">
        <v>356670731557</v>
      </c>
      <c r="L22" s="8">
        <v>350294062498</v>
      </c>
      <c r="M22" s="8">
        <v>6376669059</v>
      </c>
      <c r="N22" s="8"/>
      <c r="P22" s="2">
        <f t="shared" si="1"/>
        <v>356670.73155700002</v>
      </c>
      <c r="Q22" s="2">
        <f t="shared" si="2"/>
        <v>0</v>
      </c>
      <c r="R22" s="2">
        <f t="shared" si="3"/>
        <v>356670.73155700002</v>
      </c>
      <c r="S22" s="2">
        <f t="shared" si="4"/>
        <v>350294.06249799998</v>
      </c>
      <c r="T22" s="2">
        <f t="shared" si="5"/>
        <v>6376.6690589999998</v>
      </c>
      <c r="U22" s="2">
        <f t="shared" si="6"/>
        <v>0</v>
      </c>
    </row>
    <row r="23" spans="1:21" ht="15" thickBot="1">
      <c r="A23" s="6"/>
      <c r="B23" s="7" t="s">
        <v>400</v>
      </c>
      <c r="C23" s="8"/>
      <c r="D23" s="8"/>
      <c r="E23" s="8"/>
      <c r="F23" s="8"/>
      <c r="G23" s="8"/>
      <c r="H23" s="8" t="s">
        <v>394</v>
      </c>
      <c r="I23" s="8"/>
      <c r="J23" s="8"/>
      <c r="K23" s="8"/>
      <c r="L23" s="8"/>
      <c r="M23" s="8"/>
      <c r="N23" s="8"/>
      <c r="P23" s="2">
        <f t="shared" si="1"/>
        <v>0</v>
      </c>
      <c r="Q23" s="2">
        <f t="shared" si="2"/>
        <v>0</v>
      </c>
      <c r="R23" s="2">
        <f t="shared" si="3"/>
        <v>0</v>
      </c>
      <c r="S23" s="2">
        <f t="shared" si="4"/>
        <v>0</v>
      </c>
      <c r="T23" s="2">
        <f t="shared" si="5"/>
        <v>0</v>
      </c>
      <c r="U23" s="2">
        <f t="shared" si="6"/>
        <v>0</v>
      </c>
    </row>
    <row r="24" spans="1:21" ht="15" thickBot="1">
      <c r="A24" s="6"/>
      <c r="B24" s="7" t="s">
        <v>401</v>
      </c>
      <c r="C24" s="8">
        <v>14479720865</v>
      </c>
      <c r="D24" s="8"/>
      <c r="E24" s="8">
        <v>14479720865</v>
      </c>
      <c r="F24" s="8">
        <v>16480910831</v>
      </c>
      <c r="G24" s="8">
        <v>-2001189966</v>
      </c>
      <c r="H24" s="8" t="s">
        <v>394</v>
      </c>
      <c r="I24" s="8">
        <v>344298081621</v>
      </c>
      <c r="J24" s="8"/>
      <c r="K24" s="8">
        <v>344298081621</v>
      </c>
      <c r="L24" s="8">
        <v>344239783906</v>
      </c>
      <c r="M24" s="8">
        <v>58297715</v>
      </c>
      <c r="N24" s="8"/>
      <c r="P24" s="2">
        <f t="shared" si="1"/>
        <v>344298.08162100002</v>
      </c>
      <c r="Q24" s="2">
        <f t="shared" si="2"/>
        <v>0</v>
      </c>
      <c r="R24" s="2">
        <f t="shared" si="3"/>
        <v>344298.08162100002</v>
      </c>
      <c r="S24" s="2">
        <f t="shared" si="4"/>
        <v>344239.78390600003</v>
      </c>
      <c r="T24" s="2">
        <f t="shared" si="5"/>
        <v>58.297714999999997</v>
      </c>
      <c r="U24" s="2">
        <f t="shared" si="6"/>
        <v>0</v>
      </c>
    </row>
    <row r="25" spans="1:21" ht="15" thickBot="1">
      <c r="A25" s="6" t="s">
        <v>402</v>
      </c>
      <c r="B25" s="7" t="s">
        <v>403</v>
      </c>
      <c r="C25" s="8"/>
      <c r="D25" s="8"/>
      <c r="E25" s="8"/>
      <c r="F25" s="8"/>
      <c r="G25" s="8"/>
      <c r="H25" s="8" t="s">
        <v>394</v>
      </c>
      <c r="I25" s="8">
        <v>8000000</v>
      </c>
      <c r="J25" s="8"/>
      <c r="K25" s="8">
        <v>8000000</v>
      </c>
      <c r="L25" s="8"/>
      <c r="M25" s="8"/>
      <c r="N25" s="8">
        <v>8000000</v>
      </c>
      <c r="P25" s="2">
        <f t="shared" si="1"/>
        <v>8</v>
      </c>
      <c r="Q25" s="2">
        <f t="shared" si="2"/>
        <v>0</v>
      </c>
      <c r="R25" s="2">
        <f t="shared" si="3"/>
        <v>8</v>
      </c>
      <c r="S25" s="2">
        <f t="shared" si="4"/>
        <v>0</v>
      </c>
      <c r="T25" s="2">
        <f t="shared" si="5"/>
        <v>0</v>
      </c>
      <c r="U25" s="2">
        <f t="shared" si="6"/>
        <v>8</v>
      </c>
    </row>
    <row r="26" spans="1:21" ht="15" thickBot="1">
      <c r="A26" s="6" t="s">
        <v>404</v>
      </c>
      <c r="B26" s="7" t="s">
        <v>405</v>
      </c>
      <c r="C26" s="8"/>
      <c r="D26" s="8"/>
      <c r="E26" s="8"/>
      <c r="F26" s="8"/>
      <c r="G26" s="8"/>
      <c r="H26" s="8" t="s">
        <v>394</v>
      </c>
      <c r="I26" s="8"/>
      <c r="J26" s="8"/>
      <c r="K26" s="8"/>
      <c r="L26" s="8"/>
      <c r="M26" s="8"/>
      <c r="N26" s="8"/>
      <c r="P26" s="2">
        <f t="shared" si="1"/>
        <v>0</v>
      </c>
      <c r="Q26" s="2">
        <f t="shared" si="2"/>
        <v>0</v>
      </c>
      <c r="R26" s="2">
        <f t="shared" si="3"/>
        <v>0</v>
      </c>
      <c r="S26" s="2">
        <f t="shared" si="4"/>
        <v>0</v>
      </c>
      <c r="T26" s="2">
        <f t="shared" si="5"/>
        <v>0</v>
      </c>
      <c r="U26" s="2">
        <f t="shared" si="6"/>
        <v>0</v>
      </c>
    </row>
    <row r="27" spans="1:21" ht="15" thickBot="1">
      <c r="A27" s="6" t="s">
        <v>406</v>
      </c>
      <c r="B27" s="7" t="s">
        <v>130</v>
      </c>
      <c r="C27" s="8">
        <v>37752953</v>
      </c>
      <c r="D27" s="8">
        <v>149953</v>
      </c>
      <c r="E27" s="8">
        <v>37603000</v>
      </c>
      <c r="F27" s="8">
        <v>13932374</v>
      </c>
      <c r="G27" s="8">
        <v>23822893</v>
      </c>
      <c r="H27" s="8">
        <v>-152267</v>
      </c>
      <c r="I27" s="8">
        <v>957700600</v>
      </c>
      <c r="J27" s="8">
        <v>106073774</v>
      </c>
      <c r="K27" s="8">
        <v>851626826</v>
      </c>
      <c r="L27" s="8">
        <v>803483450</v>
      </c>
      <c r="M27" s="8">
        <v>48076363</v>
      </c>
      <c r="N27" s="8">
        <v>67013</v>
      </c>
      <c r="P27" s="2">
        <f t="shared" si="1"/>
        <v>957.70060000000001</v>
      </c>
      <c r="Q27" s="2">
        <f t="shared" si="2"/>
        <v>106.073774</v>
      </c>
      <c r="R27" s="2">
        <f t="shared" si="3"/>
        <v>851.62682600000005</v>
      </c>
      <c r="S27" s="2">
        <f t="shared" si="4"/>
        <v>803.48344999999995</v>
      </c>
      <c r="T27" s="2">
        <f t="shared" si="5"/>
        <v>48.076363000000001</v>
      </c>
      <c r="U27" s="2">
        <f t="shared" si="6"/>
        <v>6.7013000000000003E-2</v>
      </c>
    </row>
    <row r="28" spans="1:21" ht="26.25" thickBot="1">
      <c r="A28" s="6">
        <v>2</v>
      </c>
      <c r="B28" s="7" t="s">
        <v>407</v>
      </c>
      <c r="C28" s="8">
        <v>968636480</v>
      </c>
      <c r="D28" s="8"/>
      <c r="E28" s="8">
        <v>968636480</v>
      </c>
      <c r="F28" s="8">
        <v>871670857</v>
      </c>
      <c r="G28" s="8">
        <v>96965623</v>
      </c>
      <c r="H28" s="8" t="s">
        <v>394</v>
      </c>
      <c r="I28" s="8">
        <v>12694060214</v>
      </c>
      <c r="J28" s="8"/>
      <c r="K28" s="8">
        <v>12694060214</v>
      </c>
      <c r="L28" s="8">
        <v>11421264486</v>
      </c>
      <c r="M28" s="8">
        <v>1272795728</v>
      </c>
      <c r="N28" s="8"/>
      <c r="P28" s="2">
        <f t="shared" si="1"/>
        <v>12694.060213999999</v>
      </c>
      <c r="Q28" s="2">
        <f t="shared" si="2"/>
        <v>0</v>
      </c>
      <c r="R28" s="2">
        <f t="shared" si="3"/>
        <v>12694.060213999999</v>
      </c>
      <c r="S28" s="2">
        <f t="shared" si="4"/>
        <v>11421.264486</v>
      </c>
      <c r="T28" s="2">
        <f t="shared" si="5"/>
        <v>1272.7957280000001</v>
      </c>
      <c r="U28" s="2">
        <f t="shared" si="6"/>
        <v>0</v>
      </c>
    </row>
    <row r="29" spans="1:21" ht="26.25" thickBot="1">
      <c r="A29" s="6" t="s">
        <v>408</v>
      </c>
      <c r="B29" s="7" t="s">
        <v>393</v>
      </c>
      <c r="C29" s="8">
        <v>469424485</v>
      </c>
      <c r="D29" s="8"/>
      <c r="E29" s="8">
        <v>469424485</v>
      </c>
      <c r="F29" s="8">
        <v>422482035</v>
      </c>
      <c r="G29" s="8">
        <v>46942450</v>
      </c>
      <c r="H29" s="8" t="s">
        <v>394</v>
      </c>
      <c r="I29" s="8">
        <v>5949374462</v>
      </c>
      <c r="J29" s="8"/>
      <c r="K29" s="8">
        <v>5949374462</v>
      </c>
      <c r="L29" s="8">
        <v>5354436991</v>
      </c>
      <c r="M29" s="8">
        <v>594937471</v>
      </c>
      <c r="N29" s="8"/>
      <c r="P29" s="2">
        <f t="shared" si="1"/>
        <v>5949.3744619999998</v>
      </c>
      <c r="Q29" s="2">
        <f t="shared" si="2"/>
        <v>0</v>
      </c>
      <c r="R29" s="2">
        <f t="shared" si="3"/>
        <v>5949.3744619999998</v>
      </c>
      <c r="S29" s="2">
        <f t="shared" si="4"/>
        <v>5354.4369909999996</v>
      </c>
      <c r="T29" s="2">
        <f t="shared" si="5"/>
        <v>594.93747099999996</v>
      </c>
      <c r="U29" s="2">
        <f t="shared" si="6"/>
        <v>0</v>
      </c>
    </row>
    <row r="30" spans="1:21" ht="26.25" thickBot="1">
      <c r="A30" s="6"/>
      <c r="B30" s="7" t="s">
        <v>543</v>
      </c>
      <c r="C30" s="8"/>
      <c r="D30" s="8"/>
      <c r="E30" s="8"/>
      <c r="F30" s="8"/>
      <c r="G30" s="8"/>
      <c r="H30" s="8" t="s">
        <v>394</v>
      </c>
      <c r="I30" s="8"/>
      <c r="J30" s="8"/>
      <c r="K30" s="8"/>
      <c r="L30" s="8"/>
      <c r="M30" s="8"/>
      <c r="N30" s="8"/>
      <c r="P30" s="2">
        <f t="shared" si="1"/>
        <v>0</v>
      </c>
      <c r="Q30" s="2">
        <f t="shared" si="2"/>
        <v>0</v>
      </c>
      <c r="R30" s="2">
        <f t="shared" si="3"/>
        <v>0</v>
      </c>
      <c r="S30" s="2">
        <f t="shared" si="4"/>
        <v>0</v>
      </c>
      <c r="T30" s="2">
        <f t="shared" si="5"/>
        <v>0</v>
      </c>
      <c r="U30" s="2">
        <f t="shared" si="6"/>
        <v>0</v>
      </c>
    </row>
    <row r="31" spans="1:21" ht="15" thickBot="1">
      <c r="A31" s="6" t="s">
        <v>409</v>
      </c>
      <c r="B31" s="7" t="s">
        <v>395</v>
      </c>
      <c r="C31" s="8"/>
      <c r="D31" s="8"/>
      <c r="E31" s="8"/>
      <c r="F31" s="8"/>
      <c r="G31" s="8"/>
      <c r="H31" s="8" t="s">
        <v>394</v>
      </c>
      <c r="I31" s="8"/>
      <c r="J31" s="8"/>
      <c r="K31" s="8"/>
      <c r="L31" s="8"/>
      <c r="M31" s="8"/>
      <c r="N31" s="8"/>
      <c r="P31" s="2">
        <f t="shared" si="1"/>
        <v>0</v>
      </c>
      <c r="Q31" s="2">
        <f t="shared" si="2"/>
        <v>0</v>
      </c>
      <c r="R31" s="2">
        <f t="shared" si="3"/>
        <v>0</v>
      </c>
      <c r="S31" s="2">
        <f t="shared" si="4"/>
        <v>0</v>
      </c>
      <c r="T31" s="2">
        <f t="shared" si="5"/>
        <v>0</v>
      </c>
      <c r="U31" s="2">
        <f t="shared" si="6"/>
        <v>0</v>
      </c>
    </row>
    <row r="32" spans="1:21" ht="15" thickBot="1">
      <c r="A32" s="6" t="s">
        <v>410</v>
      </c>
      <c r="B32" s="7" t="s">
        <v>116</v>
      </c>
      <c r="C32" s="8">
        <v>499042045</v>
      </c>
      <c r="D32" s="8"/>
      <c r="E32" s="8">
        <v>499042045</v>
      </c>
      <c r="F32" s="8">
        <v>449137837</v>
      </c>
      <c r="G32" s="8">
        <v>49904208</v>
      </c>
      <c r="H32" s="8" t="s">
        <v>394</v>
      </c>
      <c r="I32" s="8">
        <v>6740647949</v>
      </c>
      <c r="J32" s="8"/>
      <c r="K32" s="8">
        <v>6740647949</v>
      </c>
      <c r="L32" s="8">
        <v>6066583128</v>
      </c>
      <c r="M32" s="8">
        <v>674064821</v>
      </c>
      <c r="N32" s="8"/>
      <c r="P32" s="2">
        <f t="shared" si="1"/>
        <v>6740.6479490000002</v>
      </c>
      <c r="Q32" s="2">
        <f t="shared" si="2"/>
        <v>0</v>
      </c>
      <c r="R32" s="2">
        <f t="shared" si="3"/>
        <v>6740.6479490000002</v>
      </c>
      <c r="S32" s="2">
        <f t="shared" si="4"/>
        <v>6066.5831280000002</v>
      </c>
      <c r="T32" s="2">
        <f t="shared" si="5"/>
        <v>674.06482100000005</v>
      </c>
      <c r="U32" s="2">
        <f t="shared" si="6"/>
        <v>0</v>
      </c>
    </row>
    <row r="33" spans="1:21" ht="26.25" thickBot="1">
      <c r="A33" s="6"/>
      <c r="B33" s="7" t="s">
        <v>544</v>
      </c>
      <c r="C33" s="8"/>
      <c r="D33" s="8"/>
      <c r="E33" s="8"/>
      <c r="F33" s="8"/>
      <c r="G33" s="8"/>
      <c r="H33" s="8" t="s">
        <v>394</v>
      </c>
      <c r="I33" s="8"/>
      <c r="J33" s="8"/>
      <c r="K33" s="8"/>
      <c r="L33" s="8"/>
      <c r="M33" s="8"/>
      <c r="N33" s="8"/>
      <c r="P33" s="2">
        <f t="shared" si="1"/>
        <v>0</v>
      </c>
      <c r="Q33" s="2">
        <f t="shared" si="2"/>
        <v>0</v>
      </c>
      <c r="R33" s="2">
        <f t="shared" si="3"/>
        <v>0</v>
      </c>
      <c r="S33" s="2">
        <f t="shared" si="4"/>
        <v>0</v>
      </c>
      <c r="T33" s="2">
        <f t="shared" si="5"/>
        <v>0</v>
      </c>
      <c r="U33" s="2">
        <f t="shared" si="6"/>
        <v>0</v>
      </c>
    </row>
    <row r="34" spans="1:21" ht="15" thickBot="1">
      <c r="A34" s="6" t="s">
        <v>411</v>
      </c>
      <c r="B34" s="7" t="s">
        <v>412</v>
      </c>
      <c r="C34" s="8"/>
      <c r="D34" s="8"/>
      <c r="E34" s="8"/>
      <c r="F34" s="8"/>
      <c r="G34" s="8"/>
      <c r="H34" s="8" t="s">
        <v>394</v>
      </c>
      <c r="I34" s="8"/>
      <c r="J34" s="8"/>
      <c r="K34" s="8"/>
      <c r="L34" s="8"/>
      <c r="M34" s="8"/>
      <c r="N34" s="8"/>
      <c r="P34" s="2">
        <f t="shared" si="1"/>
        <v>0</v>
      </c>
      <c r="Q34" s="2">
        <f t="shared" si="2"/>
        <v>0</v>
      </c>
      <c r="R34" s="2">
        <f t="shared" si="3"/>
        <v>0</v>
      </c>
      <c r="S34" s="2">
        <f t="shared" si="4"/>
        <v>0</v>
      </c>
      <c r="T34" s="2">
        <f t="shared" si="5"/>
        <v>0</v>
      </c>
      <c r="U34" s="2">
        <f t="shared" si="6"/>
        <v>0</v>
      </c>
    </row>
    <row r="35" spans="1:21" ht="15" thickBot="1">
      <c r="A35" s="6" t="s">
        <v>413</v>
      </c>
      <c r="B35" s="7" t="s">
        <v>117</v>
      </c>
      <c r="C35" s="8">
        <v>16995</v>
      </c>
      <c r="D35" s="8"/>
      <c r="E35" s="8">
        <v>16995</v>
      </c>
      <c r="F35" s="8">
        <v>50985</v>
      </c>
      <c r="G35" s="8">
        <v>118965</v>
      </c>
      <c r="H35" s="8" t="s">
        <v>394</v>
      </c>
      <c r="I35" s="8">
        <v>3844421</v>
      </c>
      <c r="J35" s="8"/>
      <c r="K35" s="8">
        <v>3844421</v>
      </c>
      <c r="L35" s="8">
        <v>50985</v>
      </c>
      <c r="M35" s="8">
        <v>3793436</v>
      </c>
      <c r="N35" s="8"/>
      <c r="P35" s="2">
        <f t="shared" si="1"/>
        <v>3.8444210000000001</v>
      </c>
      <c r="Q35" s="2">
        <f t="shared" si="2"/>
        <v>0</v>
      </c>
      <c r="R35" s="2">
        <f t="shared" si="3"/>
        <v>3.8444210000000001</v>
      </c>
      <c r="S35" s="2">
        <f t="shared" si="4"/>
        <v>5.0985000000000003E-2</v>
      </c>
      <c r="T35" s="2">
        <f t="shared" si="5"/>
        <v>3.7934359999999998</v>
      </c>
      <c r="U35" s="2">
        <f t="shared" si="6"/>
        <v>0</v>
      </c>
    </row>
    <row r="36" spans="1:21" ht="15" thickBot="1">
      <c r="A36" s="6"/>
      <c r="B36" s="7" t="s">
        <v>400</v>
      </c>
      <c r="C36" s="8"/>
      <c r="D36" s="8"/>
      <c r="E36" s="8"/>
      <c r="F36" s="8"/>
      <c r="G36" s="8"/>
      <c r="H36" s="8" t="s">
        <v>394</v>
      </c>
      <c r="I36" s="8"/>
      <c r="J36" s="8"/>
      <c r="K36" s="8"/>
      <c r="L36" s="8"/>
      <c r="M36" s="8"/>
      <c r="N36" s="8"/>
      <c r="P36" s="2">
        <f t="shared" si="1"/>
        <v>0</v>
      </c>
      <c r="Q36" s="2">
        <f t="shared" si="2"/>
        <v>0</v>
      </c>
      <c r="R36" s="2">
        <f t="shared" si="3"/>
        <v>0</v>
      </c>
      <c r="S36" s="2">
        <f t="shared" si="4"/>
        <v>0</v>
      </c>
      <c r="T36" s="2">
        <f t="shared" si="5"/>
        <v>0</v>
      </c>
      <c r="U36" s="2">
        <f t="shared" si="6"/>
        <v>0</v>
      </c>
    </row>
    <row r="37" spans="1:21" ht="15" thickBot="1">
      <c r="A37" s="6" t="s">
        <v>414</v>
      </c>
      <c r="B37" s="7" t="s">
        <v>403</v>
      </c>
      <c r="C37" s="8"/>
      <c r="D37" s="8"/>
      <c r="E37" s="8"/>
      <c r="F37" s="8"/>
      <c r="G37" s="8"/>
      <c r="H37" s="8" t="s">
        <v>394</v>
      </c>
      <c r="I37" s="8"/>
      <c r="J37" s="8"/>
      <c r="K37" s="8"/>
      <c r="L37" s="8"/>
      <c r="M37" s="8"/>
      <c r="N37" s="8"/>
      <c r="P37" s="2">
        <f t="shared" si="1"/>
        <v>0</v>
      </c>
      <c r="Q37" s="2">
        <f t="shared" si="2"/>
        <v>0</v>
      </c>
      <c r="R37" s="2">
        <f t="shared" si="3"/>
        <v>0</v>
      </c>
      <c r="S37" s="2">
        <f t="shared" si="4"/>
        <v>0</v>
      </c>
      <c r="T37" s="2">
        <f t="shared" si="5"/>
        <v>0</v>
      </c>
      <c r="U37" s="2">
        <f t="shared" si="6"/>
        <v>0</v>
      </c>
    </row>
    <row r="38" spans="1:21" ht="15" thickBot="1">
      <c r="A38" s="6" t="s">
        <v>415</v>
      </c>
      <c r="B38" s="7" t="s">
        <v>545</v>
      </c>
      <c r="C38" s="8"/>
      <c r="D38" s="8"/>
      <c r="E38" s="8"/>
      <c r="F38" s="8"/>
      <c r="G38" s="8"/>
      <c r="H38" s="8" t="s">
        <v>394</v>
      </c>
      <c r="I38" s="8"/>
      <c r="J38" s="8"/>
      <c r="K38" s="8"/>
      <c r="L38" s="8"/>
      <c r="M38" s="8"/>
      <c r="N38" s="8"/>
      <c r="P38" s="2">
        <f t="shared" si="1"/>
        <v>0</v>
      </c>
      <c r="Q38" s="2">
        <f t="shared" si="2"/>
        <v>0</v>
      </c>
      <c r="R38" s="2">
        <f t="shared" si="3"/>
        <v>0</v>
      </c>
      <c r="S38" s="2">
        <f t="shared" si="4"/>
        <v>0</v>
      </c>
      <c r="T38" s="2">
        <f t="shared" si="5"/>
        <v>0</v>
      </c>
      <c r="U38" s="2">
        <f t="shared" si="6"/>
        <v>0</v>
      </c>
    </row>
    <row r="39" spans="1:21" ht="26.25" thickBot="1">
      <c r="A39" s="6"/>
      <c r="B39" s="7" t="s">
        <v>546</v>
      </c>
      <c r="C39" s="8"/>
      <c r="D39" s="8"/>
      <c r="E39" s="8"/>
      <c r="F39" s="8"/>
      <c r="G39" s="8"/>
      <c r="H39" s="8" t="s">
        <v>394</v>
      </c>
      <c r="I39" s="8"/>
      <c r="J39" s="8"/>
      <c r="K39" s="8"/>
      <c r="L39" s="8"/>
      <c r="M39" s="8"/>
      <c r="N39" s="8"/>
      <c r="P39" s="2">
        <f t="shared" si="1"/>
        <v>0</v>
      </c>
      <c r="Q39" s="2">
        <f t="shared" si="2"/>
        <v>0</v>
      </c>
      <c r="R39" s="2">
        <f t="shared" si="3"/>
        <v>0</v>
      </c>
      <c r="S39" s="2">
        <f t="shared" si="4"/>
        <v>0</v>
      </c>
      <c r="T39" s="2">
        <f t="shared" si="5"/>
        <v>0</v>
      </c>
      <c r="U39" s="2">
        <f t="shared" si="6"/>
        <v>0</v>
      </c>
    </row>
    <row r="40" spans="1:21" ht="15" thickBot="1">
      <c r="A40" s="6" t="s">
        <v>416</v>
      </c>
      <c r="B40" s="7" t="s">
        <v>130</v>
      </c>
      <c r="C40" s="8"/>
      <c r="D40" s="8"/>
      <c r="E40" s="8"/>
      <c r="F40" s="8"/>
      <c r="G40" s="8"/>
      <c r="H40" s="8" t="s">
        <v>394</v>
      </c>
      <c r="I40" s="8">
        <v>193382</v>
      </c>
      <c r="J40" s="8"/>
      <c r="K40" s="8">
        <v>193382</v>
      </c>
      <c r="L40" s="8">
        <v>193382</v>
      </c>
      <c r="M40" s="8"/>
      <c r="N40" s="8"/>
      <c r="P40" s="2">
        <f t="shared" si="1"/>
        <v>0.193382</v>
      </c>
      <c r="Q40" s="2">
        <f t="shared" si="2"/>
        <v>0</v>
      </c>
      <c r="R40" s="2">
        <f t="shared" si="3"/>
        <v>0.193382</v>
      </c>
      <c r="S40" s="2">
        <f t="shared" si="4"/>
        <v>0.193382</v>
      </c>
      <c r="T40" s="2">
        <f t="shared" si="5"/>
        <v>0</v>
      </c>
      <c r="U40" s="2">
        <f t="shared" si="6"/>
        <v>0</v>
      </c>
    </row>
    <row r="41" spans="1:21" ht="26.25" thickBot="1">
      <c r="A41" s="6">
        <v>3</v>
      </c>
      <c r="B41" s="7" t="s">
        <v>417</v>
      </c>
      <c r="C41" s="8">
        <v>56947708170</v>
      </c>
      <c r="D41" s="8">
        <v>223031</v>
      </c>
      <c r="E41" s="8">
        <v>56947485139</v>
      </c>
      <c r="F41" s="8">
        <v>9756262906</v>
      </c>
      <c r="G41" s="8">
        <v>47187663211</v>
      </c>
      <c r="H41" s="8">
        <v>3559022</v>
      </c>
      <c r="I41" s="8">
        <v>507173009933</v>
      </c>
      <c r="J41" s="8">
        <v>131701731</v>
      </c>
      <c r="K41" s="8">
        <v>507041308202</v>
      </c>
      <c r="L41" s="8">
        <v>96426527335</v>
      </c>
      <c r="M41" s="8">
        <v>410465368219</v>
      </c>
      <c r="N41" s="8">
        <v>149412648</v>
      </c>
      <c r="P41" s="2">
        <f t="shared" si="1"/>
        <v>507173.00993300002</v>
      </c>
      <c r="Q41" s="2">
        <f t="shared" si="2"/>
        <v>131.701731</v>
      </c>
      <c r="R41" s="2">
        <f t="shared" si="3"/>
        <v>507041.30820199999</v>
      </c>
      <c r="S41" s="2">
        <f t="shared" si="4"/>
        <v>96426.527335000006</v>
      </c>
      <c r="T41" s="2">
        <f t="shared" si="5"/>
        <v>410465.368219</v>
      </c>
      <c r="U41" s="2">
        <f t="shared" si="6"/>
        <v>149.41264799999999</v>
      </c>
    </row>
    <row r="42" spans="1:21" ht="26.25" thickBot="1">
      <c r="A42" s="6" t="s">
        <v>418</v>
      </c>
      <c r="B42" s="7" t="s">
        <v>393</v>
      </c>
      <c r="C42" s="8">
        <v>46679337524</v>
      </c>
      <c r="D42" s="8"/>
      <c r="E42" s="8">
        <v>46679337524</v>
      </c>
      <c r="F42" s="8">
        <v>5823694186</v>
      </c>
      <c r="G42" s="8">
        <v>40855643338</v>
      </c>
      <c r="H42" s="8" t="s">
        <v>394</v>
      </c>
      <c r="I42" s="8">
        <v>390893822840</v>
      </c>
      <c r="J42" s="8"/>
      <c r="K42" s="8">
        <v>390893822840</v>
      </c>
      <c r="L42" s="8">
        <v>64095247641</v>
      </c>
      <c r="M42" s="8">
        <v>326798575199</v>
      </c>
      <c r="N42" s="8"/>
      <c r="P42" s="2">
        <f t="shared" si="1"/>
        <v>390893.82283999998</v>
      </c>
      <c r="Q42" s="2">
        <f t="shared" si="2"/>
        <v>0</v>
      </c>
      <c r="R42" s="2">
        <f t="shared" si="3"/>
        <v>390893.82283999998</v>
      </c>
      <c r="S42" s="2">
        <f t="shared" si="4"/>
        <v>64095.247641000002</v>
      </c>
      <c r="T42" s="2">
        <f t="shared" si="5"/>
        <v>326798.57519900001</v>
      </c>
      <c r="U42" s="2">
        <f t="shared" si="6"/>
        <v>0</v>
      </c>
    </row>
    <row r="43" spans="1:21" ht="15" thickBot="1">
      <c r="A43" s="6" t="s">
        <v>419</v>
      </c>
      <c r="B43" s="7" t="s">
        <v>395</v>
      </c>
      <c r="C43" s="8">
        <v>196763638</v>
      </c>
      <c r="D43" s="8"/>
      <c r="E43" s="8">
        <v>196763638</v>
      </c>
      <c r="F43" s="8"/>
      <c r="G43" s="8">
        <v>196763638</v>
      </c>
      <c r="H43" s="8" t="s">
        <v>394</v>
      </c>
      <c r="I43" s="8">
        <v>2475814638</v>
      </c>
      <c r="J43" s="8">
        <v>5854839</v>
      </c>
      <c r="K43" s="8">
        <v>2469959799</v>
      </c>
      <c r="L43" s="8"/>
      <c r="M43" s="8">
        <v>2469959799</v>
      </c>
      <c r="N43" s="8"/>
      <c r="P43" s="2">
        <f t="shared" si="1"/>
        <v>2475.8146379999998</v>
      </c>
      <c r="Q43" s="2">
        <f t="shared" si="2"/>
        <v>5.8548390000000001</v>
      </c>
      <c r="R43" s="2">
        <f t="shared" si="3"/>
        <v>2469.9597990000002</v>
      </c>
      <c r="S43" s="2">
        <f t="shared" si="4"/>
        <v>0</v>
      </c>
      <c r="T43" s="2">
        <f t="shared" si="5"/>
        <v>2469.9597990000002</v>
      </c>
      <c r="U43" s="2">
        <f t="shared" si="6"/>
        <v>0</v>
      </c>
    </row>
    <row r="44" spans="1:21" ht="15" thickBot="1">
      <c r="A44" s="6" t="s">
        <v>420</v>
      </c>
      <c r="B44" s="7" t="s">
        <v>116</v>
      </c>
      <c r="C44" s="8">
        <v>1087105918</v>
      </c>
      <c r="D44" s="8"/>
      <c r="E44" s="8">
        <v>1087105918</v>
      </c>
      <c r="F44" s="8">
        <v>211805814</v>
      </c>
      <c r="G44" s="8">
        <v>875300104</v>
      </c>
      <c r="H44" s="8" t="s">
        <v>394</v>
      </c>
      <c r="I44" s="8">
        <v>24352983035</v>
      </c>
      <c r="J44" s="8"/>
      <c r="K44" s="8">
        <v>24352983035</v>
      </c>
      <c r="L44" s="8">
        <v>5925195669</v>
      </c>
      <c r="M44" s="8">
        <v>18427787366</v>
      </c>
      <c r="N44" s="8"/>
      <c r="P44" s="2">
        <f t="shared" si="1"/>
        <v>24352.983035000001</v>
      </c>
      <c r="Q44" s="2">
        <f t="shared" si="2"/>
        <v>0</v>
      </c>
      <c r="R44" s="2">
        <f t="shared" si="3"/>
        <v>24352.983035000001</v>
      </c>
      <c r="S44" s="2">
        <f t="shared" si="4"/>
        <v>5925.1956689999997</v>
      </c>
      <c r="T44" s="2">
        <f t="shared" si="5"/>
        <v>18427.787366</v>
      </c>
      <c r="U44" s="2">
        <f t="shared" si="6"/>
        <v>0</v>
      </c>
    </row>
    <row r="45" spans="1:21" ht="15" thickBot="1">
      <c r="A45" s="6" t="s">
        <v>421</v>
      </c>
      <c r="B45" s="7" t="s">
        <v>117</v>
      </c>
      <c r="C45" s="8">
        <v>8938406694</v>
      </c>
      <c r="D45" s="8"/>
      <c r="E45" s="8">
        <v>8938406694</v>
      </c>
      <c r="F45" s="8">
        <v>3720154604</v>
      </c>
      <c r="G45" s="8">
        <v>5218252090</v>
      </c>
      <c r="H45" s="8" t="s">
        <v>394</v>
      </c>
      <c r="I45" s="8">
        <v>87884023256</v>
      </c>
      <c r="J45" s="8"/>
      <c r="K45" s="8">
        <v>87884023256</v>
      </c>
      <c r="L45" s="8">
        <v>26145412183</v>
      </c>
      <c r="M45" s="8">
        <v>61738611073</v>
      </c>
      <c r="N45" s="8"/>
      <c r="P45" s="2">
        <f t="shared" si="1"/>
        <v>87884.023256</v>
      </c>
      <c r="Q45" s="2">
        <f t="shared" si="2"/>
        <v>0</v>
      </c>
      <c r="R45" s="2">
        <f t="shared" si="3"/>
        <v>87884.023256</v>
      </c>
      <c r="S45" s="2">
        <f t="shared" si="4"/>
        <v>26145.412183</v>
      </c>
      <c r="T45" s="2">
        <f t="shared" si="5"/>
        <v>61738.611073</v>
      </c>
      <c r="U45" s="2">
        <f t="shared" si="6"/>
        <v>0</v>
      </c>
    </row>
    <row r="46" spans="1:21" ht="15" thickBot="1">
      <c r="A46" s="6" t="s">
        <v>422</v>
      </c>
      <c r="B46" s="7" t="s">
        <v>403</v>
      </c>
      <c r="C46" s="8">
        <v>550</v>
      </c>
      <c r="D46" s="8"/>
      <c r="E46" s="8">
        <v>550</v>
      </c>
      <c r="F46" s="8"/>
      <c r="G46" s="8"/>
      <c r="H46" s="8">
        <v>550</v>
      </c>
      <c r="I46" s="8">
        <v>146100000</v>
      </c>
      <c r="J46" s="8"/>
      <c r="K46" s="8">
        <v>146100000</v>
      </c>
      <c r="L46" s="8"/>
      <c r="M46" s="8"/>
      <c r="N46" s="8">
        <v>146100000</v>
      </c>
      <c r="P46" s="2">
        <f t="shared" si="1"/>
        <v>146.1</v>
      </c>
      <c r="Q46" s="2">
        <f t="shared" si="2"/>
        <v>0</v>
      </c>
      <c r="R46" s="2">
        <f t="shared" si="3"/>
        <v>146.1</v>
      </c>
      <c r="S46" s="2">
        <f t="shared" si="4"/>
        <v>0</v>
      </c>
      <c r="T46" s="2">
        <f t="shared" si="5"/>
        <v>0</v>
      </c>
      <c r="U46" s="2">
        <f t="shared" si="6"/>
        <v>146.1</v>
      </c>
    </row>
    <row r="47" spans="1:21" ht="15" thickBot="1">
      <c r="A47" s="6" t="s">
        <v>423</v>
      </c>
      <c r="B47" s="7" t="s">
        <v>130</v>
      </c>
      <c r="C47" s="8">
        <v>45544396</v>
      </c>
      <c r="D47" s="8">
        <v>223031</v>
      </c>
      <c r="E47" s="8">
        <v>45321365</v>
      </c>
      <c r="F47" s="8">
        <v>608302</v>
      </c>
      <c r="G47" s="8">
        <v>41704041</v>
      </c>
      <c r="H47" s="8">
        <v>3009022</v>
      </c>
      <c r="I47" s="8">
        <v>1420266164</v>
      </c>
      <c r="J47" s="8">
        <v>125846892</v>
      </c>
      <c r="K47" s="8">
        <v>1294419272</v>
      </c>
      <c r="L47" s="8">
        <v>260671842</v>
      </c>
      <c r="M47" s="8">
        <v>1030434782</v>
      </c>
      <c r="N47" s="8">
        <v>3312648</v>
      </c>
      <c r="P47" s="2">
        <f t="shared" si="1"/>
        <v>1420.2661639999999</v>
      </c>
      <c r="Q47" s="2">
        <f t="shared" si="2"/>
        <v>125.846892</v>
      </c>
      <c r="R47" s="2">
        <f t="shared" si="3"/>
        <v>1294.4192720000001</v>
      </c>
      <c r="S47" s="2">
        <f t="shared" si="4"/>
        <v>260.67184200000003</v>
      </c>
      <c r="T47" s="2">
        <f t="shared" si="5"/>
        <v>1030.434782</v>
      </c>
      <c r="U47" s="2">
        <f t="shared" si="6"/>
        <v>3.3126479999999998</v>
      </c>
    </row>
    <row r="48" spans="1:21" ht="15" thickBot="1">
      <c r="A48" s="6">
        <v>4</v>
      </c>
      <c r="B48" s="7" t="s">
        <v>76</v>
      </c>
      <c r="C48" s="8">
        <v>12731231</v>
      </c>
      <c r="D48" s="8"/>
      <c r="E48" s="8">
        <v>12731231</v>
      </c>
      <c r="F48" s="8"/>
      <c r="G48" s="8"/>
      <c r="H48" s="8">
        <v>12731231</v>
      </c>
      <c r="I48" s="8">
        <v>804303682</v>
      </c>
      <c r="J48" s="8"/>
      <c r="K48" s="8">
        <v>804303682</v>
      </c>
      <c r="L48" s="8"/>
      <c r="M48" s="8"/>
      <c r="N48" s="8">
        <v>804303682</v>
      </c>
      <c r="P48" s="2">
        <f t="shared" si="1"/>
        <v>804.30368199999998</v>
      </c>
      <c r="Q48" s="2">
        <f t="shared" si="2"/>
        <v>0</v>
      </c>
      <c r="R48" s="2">
        <f t="shared" si="3"/>
        <v>804.30368199999998</v>
      </c>
      <c r="S48" s="2">
        <f t="shared" si="4"/>
        <v>0</v>
      </c>
      <c r="T48" s="2">
        <f t="shared" si="5"/>
        <v>0</v>
      </c>
      <c r="U48" s="2">
        <f t="shared" si="6"/>
        <v>804.30368199999998</v>
      </c>
    </row>
    <row r="49" spans="1:21" ht="15" thickBot="1">
      <c r="A49" s="6">
        <v>5</v>
      </c>
      <c r="B49" s="7" t="s">
        <v>78</v>
      </c>
      <c r="C49" s="8">
        <v>5776945169</v>
      </c>
      <c r="D49" s="8"/>
      <c r="E49" s="8">
        <v>5776945169</v>
      </c>
      <c r="F49" s="8">
        <v>579606438</v>
      </c>
      <c r="G49" s="8">
        <v>5197338731</v>
      </c>
      <c r="H49" s="8" t="s">
        <v>394</v>
      </c>
      <c r="I49" s="8">
        <v>83413966480</v>
      </c>
      <c r="J49" s="8"/>
      <c r="K49" s="8">
        <v>83413966480</v>
      </c>
      <c r="L49" s="8">
        <v>8340937563</v>
      </c>
      <c r="M49" s="8">
        <v>75073028917</v>
      </c>
      <c r="N49" s="8"/>
      <c r="P49" s="2">
        <f t="shared" si="1"/>
        <v>83413.966480000003</v>
      </c>
      <c r="Q49" s="2">
        <f t="shared" si="2"/>
        <v>0</v>
      </c>
      <c r="R49" s="2">
        <f t="shared" si="3"/>
        <v>83413.966480000003</v>
      </c>
      <c r="S49" s="2">
        <f t="shared" si="4"/>
        <v>8340.9375629999995</v>
      </c>
      <c r="T49" s="2">
        <f t="shared" si="5"/>
        <v>75073.028917000003</v>
      </c>
      <c r="U49" s="2">
        <f t="shared" si="6"/>
        <v>0</v>
      </c>
    </row>
    <row r="50" spans="1:21" ht="15" thickBot="1">
      <c r="A50" s="6">
        <v>6</v>
      </c>
      <c r="B50" s="7" t="s">
        <v>119</v>
      </c>
      <c r="C50" s="8">
        <v>6058711460</v>
      </c>
      <c r="D50" s="8"/>
      <c r="E50" s="8">
        <v>6058711460</v>
      </c>
      <c r="F50" s="8"/>
      <c r="G50" s="8">
        <v>5494589771</v>
      </c>
      <c r="H50" s="8">
        <v>564121689</v>
      </c>
      <c r="I50" s="8">
        <v>58354722916</v>
      </c>
      <c r="J50" s="8"/>
      <c r="K50" s="8">
        <v>58354722916</v>
      </c>
      <c r="L50" s="8"/>
      <c r="M50" s="8">
        <v>52843498659</v>
      </c>
      <c r="N50" s="8">
        <v>5511224257</v>
      </c>
      <c r="P50" s="2">
        <f t="shared" si="1"/>
        <v>58354.722915999999</v>
      </c>
      <c r="Q50" s="2">
        <f t="shared" si="2"/>
        <v>0</v>
      </c>
      <c r="R50" s="2">
        <f t="shared" si="3"/>
        <v>58354.722915999999</v>
      </c>
      <c r="S50" s="2">
        <f t="shared" si="4"/>
        <v>0</v>
      </c>
      <c r="T50" s="2">
        <f t="shared" si="5"/>
        <v>52843.498658999997</v>
      </c>
      <c r="U50" s="2">
        <f t="shared" si="6"/>
        <v>5511.2242569999999</v>
      </c>
    </row>
    <row r="51" spans="1:21" ht="26.25" thickBot="1">
      <c r="A51" s="6">
        <v>7</v>
      </c>
      <c r="B51" s="7" t="s">
        <v>424</v>
      </c>
      <c r="C51" s="8">
        <v>11981133116</v>
      </c>
      <c r="D51" s="8">
        <v>7535311613</v>
      </c>
      <c r="E51" s="8">
        <v>4445821503</v>
      </c>
      <c r="F51" s="8">
        <v>4445821503</v>
      </c>
      <c r="G51" s="8"/>
      <c r="H51" s="8" t="s">
        <v>394</v>
      </c>
      <c r="I51" s="8">
        <v>164258912441</v>
      </c>
      <c r="J51" s="8">
        <v>103165355319</v>
      </c>
      <c r="K51" s="8">
        <v>61093557122</v>
      </c>
      <c r="L51" s="8">
        <v>61093532122</v>
      </c>
      <c r="M51" s="8">
        <v>25</v>
      </c>
      <c r="N51" s="8"/>
      <c r="P51" s="2">
        <f t="shared" si="1"/>
        <v>164258.91244099999</v>
      </c>
      <c r="Q51" s="2">
        <f t="shared" si="2"/>
        <v>103165.35531899999</v>
      </c>
      <c r="R51" s="2">
        <f t="shared" si="3"/>
        <v>61093.557121999998</v>
      </c>
      <c r="S51" s="2">
        <f t="shared" si="4"/>
        <v>61093.532121999997</v>
      </c>
      <c r="T51" s="2">
        <f t="shared" si="5"/>
        <v>2.5000000000000001E-5</v>
      </c>
      <c r="U51" s="2">
        <f t="shared" si="6"/>
        <v>0</v>
      </c>
    </row>
    <row r="52" spans="1:21" ht="15" thickBot="1">
      <c r="A52" s="6">
        <v>8</v>
      </c>
      <c r="B52" s="7" t="s">
        <v>547</v>
      </c>
      <c r="C52" s="8">
        <v>4551235639</v>
      </c>
      <c r="D52" s="8">
        <v>1225729863</v>
      </c>
      <c r="E52" s="8">
        <v>3325505776</v>
      </c>
      <c r="F52" s="8">
        <v>1953228048</v>
      </c>
      <c r="G52" s="8">
        <v>902140638</v>
      </c>
      <c r="H52" s="8">
        <v>470137090</v>
      </c>
      <c r="I52" s="8">
        <v>41960250424</v>
      </c>
      <c r="J52" s="8">
        <v>8122849042</v>
      </c>
      <c r="K52" s="8">
        <v>33837401382</v>
      </c>
      <c r="L52" s="8">
        <v>15354877712</v>
      </c>
      <c r="M52" s="8">
        <v>7429336544</v>
      </c>
      <c r="N52" s="8">
        <v>11053187126</v>
      </c>
      <c r="P52" s="2">
        <f t="shared" si="1"/>
        <v>41960.250423999998</v>
      </c>
      <c r="Q52" s="2">
        <f t="shared" si="2"/>
        <v>8122.8490419999998</v>
      </c>
      <c r="R52" s="2">
        <f t="shared" si="3"/>
        <v>33837.401381999996</v>
      </c>
      <c r="S52" s="2">
        <f t="shared" si="4"/>
        <v>15354.877712</v>
      </c>
      <c r="T52" s="2">
        <f t="shared" si="5"/>
        <v>7429.3365439999998</v>
      </c>
      <c r="U52" s="2">
        <f t="shared" si="6"/>
        <v>11053.187126000001</v>
      </c>
    </row>
    <row r="53" spans="1:21" ht="15" thickBot="1">
      <c r="A53" s="6"/>
      <c r="B53" s="7" t="s">
        <v>425</v>
      </c>
      <c r="C53" s="8"/>
      <c r="D53" s="8"/>
      <c r="E53" s="8"/>
      <c r="F53" s="8"/>
      <c r="G53" s="8"/>
      <c r="H53" s="8" t="s">
        <v>394</v>
      </c>
      <c r="I53" s="8"/>
      <c r="J53" s="8"/>
      <c r="K53" s="8"/>
      <c r="L53" s="8"/>
      <c r="M53" s="8"/>
      <c r="N53" s="8"/>
      <c r="P53" s="2">
        <f t="shared" si="1"/>
        <v>0</v>
      </c>
      <c r="Q53" s="2">
        <f t="shared" si="2"/>
        <v>0</v>
      </c>
      <c r="R53" s="2">
        <f t="shared" si="3"/>
        <v>0</v>
      </c>
      <c r="S53" s="2">
        <f t="shared" si="4"/>
        <v>0</v>
      </c>
      <c r="T53" s="2">
        <f t="shared" si="5"/>
        <v>0</v>
      </c>
      <c r="U53" s="2">
        <f t="shared" si="6"/>
        <v>0</v>
      </c>
    </row>
    <row r="54" spans="1:21" ht="15" thickBot="1">
      <c r="A54" s="6"/>
      <c r="B54" s="7" t="s">
        <v>426</v>
      </c>
      <c r="C54" s="8"/>
      <c r="D54" s="8"/>
      <c r="E54" s="8"/>
      <c r="F54" s="8"/>
      <c r="G54" s="8"/>
      <c r="H54" s="8" t="s">
        <v>394</v>
      </c>
      <c r="I54" s="8"/>
      <c r="J54" s="8"/>
      <c r="K54" s="8"/>
      <c r="L54" s="8"/>
      <c r="M54" s="8"/>
      <c r="N54" s="8"/>
      <c r="P54" s="2">
        <f t="shared" si="1"/>
        <v>0</v>
      </c>
      <c r="Q54" s="2">
        <f t="shared" si="2"/>
        <v>0</v>
      </c>
      <c r="R54" s="2">
        <f t="shared" si="3"/>
        <v>0</v>
      </c>
      <c r="S54" s="2">
        <f t="shared" si="4"/>
        <v>0</v>
      </c>
      <c r="T54" s="2">
        <f t="shared" si="5"/>
        <v>0</v>
      </c>
      <c r="U54" s="2">
        <f t="shared" si="6"/>
        <v>0</v>
      </c>
    </row>
    <row r="55" spans="1:21" ht="15" thickBot="1">
      <c r="A55" s="6"/>
      <c r="B55" s="7" t="s">
        <v>427</v>
      </c>
      <c r="C55" s="8">
        <v>-24321500</v>
      </c>
      <c r="D55" s="8"/>
      <c r="E55" s="8">
        <v>-24321500</v>
      </c>
      <c r="F55" s="8"/>
      <c r="G55" s="8"/>
      <c r="H55" s="8">
        <v>-24321500</v>
      </c>
      <c r="I55" s="8">
        <v>138575515</v>
      </c>
      <c r="J55" s="8"/>
      <c r="K55" s="8">
        <v>138575515</v>
      </c>
      <c r="L55" s="8"/>
      <c r="M55" s="8">
        <v>95086515</v>
      </c>
      <c r="N55" s="8">
        <v>43489000</v>
      </c>
      <c r="P55" s="2">
        <f t="shared" si="1"/>
        <v>138.575515</v>
      </c>
      <c r="Q55" s="2">
        <f t="shared" si="2"/>
        <v>0</v>
      </c>
      <c r="R55" s="2">
        <f t="shared" si="3"/>
        <v>138.575515</v>
      </c>
      <c r="S55" s="2">
        <f t="shared" si="4"/>
        <v>0</v>
      </c>
      <c r="T55" s="2">
        <f t="shared" si="5"/>
        <v>95.086515000000006</v>
      </c>
      <c r="U55" s="2">
        <f t="shared" si="6"/>
        <v>43.488999999999997</v>
      </c>
    </row>
    <row r="56" spans="1:21" ht="39" thickBot="1">
      <c r="A56" s="6"/>
      <c r="B56" s="7" t="s">
        <v>548</v>
      </c>
      <c r="C56" s="8">
        <v>1034685400</v>
      </c>
      <c r="D56" s="8">
        <v>450</v>
      </c>
      <c r="E56" s="8">
        <v>1034235400</v>
      </c>
      <c r="F56" s="8">
        <v>894374000</v>
      </c>
      <c r="G56" s="8">
        <v>1053400</v>
      </c>
      <c r="H56" s="8">
        <v>138808000</v>
      </c>
      <c r="I56" s="8">
        <v>8380048600</v>
      </c>
      <c r="J56" s="8">
        <v>7720000</v>
      </c>
      <c r="K56" s="8">
        <v>8372328600</v>
      </c>
      <c r="L56" s="8">
        <v>7511656000</v>
      </c>
      <c r="M56" s="8">
        <v>35661200</v>
      </c>
      <c r="N56" s="8">
        <v>825011400</v>
      </c>
      <c r="P56" s="2">
        <f t="shared" si="1"/>
        <v>8380.0486000000001</v>
      </c>
      <c r="Q56" s="2">
        <f t="shared" si="2"/>
        <v>7.72</v>
      </c>
      <c r="R56" s="2">
        <f t="shared" si="3"/>
        <v>8372.3286000000007</v>
      </c>
      <c r="S56" s="2">
        <f t="shared" si="4"/>
        <v>7511.6559999999999</v>
      </c>
      <c r="T56" s="2">
        <f t="shared" si="5"/>
        <v>35.661200000000001</v>
      </c>
      <c r="U56" s="2">
        <f t="shared" si="6"/>
        <v>825.01139999999998</v>
      </c>
    </row>
    <row r="57" spans="1:21" ht="26.25" thickBot="1">
      <c r="A57" s="6"/>
      <c r="B57" s="7" t="s">
        <v>549</v>
      </c>
      <c r="C57" s="8"/>
      <c r="D57" s="8"/>
      <c r="E57" s="8"/>
      <c r="F57" s="8"/>
      <c r="G57" s="8"/>
      <c r="H57" s="8" t="s">
        <v>394</v>
      </c>
      <c r="I57" s="8"/>
      <c r="J57" s="8"/>
      <c r="K57" s="8"/>
      <c r="L57" s="8"/>
      <c r="M57" s="8"/>
      <c r="N57" s="8"/>
      <c r="P57" s="2">
        <f t="shared" si="1"/>
        <v>0</v>
      </c>
      <c r="Q57" s="2">
        <f t="shared" si="2"/>
        <v>0</v>
      </c>
      <c r="R57" s="2">
        <f t="shared" si="3"/>
        <v>0</v>
      </c>
      <c r="S57" s="2">
        <f t="shared" si="4"/>
        <v>0</v>
      </c>
      <c r="T57" s="2">
        <f t="shared" si="5"/>
        <v>0</v>
      </c>
      <c r="U57" s="2">
        <f t="shared" si="6"/>
        <v>0</v>
      </c>
    </row>
    <row r="58" spans="1:21" ht="15" thickBot="1">
      <c r="A58" s="6"/>
      <c r="B58" s="7" t="s">
        <v>428</v>
      </c>
      <c r="C58" s="8">
        <v>-15597000</v>
      </c>
      <c r="D58" s="8"/>
      <c r="E58" s="8">
        <v>-15597000</v>
      </c>
      <c r="F58" s="8"/>
      <c r="G58" s="8">
        <v>516</v>
      </c>
      <c r="H58" s="8">
        <v>-16113000</v>
      </c>
      <c r="I58" s="8">
        <v>125710200</v>
      </c>
      <c r="J58" s="8"/>
      <c r="K58" s="8">
        <v>125710200</v>
      </c>
      <c r="L58" s="8"/>
      <c r="M58" s="8">
        <v>71814200</v>
      </c>
      <c r="N58" s="8">
        <v>53896000</v>
      </c>
      <c r="P58" s="2">
        <f t="shared" si="1"/>
        <v>125.7102</v>
      </c>
      <c r="Q58" s="2">
        <f t="shared" si="2"/>
        <v>0</v>
      </c>
      <c r="R58" s="2">
        <f t="shared" si="3"/>
        <v>125.7102</v>
      </c>
      <c r="S58" s="2">
        <f t="shared" si="4"/>
        <v>0</v>
      </c>
      <c r="T58" s="2">
        <f t="shared" si="5"/>
        <v>71.8142</v>
      </c>
      <c r="U58" s="2">
        <f t="shared" si="6"/>
        <v>53.896000000000001</v>
      </c>
    </row>
    <row r="59" spans="1:21" ht="26.25" thickBot="1">
      <c r="A59" s="6"/>
      <c r="B59" s="7" t="s">
        <v>429</v>
      </c>
      <c r="C59" s="8">
        <v>804775234</v>
      </c>
      <c r="D59" s="8"/>
      <c r="E59" s="8">
        <v>804775234</v>
      </c>
      <c r="F59" s="8">
        <v>-409082</v>
      </c>
      <c r="G59" s="8">
        <v>805184316</v>
      </c>
      <c r="H59" s="8" t="s">
        <v>394</v>
      </c>
      <c r="I59" s="8">
        <v>6261712907</v>
      </c>
      <c r="J59" s="8"/>
      <c r="K59" s="8">
        <v>6261712907</v>
      </c>
      <c r="L59" s="8"/>
      <c r="M59" s="8">
        <v>6261712907</v>
      </c>
      <c r="N59" s="8"/>
      <c r="P59" s="2">
        <f t="shared" si="1"/>
        <v>6261.7129070000001</v>
      </c>
      <c r="Q59" s="2">
        <f t="shared" si="2"/>
        <v>0</v>
      </c>
      <c r="R59" s="2">
        <f t="shared" si="3"/>
        <v>6261.7129070000001</v>
      </c>
      <c r="S59" s="2">
        <f t="shared" si="4"/>
        <v>0</v>
      </c>
      <c r="T59" s="2">
        <f t="shared" si="5"/>
        <v>6261.7129070000001</v>
      </c>
      <c r="U59" s="2">
        <f t="shared" si="6"/>
        <v>0</v>
      </c>
    </row>
    <row r="60" spans="1:21" ht="15" thickBot="1">
      <c r="A60" s="6" t="s">
        <v>430</v>
      </c>
      <c r="B60" s="7" t="s">
        <v>550</v>
      </c>
      <c r="C60" s="8">
        <v>1160500703</v>
      </c>
      <c r="D60" s="8">
        <v>1225729863</v>
      </c>
      <c r="E60" s="8">
        <v>-65229160</v>
      </c>
      <c r="F60" s="8"/>
      <c r="G60" s="8">
        <v>-66229160</v>
      </c>
      <c r="H60" s="8">
        <v>1000000</v>
      </c>
      <c r="I60" s="8">
        <v>8467244453</v>
      </c>
      <c r="J60" s="8">
        <v>8122849042</v>
      </c>
      <c r="K60" s="8">
        <v>344395411</v>
      </c>
      <c r="L60" s="8">
        <v>15750000</v>
      </c>
      <c r="M60" s="8">
        <v>106645411</v>
      </c>
      <c r="N60" s="8">
        <v>222000000</v>
      </c>
      <c r="P60" s="2">
        <f t="shared" si="1"/>
        <v>8467.2444529999993</v>
      </c>
      <c r="Q60" s="2">
        <f t="shared" si="2"/>
        <v>8122.8490419999998</v>
      </c>
      <c r="R60" s="2">
        <f t="shared" si="3"/>
        <v>344.39541100000002</v>
      </c>
      <c r="S60" s="2">
        <f t="shared" si="4"/>
        <v>15.75</v>
      </c>
      <c r="T60" s="2">
        <f t="shared" si="5"/>
        <v>106.645411</v>
      </c>
      <c r="U60" s="2">
        <f t="shared" si="6"/>
        <v>222</v>
      </c>
    </row>
    <row r="61" spans="1:21" ht="15" thickBot="1">
      <c r="A61" s="6" t="s">
        <v>431</v>
      </c>
      <c r="B61" s="7" t="s">
        <v>551</v>
      </c>
      <c r="C61" s="8">
        <v>3024691436</v>
      </c>
      <c r="D61" s="8"/>
      <c r="E61" s="8">
        <v>3024691436</v>
      </c>
      <c r="F61" s="8">
        <v>1953228048</v>
      </c>
      <c r="G61" s="8">
        <v>968369798</v>
      </c>
      <c r="H61" s="8">
        <v>103093590</v>
      </c>
      <c r="I61" s="8">
        <v>29769342772</v>
      </c>
      <c r="J61" s="8"/>
      <c r="K61" s="8">
        <v>29769342772</v>
      </c>
      <c r="L61" s="8">
        <v>15339127712</v>
      </c>
      <c r="M61" s="8">
        <v>7322691133</v>
      </c>
      <c r="N61" s="8">
        <v>7107523927</v>
      </c>
      <c r="P61" s="2">
        <f t="shared" si="1"/>
        <v>29769.342772</v>
      </c>
      <c r="Q61" s="2">
        <f t="shared" si="2"/>
        <v>0</v>
      </c>
      <c r="R61" s="2">
        <f t="shared" si="3"/>
        <v>29769.342772</v>
      </c>
      <c r="S61" s="2">
        <f t="shared" si="4"/>
        <v>15339.127712</v>
      </c>
      <c r="T61" s="2">
        <f t="shared" si="5"/>
        <v>7322.6911330000003</v>
      </c>
      <c r="U61" s="2">
        <f t="shared" si="6"/>
        <v>7107.5239270000002</v>
      </c>
    </row>
    <row r="62" spans="1:21" ht="15" thickBot="1">
      <c r="A62" s="6" t="s">
        <v>432</v>
      </c>
      <c r="B62" s="7" t="s">
        <v>552</v>
      </c>
      <c r="C62" s="8">
        <v>366043500</v>
      </c>
      <c r="D62" s="8"/>
      <c r="E62" s="8">
        <v>366043500</v>
      </c>
      <c r="F62" s="8"/>
      <c r="G62" s="8"/>
      <c r="H62" s="8">
        <v>366043500</v>
      </c>
      <c r="I62" s="8">
        <v>3723663199</v>
      </c>
      <c r="J62" s="8"/>
      <c r="K62" s="8">
        <v>3723663199</v>
      </c>
      <c r="L62" s="8"/>
      <c r="M62" s="8"/>
      <c r="N62" s="8">
        <v>3723663199</v>
      </c>
      <c r="P62" s="2">
        <f t="shared" si="1"/>
        <v>3723.6631990000001</v>
      </c>
      <c r="Q62" s="2">
        <f t="shared" si="2"/>
        <v>0</v>
      </c>
      <c r="R62" s="2">
        <f t="shared" si="3"/>
        <v>3723.6631990000001</v>
      </c>
      <c r="S62" s="2">
        <f t="shared" si="4"/>
        <v>0</v>
      </c>
      <c r="T62" s="2">
        <f t="shared" si="5"/>
        <v>0</v>
      </c>
      <c r="U62" s="2">
        <f t="shared" si="6"/>
        <v>3723.6631990000001</v>
      </c>
    </row>
    <row r="63" spans="1:21" ht="15" thickBot="1">
      <c r="A63" s="6">
        <v>9</v>
      </c>
      <c r="B63" s="7" t="s">
        <v>553</v>
      </c>
      <c r="C63" s="8">
        <v>131427437944</v>
      </c>
      <c r="D63" s="8"/>
      <c r="E63" s="8">
        <v>131427437944</v>
      </c>
      <c r="F63" s="8">
        <v>116172018867</v>
      </c>
      <c r="G63" s="8">
        <v>11080315116</v>
      </c>
      <c r="H63" s="8">
        <v>4175103961</v>
      </c>
      <c r="I63" s="8">
        <v>329568910999</v>
      </c>
      <c r="J63" s="8"/>
      <c r="K63" s="8">
        <v>329568910999</v>
      </c>
      <c r="L63" s="8">
        <v>204582120543</v>
      </c>
      <c r="M63" s="8">
        <v>80290341946</v>
      </c>
      <c r="N63" s="8">
        <v>44696448510</v>
      </c>
      <c r="P63" s="2">
        <f t="shared" si="1"/>
        <v>329568.91099900001</v>
      </c>
      <c r="Q63" s="2">
        <f t="shared" si="2"/>
        <v>0</v>
      </c>
      <c r="R63" s="2">
        <f t="shared" si="3"/>
        <v>329568.91099900001</v>
      </c>
      <c r="S63" s="2">
        <f t="shared" si="4"/>
        <v>204582.120543</v>
      </c>
      <c r="T63" s="2">
        <f t="shared" si="5"/>
        <v>80290.341946</v>
      </c>
      <c r="U63" s="2">
        <f t="shared" si="6"/>
        <v>44696.448510000002</v>
      </c>
    </row>
    <row r="64" spans="1:21" ht="15" thickBot="1">
      <c r="A64" s="6" t="s">
        <v>433</v>
      </c>
      <c r="B64" s="7" t="s">
        <v>77</v>
      </c>
      <c r="C64" s="8">
        <v>495407289</v>
      </c>
      <c r="D64" s="8"/>
      <c r="E64" s="8">
        <v>495407289</v>
      </c>
      <c r="F64" s="8"/>
      <c r="G64" s="8">
        <v>-36288</v>
      </c>
      <c r="H64" s="8">
        <v>495770169</v>
      </c>
      <c r="I64" s="8">
        <v>4054849133</v>
      </c>
      <c r="J64" s="8"/>
      <c r="K64" s="8">
        <v>4054849133</v>
      </c>
      <c r="L64" s="8"/>
      <c r="M64" s="8">
        <v>223146</v>
      </c>
      <c r="N64" s="8">
        <v>4054625987</v>
      </c>
      <c r="P64" s="2">
        <f t="shared" si="1"/>
        <v>4054.8491330000002</v>
      </c>
      <c r="Q64" s="2">
        <f t="shared" si="2"/>
        <v>0</v>
      </c>
      <c r="R64" s="2">
        <f t="shared" si="3"/>
        <v>4054.8491330000002</v>
      </c>
      <c r="S64" s="2">
        <f t="shared" si="4"/>
        <v>0</v>
      </c>
      <c r="T64" s="2">
        <f t="shared" si="5"/>
        <v>0.22314600000000001</v>
      </c>
      <c r="U64" s="2">
        <f t="shared" si="6"/>
        <v>4054.6259869999999</v>
      </c>
    </row>
    <row r="65" spans="1:21" ht="15" thickBot="1">
      <c r="A65" s="6" t="s">
        <v>434</v>
      </c>
      <c r="B65" s="7" t="s">
        <v>435</v>
      </c>
      <c r="C65" s="8"/>
      <c r="D65" s="8"/>
      <c r="E65" s="8"/>
      <c r="F65" s="8"/>
      <c r="G65" s="8"/>
      <c r="H65" s="8" t="s">
        <v>394</v>
      </c>
      <c r="I65" s="8">
        <v>2592862</v>
      </c>
      <c r="J65" s="8"/>
      <c r="K65" s="8">
        <v>2592862</v>
      </c>
      <c r="L65" s="8"/>
      <c r="M65" s="8">
        <v>867947</v>
      </c>
      <c r="N65" s="8">
        <v>1724915</v>
      </c>
      <c r="P65" s="2">
        <f t="shared" si="1"/>
        <v>2.5928619999999998</v>
      </c>
      <c r="Q65" s="2">
        <f t="shared" si="2"/>
        <v>0</v>
      </c>
      <c r="R65" s="2">
        <f t="shared" si="3"/>
        <v>2.5928619999999998</v>
      </c>
      <c r="S65" s="2">
        <f t="shared" si="4"/>
        <v>0</v>
      </c>
      <c r="T65" s="2">
        <f t="shared" si="5"/>
        <v>0.86794700000000002</v>
      </c>
      <c r="U65" s="2">
        <f t="shared" si="6"/>
        <v>1.724915</v>
      </c>
    </row>
    <row r="66" spans="1:21" ht="26.25" thickBot="1">
      <c r="A66" s="6" t="s">
        <v>436</v>
      </c>
      <c r="B66" s="7" t="s">
        <v>554</v>
      </c>
      <c r="C66" s="8">
        <v>411174775</v>
      </c>
      <c r="D66" s="8"/>
      <c r="E66" s="8">
        <v>411174775</v>
      </c>
      <c r="F66" s="8">
        <v>80606004</v>
      </c>
      <c r="G66" s="8">
        <v>330568771</v>
      </c>
      <c r="H66" s="8" t="s">
        <v>394</v>
      </c>
      <c r="I66" s="8">
        <v>14386225543</v>
      </c>
      <c r="J66" s="8"/>
      <c r="K66" s="8">
        <v>14386225543</v>
      </c>
      <c r="L66" s="8">
        <v>2877245042</v>
      </c>
      <c r="M66" s="8">
        <v>11508980501</v>
      </c>
      <c r="N66" s="8"/>
      <c r="P66" s="2">
        <f t="shared" si="1"/>
        <v>14386.225543</v>
      </c>
      <c r="Q66" s="2">
        <f t="shared" si="2"/>
        <v>0</v>
      </c>
      <c r="R66" s="2">
        <f t="shared" si="3"/>
        <v>14386.225543</v>
      </c>
      <c r="S66" s="2">
        <f t="shared" si="4"/>
        <v>2877.245042</v>
      </c>
      <c r="T66" s="2">
        <f t="shared" si="5"/>
        <v>11508.980501</v>
      </c>
      <c r="U66" s="2">
        <f t="shared" si="6"/>
        <v>0</v>
      </c>
    </row>
    <row r="67" spans="1:21" ht="15" thickBot="1">
      <c r="A67" s="6" t="s">
        <v>437</v>
      </c>
      <c r="B67" s="7" t="s">
        <v>127</v>
      </c>
      <c r="C67" s="8">
        <v>21870228052</v>
      </c>
      <c r="D67" s="8"/>
      <c r="E67" s="8">
        <v>21870228052</v>
      </c>
      <c r="F67" s="8">
        <v>7630941590</v>
      </c>
      <c r="G67" s="8">
        <v>10559952670</v>
      </c>
      <c r="H67" s="8">
        <v>3679333792</v>
      </c>
      <c r="I67" s="8">
        <v>196139654219</v>
      </c>
      <c r="J67" s="8"/>
      <c r="K67" s="8">
        <v>196139654219</v>
      </c>
      <c r="L67" s="8">
        <v>93026363973</v>
      </c>
      <c r="M67" s="8">
        <v>62473192638</v>
      </c>
      <c r="N67" s="8">
        <v>40640097608</v>
      </c>
      <c r="P67" s="2">
        <f t="shared" si="1"/>
        <v>196139.65421899999</v>
      </c>
      <c r="Q67" s="2">
        <f t="shared" si="2"/>
        <v>0</v>
      </c>
      <c r="R67" s="2">
        <f t="shared" si="3"/>
        <v>196139.65421899999</v>
      </c>
      <c r="S67" s="2">
        <f t="shared" si="4"/>
        <v>93026.363973</v>
      </c>
      <c r="T67" s="2">
        <f t="shared" si="5"/>
        <v>62473.192638</v>
      </c>
      <c r="U67" s="2">
        <f t="shared" si="6"/>
        <v>40640.097607999996</v>
      </c>
    </row>
    <row r="68" spans="1:21" ht="15" thickBot="1">
      <c r="A68" s="6" t="s">
        <v>438</v>
      </c>
      <c r="B68" s="7" t="s">
        <v>98</v>
      </c>
      <c r="C68" s="8">
        <v>108632156555</v>
      </c>
      <c r="D68" s="8"/>
      <c r="E68" s="8">
        <v>108632156555</v>
      </c>
      <c r="F68" s="8">
        <v>108442000000</v>
      </c>
      <c r="G68" s="8">
        <v>190156555</v>
      </c>
      <c r="H68" s="8" t="s">
        <v>394</v>
      </c>
      <c r="I68" s="8">
        <v>114749077714</v>
      </c>
      <c r="J68" s="8"/>
      <c r="K68" s="8">
        <v>114749077714</v>
      </c>
      <c r="L68" s="8">
        <v>108442000000</v>
      </c>
      <c r="M68" s="8">
        <v>6307077714</v>
      </c>
      <c r="N68" s="8"/>
      <c r="P68" s="2">
        <f t="shared" si="1"/>
        <v>114749.077714</v>
      </c>
      <c r="Q68" s="2">
        <f t="shared" si="2"/>
        <v>0</v>
      </c>
      <c r="R68" s="2">
        <f t="shared" si="3"/>
        <v>114749.077714</v>
      </c>
      <c r="S68" s="2">
        <f t="shared" si="4"/>
        <v>108442</v>
      </c>
      <c r="T68" s="2">
        <f t="shared" si="5"/>
        <v>6307.077714</v>
      </c>
      <c r="U68" s="2">
        <f t="shared" si="6"/>
        <v>0</v>
      </c>
    </row>
    <row r="69" spans="1:21" ht="26.25" thickBot="1">
      <c r="A69" s="6" t="s">
        <v>439</v>
      </c>
      <c r="B69" s="7" t="s">
        <v>555</v>
      </c>
      <c r="C69" s="8">
        <v>18471273</v>
      </c>
      <c r="D69" s="8"/>
      <c r="E69" s="8">
        <v>18471273</v>
      </c>
      <c r="F69" s="8">
        <v>18471273</v>
      </c>
      <c r="G69" s="8"/>
      <c r="H69" s="8" t="s">
        <v>394</v>
      </c>
      <c r="I69" s="8">
        <v>236511528</v>
      </c>
      <c r="J69" s="8"/>
      <c r="K69" s="8">
        <v>236511528</v>
      </c>
      <c r="L69" s="8">
        <v>236511528</v>
      </c>
      <c r="M69" s="8"/>
      <c r="N69" s="8"/>
      <c r="P69" s="2">
        <f t="shared" si="1"/>
        <v>236.511528</v>
      </c>
      <c r="Q69" s="2">
        <f t="shared" si="2"/>
        <v>0</v>
      </c>
      <c r="R69" s="2">
        <f t="shared" si="3"/>
        <v>236.511528</v>
      </c>
      <c r="S69" s="2">
        <f t="shared" si="4"/>
        <v>236.511528</v>
      </c>
      <c r="T69" s="2">
        <f t="shared" si="5"/>
        <v>0</v>
      </c>
      <c r="U69" s="2">
        <f t="shared" si="6"/>
        <v>0</v>
      </c>
    </row>
    <row r="70" spans="1:21" ht="15" thickBot="1">
      <c r="A70" s="6">
        <v>10</v>
      </c>
      <c r="B70" s="7" t="s">
        <v>440</v>
      </c>
      <c r="C70" s="8">
        <v>825035494</v>
      </c>
      <c r="D70" s="8"/>
      <c r="E70" s="8">
        <v>825035494</v>
      </c>
      <c r="F70" s="8"/>
      <c r="G70" s="8"/>
      <c r="H70" s="8">
        <v>825035494</v>
      </c>
      <c r="I70" s="8">
        <v>4185087525</v>
      </c>
      <c r="J70" s="8"/>
      <c r="K70" s="8">
        <v>4185087525</v>
      </c>
      <c r="L70" s="8">
        <v>28876829</v>
      </c>
      <c r="M70" s="8"/>
      <c r="N70" s="8">
        <v>4156210696</v>
      </c>
      <c r="P70" s="2">
        <f t="shared" si="1"/>
        <v>4185.0875249999999</v>
      </c>
      <c r="Q70" s="2">
        <f t="shared" si="2"/>
        <v>0</v>
      </c>
      <c r="R70" s="2">
        <f t="shared" si="3"/>
        <v>4185.0875249999999</v>
      </c>
      <c r="S70" s="2">
        <f t="shared" si="4"/>
        <v>28.876829000000001</v>
      </c>
      <c r="T70" s="2">
        <f t="shared" si="5"/>
        <v>0</v>
      </c>
      <c r="U70" s="2">
        <f t="shared" si="6"/>
        <v>4156.2106960000001</v>
      </c>
    </row>
    <row r="71" spans="1:21" ht="15" thickBot="1">
      <c r="A71" s="6" t="s">
        <v>441</v>
      </c>
      <c r="B71" s="7" t="s">
        <v>442</v>
      </c>
      <c r="C71" s="8">
        <v>584892486</v>
      </c>
      <c r="D71" s="8"/>
      <c r="E71" s="8">
        <v>584892486</v>
      </c>
      <c r="F71" s="8"/>
      <c r="G71" s="8"/>
      <c r="H71" s="8">
        <v>584892486</v>
      </c>
      <c r="I71" s="8">
        <v>1144402344</v>
      </c>
      <c r="J71" s="8"/>
      <c r="K71" s="8">
        <v>1144402344</v>
      </c>
      <c r="L71" s="8"/>
      <c r="M71" s="8"/>
      <c r="N71" s="8">
        <v>1144402344</v>
      </c>
      <c r="P71" s="2">
        <f t="shared" si="1"/>
        <v>1144.4023440000001</v>
      </c>
      <c r="Q71" s="2">
        <f t="shared" si="2"/>
        <v>0</v>
      </c>
      <c r="R71" s="2">
        <f t="shared" si="3"/>
        <v>1144.4023440000001</v>
      </c>
      <c r="S71" s="2">
        <f t="shared" si="4"/>
        <v>0</v>
      </c>
      <c r="T71" s="2">
        <f t="shared" si="5"/>
        <v>0</v>
      </c>
      <c r="U71" s="2">
        <f t="shared" si="6"/>
        <v>1144.4023440000001</v>
      </c>
    </row>
    <row r="72" spans="1:21" ht="26.25" thickBot="1">
      <c r="A72" s="6"/>
      <c r="B72" s="7" t="s">
        <v>443</v>
      </c>
      <c r="C72" s="8"/>
      <c r="D72" s="8"/>
      <c r="E72" s="8"/>
      <c r="F72" s="8"/>
      <c r="G72" s="8"/>
      <c r="H72" s="8" t="s">
        <v>394</v>
      </c>
      <c r="I72" s="8"/>
      <c r="J72" s="8"/>
      <c r="K72" s="8"/>
      <c r="L72" s="8"/>
      <c r="M72" s="8"/>
      <c r="N72" s="8"/>
      <c r="P72" s="2">
        <f t="shared" si="1"/>
        <v>0</v>
      </c>
      <c r="Q72" s="2">
        <f t="shared" si="2"/>
        <v>0</v>
      </c>
      <c r="R72" s="2">
        <f t="shared" si="3"/>
        <v>0</v>
      </c>
      <c r="S72" s="2">
        <f t="shared" si="4"/>
        <v>0</v>
      </c>
      <c r="T72" s="2">
        <f t="shared" si="5"/>
        <v>0</v>
      </c>
      <c r="U72" s="2">
        <f t="shared" si="6"/>
        <v>0</v>
      </c>
    </row>
    <row r="73" spans="1:21" ht="15" thickBot="1">
      <c r="A73" s="6" t="s">
        <v>444</v>
      </c>
      <c r="B73" s="7" t="s">
        <v>445</v>
      </c>
      <c r="C73" s="8"/>
      <c r="D73" s="8"/>
      <c r="E73" s="8"/>
      <c r="F73" s="8"/>
      <c r="G73" s="8"/>
      <c r="H73" s="8" t="s">
        <v>394</v>
      </c>
      <c r="I73" s="8">
        <v>28876829</v>
      </c>
      <c r="J73" s="8"/>
      <c r="K73" s="8">
        <v>28876829</v>
      </c>
      <c r="L73" s="8">
        <v>28876829</v>
      </c>
      <c r="M73" s="8"/>
      <c r="N73" s="8"/>
      <c r="P73" s="2">
        <f t="shared" si="1"/>
        <v>28.876829000000001</v>
      </c>
      <c r="Q73" s="2">
        <f t="shared" si="2"/>
        <v>0</v>
      </c>
      <c r="R73" s="2">
        <f t="shared" si="3"/>
        <v>28.876829000000001</v>
      </c>
      <c r="S73" s="2">
        <f t="shared" si="4"/>
        <v>28.876829000000001</v>
      </c>
      <c r="T73" s="2">
        <f t="shared" si="5"/>
        <v>0</v>
      </c>
      <c r="U73" s="2">
        <f t="shared" si="6"/>
        <v>0</v>
      </c>
    </row>
    <row r="74" spans="1:21" ht="15" thickBot="1">
      <c r="A74" s="6" t="s">
        <v>446</v>
      </c>
      <c r="B74" s="7" t="s">
        <v>447</v>
      </c>
      <c r="C74" s="8">
        <v>40998208</v>
      </c>
      <c r="D74" s="8"/>
      <c r="E74" s="8">
        <v>40998208</v>
      </c>
      <c r="F74" s="8"/>
      <c r="G74" s="8"/>
      <c r="H74" s="8">
        <v>40998208</v>
      </c>
      <c r="I74" s="8">
        <v>170216652</v>
      </c>
      <c r="J74" s="8"/>
      <c r="K74" s="8">
        <v>170216652</v>
      </c>
      <c r="L74" s="8"/>
      <c r="M74" s="8"/>
      <c r="N74" s="8">
        <v>170216652</v>
      </c>
      <c r="P74" s="2">
        <f t="shared" si="1"/>
        <v>170.21665200000001</v>
      </c>
      <c r="Q74" s="2">
        <f t="shared" si="2"/>
        <v>0</v>
      </c>
      <c r="R74" s="2">
        <f t="shared" si="3"/>
        <v>170.21665200000001</v>
      </c>
      <c r="S74" s="2">
        <f t="shared" si="4"/>
        <v>0</v>
      </c>
      <c r="T74" s="2">
        <f t="shared" si="5"/>
        <v>0</v>
      </c>
      <c r="U74" s="2">
        <f t="shared" si="6"/>
        <v>170.21665200000001</v>
      </c>
    </row>
    <row r="75" spans="1:21" ht="15" thickBot="1">
      <c r="A75" s="6" t="s">
        <v>448</v>
      </c>
      <c r="B75" s="7" t="s">
        <v>556</v>
      </c>
      <c r="C75" s="8">
        <v>158779000</v>
      </c>
      <c r="D75" s="8"/>
      <c r="E75" s="8">
        <v>158779000</v>
      </c>
      <c r="F75" s="8"/>
      <c r="G75" s="8"/>
      <c r="H75" s="8">
        <v>158779000</v>
      </c>
      <c r="I75" s="8">
        <v>2102161900</v>
      </c>
      <c r="J75" s="8"/>
      <c r="K75" s="8">
        <v>2102161900</v>
      </c>
      <c r="L75" s="8"/>
      <c r="M75" s="8"/>
      <c r="N75" s="8">
        <v>2102161900</v>
      </c>
      <c r="P75" s="2">
        <f t="shared" si="1"/>
        <v>2102.1619000000001</v>
      </c>
      <c r="Q75" s="2">
        <f t="shared" si="2"/>
        <v>0</v>
      </c>
      <c r="R75" s="2">
        <f t="shared" si="3"/>
        <v>2102.1619000000001</v>
      </c>
      <c r="S75" s="2">
        <f t="shared" si="4"/>
        <v>0</v>
      </c>
      <c r="T75" s="2">
        <f t="shared" si="5"/>
        <v>0</v>
      </c>
      <c r="U75" s="2">
        <f t="shared" si="6"/>
        <v>2102.1619000000001</v>
      </c>
    </row>
    <row r="76" spans="1:21" ht="15" thickBot="1">
      <c r="A76" s="6"/>
      <c r="B76" s="7" t="s">
        <v>449</v>
      </c>
      <c r="C76" s="8">
        <v>37455000</v>
      </c>
      <c r="D76" s="8"/>
      <c r="E76" s="8">
        <v>37455000</v>
      </c>
      <c r="F76" s="8"/>
      <c r="G76" s="8"/>
      <c r="H76" s="8">
        <v>37455000</v>
      </c>
      <c r="I76" s="8">
        <v>312020000</v>
      </c>
      <c r="J76" s="8"/>
      <c r="K76" s="8">
        <v>312020000</v>
      </c>
      <c r="L76" s="8"/>
      <c r="M76" s="8"/>
      <c r="N76" s="8">
        <v>312020000</v>
      </c>
      <c r="P76" s="2">
        <f t="shared" si="1"/>
        <v>312.02</v>
      </c>
      <c r="Q76" s="2">
        <f t="shared" si="2"/>
        <v>0</v>
      </c>
      <c r="R76" s="2">
        <f t="shared" si="3"/>
        <v>312.02</v>
      </c>
      <c r="S76" s="2">
        <f t="shared" si="4"/>
        <v>0</v>
      </c>
      <c r="T76" s="2">
        <f t="shared" si="5"/>
        <v>0</v>
      </c>
      <c r="U76" s="2">
        <f t="shared" si="6"/>
        <v>312.02</v>
      </c>
    </row>
    <row r="77" spans="1:21" ht="15" thickBot="1">
      <c r="A77" s="6" t="s">
        <v>450</v>
      </c>
      <c r="B77" s="7" t="s">
        <v>451</v>
      </c>
      <c r="C77" s="8">
        <v>40365800</v>
      </c>
      <c r="D77" s="8"/>
      <c r="E77" s="8">
        <v>40365800</v>
      </c>
      <c r="F77" s="8"/>
      <c r="G77" s="8"/>
      <c r="H77" s="8">
        <v>40365800</v>
      </c>
      <c r="I77" s="8">
        <v>739429800</v>
      </c>
      <c r="J77" s="8"/>
      <c r="K77" s="8">
        <v>739429800</v>
      </c>
      <c r="L77" s="8"/>
      <c r="M77" s="8"/>
      <c r="N77" s="8">
        <v>739429800</v>
      </c>
      <c r="P77" s="2">
        <f t="shared" ref="P77:P140" si="7">I77/1000000</f>
        <v>739.4298</v>
      </c>
      <c r="Q77" s="2">
        <f t="shared" ref="Q77:Q140" si="8">J77/1000000</f>
        <v>0</v>
      </c>
      <c r="R77" s="2">
        <f t="shared" ref="R77:R140" si="9">K77/1000000</f>
        <v>739.4298</v>
      </c>
      <c r="S77" s="2">
        <f t="shared" ref="S77:S140" si="10">L77/1000000</f>
        <v>0</v>
      </c>
      <c r="T77" s="2">
        <f t="shared" ref="T77:T140" si="11">M77/1000000</f>
        <v>0</v>
      </c>
      <c r="U77" s="2">
        <f t="shared" ref="U77:U140" si="12">N77/1000000</f>
        <v>739.4298</v>
      </c>
    </row>
    <row r="78" spans="1:21" ht="15" thickBot="1">
      <c r="A78" s="6">
        <v>11</v>
      </c>
      <c r="B78" s="7" t="s">
        <v>96</v>
      </c>
      <c r="C78" s="8">
        <v>7719671465</v>
      </c>
      <c r="D78" s="8">
        <v>2491838965</v>
      </c>
      <c r="E78" s="8">
        <v>5227832500</v>
      </c>
      <c r="F78" s="8">
        <v>2142697944</v>
      </c>
      <c r="G78" s="8">
        <v>3085134556</v>
      </c>
      <c r="H78" s="8" t="s">
        <v>394</v>
      </c>
      <c r="I78" s="8">
        <v>75310052979</v>
      </c>
      <c r="J78" s="8">
        <v>27490530536</v>
      </c>
      <c r="K78" s="8">
        <v>47819522443</v>
      </c>
      <c r="L78" s="8">
        <v>40487169531</v>
      </c>
      <c r="M78" s="8">
        <v>7332352912</v>
      </c>
      <c r="N78" s="8"/>
      <c r="P78" s="2">
        <f t="shared" si="7"/>
        <v>75310.052979</v>
      </c>
      <c r="Q78" s="2">
        <f t="shared" si="8"/>
        <v>27490.530535999998</v>
      </c>
      <c r="R78" s="2">
        <f t="shared" si="9"/>
        <v>47819.522443000002</v>
      </c>
      <c r="S78" s="2">
        <f t="shared" si="10"/>
        <v>40487.169531</v>
      </c>
      <c r="T78" s="2">
        <f t="shared" si="11"/>
        <v>7332.3529120000003</v>
      </c>
      <c r="U78" s="2">
        <f t="shared" si="12"/>
        <v>0</v>
      </c>
    </row>
    <row r="79" spans="1:21" ht="15" thickBot="1">
      <c r="A79" s="6" t="s">
        <v>452</v>
      </c>
      <c r="B79" s="7" t="s">
        <v>453</v>
      </c>
      <c r="C79" s="8"/>
      <c r="D79" s="8"/>
      <c r="E79" s="8"/>
      <c r="F79" s="8"/>
      <c r="G79" s="8"/>
      <c r="H79" s="8" t="s">
        <v>394</v>
      </c>
      <c r="I79" s="8"/>
      <c r="J79" s="8"/>
      <c r="K79" s="8"/>
      <c r="L79" s="8"/>
      <c r="M79" s="8"/>
      <c r="N79" s="8"/>
      <c r="P79" s="2">
        <f t="shared" si="7"/>
        <v>0</v>
      </c>
      <c r="Q79" s="2">
        <f t="shared" si="8"/>
        <v>0</v>
      </c>
      <c r="R79" s="2">
        <f t="shared" si="9"/>
        <v>0</v>
      </c>
      <c r="S79" s="2">
        <f t="shared" si="10"/>
        <v>0</v>
      </c>
      <c r="T79" s="2">
        <f t="shared" si="11"/>
        <v>0</v>
      </c>
      <c r="U79" s="2">
        <f t="shared" si="12"/>
        <v>0</v>
      </c>
    </row>
    <row r="80" spans="1:21" ht="15" thickBot="1">
      <c r="A80" s="6" t="s">
        <v>454</v>
      </c>
      <c r="B80" s="7" t="s">
        <v>455</v>
      </c>
      <c r="C80" s="8"/>
      <c r="D80" s="8"/>
      <c r="E80" s="8"/>
      <c r="F80" s="8"/>
      <c r="G80" s="8"/>
      <c r="H80" s="8" t="s">
        <v>394</v>
      </c>
      <c r="I80" s="8"/>
      <c r="J80" s="8"/>
      <c r="K80" s="8"/>
      <c r="L80" s="8"/>
      <c r="M80" s="8"/>
      <c r="N80" s="8"/>
      <c r="P80" s="2">
        <f t="shared" si="7"/>
        <v>0</v>
      </c>
      <c r="Q80" s="2">
        <f t="shared" si="8"/>
        <v>0</v>
      </c>
      <c r="R80" s="2">
        <f t="shared" si="9"/>
        <v>0</v>
      </c>
      <c r="S80" s="2">
        <f t="shared" si="10"/>
        <v>0</v>
      </c>
      <c r="T80" s="2">
        <f t="shared" si="11"/>
        <v>0</v>
      </c>
      <c r="U80" s="2">
        <f t="shared" si="12"/>
        <v>0</v>
      </c>
    </row>
    <row r="81" spans="1:21" ht="15" thickBot="1">
      <c r="A81" s="6" t="s">
        <v>456</v>
      </c>
      <c r="B81" s="7" t="s">
        <v>457</v>
      </c>
      <c r="C81" s="8">
        <v>2721414812</v>
      </c>
      <c r="D81" s="8">
        <v>1908098833</v>
      </c>
      <c r="E81" s="8">
        <v>813315979</v>
      </c>
      <c r="F81" s="8">
        <v>376620408</v>
      </c>
      <c r="G81" s="8">
        <v>436695571</v>
      </c>
      <c r="H81" s="8" t="s">
        <v>394</v>
      </c>
      <c r="I81" s="8">
        <v>29342614051</v>
      </c>
      <c r="J81" s="8">
        <v>22083411005</v>
      </c>
      <c r="K81" s="8">
        <v>7259203046</v>
      </c>
      <c r="L81" s="8">
        <v>5320962685</v>
      </c>
      <c r="M81" s="8">
        <v>1938240361</v>
      </c>
      <c r="N81" s="8"/>
      <c r="P81" s="2">
        <f t="shared" si="7"/>
        <v>29342.614051</v>
      </c>
      <c r="Q81" s="2">
        <f t="shared" si="8"/>
        <v>22083.411005000002</v>
      </c>
      <c r="R81" s="2">
        <f t="shared" si="9"/>
        <v>7259.2030459999996</v>
      </c>
      <c r="S81" s="2">
        <f t="shared" si="10"/>
        <v>5320.9626850000004</v>
      </c>
      <c r="T81" s="2">
        <f t="shared" si="11"/>
        <v>1938.2403609999999</v>
      </c>
      <c r="U81" s="2">
        <f t="shared" si="12"/>
        <v>0</v>
      </c>
    </row>
    <row r="82" spans="1:21" ht="15" thickBot="1">
      <c r="A82" s="6"/>
      <c r="B82" s="7" t="s">
        <v>458</v>
      </c>
      <c r="C82" s="8">
        <v>1391641442</v>
      </c>
      <c r="D82" s="8">
        <v>1186884442</v>
      </c>
      <c r="E82" s="8">
        <v>204757000</v>
      </c>
      <c r="F82" s="8">
        <v>204757000</v>
      </c>
      <c r="G82" s="8"/>
      <c r="H82" s="8" t="s">
        <v>394</v>
      </c>
      <c r="I82" s="8">
        <v>14520427488</v>
      </c>
      <c r="J82" s="8">
        <v>13249803488</v>
      </c>
      <c r="K82" s="8">
        <v>1270624000</v>
      </c>
      <c r="L82" s="8">
        <v>1252024000</v>
      </c>
      <c r="M82" s="8">
        <v>18600000</v>
      </c>
      <c r="N82" s="8"/>
      <c r="P82" s="2">
        <f t="shared" si="7"/>
        <v>14520.427487999999</v>
      </c>
      <c r="Q82" s="2">
        <f t="shared" si="8"/>
        <v>13249.803488</v>
      </c>
      <c r="R82" s="2">
        <f t="shared" si="9"/>
        <v>1270.624</v>
      </c>
      <c r="S82" s="2">
        <f t="shared" si="10"/>
        <v>1252.0239999999999</v>
      </c>
      <c r="T82" s="2">
        <f t="shared" si="11"/>
        <v>18.600000000000001</v>
      </c>
      <c r="U82" s="2">
        <f t="shared" si="12"/>
        <v>0</v>
      </c>
    </row>
    <row r="83" spans="1:21" ht="15" thickBot="1">
      <c r="A83" s="6" t="s">
        <v>459</v>
      </c>
      <c r="B83" s="7" t="s">
        <v>460</v>
      </c>
      <c r="C83" s="8">
        <v>881868944</v>
      </c>
      <c r="D83" s="8">
        <v>173258700</v>
      </c>
      <c r="E83" s="8">
        <v>708610244</v>
      </c>
      <c r="F83" s="8">
        <v>17658000</v>
      </c>
      <c r="G83" s="8">
        <v>690952244</v>
      </c>
      <c r="H83" s="8" t="s">
        <v>394</v>
      </c>
      <c r="I83" s="8">
        <v>15253348364</v>
      </c>
      <c r="J83" s="8">
        <v>2466105400</v>
      </c>
      <c r="K83" s="8">
        <v>12787242964</v>
      </c>
      <c r="L83" s="8">
        <v>11712989590</v>
      </c>
      <c r="M83" s="8">
        <v>1074253374</v>
      </c>
      <c r="N83" s="8"/>
      <c r="P83" s="2">
        <f t="shared" si="7"/>
        <v>15253.348363999999</v>
      </c>
      <c r="Q83" s="2">
        <f t="shared" si="8"/>
        <v>2466.1053999999999</v>
      </c>
      <c r="R83" s="2">
        <f t="shared" si="9"/>
        <v>12787.242963999999</v>
      </c>
      <c r="S83" s="2">
        <f t="shared" si="10"/>
        <v>11712.989589999999</v>
      </c>
      <c r="T83" s="2">
        <f t="shared" si="11"/>
        <v>1074.2533739999999</v>
      </c>
      <c r="U83" s="2">
        <f t="shared" si="12"/>
        <v>0</v>
      </c>
    </row>
    <row r="84" spans="1:21" ht="15" thickBot="1">
      <c r="A84" s="6"/>
      <c r="B84" s="7" t="s">
        <v>461</v>
      </c>
      <c r="C84" s="8">
        <v>663268884</v>
      </c>
      <c r="D84" s="8">
        <v>13398400</v>
      </c>
      <c r="E84" s="8">
        <v>649870484</v>
      </c>
      <c r="F84" s="8"/>
      <c r="G84" s="8">
        <v>649870484</v>
      </c>
      <c r="H84" s="8" t="s">
        <v>394</v>
      </c>
      <c r="I84" s="8">
        <v>13137845574</v>
      </c>
      <c r="J84" s="8">
        <v>1929263500</v>
      </c>
      <c r="K84" s="8">
        <v>11208582074</v>
      </c>
      <c r="L84" s="8">
        <v>10558711590</v>
      </c>
      <c r="M84" s="8">
        <v>649870484</v>
      </c>
      <c r="N84" s="8"/>
      <c r="P84" s="2">
        <f t="shared" si="7"/>
        <v>13137.845574000001</v>
      </c>
      <c r="Q84" s="2">
        <f t="shared" si="8"/>
        <v>1929.2635</v>
      </c>
      <c r="R84" s="2">
        <f t="shared" si="9"/>
        <v>11208.582074</v>
      </c>
      <c r="S84" s="2">
        <f t="shared" si="10"/>
        <v>10558.711590000001</v>
      </c>
      <c r="T84" s="2">
        <f t="shared" si="11"/>
        <v>649.87048400000003</v>
      </c>
      <c r="U84" s="2">
        <f t="shared" si="12"/>
        <v>0</v>
      </c>
    </row>
    <row r="85" spans="1:21" ht="15" thickBot="1">
      <c r="A85" s="6" t="s">
        <v>462</v>
      </c>
      <c r="B85" s="7" t="s">
        <v>463</v>
      </c>
      <c r="C85" s="8">
        <v>2335438892</v>
      </c>
      <c r="D85" s="8">
        <v>348001932</v>
      </c>
      <c r="E85" s="8">
        <v>1987436960</v>
      </c>
      <c r="F85" s="8">
        <v>1053552051</v>
      </c>
      <c r="G85" s="8">
        <v>933884909</v>
      </c>
      <c r="H85" s="8" t="s">
        <v>394</v>
      </c>
      <c r="I85" s="8">
        <v>10290497430</v>
      </c>
      <c r="J85" s="8">
        <v>2702883631</v>
      </c>
      <c r="K85" s="8">
        <v>7587613799</v>
      </c>
      <c r="L85" s="8">
        <v>4473112051</v>
      </c>
      <c r="M85" s="8">
        <v>3114501748</v>
      </c>
      <c r="N85" s="8"/>
      <c r="P85" s="2">
        <f t="shared" si="7"/>
        <v>10290.497429999999</v>
      </c>
      <c r="Q85" s="2">
        <f t="shared" si="8"/>
        <v>2702.8836310000002</v>
      </c>
      <c r="R85" s="2">
        <f t="shared" si="9"/>
        <v>7587.6137989999997</v>
      </c>
      <c r="S85" s="2">
        <f t="shared" si="10"/>
        <v>4473.1120510000001</v>
      </c>
      <c r="T85" s="2">
        <f t="shared" si="11"/>
        <v>3114.5017480000001</v>
      </c>
      <c r="U85" s="2">
        <f t="shared" si="12"/>
        <v>0</v>
      </c>
    </row>
    <row r="86" spans="1:21" ht="15" thickBot="1">
      <c r="A86" s="6" t="s">
        <v>464</v>
      </c>
      <c r="B86" s="7" t="s">
        <v>465</v>
      </c>
      <c r="C86" s="8"/>
      <c r="D86" s="8"/>
      <c r="E86" s="8"/>
      <c r="F86" s="8"/>
      <c r="G86" s="8"/>
      <c r="H86" s="8" t="s">
        <v>394</v>
      </c>
      <c r="I86" s="8"/>
      <c r="J86" s="8"/>
      <c r="K86" s="8"/>
      <c r="L86" s="8"/>
      <c r="M86" s="8"/>
      <c r="N86" s="8"/>
      <c r="P86" s="2">
        <f t="shared" si="7"/>
        <v>0</v>
      </c>
      <c r="Q86" s="2">
        <f t="shared" si="8"/>
        <v>0</v>
      </c>
      <c r="R86" s="2">
        <f t="shared" si="9"/>
        <v>0</v>
      </c>
      <c r="S86" s="2">
        <f t="shared" si="10"/>
        <v>0</v>
      </c>
      <c r="T86" s="2">
        <f t="shared" si="11"/>
        <v>0</v>
      </c>
      <c r="U86" s="2">
        <f t="shared" si="12"/>
        <v>0</v>
      </c>
    </row>
    <row r="87" spans="1:21" ht="15" thickBot="1">
      <c r="A87" s="6" t="s">
        <v>466</v>
      </c>
      <c r="B87" s="7" t="s">
        <v>557</v>
      </c>
      <c r="C87" s="8">
        <v>672394683</v>
      </c>
      <c r="D87" s="8">
        <v>62429500</v>
      </c>
      <c r="E87" s="8">
        <v>609965183</v>
      </c>
      <c r="F87" s="8">
        <v>614686145</v>
      </c>
      <c r="G87" s="8">
        <v>-4720962</v>
      </c>
      <c r="H87" s="8" t="s">
        <v>394</v>
      </c>
      <c r="I87" s="8">
        <v>15009702042</v>
      </c>
      <c r="J87" s="8">
        <v>238080500</v>
      </c>
      <c r="K87" s="8">
        <v>14771621542</v>
      </c>
      <c r="L87" s="8">
        <v>14668617504</v>
      </c>
      <c r="M87" s="8">
        <v>103004038</v>
      </c>
      <c r="N87" s="8"/>
      <c r="P87" s="2">
        <f t="shared" si="7"/>
        <v>15009.702042000001</v>
      </c>
      <c r="Q87" s="2">
        <f t="shared" si="8"/>
        <v>238.0805</v>
      </c>
      <c r="R87" s="2">
        <f t="shared" si="9"/>
        <v>14771.621542000001</v>
      </c>
      <c r="S87" s="2">
        <f t="shared" si="10"/>
        <v>14668.617504</v>
      </c>
      <c r="T87" s="2">
        <f t="shared" si="11"/>
        <v>103.00403799999999</v>
      </c>
      <c r="U87" s="2">
        <f t="shared" si="12"/>
        <v>0</v>
      </c>
    </row>
    <row r="88" spans="1:21" ht="15" thickBot="1">
      <c r="A88" s="6" t="s">
        <v>467</v>
      </c>
      <c r="B88" s="7" t="s">
        <v>468</v>
      </c>
      <c r="C88" s="8"/>
      <c r="D88" s="8"/>
      <c r="E88" s="8"/>
      <c r="F88" s="8"/>
      <c r="G88" s="8"/>
      <c r="H88" s="8" t="s">
        <v>394</v>
      </c>
      <c r="I88" s="8"/>
      <c r="J88" s="8"/>
      <c r="K88" s="8"/>
      <c r="L88" s="8"/>
      <c r="M88" s="8"/>
      <c r="N88" s="8"/>
      <c r="P88" s="2">
        <f t="shared" si="7"/>
        <v>0</v>
      </c>
      <c r="Q88" s="2">
        <f t="shared" si="8"/>
        <v>0</v>
      </c>
      <c r="R88" s="2">
        <f t="shared" si="9"/>
        <v>0</v>
      </c>
      <c r="S88" s="2">
        <f t="shared" si="10"/>
        <v>0</v>
      </c>
      <c r="T88" s="2">
        <f t="shared" si="11"/>
        <v>0</v>
      </c>
      <c r="U88" s="2">
        <f t="shared" si="12"/>
        <v>0</v>
      </c>
    </row>
    <row r="89" spans="1:21" ht="15" thickBot="1">
      <c r="A89" s="6" t="s">
        <v>469</v>
      </c>
      <c r="B89" s="7" t="s">
        <v>470</v>
      </c>
      <c r="C89" s="8">
        <v>1108554134</v>
      </c>
      <c r="D89" s="8">
        <v>50</v>
      </c>
      <c r="E89" s="8">
        <v>1108504134</v>
      </c>
      <c r="F89" s="8">
        <v>80181340</v>
      </c>
      <c r="G89" s="8">
        <v>1028322794</v>
      </c>
      <c r="H89" s="8" t="s">
        <v>394</v>
      </c>
      <c r="I89" s="8">
        <v>5413891092</v>
      </c>
      <c r="J89" s="8">
        <v>50</v>
      </c>
      <c r="K89" s="8">
        <v>5413841092</v>
      </c>
      <c r="L89" s="8">
        <v>4311487701</v>
      </c>
      <c r="M89" s="8">
        <v>1102353391</v>
      </c>
      <c r="N89" s="8"/>
      <c r="P89" s="2">
        <f t="shared" si="7"/>
        <v>5413.8910919999998</v>
      </c>
      <c r="Q89" s="2">
        <f t="shared" si="8"/>
        <v>5.0000000000000002E-5</v>
      </c>
      <c r="R89" s="2">
        <f t="shared" si="9"/>
        <v>5413.8410919999997</v>
      </c>
      <c r="S89" s="2">
        <f t="shared" si="10"/>
        <v>4311.487701</v>
      </c>
      <c r="T89" s="2">
        <f t="shared" si="11"/>
        <v>1102.3533910000001</v>
      </c>
      <c r="U89" s="2">
        <f t="shared" si="12"/>
        <v>0</v>
      </c>
    </row>
    <row r="90" spans="1:21" ht="15" thickBot="1">
      <c r="A90" s="6">
        <v>12</v>
      </c>
      <c r="B90" s="7" t="s">
        <v>471</v>
      </c>
      <c r="C90" s="8">
        <v>3629532990</v>
      </c>
      <c r="D90" s="8"/>
      <c r="E90" s="8">
        <v>3629532990</v>
      </c>
      <c r="F90" s="8">
        <v>3629532990</v>
      </c>
      <c r="G90" s="8"/>
      <c r="H90" s="8" t="s">
        <v>394</v>
      </c>
      <c r="I90" s="8">
        <v>72781406909</v>
      </c>
      <c r="J90" s="8"/>
      <c r="K90" s="8">
        <v>72781406909</v>
      </c>
      <c r="L90" s="8">
        <v>72781406909</v>
      </c>
      <c r="M90" s="8"/>
      <c r="N90" s="8"/>
      <c r="P90" s="2">
        <f t="shared" si="7"/>
        <v>72781.406908999998</v>
      </c>
      <c r="Q90" s="2">
        <f t="shared" si="8"/>
        <v>0</v>
      </c>
      <c r="R90" s="2">
        <f t="shared" si="9"/>
        <v>72781.406908999998</v>
      </c>
      <c r="S90" s="2">
        <f t="shared" si="10"/>
        <v>72781.406908999998</v>
      </c>
      <c r="T90" s="2">
        <f t="shared" si="11"/>
        <v>0</v>
      </c>
      <c r="U90" s="2">
        <f t="shared" si="12"/>
        <v>0</v>
      </c>
    </row>
    <row r="91" spans="1:21" ht="15" thickBot="1">
      <c r="A91" s="6" t="s">
        <v>472</v>
      </c>
      <c r="B91" s="7" t="s">
        <v>473</v>
      </c>
      <c r="C91" s="8">
        <v>1519608089</v>
      </c>
      <c r="D91" s="8"/>
      <c r="E91" s="8">
        <v>1519608089</v>
      </c>
      <c r="F91" s="8">
        <v>1519608089</v>
      </c>
      <c r="G91" s="8"/>
      <c r="H91" s="8" t="s">
        <v>394</v>
      </c>
      <c r="I91" s="8">
        <v>22111066306</v>
      </c>
      <c r="J91" s="8"/>
      <c r="K91" s="8">
        <v>22111066306</v>
      </c>
      <c r="L91" s="8">
        <v>22111066306</v>
      </c>
      <c r="M91" s="8"/>
      <c r="N91" s="8"/>
      <c r="P91" s="2">
        <f t="shared" si="7"/>
        <v>22111.066306000001</v>
      </c>
      <c r="Q91" s="2">
        <f t="shared" si="8"/>
        <v>0</v>
      </c>
      <c r="R91" s="2">
        <f t="shared" si="9"/>
        <v>22111.066306000001</v>
      </c>
      <c r="S91" s="2">
        <f t="shared" si="10"/>
        <v>22111.066306000001</v>
      </c>
      <c r="T91" s="2">
        <f t="shared" si="11"/>
        <v>0</v>
      </c>
      <c r="U91" s="2">
        <f t="shared" si="12"/>
        <v>0</v>
      </c>
    </row>
    <row r="92" spans="1:21" ht="15" thickBot="1">
      <c r="A92" s="6" t="s">
        <v>474</v>
      </c>
      <c r="B92" s="7" t="s">
        <v>116</v>
      </c>
      <c r="C92" s="8"/>
      <c r="D92" s="8"/>
      <c r="E92" s="8"/>
      <c r="F92" s="8"/>
      <c r="G92" s="8"/>
      <c r="H92" s="8" t="s">
        <v>394</v>
      </c>
      <c r="I92" s="8">
        <v>2949174771</v>
      </c>
      <c r="J92" s="8"/>
      <c r="K92" s="8">
        <v>2949174771</v>
      </c>
      <c r="L92" s="8">
        <v>2949174771</v>
      </c>
      <c r="M92" s="8"/>
      <c r="N92" s="8"/>
      <c r="P92" s="2">
        <f t="shared" si="7"/>
        <v>2949.174771</v>
      </c>
      <c r="Q92" s="2">
        <f t="shared" si="8"/>
        <v>0</v>
      </c>
      <c r="R92" s="2">
        <f t="shared" si="9"/>
        <v>2949.174771</v>
      </c>
      <c r="S92" s="2">
        <f t="shared" si="10"/>
        <v>2949.174771</v>
      </c>
      <c r="T92" s="2">
        <f t="shared" si="11"/>
        <v>0</v>
      </c>
      <c r="U92" s="2">
        <f t="shared" si="12"/>
        <v>0</v>
      </c>
    </row>
    <row r="93" spans="1:21" ht="15" thickBot="1">
      <c r="A93" s="6" t="s">
        <v>475</v>
      </c>
      <c r="B93" s="7" t="s">
        <v>398</v>
      </c>
      <c r="C93" s="8"/>
      <c r="D93" s="8"/>
      <c r="E93" s="8"/>
      <c r="F93" s="8"/>
      <c r="G93" s="8"/>
      <c r="H93" s="8" t="s">
        <v>394</v>
      </c>
      <c r="I93" s="8">
        <v>17228498480</v>
      </c>
      <c r="J93" s="8"/>
      <c r="K93" s="8">
        <v>17228498480</v>
      </c>
      <c r="L93" s="8">
        <v>17228498480</v>
      </c>
      <c r="M93" s="8"/>
      <c r="N93" s="8"/>
      <c r="P93" s="2">
        <f t="shared" si="7"/>
        <v>17228.498479999998</v>
      </c>
      <c r="Q93" s="2">
        <f t="shared" si="8"/>
        <v>0</v>
      </c>
      <c r="R93" s="2">
        <f t="shared" si="9"/>
        <v>17228.498479999998</v>
      </c>
      <c r="S93" s="2">
        <f t="shared" si="10"/>
        <v>17228.498479999998</v>
      </c>
      <c r="T93" s="2">
        <f t="shared" si="11"/>
        <v>0</v>
      </c>
      <c r="U93" s="2">
        <f t="shared" si="12"/>
        <v>0</v>
      </c>
    </row>
    <row r="94" spans="1:21" ht="15" thickBot="1">
      <c r="A94" s="6" t="s">
        <v>476</v>
      </c>
      <c r="B94" s="7" t="s">
        <v>108</v>
      </c>
      <c r="C94" s="8">
        <v>2109924901</v>
      </c>
      <c r="D94" s="8"/>
      <c r="E94" s="8">
        <v>2109924901</v>
      </c>
      <c r="F94" s="8">
        <v>2109924901</v>
      </c>
      <c r="G94" s="8"/>
      <c r="H94" s="8" t="s">
        <v>394</v>
      </c>
      <c r="I94" s="8">
        <v>30492667352</v>
      </c>
      <c r="J94" s="8"/>
      <c r="K94" s="8">
        <v>30492667352</v>
      </c>
      <c r="L94" s="8">
        <v>30492667352</v>
      </c>
      <c r="M94" s="8"/>
      <c r="N94" s="8"/>
      <c r="P94" s="2">
        <f t="shared" si="7"/>
        <v>30492.667352</v>
      </c>
      <c r="Q94" s="2">
        <f t="shared" si="8"/>
        <v>0</v>
      </c>
      <c r="R94" s="2">
        <f t="shared" si="9"/>
        <v>30492.667352</v>
      </c>
      <c r="S94" s="2">
        <f t="shared" si="10"/>
        <v>30492.667352</v>
      </c>
      <c r="T94" s="2">
        <f t="shared" si="11"/>
        <v>0</v>
      </c>
      <c r="U94" s="2">
        <f t="shared" si="12"/>
        <v>0</v>
      </c>
    </row>
    <row r="95" spans="1:21" ht="15" thickBot="1">
      <c r="A95" s="6" t="s">
        <v>477</v>
      </c>
      <c r="B95" s="7" t="s">
        <v>403</v>
      </c>
      <c r="C95" s="8"/>
      <c r="D95" s="8"/>
      <c r="E95" s="8"/>
      <c r="F95" s="8"/>
      <c r="G95" s="8"/>
      <c r="H95" s="8" t="s">
        <v>394</v>
      </c>
      <c r="I95" s="8"/>
      <c r="J95" s="8"/>
      <c r="K95" s="8"/>
      <c r="L95" s="8"/>
      <c r="M95" s="8"/>
      <c r="N95" s="8"/>
      <c r="P95" s="2">
        <f t="shared" si="7"/>
        <v>0</v>
      </c>
      <c r="Q95" s="2">
        <f t="shared" si="8"/>
        <v>0</v>
      </c>
      <c r="R95" s="2">
        <f t="shared" si="9"/>
        <v>0</v>
      </c>
      <c r="S95" s="2">
        <f t="shared" si="10"/>
        <v>0</v>
      </c>
      <c r="T95" s="2">
        <f t="shared" si="11"/>
        <v>0</v>
      </c>
      <c r="U95" s="2">
        <f t="shared" si="12"/>
        <v>0</v>
      </c>
    </row>
    <row r="96" spans="1:21" ht="26.25" thickBot="1">
      <c r="A96" s="6" t="s">
        <v>478</v>
      </c>
      <c r="B96" s="7" t="s">
        <v>479</v>
      </c>
      <c r="C96" s="8"/>
      <c r="D96" s="8"/>
      <c r="E96" s="8"/>
      <c r="F96" s="8"/>
      <c r="G96" s="8"/>
      <c r="H96" s="8" t="s">
        <v>394</v>
      </c>
      <c r="I96" s="8"/>
      <c r="J96" s="8"/>
      <c r="K96" s="8"/>
      <c r="L96" s="8"/>
      <c r="M96" s="8"/>
      <c r="N96" s="8"/>
      <c r="P96" s="2">
        <f t="shared" si="7"/>
        <v>0</v>
      </c>
      <c r="Q96" s="2">
        <f t="shared" si="8"/>
        <v>0</v>
      </c>
      <c r="R96" s="2">
        <f t="shared" si="9"/>
        <v>0</v>
      </c>
      <c r="S96" s="2">
        <f t="shared" si="10"/>
        <v>0</v>
      </c>
      <c r="T96" s="2">
        <f t="shared" si="11"/>
        <v>0</v>
      </c>
      <c r="U96" s="2">
        <f t="shared" si="12"/>
        <v>0</v>
      </c>
    </row>
    <row r="97" spans="1:21" ht="15" thickBot="1">
      <c r="A97" s="6" t="s">
        <v>103</v>
      </c>
      <c r="B97" s="7" t="s">
        <v>480</v>
      </c>
      <c r="C97" s="8"/>
      <c r="D97" s="8"/>
      <c r="E97" s="8"/>
      <c r="F97" s="8"/>
      <c r="G97" s="8"/>
      <c r="H97" s="8" t="s">
        <v>394</v>
      </c>
      <c r="I97" s="8"/>
      <c r="J97" s="8"/>
      <c r="K97" s="8"/>
      <c r="L97" s="8"/>
      <c r="M97" s="8"/>
      <c r="N97" s="8"/>
      <c r="P97" s="2">
        <f t="shared" si="7"/>
        <v>0</v>
      </c>
      <c r="Q97" s="2">
        <f t="shared" si="8"/>
        <v>0</v>
      </c>
      <c r="R97" s="2">
        <f t="shared" si="9"/>
        <v>0</v>
      </c>
      <c r="S97" s="2">
        <f t="shared" si="10"/>
        <v>0</v>
      </c>
      <c r="T97" s="2">
        <f t="shared" si="11"/>
        <v>0</v>
      </c>
      <c r="U97" s="2">
        <f t="shared" si="12"/>
        <v>0</v>
      </c>
    </row>
    <row r="98" spans="1:21" ht="15" thickBot="1">
      <c r="A98" s="6">
        <v>1</v>
      </c>
      <c r="B98" s="7" t="s">
        <v>117</v>
      </c>
      <c r="C98" s="8"/>
      <c r="D98" s="8"/>
      <c r="E98" s="8"/>
      <c r="F98" s="8"/>
      <c r="G98" s="8"/>
      <c r="H98" s="8" t="s">
        <v>394</v>
      </c>
      <c r="I98" s="8"/>
      <c r="J98" s="8"/>
      <c r="K98" s="8"/>
      <c r="L98" s="8"/>
      <c r="M98" s="8"/>
      <c r="N98" s="8"/>
      <c r="P98" s="2">
        <f t="shared" si="7"/>
        <v>0</v>
      </c>
      <c r="Q98" s="2">
        <f t="shared" si="8"/>
        <v>0</v>
      </c>
      <c r="R98" s="2">
        <f t="shared" si="9"/>
        <v>0</v>
      </c>
      <c r="S98" s="2">
        <f t="shared" si="10"/>
        <v>0</v>
      </c>
      <c r="T98" s="2">
        <f t="shared" si="11"/>
        <v>0</v>
      </c>
      <c r="U98" s="2">
        <f t="shared" si="12"/>
        <v>0</v>
      </c>
    </row>
    <row r="99" spans="1:21" ht="15" thickBot="1">
      <c r="A99" s="6">
        <v>2</v>
      </c>
      <c r="B99" s="7" t="s">
        <v>481</v>
      </c>
      <c r="C99" s="8"/>
      <c r="D99" s="8"/>
      <c r="E99" s="8"/>
      <c r="F99" s="8"/>
      <c r="G99" s="8"/>
      <c r="H99" s="8" t="s">
        <v>394</v>
      </c>
      <c r="I99" s="8"/>
      <c r="J99" s="8"/>
      <c r="K99" s="8"/>
      <c r="L99" s="8"/>
      <c r="M99" s="8"/>
      <c r="N99" s="8"/>
      <c r="P99" s="2">
        <f t="shared" si="7"/>
        <v>0</v>
      </c>
      <c r="Q99" s="2">
        <f t="shared" si="8"/>
        <v>0</v>
      </c>
      <c r="R99" s="2">
        <f t="shared" si="9"/>
        <v>0</v>
      </c>
      <c r="S99" s="2">
        <f t="shared" si="10"/>
        <v>0</v>
      </c>
      <c r="T99" s="2">
        <f t="shared" si="11"/>
        <v>0</v>
      </c>
      <c r="U99" s="2">
        <f t="shared" si="12"/>
        <v>0</v>
      </c>
    </row>
    <row r="100" spans="1:21" ht="26.25" thickBot="1">
      <c r="A100" s="6">
        <v>3</v>
      </c>
      <c r="B100" s="7" t="s">
        <v>482</v>
      </c>
      <c r="C100" s="8"/>
      <c r="D100" s="8"/>
      <c r="E100" s="8"/>
      <c r="F100" s="8"/>
      <c r="G100" s="8"/>
      <c r="H100" s="8" t="s">
        <v>394</v>
      </c>
      <c r="I100" s="8"/>
      <c r="J100" s="8"/>
      <c r="K100" s="8"/>
      <c r="L100" s="8"/>
      <c r="M100" s="8"/>
      <c r="N100" s="8"/>
      <c r="P100" s="2">
        <f t="shared" si="7"/>
        <v>0</v>
      </c>
      <c r="Q100" s="2">
        <f t="shared" si="8"/>
        <v>0</v>
      </c>
      <c r="R100" s="2">
        <f t="shared" si="9"/>
        <v>0</v>
      </c>
      <c r="S100" s="2">
        <f t="shared" si="10"/>
        <v>0</v>
      </c>
      <c r="T100" s="2">
        <f t="shared" si="11"/>
        <v>0</v>
      </c>
      <c r="U100" s="2">
        <f t="shared" si="12"/>
        <v>0</v>
      </c>
    </row>
    <row r="101" spans="1:21" ht="15" thickBot="1">
      <c r="A101" s="6">
        <v>4</v>
      </c>
      <c r="B101" s="7" t="s">
        <v>483</v>
      </c>
      <c r="C101" s="8"/>
      <c r="D101" s="8"/>
      <c r="E101" s="8"/>
      <c r="F101" s="8"/>
      <c r="G101" s="8"/>
      <c r="H101" s="8" t="s">
        <v>394</v>
      </c>
      <c r="I101" s="8"/>
      <c r="J101" s="8"/>
      <c r="K101" s="8"/>
      <c r="L101" s="8"/>
      <c r="M101" s="8"/>
      <c r="N101" s="8"/>
      <c r="P101" s="2">
        <f t="shared" si="7"/>
        <v>0</v>
      </c>
      <c r="Q101" s="2">
        <f t="shared" si="8"/>
        <v>0</v>
      </c>
      <c r="R101" s="2">
        <f t="shared" si="9"/>
        <v>0</v>
      </c>
      <c r="S101" s="2">
        <f t="shared" si="10"/>
        <v>0</v>
      </c>
      <c r="T101" s="2">
        <f t="shared" si="11"/>
        <v>0</v>
      </c>
      <c r="U101" s="2">
        <f t="shared" si="12"/>
        <v>0</v>
      </c>
    </row>
    <row r="102" spans="1:21" ht="15" thickBot="1">
      <c r="A102" s="6">
        <v>5</v>
      </c>
      <c r="B102" s="7" t="s">
        <v>484</v>
      </c>
      <c r="C102" s="8"/>
      <c r="D102" s="8"/>
      <c r="E102" s="8"/>
      <c r="F102" s="8"/>
      <c r="G102" s="8"/>
      <c r="H102" s="8" t="s">
        <v>394</v>
      </c>
      <c r="I102" s="8"/>
      <c r="J102" s="8"/>
      <c r="K102" s="8"/>
      <c r="L102" s="8"/>
      <c r="M102" s="8"/>
      <c r="N102" s="8"/>
      <c r="P102" s="2">
        <f t="shared" si="7"/>
        <v>0</v>
      </c>
      <c r="Q102" s="2">
        <f t="shared" si="8"/>
        <v>0</v>
      </c>
      <c r="R102" s="2">
        <f t="shared" si="9"/>
        <v>0</v>
      </c>
      <c r="S102" s="2">
        <f t="shared" si="10"/>
        <v>0</v>
      </c>
      <c r="T102" s="2">
        <f t="shared" si="11"/>
        <v>0</v>
      </c>
      <c r="U102" s="2">
        <f t="shared" si="12"/>
        <v>0</v>
      </c>
    </row>
    <row r="103" spans="1:21" ht="15" thickBot="1">
      <c r="A103" s="6">
        <v>6</v>
      </c>
      <c r="B103" s="7" t="s">
        <v>485</v>
      </c>
      <c r="C103" s="8"/>
      <c r="D103" s="8"/>
      <c r="E103" s="8"/>
      <c r="F103" s="8"/>
      <c r="G103" s="8"/>
      <c r="H103" s="8" t="s">
        <v>394</v>
      </c>
      <c r="I103" s="8"/>
      <c r="J103" s="8"/>
      <c r="K103" s="8"/>
      <c r="L103" s="8"/>
      <c r="M103" s="8"/>
      <c r="N103" s="8"/>
      <c r="P103" s="2">
        <f t="shared" si="7"/>
        <v>0</v>
      </c>
      <c r="Q103" s="2">
        <f t="shared" si="8"/>
        <v>0</v>
      </c>
      <c r="R103" s="2">
        <f t="shared" si="9"/>
        <v>0</v>
      </c>
      <c r="S103" s="2">
        <f t="shared" si="10"/>
        <v>0</v>
      </c>
      <c r="T103" s="2">
        <f t="shared" si="11"/>
        <v>0</v>
      </c>
      <c r="U103" s="2">
        <f t="shared" si="12"/>
        <v>0</v>
      </c>
    </row>
    <row r="104" spans="1:21" ht="15" thickBot="1">
      <c r="A104" s="6">
        <v>7</v>
      </c>
      <c r="B104" s="7" t="s">
        <v>130</v>
      </c>
      <c r="C104" s="8"/>
      <c r="D104" s="8"/>
      <c r="E104" s="8"/>
      <c r="F104" s="8"/>
      <c r="G104" s="8"/>
      <c r="H104" s="8" t="s">
        <v>394</v>
      </c>
      <c r="I104" s="8"/>
      <c r="J104" s="8"/>
      <c r="K104" s="8"/>
      <c r="L104" s="8"/>
      <c r="M104" s="8"/>
      <c r="N104" s="8"/>
      <c r="P104" s="2">
        <f t="shared" si="7"/>
        <v>0</v>
      </c>
      <c r="Q104" s="2">
        <f t="shared" si="8"/>
        <v>0</v>
      </c>
      <c r="R104" s="2">
        <f t="shared" si="9"/>
        <v>0</v>
      </c>
      <c r="S104" s="2">
        <f t="shared" si="10"/>
        <v>0</v>
      </c>
      <c r="T104" s="2">
        <f t="shared" si="11"/>
        <v>0</v>
      </c>
      <c r="U104" s="2">
        <f t="shared" si="12"/>
        <v>0</v>
      </c>
    </row>
    <row r="105" spans="1:21" ht="15" thickBot="1">
      <c r="A105" s="6">
        <v>8</v>
      </c>
      <c r="B105" s="7" t="s">
        <v>486</v>
      </c>
      <c r="C105" s="8"/>
      <c r="D105" s="8"/>
      <c r="E105" s="8"/>
      <c r="F105" s="8"/>
      <c r="G105" s="8"/>
      <c r="H105" s="8" t="s">
        <v>394</v>
      </c>
      <c r="I105" s="8"/>
      <c r="J105" s="8"/>
      <c r="K105" s="8"/>
      <c r="L105" s="8"/>
      <c r="M105" s="8"/>
      <c r="N105" s="8"/>
      <c r="P105" s="2">
        <f t="shared" si="7"/>
        <v>0</v>
      </c>
      <c r="Q105" s="2">
        <f t="shared" si="8"/>
        <v>0</v>
      </c>
      <c r="R105" s="2">
        <f t="shared" si="9"/>
        <v>0</v>
      </c>
      <c r="S105" s="2">
        <f t="shared" si="10"/>
        <v>0</v>
      </c>
      <c r="T105" s="2">
        <f t="shared" si="11"/>
        <v>0</v>
      </c>
      <c r="U105" s="2">
        <f t="shared" si="12"/>
        <v>0</v>
      </c>
    </row>
    <row r="106" spans="1:21" ht="26.25" thickBot="1">
      <c r="A106" s="6">
        <v>9</v>
      </c>
      <c r="B106" s="7" t="s">
        <v>487</v>
      </c>
      <c r="C106" s="8"/>
      <c r="D106" s="8"/>
      <c r="E106" s="8"/>
      <c r="F106" s="8"/>
      <c r="G106" s="8"/>
      <c r="H106" s="8" t="s">
        <v>394</v>
      </c>
      <c r="I106" s="8"/>
      <c r="J106" s="8"/>
      <c r="K106" s="8"/>
      <c r="L106" s="8"/>
      <c r="M106" s="8"/>
      <c r="N106" s="8"/>
      <c r="P106" s="2">
        <f t="shared" si="7"/>
        <v>0</v>
      </c>
      <c r="Q106" s="2">
        <f t="shared" si="8"/>
        <v>0</v>
      </c>
      <c r="R106" s="2">
        <f t="shared" si="9"/>
        <v>0</v>
      </c>
      <c r="S106" s="2">
        <f t="shared" si="10"/>
        <v>0</v>
      </c>
      <c r="T106" s="2">
        <f t="shared" si="11"/>
        <v>0</v>
      </c>
      <c r="U106" s="2">
        <f t="shared" si="12"/>
        <v>0</v>
      </c>
    </row>
    <row r="107" spans="1:21" ht="15" thickBot="1">
      <c r="A107" s="6" t="s">
        <v>104</v>
      </c>
      <c r="B107" s="7" t="s">
        <v>488</v>
      </c>
      <c r="C107" s="8">
        <v>16750295893</v>
      </c>
      <c r="D107" s="8">
        <v>16750295893</v>
      </c>
      <c r="E107" s="8"/>
      <c r="F107" s="8"/>
      <c r="G107" s="8"/>
      <c r="H107" s="8" t="s">
        <v>394</v>
      </c>
      <c r="I107" s="8">
        <v>295178843334</v>
      </c>
      <c r="J107" s="8">
        <v>295178843334</v>
      </c>
      <c r="K107" s="8"/>
      <c r="L107" s="8"/>
      <c r="M107" s="8"/>
      <c r="N107" s="8"/>
      <c r="P107" s="2">
        <f t="shared" si="7"/>
        <v>295178.84333399998</v>
      </c>
      <c r="Q107" s="2">
        <f t="shared" si="8"/>
        <v>295178.84333399998</v>
      </c>
      <c r="R107" s="2">
        <f t="shared" si="9"/>
        <v>0</v>
      </c>
      <c r="S107" s="2">
        <f t="shared" si="10"/>
        <v>0</v>
      </c>
      <c r="T107" s="2">
        <f t="shared" si="11"/>
        <v>0</v>
      </c>
      <c r="U107" s="2">
        <f t="shared" si="12"/>
        <v>0</v>
      </c>
    </row>
    <row r="108" spans="1:21" ht="15" thickBot="1">
      <c r="A108" s="6">
        <v>1</v>
      </c>
      <c r="B108" s="7" t="s">
        <v>106</v>
      </c>
      <c r="C108" s="8">
        <v>169980070</v>
      </c>
      <c r="D108" s="8">
        <v>169980070</v>
      </c>
      <c r="E108" s="8"/>
      <c r="F108" s="8"/>
      <c r="G108" s="8"/>
      <c r="H108" s="8" t="s">
        <v>394</v>
      </c>
      <c r="I108" s="8">
        <v>3790833299</v>
      </c>
      <c r="J108" s="8">
        <v>3790833299</v>
      </c>
      <c r="K108" s="8"/>
      <c r="L108" s="8"/>
      <c r="M108" s="8"/>
      <c r="N108" s="8"/>
      <c r="P108" s="2">
        <f t="shared" si="7"/>
        <v>3790.8332989999999</v>
      </c>
      <c r="Q108" s="2">
        <f t="shared" si="8"/>
        <v>3790.8332989999999</v>
      </c>
      <c r="R108" s="2">
        <f t="shared" si="9"/>
        <v>0</v>
      </c>
      <c r="S108" s="2">
        <f t="shared" si="10"/>
        <v>0</v>
      </c>
      <c r="T108" s="2">
        <f t="shared" si="11"/>
        <v>0</v>
      </c>
      <c r="U108" s="2">
        <f t="shared" si="12"/>
        <v>0</v>
      </c>
    </row>
    <row r="109" spans="1:21" ht="15" thickBot="1">
      <c r="A109" s="6">
        <v>2</v>
      </c>
      <c r="B109" s="7" t="s">
        <v>107</v>
      </c>
      <c r="C109" s="8">
        <v>-25293796</v>
      </c>
      <c r="D109" s="8">
        <v>-25293796</v>
      </c>
      <c r="E109" s="8"/>
      <c r="F109" s="8"/>
      <c r="G109" s="8"/>
      <c r="H109" s="8" t="s">
        <v>394</v>
      </c>
      <c r="I109" s="8">
        <v>1144216508</v>
      </c>
      <c r="J109" s="8">
        <v>1144216508</v>
      </c>
      <c r="K109" s="8"/>
      <c r="L109" s="8"/>
      <c r="M109" s="8"/>
      <c r="N109" s="8"/>
      <c r="P109" s="2">
        <f t="shared" si="7"/>
        <v>1144.216508</v>
      </c>
      <c r="Q109" s="2">
        <f t="shared" si="8"/>
        <v>1144.216508</v>
      </c>
      <c r="R109" s="2">
        <f t="shared" si="9"/>
        <v>0</v>
      </c>
      <c r="S109" s="2">
        <f t="shared" si="10"/>
        <v>0</v>
      </c>
      <c r="T109" s="2">
        <f t="shared" si="11"/>
        <v>0</v>
      </c>
      <c r="U109" s="2">
        <f t="shared" si="12"/>
        <v>0</v>
      </c>
    </row>
    <row r="110" spans="1:21" ht="15" thickBot="1">
      <c r="A110" s="6">
        <v>3</v>
      </c>
      <c r="B110" s="7" t="s">
        <v>489</v>
      </c>
      <c r="C110" s="8"/>
      <c r="D110" s="8"/>
      <c r="E110" s="8"/>
      <c r="F110" s="8"/>
      <c r="G110" s="8"/>
      <c r="H110" s="8" t="s">
        <v>394</v>
      </c>
      <c r="I110" s="8"/>
      <c r="J110" s="8"/>
      <c r="K110" s="8"/>
      <c r="L110" s="8"/>
      <c r="M110" s="8"/>
      <c r="N110" s="8"/>
      <c r="P110" s="2">
        <f t="shared" si="7"/>
        <v>0</v>
      </c>
      <c r="Q110" s="2">
        <f t="shared" si="8"/>
        <v>0</v>
      </c>
      <c r="R110" s="2">
        <f t="shared" si="9"/>
        <v>0</v>
      </c>
      <c r="S110" s="2">
        <f t="shared" si="10"/>
        <v>0</v>
      </c>
      <c r="T110" s="2">
        <f t="shared" si="11"/>
        <v>0</v>
      </c>
      <c r="U110" s="2">
        <f t="shared" si="12"/>
        <v>0</v>
      </c>
    </row>
    <row r="111" spans="1:21" ht="15" thickBot="1">
      <c r="A111" s="6">
        <v>4</v>
      </c>
      <c r="B111" s="7" t="s">
        <v>490</v>
      </c>
      <c r="C111" s="8">
        <v>16578809619</v>
      </c>
      <c r="D111" s="8">
        <v>16578809619</v>
      </c>
      <c r="E111" s="8"/>
      <c r="F111" s="8"/>
      <c r="G111" s="8"/>
      <c r="H111" s="8" t="s">
        <v>394</v>
      </c>
      <c r="I111" s="8">
        <v>289818407470</v>
      </c>
      <c r="J111" s="8">
        <v>289818407470</v>
      </c>
      <c r="K111" s="8"/>
      <c r="L111" s="8"/>
      <c r="M111" s="8"/>
      <c r="N111" s="8"/>
      <c r="P111" s="2">
        <f t="shared" si="7"/>
        <v>289818.40746999998</v>
      </c>
      <c r="Q111" s="2">
        <f t="shared" si="8"/>
        <v>289818.40746999998</v>
      </c>
      <c r="R111" s="2">
        <f t="shared" si="9"/>
        <v>0</v>
      </c>
      <c r="S111" s="2">
        <f t="shared" si="10"/>
        <v>0</v>
      </c>
      <c r="T111" s="2">
        <f t="shared" si="11"/>
        <v>0</v>
      </c>
      <c r="U111" s="2">
        <f t="shared" si="12"/>
        <v>0</v>
      </c>
    </row>
    <row r="112" spans="1:21" ht="26.25" thickBot="1">
      <c r="A112" s="6">
        <v>5</v>
      </c>
      <c r="B112" s="7" t="s">
        <v>491</v>
      </c>
      <c r="C112" s="8"/>
      <c r="D112" s="8"/>
      <c r="E112" s="8"/>
      <c r="F112" s="8"/>
      <c r="G112" s="8"/>
      <c r="H112" s="8" t="s">
        <v>394</v>
      </c>
      <c r="I112" s="8"/>
      <c r="J112" s="8"/>
      <c r="K112" s="8"/>
      <c r="L112" s="8"/>
      <c r="M112" s="8"/>
      <c r="N112" s="8"/>
      <c r="P112" s="2">
        <f t="shared" si="7"/>
        <v>0</v>
      </c>
      <c r="Q112" s="2">
        <f t="shared" si="8"/>
        <v>0</v>
      </c>
      <c r="R112" s="2">
        <f t="shared" si="9"/>
        <v>0</v>
      </c>
      <c r="S112" s="2">
        <f t="shared" si="10"/>
        <v>0</v>
      </c>
      <c r="T112" s="2">
        <f t="shared" si="11"/>
        <v>0</v>
      </c>
      <c r="U112" s="2">
        <f t="shared" si="12"/>
        <v>0</v>
      </c>
    </row>
    <row r="113" spans="1:21" ht="15" thickBot="1">
      <c r="A113" s="6">
        <v>6</v>
      </c>
      <c r="B113" s="7" t="s">
        <v>492</v>
      </c>
      <c r="C113" s="8"/>
      <c r="D113" s="8"/>
      <c r="E113" s="8"/>
      <c r="F113" s="8"/>
      <c r="G113" s="8"/>
      <c r="H113" s="8" t="s">
        <v>394</v>
      </c>
      <c r="I113" s="8"/>
      <c r="J113" s="8"/>
      <c r="K113" s="8"/>
      <c r="L113" s="8"/>
      <c r="M113" s="8"/>
      <c r="N113" s="8"/>
      <c r="P113" s="2">
        <f t="shared" si="7"/>
        <v>0</v>
      </c>
      <c r="Q113" s="2">
        <f t="shared" si="8"/>
        <v>0</v>
      </c>
      <c r="R113" s="2">
        <f t="shared" si="9"/>
        <v>0</v>
      </c>
      <c r="S113" s="2">
        <f t="shared" si="10"/>
        <v>0</v>
      </c>
      <c r="T113" s="2">
        <f t="shared" si="11"/>
        <v>0</v>
      </c>
      <c r="U113" s="2">
        <f t="shared" si="12"/>
        <v>0</v>
      </c>
    </row>
    <row r="114" spans="1:21" ht="26.25" thickBot="1">
      <c r="A114" s="6">
        <v>7</v>
      </c>
      <c r="B114" s="7" t="s">
        <v>493</v>
      </c>
      <c r="C114" s="8"/>
      <c r="D114" s="8"/>
      <c r="E114" s="8"/>
      <c r="F114" s="8"/>
      <c r="G114" s="8"/>
      <c r="H114" s="8" t="s">
        <v>394</v>
      </c>
      <c r="I114" s="8"/>
      <c r="J114" s="8"/>
      <c r="K114" s="8"/>
      <c r="L114" s="8"/>
      <c r="M114" s="8"/>
      <c r="N114" s="8"/>
      <c r="P114" s="2">
        <f t="shared" si="7"/>
        <v>0</v>
      </c>
      <c r="Q114" s="2">
        <f t="shared" si="8"/>
        <v>0</v>
      </c>
      <c r="R114" s="2">
        <f t="shared" si="9"/>
        <v>0</v>
      </c>
      <c r="S114" s="2">
        <f t="shared" si="10"/>
        <v>0</v>
      </c>
      <c r="T114" s="2">
        <f t="shared" si="11"/>
        <v>0</v>
      </c>
      <c r="U114" s="2">
        <f t="shared" si="12"/>
        <v>0</v>
      </c>
    </row>
    <row r="115" spans="1:21" ht="15" thickBot="1">
      <c r="A115" s="6">
        <v>8</v>
      </c>
      <c r="B115" s="7" t="s">
        <v>558</v>
      </c>
      <c r="C115" s="8">
        <v>9800000</v>
      </c>
      <c r="D115" s="8">
        <v>9800000</v>
      </c>
      <c r="E115" s="8"/>
      <c r="F115" s="8"/>
      <c r="G115" s="8"/>
      <c r="H115" s="8" t="s">
        <v>394</v>
      </c>
      <c r="I115" s="8">
        <v>9800000</v>
      </c>
      <c r="J115" s="8">
        <v>9800000</v>
      </c>
      <c r="K115" s="8"/>
      <c r="L115" s="8"/>
      <c r="M115" s="8"/>
      <c r="N115" s="8"/>
      <c r="P115" s="2">
        <f t="shared" si="7"/>
        <v>9.8000000000000007</v>
      </c>
      <c r="Q115" s="2">
        <f t="shared" si="8"/>
        <v>9.8000000000000007</v>
      </c>
      <c r="R115" s="2">
        <f t="shared" si="9"/>
        <v>0</v>
      </c>
      <c r="S115" s="2">
        <f t="shared" si="10"/>
        <v>0</v>
      </c>
      <c r="T115" s="2">
        <f t="shared" si="11"/>
        <v>0</v>
      </c>
      <c r="U115" s="2">
        <f t="shared" si="12"/>
        <v>0</v>
      </c>
    </row>
    <row r="116" spans="1:21" ht="15" thickBot="1">
      <c r="A116" s="6">
        <v>9</v>
      </c>
      <c r="B116" s="7" t="s">
        <v>130</v>
      </c>
      <c r="C116" s="8">
        <v>17000000</v>
      </c>
      <c r="D116" s="8">
        <v>17000000</v>
      </c>
      <c r="E116" s="8"/>
      <c r="F116" s="8"/>
      <c r="G116" s="8"/>
      <c r="H116" s="8" t="s">
        <v>394</v>
      </c>
      <c r="I116" s="8">
        <v>415586057</v>
      </c>
      <c r="J116" s="8">
        <v>415586057</v>
      </c>
      <c r="K116" s="8"/>
      <c r="L116" s="8"/>
      <c r="M116" s="8"/>
      <c r="N116" s="8"/>
      <c r="P116" s="2">
        <f t="shared" si="7"/>
        <v>415.58605699999998</v>
      </c>
      <c r="Q116" s="2">
        <f t="shared" si="8"/>
        <v>415.58605699999998</v>
      </c>
      <c r="R116" s="2">
        <f t="shared" si="9"/>
        <v>0</v>
      </c>
      <c r="S116" s="2">
        <f t="shared" si="10"/>
        <v>0</v>
      </c>
      <c r="T116" s="2">
        <f t="shared" si="11"/>
        <v>0</v>
      </c>
      <c r="U116" s="2">
        <f t="shared" si="12"/>
        <v>0</v>
      </c>
    </row>
    <row r="117" spans="1:21" ht="15" thickBot="1">
      <c r="A117" s="6" t="s">
        <v>124</v>
      </c>
      <c r="B117" s="7" t="s">
        <v>494</v>
      </c>
      <c r="C117" s="8"/>
      <c r="D117" s="8"/>
      <c r="E117" s="8"/>
      <c r="F117" s="8"/>
      <c r="G117" s="8"/>
      <c r="H117" s="8" t="s">
        <v>394</v>
      </c>
      <c r="I117" s="8">
        <v>43849879190</v>
      </c>
      <c r="J117" s="8"/>
      <c r="K117" s="8">
        <v>43849879190</v>
      </c>
      <c r="L117" s="8">
        <v>43849879190</v>
      </c>
      <c r="M117" s="8"/>
      <c r="N117" s="8"/>
      <c r="P117" s="2">
        <f t="shared" si="7"/>
        <v>43849.87919</v>
      </c>
      <c r="Q117" s="2">
        <f t="shared" si="8"/>
        <v>0</v>
      </c>
      <c r="R117" s="2">
        <f t="shared" si="9"/>
        <v>43849.87919</v>
      </c>
      <c r="S117" s="2">
        <f t="shared" si="10"/>
        <v>43849.87919</v>
      </c>
      <c r="T117" s="2">
        <f t="shared" si="11"/>
        <v>0</v>
      </c>
      <c r="U117" s="2">
        <f t="shared" si="12"/>
        <v>0</v>
      </c>
    </row>
    <row r="118" spans="1:21" ht="15" thickBot="1">
      <c r="A118" s="6"/>
      <c r="B118" s="7" t="s">
        <v>495</v>
      </c>
      <c r="C118" s="8"/>
      <c r="D118" s="8"/>
      <c r="E118" s="8"/>
      <c r="F118" s="8"/>
      <c r="G118" s="8"/>
      <c r="H118" s="8" t="s">
        <v>394</v>
      </c>
      <c r="I118" s="8"/>
      <c r="J118" s="8"/>
      <c r="K118" s="8"/>
      <c r="L118" s="8"/>
      <c r="M118" s="8"/>
      <c r="N118" s="8"/>
      <c r="P118" s="2">
        <f t="shared" si="7"/>
        <v>0</v>
      </c>
      <c r="Q118" s="2">
        <f t="shared" si="8"/>
        <v>0</v>
      </c>
      <c r="R118" s="2">
        <f t="shared" si="9"/>
        <v>0</v>
      </c>
      <c r="S118" s="2">
        <f t="shared" si="10"/>
        <v>0</v>
      </c>
      <c r="T118" s="2">
        <f t="shared" si="11"/>
        <v>0</v>
      </c>
      <c r="U118" s="2">
        <f t="shared" si="12"/>
        <v>0</v>
      </c>
    </row>
    <row r="119" spans="1:21" ht="15" thickBot="1">
      <c r="A119" s="6" t="s">
        <v>129</v>
      </c>
      <c r="B119" s="7" t="s">
        <v>559</v>
      </c>
      <c r="C119" s="8">
        <v>1000000</v>
      </c>
      <c r="D119" s="8"/>
      <c r="E119" s="8">
        <v>1000000</v>
      </c>
      <c r="F119" s="8"/>
      <c r="G119" s="8"/>
      <c r="H119" s="8">
        <v>1000000</v>
      </c>
      <c r="I119" s="8">
        <v>83940000</v>
      </c>
      <c r="J119" s="8"/>
      <c r="K119" s="8">
        <v>83940000</v>
      </c>
      <c r="L119" s="8"/>
      <c r="M119" s="8">
        <v>62340000</v>
      </c>
      <c r="N119" s="8">
        <v>21600000</v>
      </c>
      <c r="P119" s="2">
        <f t="shared" si="7"/>
        <v>83.94</v>
      </c>
      <c r="Q119" s="2">
        <f t="shared" si="8"/>
        <v>0</v>
      </c>
      <c r="R119" s="2">
        <f t="shared" si="9"/>
        <v>83.94</v>
      </c>
      <c r="S119" s="2">
        <f t="shared" si="10"/>
        <v>0</v>
      </c>
      <c r="T119" s="2">
        <f t="shared" si="11"/>
        <v>62.34</v>
      </c>
      <c r="U119" s="2">
        <f t="shared" si="12"/>
        <v>21.6</v>
      </c>
    </row>
    <row r="120" spans="1:21" ht="26.25" thickBot="1">
      <c r="A120" s="6">
        <v>1</v>
      </c>
      <c r="B120" s="7" t="s">
        <v>496</v>
      </c>
      <c r="C120" s="8"/>
      <c r="D120" s="8"/>
      <c r="E120" s="8"/>
      <c r="F120" s="8"/>
      <c r="G120" s="8"/>
      <c r="H120" s="8" t="s">
        <v>394</v>
      </c>
      <c r="I120" s="8">
        <v>62340000</v>
      </c>
      <c r="J120" s="8"/>
      <c r="K120" s="8">
        <v>62340000</v>
      </c>
      <c r="L120" s="8"/>
      <c r="M120" s="8">
        <v>62340000</v>
      </c>
      <c r="N120" s="8"/>
      <c r="P120" s="2">
        <f t="shared" si="7"/>
        <v>62.34</v>
      </c>
      <c r="Q120" s="2">
        <f t="shared" si="8"/>
        <v>0</v>
      </c>
      <c r="R120" s="2">
        <f t="shared" si="9"/>
        <v>62.34</v>
      </c>
      <c r="S120" s="2">
        <f t="shared" si="10"/>
        <v>0</v>
      </c>
      <c r="T120" s="2">
        <f t="shared" si="11"/>
        <v>62.34</v>
      </c>
      <c r="U120" s="2">
        <f t="shared" si="12"/>
        <v>0</v>
      </c>
    </row>
    <row r="121" spans="1:21" ht="15" thickBot="1">
      <c r="A121" s="6">
        <v>2</v>
      </c>
      <c r="B121" s="7" t="s">
        <v>497</v>
      </c>
      <c r="C121" s="8">
        <v>1000000</v>
      </c>
      <c r="D121" s="8"/>
      <c r="E121" s="8">
        <v>1000000</v>
      </c>
      <c r="F121" s="8"/>
      <c r="G121" s="8"/>
      <c r="H121" s="8">
        <v>1000000</v>
      </c>
      <c r="I121" s="8">
        <v>21600000</v>
      </c>
      <c r="J121" s="8"/>
      <c r="K121" s="8">
        <v>21600000</v>
      </c>
      <c r="L121" s="8"/>
      <c r="M121" s="8"/>
      <c r="N121" s="8">
        <v>21600000</v>
      </c>
      <c r="P121" s="2">
        <f t="shared" si="7"/>
        <v>21.6</v>
      </c>
      <c r="Q121" s="2">
        <f t="shared" si="8"/>
        <v>0</v>
      </c>
      <c r="R121" s="2">
        <f t="shared" si="9"/>
        <v>21.6</v>
      </c>
      <c r="S121" s="2">
        <f t="shared" si="10"/>
        <v>0</v>
      </c>
      <c r="T121" s="2">
        <f t="shared" si="11"/>
        <v>0</v>
      </c>
      <c r="U121" s="2">
        <f t="shared" si="12"/>
        <v>21.6</v>
      </c>
    </row>
    <row r="122" spans="1:21" ht="26.25" thickBot="1">
      <c r="A122" s="6" t="s">
        <v>342</v>
      </c>
      <c r="B122" s="7" t="s">
        <v>498</v>
      </c>
      <c r="C122" s="8"/>
      <c r="D122" s="8"/>
      <c r="E122" s="8"/>
      <c r="F122" s="8"/>
      <c r="G122" s="8"/>
      <c r="H122" s="8" t="s">
        <v>394</v>
      </c>
      <c r="I122" s="8"/>
      <c r="J122" s="8"/>
      <c r="K122" s="8"/>
      <c r="L122" s="8"/>
      <c r="M122" s="8"/>
      <c r="N122" s="8"/>
      <c r="P122" s="2">
        <f t="shared" si="7"/>
        <v>0</v>
      </c>
      <c r="Q122" s="2">
        <f t="shared" si="8"/>
        <v>0</v>
      </c>
      <c r="R122" s="2">
        <f t="shared" si="9"/>
        <v>0</v>
      </c>
      <c r="S122" s="2">
        <f t="shared" si="10"/>
        <v>0</v>
      </c>
      <c r="T122" s="2">
        <f t="shared" si="11"/>
        <v>0</v>
      </c>
      <c r="U122" s="2">
        <f t="shared" si="12"/>
        <v>0</v>
      </c>
    </row>
    <row r="123" spans="1:21" ht="26.25" thickBot="1">
      <c r="A123" s="6">
        <v>1</v>
      </c>
      <c r="B123" s="7" t="s">
        <v>560</v>
      </c>
      <c r="C123" s="8"/>
      <c r="D123" s="8"/>
      <c r="E123" s="8"/>
      <c r="F123" s="8"/>
      <c r="G123" s="8"/>
      <c r="H123" s="8" t="s">
        <v>394</v>
      </c>
      <c r="I123" s="8"/>
      <c r="J123" s="8"/>
      <c r="K123" s="8"/>
      <c r="L123" s="8"/>
      <c r="M123" s="8"/>
      <c r="N123" s="8"/>
      <c r="P123" s="2">
        <f t="shared" si="7"/>
        <v>0</v>
      </c>
      <c r="Q123" s="2">
        <f t="shared" si="8"/>
        <v>0</v>
      </c>
      <c r="R123" s="2">
        <f t="shared" si="9"/>
        <v>0</v>
      </c>
      <c r="S123" s="2">
        <f t="shared" si="10"/>
        <v>0</v>
      </c>
      <c r="T123" s="2">
        <f t="shared" si="11"/>
        <v>0</v>
      </c>
      <c r="U123" s="2">
        <f t="shared" si="12"/>
        <v>0</v>
      </c>
    </row>
    <row r="124" spans="1:21" ht="15" thickBot="1">
      <c r="A124" s="6">
        <v>2</v>
      </c>
      <c r="B124" s="7" t="s">
        <v>499</v>
      </c>
      <c r="C124" s="8"/>
      <c r="D124" s="8"/>
      <c r="E124" s="8"/>
      <c r="F124" s="8"/>
      <c r="G124" s="8"/>
      <c r="H124" s="8" t="s">
        <v>394</v>
      </c>
      <c r="I124" s="8"/>
      <c r="J124" s="8"/>
      <c r="K124" s="8"/>
      <c r="L124" s="8"/>
      <c r="M124" s="8"/>
      <c r="N124" s="8"/>
      <c r="P124" s="2">
        <f t="shared" si="7"/>
        <v>0</v>
      </c>
      <c r="Q124" s="2">
        <f t="shared" si="8"/>
        <v>0</v>
      </c>
      <c r="R124" s="2">
        <f t="shared" si="9"/>
        <v>0</v>
      </c>
      <c r="S124" s="2">
        <f t="shared" si="10"/>
        <v>0</v>
      </c>
      <c r="T124" s="2">
        <f t="shared" si="11"/>
        <v>0</v>
      </c>
      <c r="U124" s="2">
        <f t="shared" si="12"/>
        <v>0</v>
      </c>
    </row>
    <row r="125" spans="1:21" ht="15" thickBot="1">
      <c r="A125" s="6" t="s">
        <v>408</v>
      </c>
      <c r="B125" s="7" t="s">
        <v>500</v>
      </c>
      <c r="C125" s="8"/>
      <c r="D125" s="8"/>
      <c r="E125" s="8"/>
      <c r="F125" s="8"/>
      <c r="G125" s="8"/>
      <c r="H125" s="8" t="s">
        <v>394</v>
      </c>
      <c r="I125" s="8"/>
      <c r="J125" s="8"/>
      <c r="K125" s="8"/>
      <c r="L125" s="8"/>
      <c r="M125" s="8"/>
      <c r="N125" s="8"/>
      <c r="P125" s="2">
        <f t="shared" si="7"/>
        <v>0</v>
      </c>
      <c r="Q125" s="2">
        <f t="shared" si="8"/>
        <v>0</v>
      </c>
      <c r="R125" s="2">
        <f t="shared" si="9"/>
        <v>0</v>
      </c>
      <c r="S125" s="2">
        <f t="shared" si="10"/>
        <v>0</v>
      </c>
      <c r="T125" s="2">
        <f t="shared" si="11"/>
        <v>0</v>
      </c>
      <c r="U125" s="2">
        <f t="shared" si="12"/>
        <v>0</v>
      </c>
    </row>
    <row r="126" spans="1:21" ht="15" thickBot="1">
      <c r="A126" s="6" t="s">
        <v>409</v>
      </c>
      <c r="B126" s="7" t="s">
        <v>501</v>
      </c>
      <c r="C126" s="8"/>
      <c r="D126" s="8"/>
      <c r="E126" s="8"/>
      <c r="F126" s="8"/>
      <c r="G126" s="8"/>
      <c r="H126" s="8" t="s">
        <v>394</v>
      </c>
      <c r="I126" s="8"/>
      <c r="J126" s="8"/>
      <c r="K126" s="8"/>
      <c r="L126" s="8"/>
      <c r="M126" s="8"/>
      <c r="N126" s="8"/>
      <c r="P126" s="2">
        <f t="shared" si="7"/>
        <v>0</v>
      </c>
      <c r="Q126" s="2">
        <f t="shared" si="8"/>
        <v>0</v>
      </c>
      <c r="R126" s="2">
        <f t="shared" si="9"/>
        <v>0</v>
      </c>
      <c r="S126" s="2">
        <f t="shared" si="10"/>
        <v>0</v>
      </c>
      <c r="T126" s="2">
        <f t="shared" si="11"/>
        <v>0</v>
      </c>
      <c r="U126" s="2">
        <f t="shared" si="12"/>
        <v>0</v>
      </c>
    </row>
    <row r="127" spans="1:21" ht="15" thickBot="1">
      <c r="A127" s="6">
        <v>3</v>
      </c>
      <c r="B127" s="7" t="s">
        <v>245</v>
      </c>
      <c r="C127" s="8"/>
      <c r="D127" s="8"/>
      <c r="E127" s="8"/>
      <c r="F127" s="8"/>
      <c r="G127" s="8"/>
      <c r="H127" s="8" t="s">
        <v>394</v>
      </c>
      <c r="I127" s="8"/>
      <c r="J127" s="8"/>
      <c r="K127" s="8"/>
      <c r="L127" s="8"/>
      <c r="M127" s="8"/>
      <c r="N127" s="8"/>
      <c r="P127" s="2">
        <f t="shared" si="7"/>
        <v>0</v>
      </c>
      <c r="Q127" s="2">
        <f t="shared" si="8"/>
        <v>0</v>
      </c>
      <c r="R127" s="2">
        <f t="shared" si="9"/>
        <v>0</v>
      </c>
      <c r="S127" s="2">
        <f t="shared" si="10"/>
        <v>0</v>
      </c>
      <c r="T127" s="2">
        <f t="shared" si="11"/>
        <v>0</v>
      </c>
      <c r="U127" s="2">
        <f t="shared" si="12"/>
        <v>0</v>
      </c>
    </row>
    <row r="128" spans="1:21" ht="15" thickBot="1">
      <c r="A128" s="6" t="s">
        <v>502</v>
      </c>
      <c r="B128" s="7" t="s">
        <v>503</v>
      </c>
      <c r="C128" s="8"/>
      <c r="D128" s="8"/>
      <c r="E128" s="8"/>
      <c r="F128" s="8"/>
      <c r="G128" s="8"/>
      <c r="H128" s="8" t="s">
        <v>394</v>
      </c>
      <c r="I128" s="8"/>
      <c r="J128" s="8"/>
      <c r="K128" s="8"/>
      <c r="L128" s="8"/>
      <c r="M128" s="8"/>
      <c r="N128" s="8"/>
      <c r="P128" s="2">
        <f t="shared" si="7"/>
        <v>0</v>
      </c>
      <c r="Q128" s="2">
        <f t="shared" si="8"/>
        <v>0</v>
      </c>
      <c r="R128" s="2">
        <f t="shared" si="9"/>
        <v>0</v>
      </c>
      <c r="S128" s="2">
        <f t="shared" si="10"/>
        <v>0</v>
      </c>
      <c r="T128" s="2">
        <f t="shared" si="11"/>
        <v>0</v>
      </c>
      <c r="U128" s="2">
        <f t="shared" si="12"/>
        <v>0</v>
      </c>
    </row>
    <row r="129" spans="1:21" ht="15" thickBot="1">
      <c r="A129" s="6" t="s">
        <v>160</v>
      </c>
      <c r="B129" s="7" t="s">
        <v>504</v>
      </c>
      <c r="C129" s="8"/>
      <c r="D129" s="8"/>
      <c r="E129" s="8"/>
      <c r="F129" s="8"/>
      <c r="G129" s="8"/>
      <c r="H129" s="8" t="s">
        <v>394</v>
      </c>
      <c r="I129" s="8"/>
      <c r="J129" s="8"/>
      <c r="K129" s="8"/>
      <c r="L129" s="8"/>
      <c r="M129" s="8"/>
      <c r="N129" s="8"/>
      <c r="P129" s="2">
        <f t="shared" si="7"/>
        <v>0</v>
      </c>
      <c r="Q129" s="2">
        <f t="shared" si="8"/>
        <v>0</v>
      </c>
      <c r="R129" s="2">
        <f t="shared" si="9"/>
        <v>0</v>
      </c>
      <c r="S129" s="2">
        <f t="shared" si="10"/>
        <v>0</v>
      </c>
      <c r="T129" s="2">
        <f t="shared" si="11"/>
        <v>0</v>
      </c>
      <c r="U129" s="2">
        <f t="shared" si="12"/>
        <v>0</v>
      </c>
    </row>
    <row r="130" spans="1:21" ht="15" thickBot="1">
      <c r="A130" s="6" t="s">
        <v>60</v>
      </c>
      <c r="B130" s="7" t="s">
        <v>505</v>
      </c>
      <c r="C130" s="8"/>
      <c r="D130" s="8"/>
      <c r="E130" s="8"/>
      <c r="F130" s="8"/>
      <c r="G130" s="8"/>
      <c r="H130" s="8" t="s">
        <v>394</v>
      </c>
      <c r="I130" s="8"/>
      <c r="J130" s="8"/>
      <c r="K130" s="8"/>
      <c r="L130" s="8"/>
      <c r="M130" s="8"/>
      <c r="N130" s="8"/>
      <c r="P130" s="2">
        <f t="shared" si="7"/>
        <v>0</v>
      </c>
      <c r="Q130" s="2">
        <f t="shared" si="8"/>
        <v>0</v>
      </c>
      <c r="R130" s="2">
        <f t="shared" si="9"/>
        <v>0</v>
      </c>
      <c r="S130" s="2">
        <f t="shared" si="10"/>
        <v>0</v>
      </c>
      <c r="T130" s="2">
        <f t="shared" si="11"/>
        <v>0</v>
      </c>
      <c r="U130" s="2">
        <f t="shared" si="12"/>
        <v>0</v>
      </c>
    </row>
    <row r="131" spans="1:21" ht="15" thickBot="1">
      <c r="A131" s="6">
        <v>1</v>
      </c>
      <c r="B131" s="7" t="s">
        <v>506</v>
      </c>
      <c r="C131" s="8"/>
      <c r="D131" s="8"/>
      <c r="E131" s="8"/>
      <c r="F131" s="8"/>
      <c r="G131" s="8"/>
      <c r="H131" s="8" t="s">
        <v>394</v>
      </c>
      <c r="I131" s="8"/>
      <c r="J131" s="8"/>
      <c r="K131" s="8"/>
      <c r="L131" s="8"/>
      <c r="M131" s="8"/>
      <c r="N131" s="8"/>
      <c r="P131" s="2">
        <f t="shared" si="7"/>
        <v>0</v>
      </c>
      <c r="Q131" s="2">
        <f t="shared" si="8"/>
        <v>0</v>
      </c>
      <c r="R131" s="2">
        <f t="shared" si="9"/>
        <v>0</v>
      </c>
      <c r="S131" s="2">
        <f t="shared" si="10"/>
        <v>0</v>
      </c>
      <c r="T131" s="2">
        <f t="shared" si="11"/>
        <v>0</v>
      </c>
      <c r="U131" s="2">
        <f t="shared" si="12"/>
        <v>0</v>
      </c>
    </row>
    <row r="132" spans="1:21" ht="15" thickBot="1">
      <c r="A132" s="6" t="s">
        <v>138</v>
      </c>
      <c r="B132" s="7" t="s">
        <v>561</v>
      </c>
      <c r="C132" s="8"/>
      <c r="D132" s="8"/>
      <c r="E132" s="8"/>
      <c r="F132" s="8"/>
      <c r="G132" s="8"/>
      <c r="H132" s="8" t="s">
        <v>394</v>
      </c>
      <c r="I132" s="8"/>
      <c r="J132" s="8"/>
      <c r="K132" s="8"/>
      <c r="L132" s="8"/>
      <c r="M132" s="8"/>
      <c r="N132" s="8"/>
      <c r="P132" s="2">
        <f t="shared" si="7"/>
        <v>0</v>
      </c>
      <c r="Q132" s="2">
        <f t="shared" si="8"/>
        <v>0</v>
      </c>
      <c r="R132" s="2">
        <f t="shared" si="9"/>
        <v>0</v>
      </c>
      <c r="S132" s="2">
        <f t="shared" si="10"/>
        <v>0</v>
      </c>
      <c r="T132" s="2">
        <f t="shared" si="11"/>
        <v>0</v>
      </c>
      <c r="U132" s="2">
        <f t="shared" si="12"/>
        <v>0</v>
      </c>
    </row>
    <row r="133" spans="1:21" ht="15" thickBot="1">
      <c r="A133" s="6" t="s">
        <v>140</v>
      </c>
      <c r="B133" s="7" t="s">
        <v>507</v>
      </c>
      <c r="C133" s="8"/>
      <c r="D133" s="8"/>
      <c r="E133" s="8"/>
      <c r="F133" s="8"/>
      <c r="G133" s="8"/>
      <c r="H133" s="8" t="s">
        <v>394</v>
      </c>
      <c r="I133" s="8"/>
      <c r="J133" s="8"/>
      <c r="K133" s="8"/>
      <c r="L133" s="8"/>
      <c r="M133" s="8"/>
      <c r="N133" s="8"/>
      <c r="P133" s="2">
        <f t="shared" si="7"/>
        <v>0</v>
      </c>
      <c r="Q133" s="2">
        <f t="shared" si="8"/>
        <v>0</v>
      </c>
      <c r="R133" s="2">
        <f t="shared" si="9"/>
        <v>0</v>
      </c>
      <c r="S133" s="2">
        <f t="shared" si="10"/>
        <v>0</v>
      </c>
      <c r="T133" s="2">
        <f t="shared" si="11"/>
        <v>0</v>
      </c>
      <c r="U133" s="2">
        <f t="shared" si="12"/>
        <v>0</v>
      </c>
    </row>
    <row r="134" spans="1:21" ht="15" thickBot="1">
      <c r="A134" s="6">
        <v>2</v>
      </c>
      <c r="B134" s="7" t="s">
        <v>508</v>
      </c>
      <c r="C134" s="8"/>
      <c r="D134" s="8"/>
      <c r="E134" s="8"/>
      <c r="F134" s="8"/>
      <c r="G134" s="8"/>
      <c r="H134" s="8" t="s">
        <v>394</v>
      </c>
      <c r="I134" s="8"/>
      <c r="J134" s="8"/>
      <c r="K134" s="8"/>
      <c r="L134" s="8"/>
      <c r="M134" s="8"/>
      <c r="N134" s="8"/>
      <c r="P134" s="2">
        <f t="shared" si="7"/>
        <v>0</v>
      </c>
      <c r="Q134" s="2">
        <f t="shared" si="8"/>
        <v>0</v>
      </c>
      <c r="R134" s="2">
        <f t="shared" si="9"/>
        <v>0</v>
      </c>
      <c r="S134" s="2">
        <f t="shared" si="10"/>
        <v>0</v>
      </c>
      <c r="T134" s="2">
        <f t="shared" si="11"/>
        <v>0</v>
      </c>
      <c r="U134" s="2">
        <f t="shared" si="12"/>
        <v>0</v>
      </c>
    </row>
    <row r="135" spans="1:21" ht="15" thickBot="1">
      <c r="A135" s="6" t="s">
        <v>103</v>
      </c>
      <c r="B135" s="7" t="s">
        <v>509</v>
      </c>
      <c r="C135" s="8"/>
      <c r="D135" s="8"/>
      <c r="E135" s="8"/>
      <c r="F135" s="8"/>
      <c r="G135" s="8"/>
      <c r="H135" s="8" t="s">
        <v>394</v>
      </c>
      <c r="I135" s="8"/>
      <c r="J135" s="8"/>
      <c r="K135" s="8"/>
      <c r="L135" s="8"/>
      <c r="M135" s="8"/>
      <c r="N135" s="8"/>
      <c r="P135" s="2">
        <f t="shared" si="7"/>
        <v>0</v>
      </c>
      <c r="Q135" s="2">
        <f t="shared" si="8"/>
        <v>0</v>
      </c>
      <c r="R135" s="2">
        <f t="shared" si="9"/>
        <v>0</v>
      </c>
      <c r="S135" s="2">
        <f t="shared" si="10"/>
        <v>0</v>
      </c>
      <c r="T135" s="2">
        <f t="shared" si="11"/>
        <v>0</v>
      </c>
      <c r="U135" s="2">
        <f t="shared" si="12"/>
        <v>0</v>
      </c>
    </row>
    <row r="136" spans="1:21" ht="15" thickBot="1">
      <c r="A136" s="6" t="s">
        <v>104</v>
      </c>
      <c r="B136" s="7" t="s">
        <v>510</v>
      </c>
      <c r="C136" s="8"/>
      <c r="D136" s="8"/>
      <c r="E136" s="8"/>
      <c r="F136" s="8"/>
      <c r="G136" s="8"/>
      <c r="H136" s="8" t="s">
        <v>394</v>
      </c>
      <c r="I136" s="8"/>
      <c r="J136" s="8"/>
      <c r="K136" s="8"/>
      <c r="L136" s="8"/>
      <c r="M136" s="8"/>
      <c r="N136" s="8"/>
      <c r="P136" s="2">
        <f t="shared" si="7"/>
        <v>0</v>
      </c>
      <c r="Q136" s="2">
        <f t="shared" si="8"/>
        <v>0</v>
      </c>
      <c r="R136" s="2">
        <f t="shared" si="9"/>
        <v>0</v>
      </c>
      <c r="S136" s="2">
        <f t="shared" si="10"/>
        <v>0</v>
      </c>
      <c r="T136" s="2">
        <f t="shared" si="11"/>
        <v>0</v>
      </c>
      <c r="U136" s="2">
        <f t="shared" si="12"/>
        <v>0</v>
      </c>
    </row>
    <row r="137" spans="1:21" ht="15" thickBot="1">
      <c r="A137" s="6">
        <v>1</v>
      </c>
      <c r="B137" s="7" t="s">
        <v>511</v>
      </c>
      <c r="C137" s="8"/>
      <c r="D137" s="8"/>
      <c r="E137" s="8"/>
      <c r="F137" s="8"/>
      <c r="G137" s="8"/>
      <c r="H137" s="8" t="s">
        <v>394</v>
      </c>
      <c r="I137" s="8"/>
      <c r="J137" s="8"/>
      <c r="K137" s="8"/>
      <c r="L137" s="8"/>
      <c r="M137" s="8"/>
      <c r="N137" s="8"/>
      <c r="P137" s="2">
        <f t="shared" si="7"/>
        <v>0</v>
      </c>
      <c r="Q137" s="2">
        <f t="shared" si="8"/>
        <v>0</v>
      </c>
      <c r="R137" s="2">
        <f t="shared" si="9"/>
        <v>0</v>
      </c>
      <c r="S137" s="2">
        <f t="shared" si="10"/>
        <v>0</v>
      </c>
      <c r="T137" s="2">
        <f t="shared" si="11"/>
        <v>0</v>
      </c>
      <c r="U137" s="2">
        <f t="shared" si="12"/>
        <v>0</v>
      </c>
    </row>
    <row r="138" spans="1:21" ht="15" thickBot="1">
      <c r="A138" s="6" t="s">
        <v>138</v>
      </c>
      <c r="B138" s="7" t="s">
        <v>512</v>
      </c>
      <c r="C138" s="8"/>
      <c r="D138" s="8"/>
      <c r="E138" s="8"/>
      <c r="F138" s="8"/>
      <c r="G138" s="8"/>
      <c r="H138" s="8" t="s">
        <v>394</v>
      </c>
      <c r="I138" s="8"/>
      <c r="J138" s="8"/>
      <c r="K138" s="8"/>
      <c r="L138" s="8"/>
      <c r="M138" s="8"/>
      <c r="N138" s="8"/>
      <c r="P138" s="2">
        <f t="shared" si="7"/>
        <v>0</v>
      </c>
      <c r="Q138" s="2">
        <f t="shared" si="8"/>
        <v>0</v>
      </c>
      <c r="R138" s="2">
        <f t="shared" si="9"/>
        <v>0</v>
      </c>
      <c r="S138" s="2">
        <f t="shared" si="10"/>
        <v>0</v>
      </c>
      <c r="T138" s="2">
        <f t="shared" si="11"/>
        <v>0</v>
      </c>
      <c r="U138" s="2">
        <f t="shared" si="12"/>
        <v>0</v>
      </c>
    </row>
    <row r="139" spans="1:21" ht="26.25" thickBot="1">
      <c r="A139" s="6" t="s">
        <v>140</v>
      </c>
      <c r="B139" s="7" t="s">
        <v>513</v>
      </c>
      <c r="C139" s="8"/>
      <c r="D139" s="8"/>
      <c r="E139" s="8"/>
      <c r="F139" s="8"/>
      <c r="G139" s="8"/>
      <c r="H139" s="8" t="s">
        <v>394</v>
      </c>
      <c r="I139" s="8"/>
      <c r="J139" s="8"/>
      <c r="K139" s="8"/>
      <c r="L139" s="8"/>
      <c r="M139" s="8"/>
      <c r="N139" s="8"/>
      <c r="P139" s="2">
        <f t="shared" si="7"/>
        <v>0</v>
      </c>
      <c r="Q139" s="2">
        <f t="shared" si="8"/>
        <v>0</v>
      </c>
      <c r="R139" s="2">
        <f t="shared" si="9"/>
        <v>0</v>
      </c>
      <c r="S139" s="2">
        <f t="shared" si="10"/>
        <v>0</v>
      </c>
      <c r="T139" s="2">
        <f t="shared" si="11"/>
        <v>0</v>
      </c>
      <c r="U139" s="2">
        <f t="shared" si="12"/>
        <v>0</v>
      </c>
    </row>
    <row r="140" spans="1:21" ht="15" thickBot="1">
      <c r="A140" s="6" t="s">
        <v>396</v>
      </c>
      <c r="B140" s="7" t="s">
        <v>507</v>
      </c>
      <c r="C140" s="8"/>
      <c r="D140" s="8"/>
      <c r="E140" s="8"/>
      <c r="F140" s="8"/>
      <c r="G140" s="8"/>
      <c r="H140" s="8" t="s">
        <v>394</v>
      </c>
      <c r="I140" s="8"/>
      <c r="J140" s="8"/>
      <c r="K140" s="8"/>
      <c r="L140" s="8"/>
      <c r="M140" s="8"/>
      <c r="N140" s="8"/>
      <c r="P140" s="2">
        <f t="shared" si="7"/>
        <v>0</v>
      </c>
      <c r="Q140" s="2">
        <f t="shared" si="8"/>
        <v>0</v>
      </c>
      <c r="R140" s="2">
        <f t="shared" si="9"/>
        <v>0</v>
      </c>
      <c r="S140" s="2">
        <f t="shared" si="10"/>
        <v>0</v>
      </c>
      <c r="T140" s="2">
        <f t="shared" si="11"/>
        <v>0</v>
      </c>
      <c r="U140" s="2">
        <f t="shared" si="12"/>
        <v>0</v>
      </c>
    </row>
    <row r="141" spans="1:21" ht="15" thickBot="1">
      <c r="A141" s="6">
        <v>2</v>
      </c>
      <c r="B141" s="7" t="s">
        <v>514</v>
      </c>
      <c r="C141" s="8"/>
      <c r="D141" s="8"/>
      <c r="E141" s="8"/>
      <c r="F141" s="8"/>
      <c r="G141" s="8"/>
      <c r="H141" s="8" t="s">
        <v>394</v>
      </c>
      <c r="I141" s="8"/>
      <c r="J141" s="8"/>
      <c r="K141" s="8"/>
      <c r="L141" s="8"/>
      <c r="M141" s="8"/>
      <c r="N141" s="8"/>
      <c r="P141" s="2">
        <f t="shared" ref="P141:P158" si="13">I141/1000000</f>
        <v>0</v>
      </c>
      <c r="Q141" s="2">
        <f t="shared" ref="Q141:Q158" si="14">J141/1000000</f>
        <v>0</v>
      </c>
      <c r="R141" s="2">
        <f t="shared" ref="R141:R158" si="15">K141/1000000</f>
        <v>0</v>
      </c>
      <c r="S141" s="2">
        <f t="shared" ref="S141:S158" si="16">L141/1000000</f>
        <v>0</v>
      </c>
      <c r="T141" s="2">
        <f t="shared" ref="T141:T158" si="17">M141/1000000</f>
        <v>0</v>
      </c>
      <c r="U141" s="2">
        <f t="shared" ref="U141:U158" si="18">N141/1000000</f>
        <v>0</v>
      </c>
    </row>
    <row r="142" spans="1:21" ht="26.25" thickBot="1">
      <c r="A142" s="6" t="s">
        <v>124</v>
      </c>
      <c r="B142" s="7" t="s">
        <v>515</v>
      </c>
      <c r="C142" s="8"/>
      <c r="D142" s="8"/>
      <c r="E142" s="8"/>
      <c r="F142" s="8"/>
      <c r="G142" s="8"/>
      <c r="H142" s="8" t="s">
        <v>394</v>
      </c>
      <c r="I142" s="8"/>
      <c r="J142" s="8"/>
      <c r="K142" s="8"/>
      <c r="L142" s="8"/>
      <c r="M142" s="8"/>
      <c r="N142" s="8"/>
      <c r="P142" s="2">
        <f t="shared" si="13"/>
        <v>0</v>
      </c>
      <c r="Q142" s="2">
        <f t="shared" si="14"/>
        <v>0</v>
      </c>
      <c r="R142" s="2">
        <f t="shared" si="15"/>
        <v>0</v>
      </c>
      <c r="S142" s="2">
        <f t="shared" si="16"/>
        <v>0</v>
      </c>
      <c r="T142" s="2">
        <f t="shared" si="17"/>
        <v>0</v>
      </c>
      <c r="U142" s="2">
        <f t="shared" si="18"/>
        <v>0</v>
      </c>
    </row>
    <row r="143" spans="1:21" ht="15" thickBot="1">
      <c r="A143" s="6" t="s">
        <v>129</v>
      </c>
      <c r="B143" s="7" t="s">
        <v>516</v>
      </c>
      <c r="C143" s="8"/>
      <c r="D143" s="8"/>
      <c r="E143" s="8"/>
      <c r="F143" s="8"/>
      <c r="G143" s="8"/>
      <c r="H143" s="8" t="s">
        <v>394</v>
      </c>
      <c r="I143" s="8"/>
      <c r="J143" s="8"/>
      <c r="K143" s="8"/>
      <c r="L143" s="8"/>
      <c r="M143" s="8"/>
      <c r="N143" s="8"/>
      <c r="P143" s="2">
        <f t="shared" si="13"/>
        <v>0</v>
      </c>
      <c r="Q143" s="2">
        <f t="shared" si="14"/>
        <v>0</v>
      </c>
      <c r="R143" s="2">
        <f t="shared" si="15"/>
        <v>0</v>
      </c>
      <c r="S143" s="2">
        <f t="shared" si="16"/>
        <v>0</v>
      </c>
      <c r="T143" s="2">
        <f t="shared" si="17"/>
        <v>0</v>
      </c>
      <c r="U143" s="2">
        <f t="shared" si="18"/>
        <v>0</v>
      </c>
    </row>
    <row r="144" spans="1:21" ht="26.25" thickBot="1">
      <c r="A144" s="6">
        <v>1</v>
      </c>
      <c r="B144" s="7" t="s">
        <v>517</v>
      </c>
      <c r="C144" s="8"/>
      <c r="D144" s="8"/>
      <c r="E144" s="8"/>
      <c r="F144" s="8"/>
      <c r="G144" s="8"/>
      <c r="H144" s="8" t="s">
        <v>394</v>
      </c>
      <c r="I144" s="8"/>
      <c r="J144" s="8"/>
      <c r="K144" s="8"/>
      <c r="L144" s="8"/>
      <c r="M144" s="8"/>
      <c r="N144" s="8"/>
      <c r="P144" s="2">
        <f t="shared" si="13"/>
        <v>0</v>
      </c>
      <c r="Q144" s="2">
        <f t="shared" si="14"/>
        <v>0</v>
      </c>
      <c r="R144" s="2">
        <f t="shared" si="15"/>
        <v>0</v>
      </c>
      <c r="S144" s="2">
        <f t="shared" si="16"/>
        <v>0</v>
      </c>
      <c r="T144" s="2">
        <f t="shared" si="17"/>
        <v>0</v>
      </c>
      <c r="U144" s="2">
        <f t="shared" si="18"/>
        <v>0</v>
      </c>
    </row>
    <row r="145" spans="1:21" ht="15" thickBot="1">
      <c r="A145" s="6">
        <v>2</v>
      </c>
      <c r="B145" s="7" t="s">
        <v>518</v>
      </c>
      <c r="C145" s="8"/>
      <c r="D145" s="8"/>
      <c r="E145" s="8"/>
      <c r="F145" s="8"/>
      <c r="G145" s="8"/>
      <c r="H145" s="8" t="s">
        <v>394</v>
      </c>
      <c r="I145" s="8"/>
      <c r="J145" s="8"/>
      <c r="K145" s="8"/>
      <c r="L145" s="8"/>
      <c r="M145" s="8"/>
      <c r="N145" s="8"/>
      <c r="P145" s="2">
        <f t="shared" si="13"/>
        <v>0</v>
      </c>
      <c r="Q145" s="2">
        <f t="shared" si="14"/>
        <v>0</v>
      </c>
      <c r="R145" s="2">
        <f t="shared" si="15"/>
        <v>0</v>
      </c>
      <c r="S145" s="2">
        <f t="shared" si="16"/>
        <v>0</v>
      </c>
      <c r="T145" s="2">
        <f t="shared" si="17"/>
        <v>0</v>
      </c>
      <c r="U145" s="2">
        <f t="shared" si="18"/>
        <v>0</v>
      </c>
    </row>
    <row r="146" spans="1:21" ht="15" thickBot="1">
      <c r="A146" s="6" t="s">
        <v>162</v>
      </c>
      <c r="B146" s="7" t="s">
        <v>519</v>
      </c>
      <c r="C146" s="8">
        <v>1547230164700</v>
      </c>
      <c r="D146" s="8"/>
      <c r="E146" s="8">
        <v>1547230164700</v>
      </c>
      <c r="F146" s="8">
        <v>1050380500000</v>
      </c>
      <c r="G146" s="8">
        <v>427609441550</v>
      </c>
      <c r="H146" s="8">
        <v>69240223150</v>
      </c>
      <c r="I146" s="8">
        <v>6703520362836</v>
      </c>
      <c r="J146" s="8"/>
      <c r="K146" s="8">
        <v>6703520362836</v>
      </c>
      <c r="L146" s="8">
        <v>3886372094920</v>
      </c>
      <c r="M146" s="8">
        <v>2397021427478</v>
      </c>
      <c r="N146" s="8">
        <v>420126840438</v>
      </c>
      <c r="P146" s="2">
        <f t="shared" si="13"/>
        <v>6703520.3628359996</v>
      </c>
      <c r="Q146" s="2">
        <f t="shared" si="14"/>
        <v>0</v>
      </c>
      <c r="R146" s="2">
        <f t="shared" si="15"/>
        <v>6703520.3628359996</v>
      </c>
      <c r="S146" s="2">
        <f t="shared" si="16"/>
        <v>3886372.0949200001</v>
      </c>
      <c r="T146" s="2">
        <f t="shared" si="17"/>
        <v>2397021.4274780001</v>
      </c>
      <c r="U146" s="2">
        <f t="shared" si="18"/>
        <v>420126.84043799998</v>
      </c>
    </row>
    <row r="147" spans="1:21" ht="15" thickBot="1">
      <c r="A147" s="6" t="s">
        <v>60</v>
      </c>
      <c r="B147" s="7" t="s">
        <v>230</v>
      </c>
      <c r="C147" s="8">
        <v>1542546331066</v>
      </c>
      <c r="D147" s="8"/>
      <c r="E147" s="8">
        <v>1542546331066</v>
      </c>
      <c r="F147" s="8">
        <v>1045380500000</v>
      </c>
      <c r="G147" s="8">
        <v>427448025000</v>
      </c>
      <c r="H147" s="8">
        <v>69717806066</v>
      </c>
      <c r="I147" s="8">
        <v>6682867672854</v>
      </c>
      <c r="J147" s="8"/>
      <c r="K147" s="8">
        <v>6682867672854</v>
      </c>
      <c r="L147" s="8">
        <v>3871856287500</v>
      </c>
      <c r="M147" s="8">
        <v>2391431261000</v>
      </c>
      <c r="N147" s="8">
        <v>419580124354</v>
      </c>
      <c r="P147" s="2">
        <f t="shared" si="13"/>
        <v>6682867.6728539998</v>
      </c>
      <c r="Q147" s="2">
        <f t="shared" si="14"/>
        <v>0</v>
      </c>
      <c r="R147" s="2">
        <f t="shared" si="15"/>
        <v>6682867.6728539998</v>
      </c>
      <c r="S147" s="2">
        <f t="shared" si="16"/>
        <v>3871856.2875000001</v>
      </c>
      <c r="T147" s="2">
        <f t="shared" si="17"/>
        <v>2391431.2609999999</v>
      </c>
      <c r="U147" s="2">
        <f t="shared" si="18"/>
        <v>419580.12435400003</v>
      </c>
    </row>
    <row r="148" spans="1:21" ht="15" thickBot="1">
      <c r="A148" s="6" t="s">
        <v>520</v>
      </c>
      <c r="B148" s="7" t="s">
        <v>521</v>
      </c>
      <c r="C148" s="8">
        <v>1145748569209</v>
      </c>
      <c r="D148" s="8"/>
      <c r="E148" s="8">
        <v>1145748569209</v>
      </c>
      <c r="F148" s="8">
        <v>849988000000</v>
      </c>
      <c r="G148" s="8">
        <v>259161942000</v>
      </c>
      <c r="H148" s="8">
        <v>36598627209</v>
      </c>
      <c r="I148" s="8">
        <v>5113278987093</v>
      </c>
      <c r="J148" s="8"/>
      <c r="K148" s="8">
        <v>5113278987093</v>
      </c>
      <c r="L148" s="8">
        <v>2999986000000</v>
      </c>
      <c r="M148" s="8">
        <v>1756652400000</v>
      </c>
      <c r="N148" s="8">
        <v>356640587093</v>
      </c>
      <c r="P148" s="2">
        <f t="shared" si="13"/>
        <v>5113278.9870929997</v>
      </c>
      <c r="Q148" s="2">
        <f t="shared" si="14"/>
        <v>0</v>
      </c>
      <c r="R148" s="2">
        <f t="shared" si="15"/>
        <v>5113278.9870929997</v>
      </c>
      <c r="S148" s="2">
        <f t="shared" si="16"/>
        <v>2999986</v>
      </c>
      <c r="T148" s="2">
        <f t="shared" si="17"/>
        <v>1756652.4</v>
      </c>
      <c r="U148" s="2">
        <f t="shared" si="18"/>
        <v>356640.58709300001</v>
      </c>
    </row>
    <row r="149" spans="1:21" ht="15" thickBot="1">
      <c r="A149" s="6" t="s">
        <v>522</v>
      </c>
      <c r="B149" s="7" t="s">
        <v>523</v>
      </c>
      <c r="C149" s="8">
        <v>396797761857</v>
      </c>
      <c r="D149" s="8"/>
      <c r="E149" s="8">
        <v>396797761857</v>
      </c>
      <c r="F149" s="8">
        <v>195392500000</v>
      </c>
      <c r="G149" s="8">
        <v>168286083000</v>
      </c>
      <c r="H149" s="8">
        <v>33119178857</v>
      </c>
      <c r="I149" s="8">
        <v>1569588685761</v>
      </c>
      <c r="J149" s="8"/>
      <c r="K149" s="8">
        <v>1569588685761</v>
      </c>
      <c r="L149" s="8">
        <v>871870287500</v>
      </c>
      <c r="M149" s="8">
        <v>634778861000</v>
      </c>
      <c r="N149" s="8">
        <v>62939537261</v>
      </c>
      <c r="P149" s="2">
        <f t="shared" si="13"/>
        <v>1569588.685761</v>
      </c>
      <c r="Q149" s="2">
        <f t="shared" si="14"/>
        <v>0</v>
      </c>
      <c r="R149" s="2">
        <f t="shared" si="15"/>
        <v>1569588.685761</v>
      </c>
      <c r="S149" s="2">
        <f t="shared" si="16"/>
        <v>871870.28749999998</v>
      </c>
      <c r="T149" s="2">
        <f t="shared" si="17"/>
        <v>634778.86100000003</v>
      </c>
      <c r="U149" s="2">
        <f t="shared" si="18"/>
        <v>62939.537260999998</v>
      </c>
    </row>
    <row r="150" spans="1:21" ht="15" thickBot="1">
      <c r="A150" s="6" t="s">
        <v>524</v>
      </c>
      <c r="B150" s="7" t="s">
        <v>525</v>
      </c>
      <c r="C150" s="8">
        <v>396797761857</v>
      </c>
      <c r="D150" s="8"/>
      <c r="E150" s="8">
        <v>396797761857</v>
      </c>
      <c r="F150" s="8">
        <v>195392500000</v>
      </c>
      <c r="G150" s="8">
        <v>168286083000</v>
      </c>
      <c r="H150" s="8">
        <v>33119178857</v>
      </c>
      <c r="I150" s="8">
        <v>1569588685761</v>
      </c>
      <c r="J150" s="8"/>
      <c r="K150" s="8">
        <v>1569588685761</v>
      </c>
      <c r="L150" s="8">
        <v>871870287500</v>
      </c>
      <c r="M150" s="8">
        <v>634778861000</v>
      </c>
      <c r="N150" s="8">
        <v>62939537261</v>
      </c>
      <c r="P150" s="2">
        <f t="shared" si="13"/>
        <v>1569588.685761</v>
      </c>
      <c r="Q150" s="2">
        <f t="shared" si="14"/>
        <v>0</v>
      </c>
      <c r="R150" s="2">
        <f t="shared" si="15"/>
        <v>1569588.685761</v>
      </c>
      <c r="S150" s="2">
        <f t="shared" si="16"/>
        <v>871870.28749999998</v>
      </c>
      <c r="T150" s="2">
        <f t="shared" si="17"/>
        <v>634778.86100000003</v>
      </c>
      <c r="U150" s="2">
        <f t="shared" si="18"/>
        <v>62939.537260999998</v>
      </c>
    </row>
    <row r="151" spans="1:21" ht="15" thickBot="1">
      <c r="A151" s="6" t="s">
        <v>526</v>
      </c>
      <c r="B151" s="7" t="s">
        <v>527</v>
      </c>
      <c r="C151" s="8"/>
      <c r="D151" s="8"/>
      <c r="E151" s="8"/>
      <c r="F151" s="8"/>
      <c r="G151" s="8"/>
      <c r="H151" s="8" t="s">
        <v>394</v>
      </c>
      <c r="I151" s="8"/>
      <c r="J151" s="8"/>
      <c r="K151" s="8"/>
      <c r="L151" s="8"/>
      <c r="M151" s="8"/>
      <c r="N151" s="8"/>
      <c r="P151" s="2">
        <f t="shared" si="13"/>
        <v>0</v>
      </c>
      <c r="Q151" s="2">
        <f t="shared" si="14"/>
        <v>0</v>
      </c>
      <c r="R151" s="2">
        <f t="shared" si="15"/>
        <v>0</v>
      </c>
      <c r="S151" s="2">
        <f t="shared" si="16"/>
        <v>0</v>
      </c>
      <c r="T151" s="2">
        <f t="shared" si="17"/>
        <v>0</v>
      </c>
      <c r="U151" s="2">
        <f t="shared" si="18"/>
        <v>0</v>
      </c>
    </row>
    <row r="152" spans="1:21" ht="15" thickBot="1">
      <c r="A152" s="6" t="s">
        <v>103</v>
      </c>
      <c r="B152" s="7" t="s">
        <v>528</v>
      </c>
      <c r="C152" s="8">
        <v>5161416550</v>
      </c>
      <c r="D152" s="8"/>
      <c r="E152" s="8">
        <v>5161416550</v>
      </c>
      <c r="F152" s="8">
        <v>5000000000</v>
      </c>
      <c r="G152" s="8">
        <v>161416550</v>
      </c>
      <c r="H152" s="8" t="s">
        <v>394</v>
      </c>
      <c r="I152" s="8">
        <v>20105973898</v>
      </c>
      <c r="J152" s="8"/>
      <c r="K152" s="8">
        <v>20105973898</v>
      </c>
      <c r="L152" s="8">
        <v>14515807420</v>
      </c>
      <c r="M152" s="8">
        <v>5590166478</v>
      </c>
      <c r="N152" s="8"/>
      <c r="P152" s="2">
        <f t="shared" si="13"/>
        <v>20105.973898</v>
      </c>
      <c r="Q152" s="2">
        <f t="shared" si="14"/>
        <v>0</v>
      </c>
      <c r="R152" s="2">
        <f t="shared" si="15"/>
        <v>20105.973898</v>
      </c>
      <c r="S152" s="2">
        <f t="shared" si="16"/>
        <v>14515.807419999999</v>
      </c>
      <c r="T152" s="2">
        <f t="shared" si="17"/>
        <v>5590.1664780000001</v>
      </c>
      <c r="U152" s="2">
        <f t="shared" si="18"/>
        <v>0</v>
      </c>
    </row>
    <row r="153" spans="1:21" ht="15" thickBot="1">
      <c r="A153" s="6" t="s">
        <v>104</v>
      </c>
      <c r="B153" s="7" t="s">
        <v>529</v>
      </c>
      <c r="C153" s="8"/>
      <c r="D153" s="8"/>
      <c r="E153" s="8"/>
      <c r="F153" s="8"/>
      <c r="G153" s="8"/>
      <c r="H153" s="8" t="s">
        <v>394</v>
      </c>
      <c r="I153" s="8"/>
      <c r="J153" s="8"/>
      <c r="K153" s="8"/>
      <c r="L153" s="8"/>
      <c r="M153" s="8"/>
      <c r="N153" s="8"/>
      <c r="P153" s="2">
        <f t="shared" si="13"/>
        <v>0</v>
      </c>
      <c r="Q153" s="2">
        <f t="shared" si="14"/>
        <v>0</v>
      </c>
      <c r="R153" s="2">
        <f t="shared" si="15"/>
        <v>0</v>
      </c>
      <c r="S153" s="2">
        <f t="shared" si="16"/>
        <v>0</v>
      </c>
      <c r="T153" s="2">
        <f t="shared" si="17"/>
        <v>0</v>
      </c>
      <c r="U153" s="2">
        <f t="shared" si="18"/>
        <v>0</v>
      </c>
    </row>
    <row r="154" spans="1:21" ht="15" thickBot="1">
      <c r="A154" s="6" t="s">
        <v>124</v>
      </c>
      <c r="B154" s="7" t="s">
        <v>530</v>
      </c>
      <c r="C154" s="8">
        <v>-477582916</v>
      </c>
      <c r="D154" s="8"/>
      <c r="E154" s="8">
        <v>-477582916</v>
      </c>
      <c r="F154" s="8"/>
      <c r="G154" s="8"/>
      <c r="H154" s="8">
        <v>-477582916</v>
      </c>
      <c r="I154" s="8">
        <v>546716084</v>
      </c>
      <c r="J154" s="8"/>
      <c r="K154" s="8">
        <v>546716084</v>
      </c>
      <c r="L154" s="8"/>
      <c r="M154" s="8"/>
      <c r="N154" s="8">
        <v>546716084</v>
      </c>
      <c r="P154" s="2">
        <f t="shared" si="13"/>
        <v>546.71608400000002</v>
      </c>
      <c r="Q154" s="2">
        <f t="shared" si="14"/>
        <v>0</v>
      </c>
      <c r="R154" s="2">
        <f t="shared" si="15"/>
        <v>546.71608400000002</v>
      </c>
      <c r="S154" s="2">
        <f t="shared" si="16"/>
        <v>0</v>
      </c>
      <c r="T154" s="2">
        <f t="shared" si="17"/>
        <v>0</v>
      </c>
      <c r="U154" s="2">
        <f t="shared" si="18"/>
        <v>546.71608400000002</v>
      </c>
    </row>
    <row r="155" spans="1:21" ht="15" thickBot="1">
      <c r="A155" s="6" t="s">
        <v>171</v>
      </c>
      <c r="B155" s="7" t="s">
        <v>531</v>
      </c>
      <c r="C155" s="8"/>
      <c r="D155" s="8"/>
      <c r="E155" s="8"/>
      <c r="F155" s="8"/>
      <c r="G155" s="8"/>
      <c r="H155" s="8" t="s">
        <v>394</v>
      </c>
      <c r="I155" s="8">
        <v>952700360240</v>
      </c>
      <c r="J155" s="8"/>
      <c r="K155" s="8">
        <v>952700360240</v>
      </c>
      <c r="L155" s="8">
        <v>728946613072</v>
      </c>
      <c r="M155" s="8">
        <v>196441312564</v>
      </c>
      <c r="N155" s="8">
        <v>27312434604</v>
      </c>
      <c r="P155" s="2">
        <f t="shared" si="13"/>
        <v>952700.36023999995</v>
      </c>
      <c r="Q155" s="2">
        <f t="shared" si="14"/>
        <v>0</v>
      </c>
      <c r="R155" s="2">
        <f t="shared" si="15"/>
        <v>952700.36023999995</v>
      </c>
      <c r="S155" s="2">
        <f t="shared" si="16"/>
        <v>728946.61307199998</v>
      </c>
      <c r="T155" s="2">
        <f t="shared" si="17"/>
        <v>196441.31256399999</v>
      </c>
      <c r="U155" s="2">
        <f t="shared" si="18"/>
        <v>27312.434603999998</v>
      </c>
    </row>
    <row r="156" spans="1:21" ht="15" thickBot="1">
      <c r="A156" s="6" t="s">
        <v>60</v>
      </c>
      <c r="B156" s="7" t="s">
        <v>532</v>
      </c>
      <c r="C156" s="8"/>
      <c r="D156" s="8"/>
      <c r="E156" s="8"/>
      <c r="F156" s="8"/>
      <c r="G156" s="8"/>
      <c r="H156" s="8" t="s">
        <v>394</v>
      </c>
      <c r="I156" s="8">
        <v>952700360240</v>
      </c>
      <c r="J156" s="8"/>
      <c r="K156" s="8">
        <v>952700360240</v>
      </c>
      <c r="L156" s="8">
        <v>728946613072</v>
      </c>
      <c r="M156" s="8">
        <v>196441312564</v>
      </c>
      <c r="N156" s="8">
        <v>27312434604</v>
      </c>
      <c r="P156" s="2">
        <f t="shared" si="13"/>
        <v>952700.36023999995</v>
      </c>
      <c r="Q156" s="2">
        <f t="shared" si="14"/>
        <v>0</v>
      </c>
      <c r="R156" s="2">
        <f t="shared" si="15"/>
        <v>952700.36023999995</v>
      </c>
      <c r="S156" s="2">
        <f t="shared" si="16"/>
        <v>728946.61307199998</v>
      </c>
      <c r="T156" s="2">
        <f t="shared" si="17"/>
        <v>196441.31256399999</v>
      </c>
      <c r="U156" s="2">
        <f t="shared" si="18"/>
        <v>27312.434603999998</v>
      </c>
    </row>
    <row r="157" spans="1:21" ht="15" thickBot="1">
      <c r="A157" s="6" t="s">
        <v>533</v>
      </c>
      <c r="B157" s="7" t="s">
        <v>534</v>
      </c>
      <c r="C157" s="8">
        <v>27687899729</v>
      </c>
      <c r="D157" s="8"/>
      <c r="E157" s="8">
        <v>27687899729</v>
      </c>
      <c r="F157" s="8">
        <v>3662589011</v>
      </c>
      <c r="G157" s="8">
        <v>22858609007</v>
      </c>
      <c r="H157" s="8">
        <v>1166701711</v>
      </c>
      <c r="I157" s="8">
        <v>29265048738</v>
      </c>
      <c r="J157" s="8"/>
      <c r="K157" s="8">
        <v>29265048738</v>
      </c>
      <c r="L157" s="8">
        <v>3662589011</v>
      </c>
      <c r="M157" s="8">
        <v>23622223230</v>
      </c>
      <c r="N157" s="8">
        <v>1980236497</v>
      </c>
      <c r="P157" s="2">
        <f t="shared" si="13"/>
        <v>29265.048738000001</v>
      </c>
      <c r="Q157" s="2">
        <f t="shared" si="14"/>
        <v>0</v>
      </c>
      <c r="R157" s="2">
        <f t="shared" si="15"/>
        <v>29265.048738000001</v>
      </c>
      <c r="S157" s="2">
        <f t="shared" si="16"/>
        <v>3662.589011</v>
      </c>
      <c r="T157" s="2">
        <f t="shared" si="17"/>
        <v>23622.22323</v>
      </c>
      <c r="U157" s="2">
        <f t="shared" si="18"/>
        <v>1980.2364970000001</v>
      </c>
    </row>
    <row r="158" spans="1:21" ht="15" thickBot="1">
      <c r="A158" s="6" t="s">
        <v>60</v>
      </c>
      <c r="B158" s="7" t="s">
        <v>535</v>
      </c>
      <c r="C158" s="8">
        <v>27687899729</v>
      </c>
      <c r="D158" s="8"/>
      <c r="E158" s="8">
        <v>27687899729</v>
      </c>
      <c r="F158" s="8">
        <v>3662589011</v>
      </c>
      <c r="G158" s="8">
        <v>22858609007</v>
      </c>
      <c r="H158" s="8">
        <v>1166701711</v>
      </c>
      <c r="I158" s="8">
        <v>29265048738</v>
      </c>
      <c r="J158" s="8"/>
      <c r="K158" s="8">
        <v>29265048738</v>
      </c>
      <c r="L158" s="8">
        <v>3662589011</v>
      </c>
      <c r="M158" s="8">
        <v>23622223230</v>
      </c>
      <c r="N158" s="8">
        <v>1980236497</v>
      </c>
      <c r="P158" s="2">
        <f t="shared" si="13"/>
        <v>29265.048738000001</v>
      </c>
      <c r="Q158" s="2">
        <f t="shared" si="14"/>
        <v>0</v>
      </c>
      <c r="R158" s="2">
        <f t="shared" si="15"/>
        <v>29265.048738000001</v>
      </c>
      <c r="S158" s="2">
        <f t="shared" si="16"/>
        <v>3662.589011</v>
      </c>
      <c r="T158" s="2">
        <f t="shared" si="17"/>
        <v>23622.22323</v>
      </c>
      <c r="U158" s="2">
        <f t="shared" si="18"/>
        <v>1980.2364970000001</v>
      </c>
    </row>
    <row r="159" spans="1:21">
      <c r="A159" s="1105"/>
      <c r="B159" s="1105"/>
      <c r="C159" s="1105"/>
      <c r="D159" s="1105"/>
      <c r="E159" s="1105"/>
      <c r="F159" s="1105"/>
      <c r="G159" s="1105"/>
      <c r="H159" s="1105"/>
      <c r="I159" s="1105"/>
      <c r="J159" s="1105"/>
      <c r="K159" s="1105"/>
      <c r="L159" s="1105"/>
      <c r="M159" s="1105"/>
      <c r="N159" s="1105"/>
    </row>
    <row r="160" spans="1:21" ht="15">
      <c r="A160" s="1"/>
      <c r="B160" s="1104"/>
      <c r="C160" s="1104"/>
      <c r="D160" s="1104"/>
      <c r="E160" s="1104"/>
      <c r="F160" s="1104"/>
      <c r="G160" s="1104"/>
      <c r="H160" s="1104"/>
      <c r="I160" s="1103" t="s">
        <v>562</v>
      </c>
      <c r="J160" s="1103"/>
      <c r="K160" s="1103"/>
      <c r="L160" s="1103"/>
      <c r="M160" s="1103"/>
      <c r="N160" s="1"/>
    </row>
    <row r="161" spans="1:14" ht="15">
      <c r="A161" s="1"/>
      <c r="B161" s="1103" t="s">
        <v>536</v>
      </c>
      <c r="C161" s="1103"/>
      <c r="D161" s="1103" t="s">
        <v>537</v>
      </c>
      <c r="E161" s="1103"/>
      <c r="F161" s="1103"/>
      <c r="G161" s="1103"/>
      <c r="H161" s="1103"/>
      <c r="I161" s="1103" t="s">
        <v>538</v>
      </c>
      <c r="J161" s="1103"/>
      <c r="K161" s="1103"/>
      <c r="L161" s="1103"/>
      <c r="M161" s="1103"/>
      <c r="N161" s="1"/>
    </row>
    <row r="162" spans="1:14" ht="15">
      <c r="A162" s="1"/>
      <c r="B162" s="1104"/>
      <c r="C162" s="1104"/>
      <c r="D162" s="1104"/>
      <c r="E162" s="1104"/>
      <c r="F162" s="1104"/>
      <c r="G162" s="1104"/>
      <c r="H162" s="1104"/>
      <c r="I162" s="1104"/>
      <c r="J162" s="1104"/>
      <c r="K162" s="1104"/>
      <c r="L162" s="1104"/>
      <c r="M162" s="1104"/>
      <c r="N162" s="1"/>
    </row>
    <row r="163" spans="1:14" ht="15">
      <c r="A163" s="1"/>
      <c r="B163" s="1104"/>
      <c r="C163" s="1104"/>
      <c r="D163" s="1104"/>
      <c r="E163" s="1104"/>
      <c r="F163" s="1104"/>
      <c r="G163" s="1104"/>
      <c r="H163" s="1104"/>
      <c r="I163" s="1104"/>
      <c r="J163" s="1104"/>
      <c r="K163" s="1104"/>
      <c r="L163" s="1104"/>
      <c r="M163" s="1104"/>
      <c r="N163" s="1"/>
    </row>
    <row r="164" spans="1:14" ht="15">
      <c r="A164" s="1"/>
      <c r="B164" s="1104"/>
      <c r="C164" s="1104"/>
      <c r="D164" s="1104"/>
      <c r="E164" s="1104"/>
      <c r="F164" s="1104"/>
      <c r="G164" s="1104"/>
      <c r="H164" s="1104"/>
      <c r="I164" s="1104"/>
      <c r="J164" s="1104"/>
      <c r="K164" s="1104"/>
      <c r="L164" s="1104"/>
      <c r="M164" s="1104"/>
      <c r="N164" s="1"/>
    </row>
    <row r="165" spans="1:14" ht="15">
      <c r="A165" s="1"/>
      <c r="B165" s="1104"/>
      <c r="C165" s="1104"/>
      <c r="D165" s="1104"/>
      <c r="E165" s="1104"/>
      <c r="F165" s="1104"/>
      <c r="G165" s="1104"/>
      <c r="H165" s="1104"/>
      <c r="I165" s="1104"/>
      <c r="J165" s="1104"/>
      <c r="K165" s="1104"/>
      <c r="L165" s="1104"/>
      <c r="M165" s="1104"/>
      <c r="N165" s="1"/>
    </row>
    <row r="166" spans="1:14" ht="15">
      <c r="A166" s="1"/>
      <c r="B166" s="1103" t="s">
        <v>539</v>
      </c>
      <c r="C166" s="1103"/>
      <c r="D166" s="1103" t="s">
        <v>540</v>
      </c>
      <c r="E166" s="1103"/>
      <c r="F166" s="1103"/>
      <c r="G166" s="1103"/>
      <c r="H166" s="1103"/>
      <c r="I166" s="1103" t="s">
        <v>194</v>
      </c>
      <c r="J166" s="1103"/>
      <c r="K166" s="1103"/>
      <c r="L166" s="1103"/>
      <c r="M166" s="1103"/>
      <c r="N166" s="1"/>
    </row>
  </sheetData>
  <mergeCells count="48">
    <mergeCell ref="A4:N4"/>
    <mergeCell ref="P8:U8"/>
    <mergeCell ref="P9:P10"/>
    <mergeCell ref="Q9:Q10"/>
    <mergeCell ref="R9:R10"/>
    <mergeCell ref="S9:U9"/>
    <mergeCell ref="A1:E1"/>
    <mergeCell ref="K1:N1"/>
    <mergeCell ref="A2:E2"/>
    <mergeCell ref="K2:N2"/>
    <mergeCell ref="A3:N3"/>
    <mergeCell ref="A159:N159"/>
    <mergeCell ref="A5:N5"/>
    <mergeCell ref="A6:N6"/>
    <mergeCell ref="L7:N7"/>
    <mergeCell ref="A8:A10"/>
    <mergeCell ref="B8:B10"/>
    <mergeCell ref="C8:H8"/>
    <mergeCell ref="I8:N8"/>
    <mergeCell ref="C9:C10"/>
    <mergeCell ref="D9:D10"/>
    <mergeCell ref="E9:E10"/>
    <mergeCell ref="F9:H9"/>
    <mergeCell ref="I9:I10"/>
    <mergeCell ref="J9:J10"/>
    <mergeCell ref="K9:K10"/>
    <mergeCell ref="L9:N9"/>
    <mergeCell ref="B160:C160"/>
    <mergeCell ref="D160:H160"/>
    <mergeCell ref="I160:M160"/>
    <mergeCell ref="B161:C161"/>
    <mergeCell ref="D161:H161"/>
    <mergeCell ref="I161:M161"/>
    <mergeCell ref="B162:C162"/>
    <mergeCell ref="D162:H162"/>
    <mergeCell ref="I162:M162"/>
    <mergeCell ref="B163:C163"/>
    <mergeCell ref="D163:H163"/>
    <mergeCell ref="I163:M163"/>
    <mergeCell ref="B166:C166"/>
    <mergeCell ref="D166:H166"/>
    <mergeCell ref="I166:M166"/>
    <mergeCell ref="B164:C164"/>
    <mergeCell ref="D164:H164"/>
    <mergeCell ref="I164:M164"/>
    <mergeCell ref="B165:C165"/>
    <mergeCell ref="D165:H165"/>
    <mergeCell ref="I165:M16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96"/>
  <sheetViews>
    <sheetView zoomScale="85" zoomScaleNormal="85" workbookViewId="0">
      <pane xSplit="3" ySplit="8" topLeftCell="E9" activePane="bottomRight" state="frozen"/>
      <selection activeCell="M54" sqref="M54"/>
      <selection pane="topRight" activeCell="M54" sqref="M54"/>
      <selection pane="bottomLeft" activeCell="M54" sqref="M54"/>
      <selection pane="bottomRight" activeCell="X72" sqref="X72"/>
    </sheetView>
  </sheetViews>
  <sheetFormatPr defaultColWidth="9" defaultRowHeight="15" outlineLevelRow="1" outlineLevelCol="1"/>
  <cols>
    <col min="1" max="1" width="4.625" style="319" customWidth="1"/>
    <col min="2" max="2" width="49" style="316" customWidth="1"/>
    <col min="3" max="3" width="17" style="317" hidden="1" customWidth="1"/>
    <col min="4" max="4" width="10.75" style="317" hidden="1" customWidth="1" outlineLevel="1"/>
    <col min="5" max="5" width="12" style="317" hidden="1" customWidth="1" outlineLevel="1"/>
    <col min="6" max="6" width="10.875" style="317" hidden="1" customWidth="1" outlineLevel="1"/>
    <col min="7" max="9" width="10.875" style="319" hidden="1" customWidth="1" outlineLevel="1"/>
    <col min="10" max="10" width="10.875" style="319" customWidth="1" collapsed="1"/>
    <col min="11" max="12" width="10.875" style="319" customWidth="1"/>
    <col min="13" max="13" width="11.125" style="319" customWidth="1"/>
    <col min="14" max="14" width="11.625" style="319" customWidth="1"/>
    <col min="15" max="15" width="11.75" style="319" customWidth="1"/>
    <col min="16" max="16" width="16.25" style="484" customWidth="1"/>
    <col min="17" max="17" width="21.125" style="408" hidden="1" customWidth="1" outlineLevel="1"/>
    <col min="18" max="18" width="17.375" style="408" hidden="1" customWidth="1" outlineLevel="1"/>
    <col min="19" max="19" width="15.125" style="408" hidden="1" customWidth="1" outlineLevel="1"/>
    <col min="20" max="22" width="15.625" style="408" hidden="1" customWidth="1" outlineLevel="1"/>
    <col min="23" max="23" width="15" style="408" customWidth="1" collapsed="1"/>
    <col min="24" max="24" width="19.875" style="408" bestFit="1" customWidth="1"/>
    <col min="25" max="25" width="15.875" style="408" bestFit="1" customWidth="1"/>
    <col min="26" max="26" width="13.625" style="408" customWidth="1"/>
    <col min="27" max="27" width="13.875" style="408" bestFit="1" customWidth="1"/>
    <col min="28" max="39" width="9" style="408"/>
    <col min="40" max="16384" width="9" style="319"/>
  </cols>
  <sheetData>
    <row r="1" spans="1:39" ht="15.75">
      <c r="A1" s="315"/>
      <c r="F1" s="318"/>
      <c r="G1" s="318"/>
      <c r="H1" s="318"/>
      <c r="I1" s="318"/>
      <c r="J1" s="318"/>
      <c r="K1" s="583">
        <f>K12-K56-K78-K80-K77</f>
        <v>2017800</v>
      </c>
      <c r="L1" s="583">
        <f>L12-L56-L78-L80-L77</f>
        <v>2247750</v>
      </c>
      <c r="M1" s="583">
        <f>M12-M56-M78-M80-M77</f>
        <v>2222000</v>
      </c>
      <c r="N1" s="583">
        <f>N12-N56-N78-N80-N77</f>
        <v>2616700</v>
      </c>
      <c r="O1" s="583">
        <f>O12-O56-O78-O80-O77</f>
        <v>2871100</v>
      </c>
      <c r="P1" s="408"/>
    </row>
    <row r="2" spans="1:39" ht="15.75">
      <c r="F2" s="318"/>
      <c r="G2" s="318"/>
      <c r="H2" s="318"/>
      <c r="I2" s="318"/>
      <c r="J2" s="318"/>
      <c r="K2" s="584"/>
      <c r="L2" s="584"/>
      <c r="M2" s="598">
        <f>M1/K1</f>
        <v>1.1011993259986124</v>
      </c>
      <c r="N2" s="598">
        <f>N1/M1</f>
        <v>1.1776327632763277</v>
      </c>
      <c r="O2" s="598">
        <f>O1/N1</f>
        <v>1.0972216914434212</v>
      </c>
      <c r="P2" s="408"/>
    </row>
    <row r="3" spans="1:39" s="324" customFormat="1" ht="20.25" customHeight="1">
      <c r="A3" s="320" t="s">
        <v>233</v>
      </c>
      <c r="B3" s="321"/>
      <c r="C3" s="322"/>
      <c r="D3" s="323"/>
      <c r="E3" s="322"/>
      <c r="F3" s="323"/>
      <c r="M3" s="965"/>
      <c r="N3" s="965"/>
      <c r="O3" s="325" t="s">
        <v>311</v>
      </c>
      <c r="P3" s="485"/>
      <c r="Q3" s="806"/>
      <c r="R3" s="409"/>
      <c r="S3" s="409"/>
      <c r="T3" s="409"/>
      <c r="U3" s="409"/>
      <c r="V3" s="409"/>
      <c r="W3" s="409"/>
      <c r="X3" s="409"/>
      <c r="Y3" s="409"/>
      <c r="Z3" s="409"/>
      <c r="AA3" s="409"/>
      <c r="AB3" s="409"/>
      <c r="AC3" s="409"/>
      <c r="AD3" s="409"/>
      <c r="AE3" s="409"/>
      <c r="AF3" s="409"/>
      <c r="AG3" s="409"/>
      <c r="AH3" s="409"/>
      <c r="AI3" s="409"/>
      <c r="AJ3" s="409"/>
      <c r="AK3" s="409"/>
      <c r="AL3" s="409"/>
      <c r="AM3" s="409"/>
    </row>
    <row r="4" spans="1:39" s="326" customFormat="1" ht="19.5" customHeight="1">
      <c r="A4" s="966" t="s">
        <v>702</v>
      </c>
      <c r="B4" s="966"/>
      <c r="C4" s="966"/>
      <c r="D4" s="966"/>
      <c r="E4" s="966"/>
      <c r="F4" s="966"/>
      <c r="G4" s="966"/>
      <c r="H4" s="966"/>
      <c r="I4" s="966"/>
      <c r="J4" s="966"/>
      <c r="K4" s="966"/>
      <c r="L4" s="966"/>
      <c r="M4" s="966"/>
      <c r="N4" s="966"/>
      <c r="P4" s="486"/>
      <c r="Q4" s="410"/>
      <c r="R4" s="410"/>
      <c r="S4" s="410"/>
      <c r="T4" s="410"/>
      <c r="U4" s="410"/>
      <c r="V4" s="410"/>
      <c r="W4" s="410"/>
      <c r="X4" s="410"/>
      <c r="Y4" s="410"/>
      <c r="Z4" s="410"/>
      <c r="AA4" s="410"/>
      <c r="AB4" s="410"/>
      <c r="AC4" s="410"/>
      <c r="AD4" s="410"/>
      <c r="AE4" s="410"/>
      <c r="AF4" s="410"/>
      <c r="AG4" s="410"/>
      <c r="AH4" s="410"/>
      <c r="AI4" s="410"/>
      <c r="AJ4" s="410"/>
      <c r="AK4" s="410"/>
      <c r="AL4" s="410"/>
      <c r="AM4" s="410"/>
    </row>
    <row r="5" spans="1:39" ht="21" customHeight="1">
      <c r="A5" s="324"/>
      <c r="B5" s="327"/>
      <c r="C5" s="328"/>
      <c r="D5" s="328"/>
      <c r="E5" s="328"/>
      <c r="F5" s="328"/>
      <c r="G5" s="324"/>
      <c r="H5" s="324"/>
      <c r="I5" s="324"/>
      <c r="J5" s="324"/>
      <c r="K5" s="324"/>
      <c r="L5" s="324"/>
      <c r="M5" s="967" t="s">
        <v>54</v>
      </c>
      <c r="N5" s="967"/>
    </row>
    <row r="6" spans="1:39" s="329" customFormat="1" ht="24" customHeight="1">
      <c r="A6" s="968" t="s">
        <v>0</v>
      </c>
      <c r="B6" s="971" t="s">
        <v>1</v>
      </c>
      <c r="C6" s="963" t="s">
        <v>55</v>
      </c>
      <c r="D6" s="972" t="s">
        <v>182</v>
      </c>
      <c r="E6" s="973"/>
      <c r="F6" s="974"/>
      <c r="G6" s="975" t="s">
        <v>183</v>
      </c>
      <c r="H6" s="975"/>
      <c r="I6" s="975"/>
      <c r="J6" s="962" t="s">
        <v>572</v>
      </c>
      <c r="K6" s="962"/>
      <c r="L6" s="962"/>
      <c r="M6" s="962" t="s">
        <v>56</v>
      </c>
      <c r="N6" s="962"/>
      <c r="O6" s="962"/>
      <c r="P6" s="487"/>
      <c r="Q6" s="807"/>
      <c r="R6" s="411"/>
      <c r="S6" s="411"/>
      <c r="T6" s="411"/>
      <c r="U6" s="411"/>
      <c r="V6" s="411"/>
      <c r="W6" s="411"/>
      <c r="X6" s="411"/>
      <c r="Y6" s="411"/>
      <c r="Z6" s="411"/>
      <c r="AA6" s="411"/>
      <c r="AB6" s="411"/>
      <c r="AC6" s="411"/>
      <c r="AD6" s="411"/>
      <c r="AE6" s="411"/>
      <c r="AF6" s="411"/>
      <c r="AG6" s="411"/>
      <c r="AH6" s="411"/>
      <c r="AI6" s="411"/>
      <c r="AJ6" s="411"/>
      <c r="AK6" s="411"/>
      <c r="AL6" s="411"/>
      <c r="AM6" s="411"/>
    </row>
    <row r="7" spans="1:39" s="330" customFormat="1" ht="22.5" customHeight="1">
      <c r="A7" s="969"/>
      <c r="B7" s="971"/>
      <c r="C7" s="963"/>
      <c r="D7" s="963" t="s">
        <v>57</v>
      </c>
      <c r="E7" s="963" t="s">
        <v>58</v>
      </c>
      <c r="F7" s="963" t="s">
        <v>564</v>
      </c>
      <c r="G7" s="963" t="s">
        <v>57</v>
      </c>
      <c r="H7" s="963" t="s">
        <v>58</v>
      </c>
      <c r="I7" s="963" t="s">
        <v>580</v>
      </c>
      <c r="J7" s="963" t="s">
        <v>57</v>
      </c>
      <c r="K7" s="963" t="s">
        <v>58</v>
      </c>
      <c r="L7" s="964" t="s">
        <v>580</v>
      </c>
      <c r="M7" s="963" t="s">
        <v>703</v>
      </c>
      <c r="N7" s="963" t="s">
        <v>609</v>
      </c>
      <c r="O7" s="963" t="s">
        <v>704</v>
      </c>
      <c r="P7" s="488"/>
      <c r="Q7" s="808"/>
      <c r="R7" s="411"/>
      <c r="S7" s="411"/>
      <c r="T7" s="411"/>
      <c r="U7" s="411"/>
      <c r="V7" s="411"/>
      <c r="W7" s="412"/>
      <c r="X7" s="412"/>
      <c r="Y7" s="412"/>
      <c r="Z7" s="412"/>
      <c r="AA7" s="412"/>
      <c r="AB7" s="412"/>
      <c r="AC7" s="412"/>
      <c r="AD7" s="412"/>
      <c r="AE7" s="412"/>
      <c r="AF7" s="412"/>
      <c r="AG7" s="412"/>
      <c r="AH7" s="412"/>
      <c r="AI7" s="412"/>
      <c r="AJ7" s="412"/>
      <c r="AK7" s="412"/>
      <c r="AL7" s="412"/>
      <c r="AM7" s="412"/>
    </row>
    <row r="8" spans="1:39" s="329" customFormat="1" ht="43.5" customHeight="1">
      <c r="A8" s="970"/>
      <c r="B8" s="971"/>
      <c r="C8" s="963"/>
      <c r="D8" s="963"/>
      <c r="E8" s="963"/>
      <c r="F8" s="963"/>
      <c r="G8" s="963"/>
      <c r="H8" s="963"/>
      <c r="I8" s="963"/>
      <c r="J8" s="963"/>
      <c r="K8" s="963"/>
      <c r="L8" s="964"/>
      <c r="M8" s="963"/>
      <c r="N8" s="963"/>
      <c r="O8" s="963"/>
      <c r="P8" s="489"/>
      <c r="Q8" s="809"/>
      <c r="R8" s="960" t="s">
        <v>592</v>
      </c>
      <c r="S8" s="961"/>
      <c r="T8" s="961"/>
      <c r="U8" s="961"/>
      <c r="V8" s="961"/>
      <c r="W8" s="411"/>
      <c r="X8" s="411"/>
      <c r="Y8" s="411"/>
      <c r="Z8" s="411"/>
      <c r="AA8" s="411"/>
      <c r="AB8" s="411"/>
      <c r="AC8" s="411"/>
      <c r="AD8" s="411"/>
      <c r="AE8" s="411"/>
      <c r="AF8" s="411"/>
      <c r="AG8" s="411"/>
      <c r="AH8" s="411"/>
      <c r="AI8" s="411"/>
      <c r="AJ8" s="411"/>
      <c r="AK8" s="411"/>
      <c r="AL8" s="411"/>
      <c r="AM8" s="411"/>
    </row>
    <row r="9" spans="1:39" s="336" customFormat="1" ht="16.5" customHeight="1">
      <c r="A9" s="331" t="s">
        <v>158</v>
      </c>
      <c r="B9" s="332" t="s">
        <v>160</v>
      </c>
      <c r="C9" s="333">
        <v>1</v>
      </c>
      <c r="D9" s="333">
        <v>1</v>
      </c>
      <c r="E9" s="333">
        <v>2</v>
      </c>
      <c r="F9" s="333">
        <v>3</v>
      </c>
      <c r="G9" s="334" t="s">
        <v>186</v>
      </c>
      <c r="H9" s="334" t="s">
        <v>187</v>
      </c>
      <c r="I9" s="334" t="s">
        <v>188</v>
      </c>
      <c r="J9" s="334" t="s">
        <v>186</v>
      </c>
      <c r="K9" s="334" t="s">
        <v>187</v>
      </c>
      <c r="L9" s="335" t="s">
        <v>188</v>
      </c>
      <c r="M9" s="334" t="s">
        <v>189</v>
      </c>
      <c r="N9" s="334" t="s">
        <v>190</v>
      </c>
      <c r="O9" s="334" t="s">
        <v>573</v>
      </c>
      <c r="P9" s="490"/>
      <c r="Q9" s="810"/>
      <c r="R9" s="811"/>
      <c r="S9" s="811"/>
      <c r="T9" s="811"/>
      <c r="U9" s="811"/>
      <c r="V9" s="811"/>
      <c r="W9" s="413"/>
      <c r="X9" s="413"/>
      <c r="Y9" s="413"/>
      <c r="Z9" s="413"/>
      <c r="AA9" s="413"/>
      <c r="AB9" s="413"/>
      <c r="AC9" s="413"/>
      <c r="AD9" s="413"/>
      <c r="AE9" s="413"/>
      <c r="AF9" s="413"/>
      <c r="AG9" s="413"/>
      <c r="AH9" s="413"/>
      <c r="AI9" s="413"/>
      <c r="AJ9" s="413"/>
      <c r="AK9" s="413"/>
      <c r="AL9" s="413"/>
      <c r="AM9" s="413"/>
    </row>
    <row r="10" spans="1:39" s="336" customFormat="1" ht="16.5" customHeight="1">
      <c r="A10" s="337"/>
      <c r="B10" s="338" t="s">
        <v>228</v>
      </c>
      <c r="C10" s="339"/>
      <c r="D10" s="340">
        <f t="shared" ref="D10:O10" si="0">D11+D89</f>
        <v>1810000</v>
      </c>
      <c r="E10" s="340">
        <f t="shared" si="0"/>
        <v>1848000</v>
      </c>
      <c r="F10" s="340">
        <f t="shared" si="0"/>
        <v>2467637.9677629997</v>
      </c>
      <c r="G10" s="340">
        <f t="shared" si="0"/>
        <v>2079000</v>
      </c>
      <c r="H10" s="340">
        <f t="shared" si="0"/>
        <v>2191000</v>
      </c>
      <c r="I10" s="340">
        <f t="shared" si="0"/>
        <v>2369300</v>
      </c>
      <c r="J10" s="340">
        <f t="shared" si="0"/>
        <v>2654600</v>
      </c>
      <c r="K10" s="340">
        <f t="shared" si="0"/>
        <v>3500000</v>
      </c>
      <c r="L10" s="341">
        <f t="shared" si="0"/>
        <v>3500000</v>
      </c>
      <c r="M10" s="340">
        <f t="shared" si="0"/>
        <v>3600000</v>
      </c>
      <c r="N10" s="340">
        <f t="shared" si="0"/>
        <v>3772000</v>
      </c>
      <c r="O10" s="340">
        <f t="shared" si="0"/>
        <v>4128000</v>
      </c>
      <c r="P10" s="491"/>
      <c r="Q10" s="812"/>
      <c r="R10" s="811"/>
      <c r="S10" s="811"/>
      <c r="T10" s="811"/>
      <c r="U10" s="811"/>
      <c r="V10" s="811"/>
      <c r="W10" s="813"/>
      <c r="X10" s="413"/>
      <c r="Y10" s="413"/>
      <c r="Z10" s="413"/>
      <c r="AA10" s="413"/>
      <c r="AB10" s="413"/>
      <c r="AC10" s="413"/>
      <c r="AD10" s="413"/>
      <c r="AE10" s="413"/>
      <c r="AF10" s="413"/>
      <c r="AG10" s="413"/>
      <c r="AH10" s="413"/>
      <c r="AI10" s="413"/>
      <c r="AJ10" s="413"/>
      <c r="AK10" s="413"/>
      <c r="AL10" s="413"/>
      <c r="AM10" s="413"/>
    </row>
    <row r="11" spans="1:39" s="329" customFormat="1" ht="25.5" customHeight="1">
      <c r="A11" s="342" t="s">
        <v>158</v>
      </c>
      <c r="B11" s="343" t="s">
        <v>610</v>
      </c>
      <c r="C11" s="344"/>
      <c r="D11" s="345">
        <f t="shared" ref="D11:O11" si="1">D12+D81</f>
        <v>1810000</v>
      </c>
      <c r="E11" s="345">
        <f t="shared" si="1"/>
        <v>1817000</v>
      </c>
      <c r="F11" s="345">
        <f t="shared" si="1"/>
        <v>2423703.9677629997</v>
      </c>
      <c r="G11" s="345">
        <f t="shared" si="1"/>
        <v>2079000</v>
      </c>
      <c r="H11" s="345">
        <f t="shared" si="1"/>
        <v>2171000</v>
      </c>
      <c r="I11" s="345">
        <f t="shared" si="1"/>
        <v>2351300</v>
      </c>
      <c r="J11" s="345">
        <f t="shared" si="1"/>
        <v>2654600</v>
      </c>
      <c r="K11" s="345">
        <f t="shared" si="1"/>
        <v>3500000</v>
      </c>
      <c r="L11" s="346">
        <f t="shared" si="1"/>
        <v>3500000</v>
      </c>
      <c r="M11" s="345">
        <f t="shared" si="1"/>
        <v>3600000</v>
      </c>
      <c r="N11" s="345">
        <f t="shared" si="1"/>
        <v>3772000</v>
      </c>
      <c r="O11" s="345">
        <f t="shared" si="1"/>
        <v>4128000</v>
      </c>
      <c r="P11" s="599"/>
      <c r="Q11" s="599"/>
      <c r="R11" s="814"/>
      <c r="S11" s="814"/>
      <c r="T11" s="814"/>
      <c r="U11" s="814"/>
      <c r="V11" s="814"/>
      <c r="W11" s="414"/>
      <c r="X11" s="414"/>
      <c r="Y11" s="414"/>
      <c r="Z11" s="414"/>
      <c r="AA11" s="414"/>
      <c r="AB11" s="411"/>
      <c r="AC11" s="411"/>
      <c r="AD11" s="411"/>
      <c r="AE11" s="411"/>
      <c r="AF11" s="411"/>
      <c r="AG11" s="411"/>
      <c r="AH11" s="411"/>
      <c r="AI11" s="411"/>
      <c r="AJ11" s="411"/>
      <c r="AK11" s="411"/>
      <c r="AL11" s="411"/>
      <c r="AM11" s="411"/>
    </row>
    <row r="12" spans="1:39" s="351" customFormat="1" ht="18" customHeight="1">
      <c r="A12" s="342" t="s">
        <v>60</v>
      </c>
      <c r="B12" s="347" t="s">
        <v>611</v>
      </c>
      <c r="C12" s="348"/>
      <c r="D12" s="349">
        <f t="shared" ref="D12:J12" si="2">D13+D21+D27+D39+D45+D46+D47+D48+D49+D52+D56+D59+D60+D63+D66+D69+D70+D72+D75+D76+D77</f>
        <v>1720000</v>
      </c>
      <c r="E12" s="349">
        <f t="shared" si="2"/>
        <v>1727000</v>
      </c>
      <c r="F12" s="349">
        <f t="shared" si="2"/>
        <v>2128525.1244289996</v>
      </c>
      <c r="G12" s="349">
        <f t="shared" si="2"/>
        <v>1827000</v>
      </c>
      <c r="H12" s="349">
        <f t="shared" si="2"/>
        <v>1919000</v>
      </c>
      <c r="I12" s="349">
        <f t="shared" si="2"/>
        <v>2127300</v>
      </c>
      <c r="J12" s="349">
        <f t="shared" si="2"/>
        <v>2407800</v>
      </c>
      <c r="K12" s="349">
        <f>K13+K21+K27+K39+K45+K46+K47+K48+K49+K52+K56+K59+K60+K63+K66+K69+K70+K72+K75+K76+K77+K78+K80</f>
        <v>3253200</v>
      </c>
      <c r="L12" s="350">
        <f>L13+L21+L27+L39+L45+L46+L47+L48+L49+L52+L56+L59+L60+L63+L66+L69+L70+L72+L75+L76+L77+L78</f>
        <v>3231000</v>
      </c>
      <c r="M12" s="349">
        <f>M13+M21+M27+M39+M45+M46+M47+M48+M49+M52+M56+M59+M60+M63+M66+M69+M70+M72+M75+M76+M77+M78</f>
        <v>3330000</v>
      </c>
      <c r="N12" s="349">
        <f>N13+N21+N27+N39+N45+N46+N47+N48+N49+N52+N56+N59+N60+N63+N66+N69+N70+N72+N75+N76+N77+N78</f>
        <v>3441000</v>
      </c>
      <c r="O12" s="349">
        <f>O13+O21+O27+O39+O45+O46+O47+O48+O49+O52+O56+O59+O60+O63+O66+O69+O70+O72+O75+O76+O77+O78</f>
        <v>3774000.4699999997</v>
      </c>
      <c r="P12" s="600">
        <f>N12/M12</f>
        <v>1.0333333333333334</v>
      </c>
      <c r="Q12" s="600">
        <f t="shared" ref="Q12:V12" si="3">O12/N12</f>
        <v>1.0967743301365882</v>
      </c>
      <c r="R12" s="600">
        <f t="shared" si="3"/>
        <v>2.7380318088125024E-7</v>
      </c>
      <c r="S12" s="600">
        <f t="shared" si="3"/>
        <v>1.0613945130354079</v>
      </c>
      <c r="T12" s="600">
        <f t="shared" si="3"/>
        <v>2.4964404559609982E-7</v>
      </c>
      <c r="U12" s="600">
        <f t="shared" si="3"/>
        <v>3876487.1526300483</v>
      </c>
      <c r="V12" s="600">
        <f t="shared" si="3"/>
        <v>2.352038215104017E-7</v>
      </c>
      <c r="W12" s="600"/>
      <c r="X12" s="568">
        <f>O12-O78</f>
        <v>3259000</v>
      </c>
      <c r="Y12" s="415"/>
      <c r="Z12" s="415"/>
      <c r="AA12" s="415"/>
      <c r="AB12" s="415"/>
      <c r="AC12" s="415"/>
      <c r="AD12" s="415"/>
      <c r="AE12" s="415"/>
      <c r="AF12" s="415"/>
      <c r="AG12" s="415"/>
      <c r="AH12" s="415"/>
      <c r="AI12" s="415"/>
      <c r="AJ12" s="415"/>
      <c r="AK12" s="415"/>
      <c r="AL12" s="415"/>
      <c r="AM12" s="415"/>
    </row>
    <row r="13" spans="1:39" s="354" customFormat="1" ht="32.25" customHeight="1">
      <c r="A13" s="342">
        <v>1</v>
      </c>
      <c r="B13" s="352" t="s">
        <v>181</v>
      </c>
      <c r="C13" s="348"/>
      <c r="D13" s="349">
        <f>D14+D16+D19</f>
        <v>543500</v>
      </c>
      <c r="E13" s="349">
        <f>E14+E16+E19</f>
        <v>543500</v>
      </c>
      <c r="F13" s="349">
        <f>F14+F16+F19+F20</f>
        <v>737797</v>
      </c>
      <c r="G13" s="349">
        <f t="shared" ref="G13:O13" si="4">G14+G16+G19</f>
        <v>652000</v>
      </c>
      <c r="H13" s="349">
        <f t="shared" si="4"/>
        <v>667000</v>
      </c>
      <c r="I13" s="349">
        <f t="shared" si="4"/>
        <v>744000</v>
      </c>
      <c r="J13" s="349">
        <f t="shared" si="4"/>
        <v>729000</v>
      </c>
      <c r="K13" s="349">
        <f t="shared" si="4"/>
        <v>729000</v>
      </c>
      <c r="L13" s="353">
        <f t="shared" si="4"/>
        <v>675272</v>
      </c>
      <c r="M13" s="349">
        <f t="shared" si="4"/>
        <v>661000</v>
      </c>
      <c r="N13" s="349">
        <f t="shared" si="4"/>
        <v>765300</v>
      </c>
      <c r="O13" s="349">
        <f t="shared" si="4"/>
        <v>840000</v>
      </c>
      <c r="P13" s="569"/>
      <c r="Q13" s="569"/>
      <c r="R13" s="815">
        <f>K12-K50-K53-K71-K73*0.7</f>
        <v>3046300</v>
      </c>
      <c r="S13" s="815">
        <f>L12-L50-L53-L71-L73*0.7</f>
        <v>2963223</v>
      </c>
      <c r="T13" s="815">
        <f>M12-M50-M53-M71-M73*0.7</f>
        <v>3098400</v>
      </c>
      <c r="U13" s="815">
        <f>N12-N50-N53-N71-N73*0.7</f>
        <v>3188300</v>
      </c>
      <c r="V13" s="815">
        <f>O12-O50-O53-O71-O73*0.7</f>
        <v>3499000.4699999997</v>
      </c>
      <c r="W13" s="416"/>
      <c r="X13" s="416"/>
      <c r="Y13" s="416"/>
      <c r="Z13" s="416"/>
      <c r="AA13" s="416"/>
      <c r="AB13" s="416"/>
      <c r="AC13" s="416"/>
      <c r="AD13" s="416"/>
      <c r="AE13" s="416"/>
      <c r="AF13" s="416"/>
      <c r="AG13" s="416"/>
      <c r="AH13" s="416"/>
      <c r="AI13" s="416"/>
      <c r="AJ13" s="416"/>
      <c r="AK13" s="416"/>
      <c r="AL13" s="416"/>
      <c r="AM13" s="416"/>
    </row>
    <row r="14" spans="1:39" s="362" customFormat="1" ht="18" customHeight="1">
      <c r="A14" s="355"/>
      <c r="B14" s="356" t="s">
        <v>61</v>
      </c>
      <c r="C14" s="357"/>
      <c r="D14" s="358">
        <v>278500</v>
      </c>
      <c r="E14" s="358">
        <v>276500</v>
      </c>
      <c r="F14" s="359">
        <v>383239</v>
      </c>
      <c r="G14" s="360">
        <v>322000</v>
      </c>
      <c r="H14" s="360">
        <v>321900</v>
      </c>
      <c r="I14" s="360">
        <v>365000</v>
      </c>
      <c r="J14" s="360">
        <v>312000</v>
      </c>
      <c r="K14" s="360">
        <f>J14</f>
        <v>312000</v>
      </c>
      <c r="L14" s="361">
        <v>263510</v>
      </c>
      <c r="M14" s="360">
        <v>262000</v>
      </c>
      <c r="N14" s="360">
        <v>287800</v>
      </c>
      <c r="O14" s="360">
        <v>316200</v>
      </c>
      <c r="P14" s="493"/>
      <c r="Q14" s="816"/>
      <c r="R14" s="817"/>
      <c r="S14" s="817"/>
      <c r="T14" s="817"/>
      <c r="U14" s="817">
        <f>U13/T13</f>
        <v>1.029014975471211</v>
      </c>
      <c r="V14" s="817">
        <f>V13/U13</f>
        <v>1.0974501991656995</v>
      </c>
      <c r="W14" s="417"/>
      <c r="X14" s="417"/>
      <c r="Y14" s="417"/>
      <c r="Z14" s="417"/>
      <c r="AA14" s="417"/>
      <c r="AB14" s="417"/>
      <c r="AC14" s="417"/>
      <c r="AD14" s="417"/>
      <c r="AE14" s="417"/>
      <c r="AF14" s="417"/>
      <c r="AG14" s="417"/>
      <c r="AH14" s="417"/>
      <c r="AI14" s="417"/>
      <c r="AJ14" s="417"/>
      <c r="AK14" s="417"/>
      <c r="AL14" s="417"/>
      <c r="AM14" s="417"/>
    </row>
    <row r="15" spans="1:39" s="368" customFormat="1" ht="18" hidden="1" customHeight="1" outlineLevel="1">
      <c r="A15" s="363"/>
      <c r="B15" s="364" t="s">
        <v>62</v>
      </c>
      <c r="C15" s="365"/>
      <c r="D15" s="358"/>
      <c r="E15" s="358"/>
      <c r="F15" s="359"/>
      <c r="G15" s="366"/>
      <c r="H15" s="366"/>
      <c r="I15" s="366"/>
      <c r="J15" s="366"/>
      <c r="K15" s="366"/>
      <c r="L15" s="367"/>
      <c r="M15" s="366"/>
      <c r="N15" s="366"/>
      <c r="O15" s="366"/>
      <c r="P15" s="494"/>
      <c r="Q15" s="818"/>
      <c r="R15" s="819"/>
      <c r="S15" s="819"/>
      <c r="T15" s="819"/>
      <c r="U15" s="819"/>
      <c r="V15" s="819"/>
      <c r="W15" s="418"/>
      <c r="X15" s="418"/>
      <c r="Y15" s="418"/>
      <c r="Z15" s="418"/>
      <c r="AA15" s="418"/>
      <c r="AB15" s="418"/>
      <c r="AC15" s="418"/>
      <c r="AD15" s="418"/>
      <c r="AE15" s="418"/>
      <c r="AF15" s="418"/>
      <c r="AG15" s="418"/>
      <c r="AH15" s="418"/>
      <c r="AI15" s="418"/>
      <c r="AJ15" s="418"/>
      <c r="AK15" s="418"/>
      <c r="AL15" s="418"/>
      <c r="AM15" s="418"/>
    </row>
    <row r="16" spans="1:39" s="362" customFormat="1" ht="18" customHeight="1" collapsed="1">
      <c r="A16" s="355"/>
      <c r="B16" s="356" t="s">
        <v>63</v>
      </c>
      <c r="C16" s="357"/>
      <c r="D16" s="358">
        <v>6000</v>
      </c>
      <c r="E16" s="358">
        <v>6000</v>
      </c>
      <c r="F16" s="359">
        <v>11893</v>
      </c>
      <c r="G16" s="360">
        <v>10000</v>
      </c>
      <c r="H16" s="360">
        <v>10000</v>
      </c>
      <c r="I16" s="360">
        <v>8000</v>
      </c>
      <c r="J16" s="360">
        <v>12000</v>
      </c>
      <c r="K16" s="360">
        <f>J16</f>
        <v>12000</v>
      </c>
      <c r="L16" s="361">
        <v>6546</v>
      </c>
      <c r="M16" s="360">
        <v>8000</v>
      </c>
      <c r="N16" s="360">
        <v>8600</v>
      </c>
      <c r="O16" s="360">
        <v>9400</v>
      </c>
      <c r="P16" s="493"/>
      <c r="Q16" s="816"/>
      <c r="R16" s="817"/>
      <c r="S16" s="817"/>
      <c r="T16" s="817"/>
      <c r="U16" s="817"/>
      <c r="V16" s="817"/>
      <c r="W16" s="417"/>
      <c r="X16" s="417"/>
      <c r="Y16" s="417"/>
      <c r="Z16" s="417"/>
      <c r="AA16" s="417"/>
      <c r="AB16" s="417"/>
      <c r="AC16" s="417"/>
      <c r="AD16" s="417"/>
      <c r="AE16" s="417"/>
      <c r="AF16" s="417"/>
      <c r="AG16" s="417"/>
      <c r="AH16" s="417"/>
      <c r="AI16" s="417"/>
      <c r="AJ16" s="417"/>
      <c r="AK16" s="417"/>
      <c r="AL16" s="417"/>
      <c r="AM16" s="417"/>
    </row>
    <row r="17" spans="1:39" s="368" customFormat="1" ht="35.25" hidden="1" customHeight="1" outlineLevel="1">
      <c r="A17" s="363"/>
      <c r="B17" s="356" t="s">
        <v>64</v>
      </c>
      <c r="C17" s="365"/>
      <c r="D17" s="359"/>
      <c r="E17" s="369"/>
      <c r="F17" s="359"/>
      <c r="G17" s="366"/>
      <c r="H17" s="366"/>
      <c r="I17" s="366"/>
      <c r="J17" s="366"/>
      <c r="K17" s="366"/>
      <c r="L17" s="367"/>
      <c r="M17" s="366"/>
      <c r="N17" s="366"/>
      <c r="O17" s="366"/>
      <c r="P17" s="494"/>
      <c r="Q17" s="818"/>
      <c r="R17" s="819"/>
      <c r="S17" s="819"/>
      <c r="T17" s="819"/>
      <c r="U17" s="819"/>
      <c r="V17" s="819"/>
      <c r="W17" s="418"/>
      <c r="X17" s="418"/>
      <c r="Y17" s="418"/>
      <c r="Z17" s="418"/>
      <c r="AA17" s="418"/>
      <c r="AB17" s="418"/>
      <c r="AC17" s="418"/>
      <c r="AD17" s="418"/>
      <c r="AE17" s="418"/>
      <c r="AF17" s="418"/>
      <c r="AG17" s="418"/>
      <c r="AH17" s="418"/>
      <c r="AI17" s="418"/>
      <c r="AJ17" s="418"/>
      <c r="AK17" s="418"/>
      <c r="AL17" s="418"/>
      <c r="AM17" s="418"/>
    </row>
    <row r="18" spans="1:39" s="362" customFormat="1" ht="31.5" hidden="1" outlineLevel="1" collapsed="1">
      <c r="A18" s="355"/>
      <c r="B18" s="364" t="s">
        <v>65</v>
      </c>
      <c r="C18" s="357"/>
      <c r="D18" s="359"/>
      <c r="E18" s="359"/>
      <c r="F18" s="359"/>
      <c r="G18" s="360"/>
      <c r="H18" s="360"/>
      <c r="I18" s="360"/>
      <c r="J18" s="360"/>
      <c r="K18" s="360"/>
      <c r="L18" s="361"/>
      <c r="M18" s="360"/>
      <c r="N18" s="360"/>
      <c r="O18" s="360"/>
      <c r="P18" s="493"/>
      <c r="Q18" s="816"/>
      <c r="R18" s="817"/>
      <c r="S18" s="817"/>
      <c r="T18" s="817"/>
      <c r="U18" s="817"/>
      <c r="V18" s="817"/>
      <c r="W18" s="417"/>
      <c r="X18" s="417"/>
      <c r="Y18" s="417"/>
      <c r="Z18" s="417"/>
      <c r="AA18" s="417"/>
      <c r="AB18" s="417"/>
      <c r="AC18" s="417"/>
      <c r="AD18" s="417"/>
      <c r="AE18" s="417"/>
      <c r="AF18" s="417"/>
      <c r="AG18" s="417"/>
      <c r="AH18" s="417"/>
      <c r="AI18" s="417"/>
      <c r="AJ18" s="417"/>
      <c r="AK18" s="417"/>
      <c r="AL18" s="417"/>
      <c r="AM18" s="417"/>
    </row>
    <row r="19" spans="1:39" s="362" customFormat="1" ht="18" customHeight="1" collapsed="1">
      <c r="A19" s="355"/>
      <c r="B19" s="356" t="s">
        <v>66</v>
      </c>
      <c r="C19" s="357"/>
      <c r="D19" s="370">
        <v>259000</v>
      </c>
      <c r="E19" s="370">
        <v>261000</v>
      </c>
      <c r="F19" s="359">
        <v>341699</v>
      </c>
      <c r="G19" s="360">
        <v>320000</v>
      </c>
      <c r="H19" s="360">
        <v>335100</v>
      </c>
      <c r="I19" s="360">
        <v>371000</v>
      </c>
      <c r="J19" s="360">
        <v>405000</v>
      </c>
      <c r="K19" s="360">
        <f>J19</f>
        <v>405000</v>
      </c>
      <c r="L19" s="361">
        <v>405216</v>
      </c>
      <c r="M19" s="360">
        <v>391000</v>
      </c>
      <c r="N19" s="360">
        <v>468900</v>
      </c>
      <c r="O19" s="360">
        <v>514400</v>
      </c>
      <c r="P19" s="493"/>
      <c r="Q19" s="816"/>
      <c r="R19" s="820"/>
      <c r="S19" s="820"/>
      <c r="T19" s="820"/>
      <c r="U19" s="817"/>
      <c r="V19" s="817"/>
      <c r="W19" s="417"/>
      <c r="X19" s="417"/>
      <c r="Y19" s="417"/>
      <c r="Z19" s="417"/>
      <c r="AA19" s="417"/>
      <c r="AB19" s="417"/>
      <c r="AC19" s="417"/>
      <c r="AD19" s="417"/>
      <c r="AE19" s="417"/>
      <c r="AF19" s="417"/>
      <c r="AG19" s="417"/>
      <c r="AH19" s="417"/>
      <c r="AI19" s="417"/>
      <c r="AJ19" s="417"/>
      <c r="AK19" s="417"/>
      <c r="AL19" s="417"/>
      <c r="AM19" s="417"/>
    </row>
    <row r="20" spans="1:39" s="368" customFormat="1" ht="15.75" collapsed="1">
      <c r="A20" s="363"/>
      <c r="B20" s="356" t="s">
        <v>563</v>
      </c>
      <c r="C20" s="365"/>
      <c r="D20" s="359"/>
      <c r="E20" s="369"/>
      <c r="F20" s="359">
        <f>1981-1015</f>
        <v>966</v>
      </c>
      <c r="G20" s="366">
        <v>0</v>
      </c>
      <c r="H20" s="366">
        <v>0</v>
      </c>
      <c r="I20" s="366">
        <v>0</v>
      </c>
      <c r="J20" s="366">
        <v>0</v>
      </c>
      <c r="K20" s="366">
        <v>0</v>
      </c>
      <c r="L20" s="367">
        <v>0</v>
      </c>
      <c r="M20" s="366"/>
      <c r="N20" s="366"/>
      <c r="O20" s="366"/>
      <c r="P20" s="494"/>
      <c r="Q20" s="818"/>
      <c r="R20" s="819"/>
      <c r="S20" s="819"/>
      <c r="T20" s="819"/>
      <c r="U20" s="819"/>
      <c r="V20" s="819"/>
      <c r="W20" s="418"/>
      <c r="X20" s="418"/>
      <c r="Y20" s="418"/>
      <c r="Z20" s="418"/>
      <c r="AA20" s="418"/>
      <c r="AB20" s="418"/>
      <c r="AC20" s="418"/>
      <c r="AD20" s="418"/>
      <c r="AE20" s="418"/>
      <c r="AF20" s="418"/>
      <c r="AG20" s="418"/>
      <c r="AH20" s="418"/>
      <c r="AI20" s="418"/>
      <c r="AJ20" s="418"/>
      <c r="AK20" s="418"/>
      <c r="AL20" s="418"/>
      <c r="AM20" s="418"/>
    </row>
    <row r="21" spans="1:39" s="362" customFormat="1" ht="31.5">
      <c r="A21" s="342">
        <v>2</v>
      </c>
      <c r="B21" s="352" t="s">
        <v>68</v>
      </c>
      <c r="C21" s="348"/>
      <c r="D21" s="349">
        <f>D22+D23+D24+D26</f>
        <v>18800</v>
      </c>
      <c r="E21" s="349">
        <f>E22+E23+E24+E26</f>
        <v>18800</v>
      </c>
      <c r="F21" s="349">
        <f t="shared" ref="F21:O21" si="5">F22+F23+F24+F26</f>
        <v>40777.599999999999</v>
      </c>
      <c r="G21" s="349">
        <f t="shared" si="5"/>
        <v>28000</v>
      </c>
      <c r="H21" s="349">
        <f t="shared" si="5"/>
        <v>28000</v>
      </c>
      <c r="I21" s="349">
        <f t="shared" si="5"/>
        <v>28000</v>
      </c>
      <c r="J21" s="349">
        <f t="shared" si="5"/>
        <v>30000</v>
      </c>
      <c r="K21" s="349">
        <f t="shared" si="5"/>
        <v>30000</v>
      </c>
      <c r="L21" s="353">
        <f t="shared" si="5"/>
        <v>42380</v>
      </c>
      <c r="M21" s="349">
        <f>M22+M23+M24+M26</f>
        <v>45000</v>
      </c>
      <c r="N21" s="349">
        <f t="shared" si="5"/>
        <v>53900</v>
      </c>
      <c r="O21" s="349">
        <f t="shared" si="5"/>
        <v>59100</v>
      </c>
      <c r="P21" s="492"/>
      <c r="Q21" s="568"/>
      <c r="R21" s="817"/>
      <c r="S21" s="817"/>
      <c r="T21" s="821">
        <f>T13-M56-M78-M77</f>
        <v>1990400</v>
      </c>
      <c r="U21" s="821">
        <f>U13-N56-N78-N77</f>
        <v>2364000</v>
      </c>
      <c r="V21" s="821">
        <f t="shared" ref="V21" si="6">V13-O56-O78-O77</f>
        <v>2596100</v>
      </c>
      <c r="W21" s="822"/>
      <c r="X21" s="652"/>
      <c r="Y21" s="417"/>
      <c r="Z21" s="417"/>
      <c r="AA21" s="417"/>
      <c r="AB21" s="417"/>
      <c r="AC21" s="417"/>
      <c r="AD21" s="417"/>
      <c r="AE21" s="417"/>
      <c r="AF21" s="417"/>
      <c r="AG21" s="417"/>
      <c r="AH21" s="417"/>
      <c r="AI21" s="417"/>
      <c r="AJ21" s="417"/>
      <c r="AK21" s="417"/>
      <c r="AL21" s="417"/>
      <c r="AM21" s="417"/>
    </row>
    <row r="22" spans="1:39" s="362" customFormat="1" ht="15.75">
      <c r="A22" s="355"/>
      <c r="B22" s="356" t="s">
        <v>61</v>
      </c>
      <c r="C22" s="357"/>
      <c r="D22" s="358">
        <v>9600</v>
      </c>
      <c r="E22" s="358">
        <v>11400</v>
      </c>
      <c r="F22" s="359">
        <v>18530</v>
      </c>
      <c r="G22" s="360">
        <v>17200</v>
      </c>
      <c r="H22" s="360">
        <v>17200</v>
      </c>
      <c r="I22" s="360">
        <v>19200</v>
      </c>
      <c r="J22" s="360">
        <v>20100</v>
      </c>
      <c r="K22" s="360">
        <f>J22</f>
        <v>20100</v>
      </c>
      <c r="L22" s="361">
        <v>33410</v>
      </c>
      <c r="M22" s="360">
        <v>35000</v>
      </c>
      <c r="N22" s="360">
        <v>42600</v>
      </c>
      <c r="O22" s="360">
        <v>46700</v>
      </c>
      <c r="P22" s="493"/>
      <c r="Q22" s="816"/>
      <c r="R22" s="417"/>
      <c r="S22" s="417"/>
      <c r="T22" s="417"/>
      <c r="U22" s="417">
        <f>U21/T21*100</f>
        <v>118.7700964630225</v>
      </c>
      <c r="V22" s="417">
        <f>V21/U21*100</f>
        <v>109.81810490693739</v>
      </c>
      <c r="W22" s="417"/>
      <c r="X22" s="417"/>
      <c r="Y22" s="417"/>
      <c r="Z22" s="417"/>
      <c r="AA22" s="417"/>
      <c r="AB22" s="417"/>
      <c r="AC22" s="417"/>
      <c r="AD22" s="417"/>
      <c r="AE22" s="417"/>
      <c r="AF22" s="417"/>
      <c r="AG22" s="417"/>
      <c r="AH22" s="417"/>
      <c r="AI22" s="417"/>
      <c r="AJ22" s="417"/>
      <c r="AK22" s="417"/>
      <c r="AL22" s="417"/>
      <c r="AM22" s="417"/>
    </row>
    <row r="23" spans="1:39" s="354" customFormat="1" ht="18" customHeight="1">
      <c r="A23" s="355"/>
      <c r="B23" s="356" t="s">
        <v>63</v>
      </c>
      <c r="C23" s="371"/>
      <c r="D23" s="358">
        <v>4200</v>
      </c>
      <c r="E23" s="358">
        <v>5200</v>
      </c>
      <c r="F23" s="372">
        <v>7276</v>
      </c>
      <c r="G23" s="360">
        <v>7800</v>
      </c>
      <c r="H23" s="360">
        <v>7800</v>
      </c>
      <c r="I23" s="360">
        <v>7800</v>
      </c>
      <c r="J23" s="360">
        <v>8800</v>
      </c>
      <c r="K23" s="360">
        <f>J23</f>
        <v>8800</v>
      </c>
      <c r="L23" s="361">
        <v>7730</v>
      </c>
      <c r="M23" s="360">
        <v>9000</v>
      </c>
      <c r="N23" s="360">
        <v>9700</v>
      </c>
      <c r="O23" s="360">
        <v>10600</v>
      </c>
      <c r="P23" s="493"/>
      <c r="Q23" s="8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row>
    <row r="24" spans="1:39" s="362" customFormat="1" ht="31.5" hidden="1" customHeight="1" outlineLevel="1">
      <c r="A24" s="355"/>
      <c r="B24" s="356" t="s">
        <v>64</v>
      </c>
      <c r="C24" s="357"/>
      <c r="D24" s="359"/>
      <c r="E24" s="359"/>
      <c r="F24" s="359"/>
      <c r="G24" s="360"/>
      <c r="H24" s="360"/>
      <c r="I24" s="360"/>
      <c r="J24" s="360"/>
      <c r="K24" s="360"/>
      <c r="L24" s="361"/>
      <c r="M24" s="360"/>
      <c r="N24" s="360"/>
      <c r="O24" s="360"/>
      <c r="P24" s="493"/>
      <c r="Q24" s="816"/>
      <c r="R24" s="417"/>
      <c r="S24" s="417"/>
      <c r="T24" s="417"/>
      <c r="U24" s="417"/>
      <c r="V24" s="417"/>
      <c r="W24" s="417"/>
      <c r="X24" s="417"/>
      <c r="Y24" s="417"/>
      <c r="Z24" s="417"/>
      <c r="AA24" s="417"/>
      <c r="AB24" s="417"/>
      <c r="AC24" s="417"/>
      <c r="AD24" s="417"/>
      <c r="AE24" s="417"/>
      <c r="AF24" s="417"/>
      <c r="AG24" s="417"/>
      <c r="AH24" s="417"/>
      <c r="AI24" s="417"/>
      <c r="AJ24" s="417"/>
      <c r="AK24" s="417"/>
      <c r="AL24" s="417"/>
      <c r="AM24" s="417"/>
    </row>
    <row r="25" spans="1:39" s="362" customFormat="1" ht="31.5" hidden="1" outlineLevel="1" collapsed="1">
      <c r="A25" s="355"/>
      <c r="B25" s="364" t="s">
        <v>65</v>
      </c>
      <c r="C25" s="357"/>
      <c r="D25" s="359"/>
      <c r="E25" s="359"/>
      <c r="F25" s="359"/>
      <c r="G25" s="360"/>
      <c r="H25" s="360"/>
      <c r="I25" s="360"/>
      <c r="J25" s="360"/>
      <c r="K25" s="360"/>
      <c r="L25" s="361"/>
      <c r="M25" s="360"/>
      <c r="N25" s="360"/>
      <c r="O25" s="360"/>
      <c r="P25" s="493"/>
      <c r="Q25" s="816"/>
      <c r="R25" s="417"/>
      <c r="S25" s="417"/>
      <c r="T25" s="417"/>
      <c r="U25" s="417"/>
      <c r="V25" s="417"/>
      <c r="W25" s="417"/>
      <c r="X25" s="417"/>
      <c r="Y25" s="417"/>
      <c r="Z25" s="417"/>
      <c r="AA25" s="417"/>
      <c r="AB25" s="417"/>
      <c r="AC25" s="417"/>
      <c r="AD25" s="417"/>
      <c r="AE25" s="417"/>
      <c r="AF25" s="417"/>
      <c r="AG25" s="417"/>
      <c r="AH25" s="417"/>
      <c r="AI25" s="417"/>
      <c r="AJ25" s="417"/>
      <c r="AK25" s="417"/>
      <c r="AL25" s="417"/>
      <c r="AM25" s="417"/>
    </row>
    <row r="26" spans="1:39" s="362" customFormat="1" ht="15.75" collapsed="1">
      <c r="A26" s="355"/>
      <c r="B26" s="356" t="s">
        <v>66</v>
      </c>
      <c r="C26" s="357"/>
      <c r="D26" s="358">
        <v>5000</v>
      </c>
      <c r="E26" s="358">
        <v>2200</v>
      </c>
      <c r="F26" s="359">
        <v>14971.6</v>
      </c>
      <c r="G26" s="360">
        <v>3000</v>
      </c>
      <c r="H26" s="360">
        <v>3000</v>
      </c>
      <c r="I26" s="360">
        <v>1000</v>
      </c>
      <c r="J26" s="360">
        <v>1100</v>
      </c>
      <c r="K26" s="360">
        <f>J26</f>
        <v>1100</v>
      </c>
      <c r="L26" s="361">
        <v>1240</v>
      </c>
      <c r="M26" s="360">
        <v>1000</v>
      </c>
      <c r="N26" s="360">
        <v>1600</v>
      </c>
      <c r="O26" s="360">
        <v>1800</v>
      </c>
      <c r="P26" s="493"/>
      <c r="Q26" s="816"/>
      <c r="R26" s="417"/>
      <c r="S26" s="417"/>
      <c r="T26" s="823">
        <f>M12/K12*100</f>
        <v>102.36075248985614</v>
      </c>
      <c r="U26" s="823">
        <f>N12/M12*100</f>
        <v>103.33333333333334</v>
      </c>
      <c r="V26" s="823">
        <f>O12/N12*100</f>
        <v>109.67743301365883</v>
      </c>
      <c r="W26" s="417"/>
      <c r="X26" s="417"/>
      <c r="Y26" s="417"/>
      <c r="Z26" s="417"/>
      <c r="AA26" s="417"/>
      <c r="AB26" s="417"/>
      <c r="AC26" s="417"/>
      <c r="AD26" s="417"/>
      <c r="AE26" s="417"/>
      <c r="AF26" s="417"/>
      <c r="AG26" s="417"/>
      <c r="AH26" s="417"/>
      <c r="AI26" s="417"/>
      <c r="AJ26" s="417"/>
      <c r="AK26" s="417"/>
      <c r="AL26" s="417"/>
      <c r="AM26" s="417"/>
    </row>
    <row r="27" spans="1:39" s="362" customFormat="1" ht="15.75">
      <c r="A27" s="342">
        <v>3</v>
      </c>
      <c r="B27" s="352" t="s">
        <v>69</v>
      </c>
      <c r="C27" s="348"/>
      <c r="D27" s="349">
        <f>D28+D30+D32+D33+D35+D37</f>
        <v>20000</v>
      </c>
      <c r="E27" s="349">
        <f>E28+E30+E32+E33+E35+E37</f>
        <v>20000</v>
      </c>
      <c r="F27" s="349">
        <f t="shared" ref="F27:O27" si="7">F28+F30+F32+F33+F35+F37</f>
        <v>12694</v>
      </c>
      <c r="G27" s="349">
        <f t="shared" si="7"/>
        <v>11000</v>
      </c>
      <c r="H27" s="349">
        <f t="shared" si="7"/>
        <v>11000</v>
      </c>
      <c r="I27" s="349">
        <f t="shared" si="7"/>
        <v>15000</v>
      </c>
      <c r="J27" s="349">
        <f t="shared" si="7"/>
        <v>4000</v>
      </c>
      <c r="K27" s="349">
        <f t="shared" si="7"/>
        <v>4000</v>
      </c>
      <c r="L27" s="353">
        <f t="shared" si="7"/>
        <v>4500</v>
      </c>
      <c r="M27" s="349">
        <f t="shared" si="7"/>
        <v>8000</v>
      </c>
      <c r="N27" s="349">
        <f t="shared" si="7"/>
        <v>10800</v>
      </c>
      <c r="O27" s="349">
        <f t="shared" si="7"/>
        <v>11800</v>
      </c>
      <c r="P27" s="492"/>
      <c r="Q27" s="568"/>
      <c r="R27" s="822">
        <f>K12-K56-K77-K78-K80</f>
        <v>2017800</v>
      </c>
      <c r="S27" s="822">
        <f>L12-L56-L77-L78-L80</f>
        <v>2247750</v>
      </c>
      <c r="T27" s="822">
        <f>M12-M56-M77-M78-M80</f>
        <v>2222000</v>
      </c>
      <c r="U27" s="822">
        <f>N12-N56-N77-N78-N80</f>
        <v>2616700</v>
      </c>
      <c r="V27" s="822">
        <f>O12-O56-O77-O78-O80</f>
        <v>2871100</v>
      </c>
      <c r="W27" s="417"/>
      <c r="X27" s="417"/>
      <c r="Y27" s="417"/>
      <c r="Z27" s="417"/>
      <c r="AA27" s="417"/>
      <c r="AB27" s="417"/>
      <c r="AC27" s="417"/>
      <c r="AD27" s="417"/>
      <c r="AE27" s="417"/>
      <c r="AF27" s="417"/>
      <c r="AG27" s="417"/>
      <c r="AH27" s="417"/>
      <c r="AI27" s="417"/>
      <c r="AJ27" s="417"/>
      <c r="AK27" s="417"/>
      <c r="AL27" s="417"/>
      <c r="AM27" s="417"/>
    </row>
    <row r="28" spans="1:39" s="362" customFormat="1" ht="15.75">
      <c r="A28" s="355"/>
      <c r="B28" s="356" t="s">
        <v>61</v>
      </c>
      <c r="C28" s="357"/>
      <c r="D28" s="358">
        <v>10500</v>
      </c>
      <c r="E28" s="358">
        <v>10500</v>
      </c>
      <c r="F28" s="359">
        <v>5949</v>
      </c>
      <c r="G28" s="360">
        <v>6000</v>
      </c>
      <c r="H28" s="360">
        <v>5700</v>
      </c>
      <c r="I28" s="360">
        <v>7500</v>
      </c>
      <c r="J28" s="360">
        <v>2000</v>
      </c>
      <c r="K28" s="360">
        <f>J28</f>
        <v>2000</v>
      </c>
      <c r="L28" s="361">
        <v>2948</v>
      </c>
      <c r="M28" s="360">
        <v>4000</v>
      </c>
      <c r="N28" s="360">
        <v>5400</v>
      </c>
      <c r="O28" s="360">
        <v>5900</v>
      </c>
      <c r="P28" s="493"/>
      <c r="Q28" s="816"/>
      <c r="R28" s="417"/>
      <c r="S28" s="417"/>
      <c r="T28" s="824">
        <f>T27/R27*100</f>
        <v>110.11993259986124</v>
      </c>
      <c r="U28" s="824">
        <f>U27/T27*100</f>
        <v>117.76327632763277</v>
      </c>
      <c r="V28" s="824">
        <f>V27/U27*100</f>
        <v>109.72216914434212</v>
      </c>
      <c r="W28" s="417"/>
      <c r="X28" s="417"/>
      <c r="Y28" s="417"/>
      <c r="Z28" s="417"/>
      <c r="AA28" s="417"/>
      <c r="AB28" s="417"/>
      <c r="AC28" s="417"/>
      <c r="AD28" s="417"/>
      <c r="AE28" s="417"/>
      <c r="AF28" s="417"/>
      <c r="AG28" s="417"/>
      <c r="AH28" s="417"/>
      <c r="AI28" s="417"/>
      <c r="AJ28" s="417"/>
      <c r="AK28" s="417"/>
      <c r="AL28" s="417"/>
      <c r="AM28" s="417"/>
    </row>
    <row r="29" spans="1:39" s="362" customFormat="1" ht="15.75" hidden="1" outlineLevel="1" collapsed="1">
      <c r="A29" s="355"/>
      <c r="B29" s="364" t="s">
        <v>70</v>
      </c>
      <c r="C29" s="357"/>
      <c r="D29" s="359"/>
      <c r="E29" s="359"/>
      <c r="F29" s="359"/>
      <c r="G29" s="360"/>
      <c r="H29" s="360"/>
      <c r="I29" s="360"/>
      <c r="J29" s="360"/>
      <c r="K29" s="360"/>
      <c r="L29" s="361"/>
      <c r="M29" s="360"/>
      <c r="N29" s="360"/>
      <c r="O29" s="360"/>
      <c r="P29" s="493"/>
      <c r="Q29" s="816"/>
      <c r="R29" s="417"/>
      <c r="S29" s="417"/>
      <c r="T29" s="417"/>
      <c r="U29" s="417"/>
      <c r="V29" s="417"/>
      <c r="W29" s="417"/>
      <c r="X29" s="417"/>
      <c r="Y29" s="417"/>
      <c r="Z29" s="417"/>
      <c r="AA29" s="417"/>
      <c r="AB29" s="417"/>
      <c r="AC29" s="417"/>
      <c r="AD29" s="417"/>
      <c r="AE29" s="417"/>
      <c r="AF29" s="417"/>
      <c r="AG29" s="417"/>
      <c r="AH29" s="417"/>
      <c r="AI29" s="417"/>
      <c r="AJ29" s="417"/>
      <c r="AK29" s="417"/>
      <c r="AL29" s="417"/>
      <c r="AM29" s="417"/>
    </row>
    <row r="30" spans="1:39" s="373" customFormat="1" ht="18.75" customHeight="1" collapsed="1">
      <c r="A30" s="355"/>
      <c r="B30" s="356" t="s">
        <v>63</v>
      </c>
      <c r="C30" s="371"/>
      <c r="D30" s="358">
        <v>9500</v>
      </c>
      <c r="E30" s="358">
        <v>9500</v>
      </c>
      <c r="F30" s="372">
        <v>6745</v>
      </c>
      <c r="G30" s="360">
        <v>5000</v>
      </c>
      <c r="H30" s="360">
        <v>5300</v>
      </c>
      <c r="I30" s="360">
        <v>7500</v>
      </c>
      <c r="J30" s="360">
        <v>2000</v>
      </c>
      <c r="K30" s="360">
        <f>J30</f>
        <v>2000</v>
      </c>
      <c r="L30" s="361">
        <v>1552</v>
      </c>
      <c r="M30" s="360">
        <v>4000</v>
      </c>
      <c r="N30" s="360">
        <v>5400</v>
      </c>
      <c r="O30" s="360">
        <v>5900</v>
      </c>
      <c r="P30" s="493"/>
      <c r="Q30" s="816"/>
      <c r="R30" s="419"/>
      <c r="S30" s="419"/>
      <c r="T30" s="419"/>
      <c r="U30" s="419"/>
      <c r="V30" s="419"/>
      <c r="W30" s="419"/>
      <c r="X30" s="419"/>
      <c r="Y30" s="419"/>
      <c r="Z30" s="419"/>
      <c r="AA30" s="419"/>
      <c r="AB30" s="419"/>
      <c r="AC30" s="419"/>
      <c r="AD30" s="419"/>
      <c r="AE30" s="419"/>
      <c r="AF30" s="419"/>
      <c r="AG30" s="419"/>
      <c r="AH30" s="419"/>
      <c r="AI30" s="419"/>
      <c r="AJ30" s="419"/>
      <c r="AK30" s="419"/>
      <c r="AL30" s="419"/>
      <c r="AM30" s="419"/>
    </row>
    <row r="31" spans="1:39" s="362" customFormat="1" ht="18.75" hidden="1" customHeight="1" outlineLevel="1">
      <c r="A31" s="355"/>
      <c r="B31" s="364" t="s">
        <v>70</v>
      </c>
      <c r="C31" s="357"/>
      <c r="D31" s="359"/>
      <c r="E31" s="359"/>
      <c r="F31" s="359"/>
      <c r="G31" s="360">
        <v>898000</v>
      </c>
      <c r="H31" s="360">
        <v>898000</v>
      </c>
      <c r="I31" s="360"/>
      <c r="J31" s="360"/>
      <c r="K31" s="360"/>
      <c r="L31" s="361"/>
      <c r="M31" s="360"/>
      <c r="N31" s="360"/>
      <c r="O31" s="360"/>
      <c r="P31" s="493"/>
      <c r="Q31" s="816"/>
      <c r="R31" s="417"/>
      <c r="S31" s="417"/>
      <c r="T31" s="417"/>
      <c r="U31" s="417"/>
      <c r="V31" s="417"/>
      <c r="W31" s="417"/>
      <c r="X31" s="417"/>
      <c r="Y31" s="417"/>
      <c r="Z31" s="417"/>
      <c r="AA31" s="417"/>
      <c r="AB31" s="417"/>
      <c r="AC31" s="417"/>
      <c r="AD31" s="417"/>
      <c r="AE31" s="417"/>
      <c r="AF31" s="417"/>
      <c r="AG31" s="417"/>
      <c r="AH31" s="417"/>
      <c r="AI31" s="417"/>
      <c r="AJ31" s="417"/>
      <c r="AK31" s="417"/>
      <c r="AL31" s="417"/>
      <c r="AM31" s="417"/>
    </row>
    <row r="32" spans="1:39" s="368" customFormat="1" ht="18.75" hidden="1" customHeight="1" outlineLevel="1">
      <c r="A32" s="363"/>
      <c r="B32" s="356" t="s">
        <v>71</v>
      </c>
      <c r="C32" s="365"/>
      <c r="D32" s="359"/>
      <c r="E32" s="369"/>
      <c r="F32" s="359"/>
      <c r="G32" s="366"/>
      <c r="H32" s="366"/>
      <c r="I32" s="366"/>
      <c r="J32" s="366"/>
      <c r="K32" s="366"/>
      <c r="L32" s="367"/>
      <c r="M32" s="366"/>
      <c r="N32" s="366"/>
      <c r="O32" s="366"/>
      <c r="P32" s="494"/>
      <c r="Q32" s="8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row>
    <row r="33" spans="1:39" s="362" customFormat="1" ht="33.75" hidden="1" customHeight="1" outlineLevel="1">
      <c r="A33" s="355"/>
      <c r="B33" s="356" t="s">
        <v>64</v>
      </c>
      <c r="C33" s="357"/>
      <c r="D33" s="359"/>
      <c r="E33" s="359"/>
      <c r="F33" s="359"/>
      <c r="G33" s="360"/>
      <c r="H33" s="360"/>
      <c r="I33" s="360"/>
      <c r="J33" s="360"/>
      <c r="K33" s="360"/>
      <c r="L33" s="361"/>
      <c r="M33" s="360"/>
      <c r="N33" s="360"/>
      <c r="O33" s="360"/>
      <c r="P33" s="493"/>
      <c r="Q33" s="816"/>
      <c r="R33" s="417"/>
      <c r="S33" s="417"/>
      <c r="T33" s="417"/>
      <c r="U33" s="417"/>
      <c r="V33" s="417"/>
      <c r="W33" s="417"/>
      <c r="X33" s="417"/>
      <c r="Y33" s="417"/>
      <c r="Z33" s="417"/>
      <c r="AA33" s="417"/>
      <c r="AB33" s="417"/>
      <c r="AC33" s="417"/>
      <c r="AD33" s="417"/>
      <c r="AE33" s="417"/>
      <c r="AF33" s="417"/>
      <c r="AG33" s="417"/>
      <c r="AH33" s="417"/>
      <c r="AI33" s="417"/>
      <c r="AJ33" s="417"/>
      <c r="AK33" s="417"/>
      <c r="AL33" s="417"/>
      <c r="AM33" s="417"/>
    </row>
    <row r="34" spans="1:39" s="368" customFormat="1" ht="18.75" hidden="1" customHeight="1" outlineLevel="1">
      <c r="A34" s="363"/>
      <c r="B34" s="364" t="s">
        <v>72</v>
      </c>
      <c r="C34" s="365"/>
      <c r="D34" s="359"/>
      <c r="E34" s="369"/>
      <c r="F34" s="359"/>
      <c r="G34" s="366"/>
      <c r="H34" s="366"/>
      <c r="I34" s="366"/>
      <c r="J34" s="366"/>
      <c r="K34" s="366"/>
      <c r="L34" s="367"/>
      <c r="M34" s="366"/>
      <c r="N34" s="366"/>
      <c r="O34" s="366"/>
      <c r="P34" s="494"/>
      <c r="Q34" s="8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row>
    <row r="35" spans="1:39" s="362" customFormat="1" ht="18.75" hidden="1" customHeight="1" outlineLevel="1">
      <c r="A35" s="355"/>
      <c r="B35" s="356" t="s">
        <v>66</v>
      </c>
      <c r="C35" s="357"/>
      <c r="D35" s="359"/>
      <c r="E35" s="359"/>
      <c r="F35" s="359"/>
      <c r="G35" s="360"/>
      <c r="H35" s="360"/>
      <c r="I35" s="360"/>
      <c r="J35" s="360"/>
      <c r="K35" s="360"/>
      <c r="L35" s="361"/>
      <c r="M35" s="360"/>
      <c r="N35" s="360"/>
      <c r="O35" s="360"/>
      <c r="P35" s="493"/>
      <c r="Q35" s="816"/>
      <c r="R35" s="417"/>
      <c r="S35" s="417"/>
      <c r="T35" s="417"/>
      <c r="U35" s="417"/>
      <c r="V35" s="417"/>
      <c r="W35" s="417"/>
      <c r="X35" s="417"/>
      <c r="Y35" s="417"/>
      <c r="Z35" s="417"/>
      <c r="AA35" s="417"/>
      <c r="AB35" s="417"/>
      <c r="AC35" s="417"/>
      <c r="AD35" s="417"/>
      <c r="AE35" s="417"/>
      <c r="AF35" s="417"/>
      <c r="AG35" s="417"/>
      <c r="AH35" s="417"/>
      <c r="AI35" s="417"/>
      <c r="AJ35" s="417"/>
      <c r="AK35" s="417"/>
      <c r="AL35" s="417"/>
      <c r="AM35" s="417"/>
    </row>
    <row r="36" spans="1:39" s="362" customFormat="1" ht="18.75" hidden="1" customHeight="1" outlineLevel="1">
      <c r="A36" s="355"/>
      <c r="B36" s="364" t="s">
        <v>67</v>
      </c>
      <c r="C36" s="357"/>
      <c r="D36" s="359"/>
      <c r="E36" s="359"/>
      <c r="F36" s="359"/>
      <c r="G36" s="360"/>
      <c r="H36" s="360"/>
      <c r="I36" s="360"/>
      <c r="J36" s="360"/>
      <c r="K36" s="360"/>
      <c r="L36" s="361"/>
      <c r="M36" s="360"/>
      <c r="N36" s="360"/>
      <c r="O36" s="360"/>
      <c r="P36" s="493"/>
      <c r="Q36" s="816"/>
      <c r="R36" s="417"/>
      <c r="S36" s="417"/>
      <c r="T36" s="417"/>
      <c r="U36" s="417"/>
      <c r="V36" s="417"/>
      <c r="W36" s="417"/>
      <c r="X36" s="417"/>
      <c r="Y36" s="417"/>
      <c r="Z36" s="417"/>
      <c r="AA36" s="417"/>
      <c r="AB36" s="417"/>
      <c r="AC36" s="417"/>
      <c r="AD36" s="417"/>
      <c r="AE36" s="417"/>
      <c r="AF36" s="417"/>
      <c r="AG36" s="417"/>
      <c r="AH36" s="417"/>
      <c r="AI36" s="417"/>
      <c r="AJ36" s="417"/>
      <c r="AK36" s="417"/>
      <c r="AL36" s="417"/>
      <c r="AM36" s="417"/>
    </row>
    <row r="37" spans="1:39" s="368" customFormat="1" ht="18.75" hidden="1" customHeight="1" outlineLevel="1">
      <c r="A37" s="363"/>
      <c r="B37" s="356" t="s">
        <v>73</v>
      </c>
      <c r="C37" s="365"/>
      <c r="D37" s="359"/>
      <c r="E37" s="369"/>
      <c r="F37" s="359"/>
      <c r="G37" s="366"/>
      <c r="H37" s="366"/>
      <c r="I37" s="366"/>
      <c r="J37" s="366"/>
      <c r="K37" s="366"/>
      <c r="L37" s="367"/>
      <c r="M37" s="366"/>
      <c r="N37" s="366"/>
      <c r="O37" s="366"/>
      <c r="P37" s="494"/>
      <c r="Q37" s="8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row>
    <row r="38" spans="1:39" s="362" customFormat="1" ht="15.75" hidden="1" outlineLevel="1" collapsed="1">
      <c r="A38" s="355"/>
      <c r="B38" s="364" t="s">
        <v>70</v>
      </c>
      <c r="C38" s="357"/>
      <c r="D38" s="359"/>
      <c r="E38" s="359"/>
      <c r="F38" s="359"/>
      <c r="G38" s="360"/>
      <c r="H38" s="360"/>
      <c r="I38" s="360"/>
      <c r="J38" s="360"/>
      <c r="K38" s="360"/>
      <c r="L38" s="361"/>
      <c r="M38" s="360"/>
      <c r="N38" s="360"/>
      <c r="O38" s="360"/>
      <c r="P38" s="493"/>
      <c r="Q38" s="816"/>
      <c r="R38" s="417"/>
      <c r="S38" s="417"/>
      <c r="T38" s="417"/>
      <c r="U38" s="417"/>
      <c r="V38" s="417"/>
      <c r="W38" s="417"/>
      <c r="X38" s="417"/>
      <c r="Y38" s="417"/>
      <c r="Z38" s="417"/>
      <c r="AA38" s="417"/>
      <c r="AB38" s="417"/>
      <c r="AC38" s="417"/>
      <c r="AD38" s="417"/>
      <c r="AE38" s="417"/>
      <c r="AF38" s="417"/>
      <c r="AG38" s="417"/>
      <c r="AH38" s="417"/>
      <c r="AI38" s="417"/>
      <c r="AJ38" s="417"/>
      <c r="AK38" s="417"/>
      <c r="AL38" s="417"/>
      <c r="AM38" s="417"/>
    </row>
    <row r="39" spans="1:39" s="368" customFormat="1" ht="18.75" customHeight="1" collapsed="1">
      <c r="A39" s="342">
        <v>4</v>
      </c>
      <c r="B39" s="352" t="s">
        <v>74</v>
      </c>
      <c r="C39" s="374"/>
      <c r="D39" s="349">
        <f>D40+D41+D42+D44</f>
        <v>543200</v>
      </c>
      <c r="E39" s="349">
        <f>E40+E41+E42+E44</f>
        <v>543200</v>
      </c>
      <c r="F39" s="349">
        <f>F40+F41+F42+F44</f>
        <v>505606.59767299995</v>
      </c>
      <c r="G39" s="349">
        <f t="shared" ref="G39:O39" si="8">G40+G41+G42+G44</f>
        <v>523000</v>
      </c>
      <c r="H39" s="349">
        <f t="shared" si="8"/>
        <v>523000</v>
      </c>
      <c r="I39" s="349">
        <f t="shared" si="8"/>
        <v>540000</v>
      </c>
      <c r="J39" s="349">
        <f t="shared" si="8"/>
        <v>670000</v>
      </c>
      <c r="K39" s="349">
        <f t="shared" si="8"/>
        <v>670000</v>
      </c>
      <c r="L39" s="353">
        <f t="shared" si="8"/>
        <v>790000</v>
      </c>
      <c r="M39" s="349">
        <f t="shared" si="8"/>
        <v>790000</v>
      </c>
      <c r="N39" s="349">
        <f t="shared" si="8"/>
        <v>948300</v>
      </c>
      <c r="O39" s="349">
        <f t="shared" si="8"/>
        <v>1045500</v>
      </c>
      <c r="P39" s="492"/>
      <c r="Q39" s="568"/>
      <c r="R39" s="418"/>
      <c r="S39" s="418"/>
      <c r="T39" s="418"/>
      <c r="U39" s="418"/>
      <c r="V39" s="418"/>
      <c r="W39" s="418"/>
      <c r="X39" s="418"/>
      <c r="Y39" s="418"/>
      <c r="Z39" s="418"/>
      <c r="AA39" s="418"/>
      <c r="AB39" s="418"/>
      <c r="AC39" s="418"/>
      <c r="AD39" s="418"/>
      <c r="AE39" s="418"/>
      <c r="AF39" s="418"/>
      <c r="AG39" s="418"/>
      <c r="AH39" s="418"/>
      <c r="AI39" s="418"/>
      <c r="AJ39" s="418"/>
      <c r="AK39" s="418"/>
      <c r="AL39" s="418"/>
      <c r="AM39" s="418"/>
    </row>
    <row r="40" spans="1:39" s="362" customFormat="1" ht="18.75" customHeight="1">
      <c r="A40" s="355"/>
      <c r="B40" s="356" t="s">
        <v>61</v>
      </c>
      <c r="C40" s="357"/>
      <c r="D40" s="358">
        <v>468000</v>
      </c>
      <c r="E40" s="358">
        <v>452100</v>
      </c>
      <c r="F40" s="359">
        <v>390893.6</v>
      </c>
      <c r="G40" s="360">
        <v>431300</v>
      </c>
      <c r="H40" s="360">
        <v>416300</v>
      </c>
      <c r="I40" s="360">
        <v>424000</v>
      </c>
      <c r="J40" s="360">
        <v>495400</v>
      </c>
      <c r="K40" s="360">
        <v>480900</v>
      </c>
      <c r="L40" s="361">
        <v>600850</v>
      </c>
      <c r="M40" s="360">
        <v>586700</v>
      </c>
      <c r="N40" s="360">
        <v>681500</v>
      </c>
      <c r="O40" s="360">
        <v>752800</v>
      </c>
      <c r="P40" s="493"/>
      <c r="Q40" s="816"/>
      <c r="R40" s="417"/>
      <c r="S40" s="417"/>
      <c r="T40" s="417"/>
      <c r="U40" s="417"/>
      <c r="V40" s="417"/>
      <c r="W40" s="417"/>
      <c r="X40" s="417"/>
      <c r="Y40" s="417"/>
      <c r="Z40" s="417"/>
      <c r="AA40" s="417"/>
      <c r="AB40" s="417"/>
      <c r="AC40" s="417"/>
      <c r="AD40" s="417"/>
      <c r="AE40" s="417"/>
      <c r="AF40" s="417"/>
      <c r="AG40" s="417"/>
      <c r="AH40" s="417"/>
      <c r="AI40" s="417"/>
      <c r="AJ40" s="417"/>
      <c r="AK40" s="417"/>
      <c r="AL40" s="417"/>
      <c r="AM40" s="417"/>
    </row>
    <row r="41" spans="1:39" s="362" customFormat="1" ht="18.75" customHeight="1">
      <c r="A41" s="355"/>
      <c r="B41" s="356" t="s">
        <v>63</v>
      </c>
      <c r="C41" s="357"/>
      <c r="D41" s="358">
        <v>23000</v>
      </c>
      <c r="E41" s="358">
        <v>23000</v>
      </c>
      <c r="F41" s="359">
        <v>24352.983035000001</v>
      </c>
      <c r="G41" s="360">
        <v>24000</v>
      </c>
      <c r="H41" s="360">
        <v>24000</v>
      </c>
      <c r="I41" s="360">
        <v>28000</v>
      </c>
      <c r="J41" s="360">
        <v>29600</v>
      </c>
      <c r="K41" s="360">
        <v>29600</v>
      </c>
      <c r="L41" s="361">
        <v>34030</v>
      </c>
      <c r="M41" s="360">
        <v>35000</v>
      </c>
      <c r="N41" s="360">
        <v>39900</v>
      </c>
      <c r="O41" s="360">
        <v>43800</v>
      </c>
      <c r="P41" s="493"/>
      <c r="Q41" s="816"/>
      <c r="R41" s="417"/>
      <c r="S41" s="417"/>
      <c r="T41" s="417"/>
      <c r="U41" s="417"/>
      <c r="V41" s="417"/>
      <c r="W41" s="417"/>
      <c r="X41" s="417"/>
      <c r="Y41" s="417"/>
      <c r="Z41" s="417"/>
      <c r="AA41" s="417"/>
      <c r="AB41" s="417"/>
      <c r="AC41" s="417"/>
      <c r="AD41" s="417"/>
      <c r="AE41" s="417"/>
      <c r="AF41" s="417"/>
      <c r="AG41" s="417"/>
      <c r="AH41" s="417"/>
      <c r="AI41" s="417"/>
      <c r="AJ41" s="417"/>
      <c r="AK41" s="417"/>
      <c r="AL41" s="417"/>
      <c r="AM41" s="417"/>
    </row>
    <row r="42" spans="1:39" s="373" customFormat="1" ht="15.75">
      <c r="A42" s="355"/>
      <c r="B42" s="356" t="s">
        <v>64</v>
      </c>
      <c r="C42" s="375"/>
      <c r="D42" s="358">
        <v>1700</v>
      </c>
      <c r="E42" s="358">
        <v>1700</v>
      </c>
      <c r="F42" s="360">
        <v>2475.8146379999998</v>
      </c>
      <c r="G42" s="360">
        <v>1700</v>
      </c>
      <c r="H42" s="360">
        <v>1700</v>
      </c>
      <c r="I42" s="360">
        <v>3000</v>
      </c>
      <c r="J42" s="360">
        <v>3300</v>
      </c>
      <c r="K42" s="360">
        <v>3300</v>
      </c>
      <c r="L42" s="361">
        <v>3330</v>
      </c>
      <c r="M42" s="360">
        <v>3300</v>
      </c>
      <c r="N42" s="360">
        <v>3800</v>
      </c>
      <c r="O42" s="360">
        <v>4200</v>
      </c>
      <c r="P42" s="493"/>
      <c r="Q42" s="816"/>
      <c r="R42" s="419"/>
      <c r="S42" s="419"/>
      <c r="T42" s="419"/>
      <c r="U42" s="419"/>
      <c r="V42" s="419"/>
      <c r="W42" s="419"/>
      <c r="X42" s="419"/>
      <c r="Y42" s="419"/>
      <c r="Z42" s="419"/>
      <c r="AA42" s="419"/>
      <c r="AB42" s="419"/>
      <c r="AC42" s="419"/>
      <c r="AD42" s="419"/>
      <c r="AE42" s="419"/>
      <c r="AF42" s="419"/>
      <c r="AG42" s="419"/>
      <c r="AH42" s="419"/>
      <c r="AI42" s="419"/>
      <c r="AJ42" s="419"/>
      <c r="AK42" s="419"/>
      <c r="AL42" s="419"/>
      <c r="AM42" s="419"/>
    </row>
    <row r="43" spans="1:39" s="362" customFormat="1" ht="31.5" hidden="1" outlineLevel="1">
      <c r="A43" s="355"/>
      <c r="B43" s="364" t="s">
        <v>65</v>
      </c>
      <c r="C43" s="375"/>
      <c r="D43" s="359"/>
      <c r="E43" s="360"/>
      <c r="F43" s="359"/>
      <c r="G43" s="360"/>
      <c r="H43" s="360"/>
      <c r="I43" s="360"/>
      <c r="J43" s="360"/>
      <c r="K43" s="360"/>
      <c r="L43" s="361"/>
      <c r="M43" s="360"/>
      <c r="N43" s="360"/>
      <c r="O43" s="360"/>
      <c r="P43" s="493"/>
      <c r="Q43" s="816"/>
      <c r="R43" s="417"/>
      <c r="S43" s="417"/>
      <c r="T43" s="417"/>
      <c r="U43" s="417"/>
      <c r="V43" s="417"/>
      <c r="W43" s="417"/>
      <c r="X43" s="417"/>
      <c r="Y43" s="417"/>
      <c r="Z43" s="417"/>
      <c r="AA43" s="417"/>
      <c r="AB43" s="417"/>
      <c r="AC43" s="417"/>
      <c r="AD43" s="417"/>
      <c r="AE43" s="417"/>
      <c r="AF43" s="417"/>
      <c r="AG43" s="417"/>
      <c r="AH43" s="417"/>
      <c r="AI43" s="417"/>
      <c r="AJ43" s="417"/>
      <c r="AK43" s="417"/>
      <c r="AL43" s="417"/>
      <c r="AM43" s="417"/>
    </row>
    <row r="44" spans="1:39" s="362" customFormat="1" ht="18" customHeight="1" collapsed="1">
      <c r="A44" s="355"/>
      <c r="B44" s="356" t="s">
        <v>66</v>
      </c>
      <c r="C44" s="375"/>
      <c r="D44" s="358">
        <v>50500</v>
      </c>
      <c r="E44" s="358">
        <v>66400</v>
      </c>
      <c r="F44" s="359">
        <v>87884.2</v>
      </c>
      <c r="G44" s="360">
        <v>66000</v>
      </c>
      <c r="H44" s="360">
        <v>81000</v>
      </c>
      <c r="I44" s="360">
        <v>85000</v>
      </c>
      <c r="J44" s="360">
        <v>141700</v>
      </c>
      <c r="K44" s="360">
        <v>156200</v>
      </c>
      <c r="L44" s="361">
        <v>151790</v>
      </c>
      <c r="M44" s="360">
        <v>165000</v>
      </c>
      <c r="N44" s="360">
        <v>223100</v>
      </c>
      <c r="O44" s="360">
        <v>244700</v>
      </c>
      <c r="P44" s="493"/>
      <c r="Q44" s="816"/>
      <c r="R44" s="417"/>
      <c r="S44" s="417"/>
      <c r="T44" s="417"/>
      <c r="U44" s="417"/>
      <c r="V44" s="417"/>
      <c r="W44" s="417"/>
      <c r="X44" s="417"/>
      <c r="Y44" s="417"/>
      <c r="Z44" s="417"/>
      <c r="AA44" s="417"/>
      <c r="AB44" s="417"/>
      <c r="AC44" s="417"/>
      <c r="AD44" s="417"/>
      <c r="AE44" s="417"/>
      <c r="AF44" s="417"/>
      <c r="AG44" s="417"/>
      <c r="AH44" s="417"/>
      <c r="AI44" s="417"/>
      <c r="AJ44" s="417"/>
      <c r="AK44" s="417"/>
      <c r="AL44" s="417"/>
      <c r="AM44" s="417"/>
    </row>
    <row r="45" spans="1:39" s="362" customFormat="1" ht="18" customHeight="1">
      <c r="A45" s="342">
        <v>5</v>
      </c>
      <c r="B45" s="347" t="s">
        <v>75</v>
      </c>
      <c r="C45" s="376"/>
      <c r="D45" s="377">
        <v>67000</v>
      </c>
      <c r="E45" s="378">
        <v>67000</v>
      </c>
      <c r="F45" s="349">
        <v>58355</v>
      </c>
      <c r="G45" s="379">
        <v>65000</v>
      </c>
      <c r="H45" s="379">
        <v>65000</v>
      </c>
      <c r="I45" s="379">
        <v>63000</v>
      </c>
      <c r="J45" s="379">
        <v>74000</v>
      </c>
      <c r="K45" s="379">
        <f>J45</f>
        <v>74000</v>
      </c>
      <c r="L45" s="380">
        <v>100000</v>
      </c>
      <c r="M45" s="379">
        <v>100000</v>
      </c>
      <c r="N45" s="379">
        <v>124000</v>
      </c>
      <c r="O45" s="379">
        <v>136000</v>
      </c>
      <c r="P45" s="497"/>
      <c r="Q45" s="825"/>
      <c r="R45" s="417"/>
      <c r="S45" s="417"/>
      <c r="T45" s="417"/>
      <c r="U45" s="417"/>
      <c r="V45" s="417"/>
      <c r="W45" s="417"/>
      <c r="X45" s="417"/>
      <c r="Y45" s="417"/>
      <c r="Z45" s="417"/>
      <c r="AA45" s="417"/>
      <c r="AB45" s="417"/>
      <c r="AC45" s="417"/>
      <c r="AD45" s="417"/>
      <c r="AE45" s="417"/>
      <c r="AF45" s="417"/>
      <c r="AG45" s="417"/>
      <c r="AH45" s="417"/>
      <c r="AI45" s="417"/>
      <c r="AJ45" s="417"/>
      <c r="AK45" s="417"/>
      <c r="AL45" s="417"/>
      <c r="AM45" s="417"/>
    </row>
    <row r="46" spans="1:39" s="362" customFormat="1" ht="18" customHeight="1">
      <c r="A46" s="342">
        <v>6</v>
      </c>
      <c r="B46" s="352" t="s">
        <v>76</v>
      </c>
      <c r="C46" s="376"/>
      <c r="D46" s="377">
        <v>400</v>
      </c>
      <c r="E46" s="378">
        <v>400</v>
      </c>
      <c r="F46" s="349">
        <v>804</v>
      </c>
      <c r="G46" s="379">
        <v>500</v>
      </c>
      <c r="H46" s="379">
        <v>500</v>
      </c>
      <c r="I46" s="379">
        <v>500</v>
      </c>
      <c r="J46" s="379"/>
      <c r="K46" s="379"/>
      <c r="L46" s="380">
        <v>25</v>
      </c>
      <c r="M46" s="379"/>
      <c r="N46" s="379"/>
      <c r="O46" s="379"/>
      <c r="P46" s="497"/>
      <c r="Q46" s="825"/>
      <c r="R46" s="417"/>
      <c r="S46" s="417"/>
      <c r="T46" s="417"/>
      <c r="U46" s="417"/>
      <c r="V46" s="417"/>
      <c r="W46" s="417"/>
      <c r="X46" s="417"/>
      <c r="Y46" s="417"/>
      <c r="Z46" s="417"/>
      <c r="AA46" s="417"/>
      <c r="AB46" s="417"/>
      <c r="AC46" s="417"/>
      <c r="AD46" s="417"/>
      <c r="AE46" s="417"/>
      <c r="AF46" s="417"/>
      <c r="AG46" s="417"/>
      <c r="AH46" s="417"/>
      <c r="AI46" s="417"/>
      <c r="AJ46" s="417"/>
      <c r="AK46" s="417"/>
      <c r="AL46" s="417"/>
      <c r="AM46" s="417"/>
    </row>
    <row r="47" spans="1:39" s="362" customFormat="1" ht="18" customHeight="1">
      <c r="A47" s="342">
        <v>7</v>
      </c>
      <c r="B47" s="352" t="s">
        <v>77</v>
      </c>
      <c r="C47" s="376"/>
      <c r="D47" s="377">
        <v>2600</v>
      </c>
      <c r="E47" s="378">
        <v>2600</v>
      </c>
      <c r="F47" s="349">
        <v>4055</v>
      </c>
      <c r="G47" s="379">
        <v>3000</v>
      </c>
      <c r="H47" s="379">
        <v>3000</v>
      </c>
      <c r="I47" s="379">
        <v>3000</v>
      </c>
      <c r="J47" s="379">
        <v>3600</v>
      </c>
      <c r="K47" s="379">
        <f>J47</f>
        <v>3600</v>
      </c>
      <c r="L47" s="380">
        <v>3247</v>
      </c>
      <c r="M47" s="379">
        <v>3300</v>
      </c>
      <c r="N47" s="379">
        <v>3600</v>
      </c>
      <c r="O47" s="379">
        <v>3900</v>
      </c>
      <c r="P47" s="497"/>
      <c r="Q47" s="825"/>
      <c r="R47" s="417"/>
      <c r="S47" s="417"/>
      <c r="T47" s="417"/>
      <c r="U47" s="417"/>
      <c r="V47" s="417"/>
      <c r="W47" s="417"/>
      <c r="X47" s="417"/>
      <c r="Y47" s="417"/>
      <c r="Z47" s="417"/>
      <c r="AA47" s="417"/>
      <c r="AB47" s="417"/>
      <c r="AC47" s="417"/>
      <c r="AD47" s="417"/>
      <c r="AE47" s="417"/>
      <c r="AF47" s="417"/>
      <c r="AG47" s="417"/>
      <c r="AH47" s="417"/>
      <c r="AI47" s="417"/>
      <c r="AJ47" s="417"/>
      <c r="AK47" s="417"/>
      <c r="AL47" s="417"/>
      <c r="AM47" s="417"/>
    </row>
    <row r="48" spans="1:39" s="362" customFormat="1" ht="18" customHeight="1">
      <c r="A48" s="342">
        <v>8</v>
      </c>
      <c r="B48" s="352" t="s">
        <v>78</v>
      </c>
      <c r="C48" s="376"/>
      <c r="D48" s="377">
        <v>68500</v>
      </c>
      <c r="E48" s="378">
        <v>68500</v>
      </c>
      <c r="F48" s="349">
        <v>83414</v>
      </c>
      <c r="G48" s="379">
        <v>80500</v>
      </c>
      <c r="H48" s="379">
        <v>80500</v>
      </c>
      <c r="I48" s="379">
        <v>90000</v>
      </c>
      <c r="J48" s="379">
        <v>87000</v>
      </c>
      <c r="K48" s="379">
        <f>J48</f>
        <v>87000</v>
      </c>
      <c r="L48" s="380">
        <v>105680</v>
      </c>
      <c r="M48" s="379">
        <v>95000</v>
      </c>
      <c r="N48" s="379">
        <v>124000</v>
      </c>
      <c r="O48" s="379">
        <v>136000</v>
      </c>
      <c r="P48" s="497"/>
      <c r="Q48" s="825"/>
      <c r="R48" s="417"/>
      <c r="S48" s="417"/>
      <c r="T48" s="417"/>
      <c r="U48" s="417"/>
      <c r="V48" s="417"/>
      <c r="W48" s="417"/>
      <c r="X48" s="417"/>
      <c r="Y48" s="417"/>
      <c r="Z48" s="417"/>
      <c r="AA48" s="417"/>
      <c r="AB48" s="417"/>
      <c r="AC48" s="417"/>
      <c r="AD48" s="417"/>
      <c r="AE48" s="417"/>
      <c r="AF48" s="417"/>
      <c r="AG48" s="417"/>
      <c r="AH48" s="417"/>
      <c r="AI48" s="417"/>
      <c r="AJ48" s="417"/>
      <c r="AK48" s="417"/>
      <c r="AL48" s="417"/>
      <c r="AM48" s="417"/>
    </row>
    <row r="49" spans="1:39" s="362" customFormat="1" ht="18.75" customHeight="1">
      <c r="A49" s="342">
        <v>9</v>
      </c>
      <c r="B49" s="352" t="s">
        <v>79</v>
      </c>
      <c r="C49" s="376"/>
      <c r="D49" s="378">
        <f t="shared" ref="D49:H49" si="9">D50+D51</f>
        <v>153000</v>
      </c>
      <c r="E49" s="378">
        <f t="shared" si="9"/>
        <v>153000</v>
      </c>
      <c r="F49" s="381">
        <f t="shared" si="9"/>
        <v>164259</v>
      </c>
      <c r="G49" s="381">
        <f t="shared" si="9"/>
        <v>172000</v>
      </c>
      <c r="H49" s="381">
        <f t="shared" si="9"/>
        <v>172000</v>
      </c>
      <c r="I49" s="381">
        <v>190000</v>
      </c>
      <c r="J49" s="381">
        <f>J50+J51</f>
        <v>255000</v>
      </c>
      <c r="K49" s="381">
        <f>K50+K51</f>
        <v>255000</v>
      </c>
      <c r="L49" s="382">
        <f>L50+L51</f>
        <v>280000</v>
      </c>
      <c r="M49" s="382">
        <f t="shared" ref="M49:O49" si="10">M50+M51</f>
        <v>280000</v>
      </c>
      <c r="N49" s="382">
        <f t="shared" si="10"/>
        <v>309400</v>
      </c>
      <c r="O49" s="382">
        <f t="shared" si="10"/>
        <v>339400</v>
      </c>
      <c r="P49" s="498"/>
      <c r="Q49" s="826"/>
      <c r="R49" s="417"/>
      <c r="S49" s="417"/>
      <c r="T49" s="417"/>
      <c r="U49" s="417"/>
      <c r="V49" s="417"/>
      <c r="W49" s="417"/>
      <c r="X49" s="417"/>
      <c r="Y49" s="417"/>
      <c r="Z49" s="417"/>
      <c r="AA49" s="417"/>
      <c r="AB49" s="417"/>
      <c r="AC49" s="417"/>
      <c r="AD49" s="417"/>
      <c r="AE49" s="417"/>
      <c r="AF49" s="417"/>
      <c r="AG49" s="417"/>
      <c r="AH49" s="417"/>
      <c r="AI49" s="417"/>
      <c r="AJ49" s="417"/>
      <c r="AK49" s="417"/>
      <c r="AL49" s="417"/>
      <c r="AM49" s="417"/>
    </row>
    <row r="50" spans="1:39" s="373" customFormat="1" ht="18.75" customHeight="1">
      <c r="A50" s="363"/>
      <c r="B50" s="364" t="s">
        <v>80</v>
      </c>
      <c r="C50" s="383"/>
      <c r="D50" s="384">
        <v>96100</v>
      </c>
      <c r="E50" s="385">
        <v>96100</v>
      </c>
      <c r="F50" s="366">
        <v>103165</v>
      </c>
      <c r="G50" s="366">
        <v>108000</v>
      </c>
      <c r="H50" s="366">
        <v>108000</v>
      </c>
      <c r="I50" s="366">
        <v>119320</v>
      </c>
      <c r="J50" s="366">
        <v>160100</v>
      </c>
      <c r="K50" s="366">
        <f>J50</f>
        <v>160100</v>
      </c>
      <c r="L50" s="367">
        <v>175900</v>
      </c>
      <c r="M50" s="366">
        <v>145600</v>
      </c>
      <c r="N50" s="366">
        <v>160900</v>
      </c>
      <c r="O50" s="366">
        <v>176500</v>
      </c>
      <c r="P50" s="494"/>
      <c r="Q50" s="818"/>
      <c r="R50" s="419"/>
      <c r="S50" s="419"/>
      <c r="T50" s="419"/>
      <c r="U50" s="419"/>
      <c r="V50" s="419"/>
      <c r="W50" s="419"/>
      <c r="X50" s="419"/>
      <c r="Y50" s="419"/>
      <c r="Z50" s="419"/>
      <c r="AA50" s="419"/>
      <c r="AB50" s="419"/>
      <c r="AC50" s="419"/>
      <c r="AD50" s="419"/>
      <c r="AE50" s="419"/>
      <c r="AF50" s="419"/>
      <c r="AG50" s="419"/>
      <c r="AH50" s="419"/>
      <c r="AI50" s="419"/>
      <c r="AJ50" s="419"/>
      <c r="AK50" s="419"/>
      <c r="AL50" s="419"/>
      <c r="AM50" s="419"/>
    </row>
    <row r="51" spans="1:39" s="373" customFormat="1" ht="18.75" customHeight="1">
      <c r="A51" s="363"/>
      <c r="B51" s="364" t="s">
        <v>312</v>
      </c>
      <c r="C51" s="383"/>
      <c r="D51" s="384">
        <v>56900</v>
      </c>
      <c r="E51" s="385">
        <v>56900</v>
      </c>
      <c r="F51" s="386">
        <v>61094</v>
      </c>
      <c r="G51" s="366">
        <v>64000</v>
      </c>
      <c r="H51" s="366">
        <v>64000</v>
      </c>
      <c r="I51" s="366">
        <f>I49-I50</f>
        <v>70680</v>
      </c>
      <c r="J51" s="366">
        <v>94900</v>
      </c>
      <c r="K51" s="366">
        <f>J51</f>
        <v>94900</v>
      </c>
      <c r="L51" s="367">
        <v>104100</v>
      </c>
      <c r="M51" s="366">
        <v>134400</v>
      </c>
      <c r="N51" s="366">
        <v>148500</v>
      </c>
      <c r="O51" s="366">
        <v>162900</v>
      </c>
      <c r="P51" s="494"/>
      <c r="Q51" s="818"/>
      <c r="R51" s="419"/>
      <c r="S51" s="419"/>
      <c r="T51" s="419"/>
      <c r="U51" s="419"/>
      <c r="V51" s="419"/>
      <c r="W51" s="419"/>
      <c r="X51" s="419"/>
      <c r="Y51" s="419"/>
      <c r="Z51" s="419"/>
      <c r="AA51" s="419"/>
      <c r="AB51" s="419"/>
      <c r="AC51" s="419"/>
      <c r="AD51" s="419"/>
      <c r="AE51" s="419"/>
      <c r="AF51" s="419"/>
      <c r="AG51" s="419"/>
      <c r="AH51" s="419"/>
      <c r="AI51" s="419"/>
      <c r="AJ51" s="419"/>
      <c r="AK51" s="419"/>
      <c r="AL51" s="419"/>
      <c r="AM51" s="419"/>
    </row>
    <row r="52" spans="1:39" s="373" customFormat="1" ht="15.75">
      <c r="A52" s="342">
        <v>10</v>
      </c>
      <c r="B52" s="352" t="s">
        <v>81</v>
      </c>
      <c r="C52" s="376"/>
      <c r="D52" s="377">
        <v>40000</v>
      </c>
      <c r="E52" s="377">
        <f t="shared" ref="E52:O52" si="11">E53+E54</f>
        <v>47000</v>
      </c>
      <c r="F52" s="387">
        <f t="shared" si="11"/>
        <v>41959.849042000002</v>
      </c>
      <c r="G52" s="387">
        <f t="shared" si="11"/>
        <v>45000</v>
      </c>
      <c r="H52" s="387">
        <f t="shared" si="11"/>
        <v>52000</v>
      </c>
      <c r="I52" s="387">
        <f t="shared" si="11"/>
        <v>43000</v>
      </c>
      <c r="J52" s="387">
        <f t="shared" si="11"/>
        <v>57800</v>
      </c>
      <c r="K52" s="387">
        <f t="shared" si="11"/>
        <v>57800</v>
      </c>
      <c r="L52" s="388">
        <f>L53+L54</f>
        <v>61650</v>
      </c>
      <c r="M52" s="377">
        <f t="shared" si="11"/>
        <v>55000</v>
      </c>
      <c r="N52" s="377">
        <f t="shared" si="11"/>
        <v>64700</v>
      </c>
      <c r="O52" s="377">
        <f t="shared" si="11"/>
        <v>71000</v>
      </c>
      <c r="P52" s="499"/>
      <c r="Q52" s="827"/>
      <c r="R52" s="419"/>
      <c r="S52" s="419"/>
      <c r="T52" s="419"/>
      <c r="U52" s="419"/>
      <c r="V52" s="419"/>
      <c r="W52" s="419"/>
      <c r="X52" s="419"/>
      <c r="Y52" s="419"/>
      <c r="Z52" s="419"/>
      <c r="AA52" s="419"/>
      <c r="AB52" s="419"/>
      <c r="AC52" s="419"/>
      <c r="AD52" s="419"/>
      <c r="AE52" s="419"/>
      <c r="AF52" s="419"/>
      <c r="AG52" s="419"/>
      <c r="AH52" s="419"/>
      <c r="AI52" s="419"/>
      <c r="AJ52" s="419"/>
      <c r="AK52" s="419"/>
      <c r="AL52" s="419"/>
      <c r="AM52" s="419"/>
    </row>
    <row r="53" spans="1:39" s="373" customFormat="1" ht="15.75">
      <c r="A53" s="363"/>
      <c r="B53" s="364" t="s">
        <v>82</v>
      </c>
      <c r="C53" s="383"/>
      <c r="D53" s="384">
        <v>4000</v>
      </c>
      <c r="E53" s="385">
        <v>4000</v>
      </c>
      <c r="F53" s="386">
        <v>8122.8490419999998</v>
      </c>
      <c r="G53" s="366">
        <v>4000</v>
      </c>
      <c r="H53" s="366">
        <v>4000</v>
      </c>
      <c r="I53" s="366">
        <v>7000</v>
      </c>
      <c r="J53" s="366">
        <v>11800</v>
      </c>
      <c r="K53" s="366">
        <f>J53</f>
        <v>11800</v>
      </c>
      <c r="L53" s="367">
        <v>13000</v>
      </c>
      <c r="M53" s="366">
        <v>8000</v>
      </c>
      <c r="N53" s="366">
        <v>8600</v>
      </c>
      <c r="O53" s="366">
        <v>9500</v>
      </c>
      <c r="P53" s="494"/>
      <c r="Q53" s="818"/>
      <c r="R53" s="419"/>
      <c r="S53" s="419"/>
      <c r="T53" s="419"/>
      <c r="U53" s="419"/>
      <c r="V53" s="419"/>
      <c r="W53" s="419"/>
      <c r="X53" s="419"/>
      <c r="Y53" s="419"/>
      <c r="Z53" s="419"/>
      <c r="AA53" s="419"/>
      <c r="AB53" s="419"/>
      <c r="AC53" s="419"/>
      <c r="AD53" s="419"/>
      <c r="AE53" s="419"/>
      <c r="AF53" s="419"/>
      <c r="AG53" s="419"/>
      <c r="AH53" s="419"/>
      <c r="AI53" s="419"/>
      <c r="AJ53" s="419"/>
      <c r="AK53" s="419"/>
      <c r="AL53" s="419"/>
      <c r="AM53" s="419"/>
    </row>
    <row r="54" spans="1:39" s="373" customFormat="1" ht="15.75">
      <c r="A54" s="363"/>
      <c r="B54" s="364" t="s">
        <v>83</v>
      </c>
      <c r="C54" s="383"/>
      <c r="D54" s="384">
        <v>36000</v>
      </c>
      <c r="E54" s="384">
        <v>43000</v>
      </c>
      <c r="F54" s="386">
        <v>33837</v>
      </c>
      <c r="G54" s="366">
        <f>41000</f>
        <v>41000</v>
      </c>
      <c r="H54" s="366">
        <f>41000+7000</f>
        <v>48000</v>
      </c>
      <c r="I54" s="366">
        <v>36000</v>
      </c>
      <c r="J54" s="366">
        <v>46000</v>
      </c>
      <c r="K54" s="366">
        <f>J54</f>
        <v>46000</v>
      </c>
      <c r="L54" s="367">
        <f>61650-L53</f>
        <v>48650</v>
      </c>
      <c r="M54" s="366">
        <v>47000</v>
      </c>
      <c r="N54" s="366">
        <v>56100</v>
      </c>
      <c r="O54" s="366">
        <v>61500</v>
      </c>
      <c r="P54" s="494"/>
      <c r="Q54" s="818"/>
      <c r="R54" s="419"/>
      <c r="S54" s="419"/>
      <c r="T54" s="419"/>
      <c r="U54" s="419"/>
      <c r="V54" s="419"/>
      <c r="W54" s="419"/>
      <c r="X54" s="419"/>
      <c r="Y54" s="419"/>
      <c r="Z54" s="419"/>
      <c r="AA54" s="419"/>
      <c r="AB54" s="419"/>
      <c r="AC54" s="419"/>
      <c r="AD54" s="419"/>
      <c r="AE54" s="419"/>
      <c r="AF54" s="419"/>
      <c r="AG54" s="419"/>
      <c r="AH54" s="419"/>
      <c r="AI54" s="419"/>
      <c r="AJ54" s="419"/>
      <c r="AK54" s="419"/>
      <c r="AL54" s="419"/>
      <c r="AM54" s="419"/>
    </row>
    <row r="55" spans="1:39" s="373" customFormat="1" ht="47.25" hidden="1">
      <c r="A55" s="363"/>
      <c r="B55" s="364" t="s">
        <v>596</v>
      </c>
      <c r="C55" s="383"/>
      <c r="D55" s="385"/>
      <c r="E55" s="385"/>
      <c r="F55" s="366"/>
      <c r="G55" s="366"/>
      <c r="H55" s="366"/>
      <c r="I55" s="366"/>
      <c r="J55" s="366"/>
      <c r="K55" s="366">
        <v>7000</v>
      </c>
      <c r="L55" s="367">
        <v>9000</v>
      </c>
      <c r="M55" s="366">
        <v>8000</v>
      </c>
      <c r="N55" s="366">
        <v>8000</v>
      </c>
      <c r="O55" s="366">
        <v>9000</v>
      </c>
      <c r="P55" s="494"/>
      <c r="Q55" s="818"/>
      <c r="R55" s="419"/>
      <c r="S55" s="419"/>
      <c r="T55" s="419"/>
      <c r="U55" s="419"/>
      <c r="V55" s="419"/>
      <c r="W55" s="419"/>
      <c r="X55" s="419"/>
      <c r="Y55" s="419"/>
      <c r="Z55" s="419"/>
      <c r="AA55" s="419"/>
      <c r="AB55" s="419"/>
      <c r="AC55" s="419"/>
      <c r="AD55" s="419"/>
      <c r="AE55" s="419"/>
      <c r="AF55" s="419"/>
      <c r="AG55" s="419"/>
      <c r="AH55" s="419"/>
      <c r="AI55" s="419"/>
      <c r="AJ55" s="419"/>
      <c r="AK55" s="419"/>
      <c r="AL55" s="419"/>
      <c r="AM55" s="419"/>
    </row>
    <row r="56" spans="1:39" s="373" customFormat="1" ht="15.75">
      <c r="A56" s="342">
        <v>11</v>
      </c>
      <c r="B56" s="343" t="s">
        <v>612</v>
      </c>
      <c r="C56" s="376"/>
      <c r="D56" s="377">
        <v>110000</v>
      </c>
      <c r="E56" s="378">
        <v>110000</v>
      </c>
      <c r="F56" s="349">
        <f>F58</f>
        <v>196140</v>
      </c>
      <c r="G56" s="379">
        <f>G57+G58</f>
        <v>110000</v>
      </c>
      <c r="H56" s="379">
        <f>H57+H58</f>
        <v>180000</v>
      </c>
      <c r="I56" s="379">
        <f>I57+I58</f>
        <v>200000</v>
      </c>
      <c r="J56" s="379">
        <v>300000</v>
      </c>
      <c r="K56" s="379">
        <f>J56</f>
        <v>300000</v>
      </c>
      <c r="L56" s="380">
        <v>317950</v>
      </c>
      <c r="M56" s="379">
        <v>235000</v>
      </c>
      <c r="N56" s="379">
        <v>253300</v>
      </c>
      <c r="O56" s="379">
        <v>277900</v>
      </c>
      <c r="P56" s="497"/>
      <c r="Q56" s="825"/>
      <c r="R56" s="419"/>
      <c r="S56" s="419"/>
      <c r="T56" s="419"/>
      <c r="U56" s="419"/>
      <c r="V56" s="419"/>
      <c r="W56" s="419"/>
      <c r="X56" s="419"/>
      <c r="Y56" s="419"/>
      <c r="Z56" s="419"/>
      <c r="AA56" s="419"/>
      <c r="AB56" s="419"/>
      <c r="AC56" s="419"/>
      <c r="AD56" s="419"/>
      <c r="AE56" s="419"/>
      <c r="AF56" s="419"/>
      <c r="AG56" s="419"/>
      <c r="AH56" s="419"/>
      <c r="AI56" s="419"/>
      <c r="AJ56" s="419"/>
      <c r="AK56" s="419"/>
      <c r="AL56" s="419"/>
      <c r="AM56" s="419"/>
    </row>
    <row r="57" spans="1:39" s="368" customFormat="1" ht="34.5" hidden="1" customHeight="1" outlineLevel="1" collapsed="1">
      <c r="A57" s="363"/>
      <c r="B57" s="389" t="s">
        <v>84</v>
      </c>
      <c r="C57" s="383"/>
      <c r="D57" s="386"/>
      <c r="E57" s="366"/>
      <c r="F57" s="386"/>
      <c r="G57" s="366"/>
      <c r="H57" s="366"/>
      <c r="I57" s="366"/>
      <c r="J57" s="366"/>
      <c r="K57" s="366"/>
      <c r="L57" s="367"/>
      <c r="M57" s="366"/>
      <c r="N57" s="366"/>
      <c r="O57" s="366"/>
      <c r="P57" s="494"/>
      <c r="Q57" s="8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row>
    <row r="58" spans="1:39" s="373" customFormat="1" ht="31.5" hidden="1" outlineLevel="1">
      <c r="A58" s="363"/>
      <c r="B58" s="389" t="s">
        <v>227</v>
      </c>
      <c r="C58" s="383"/>
      <c r="D58" s="384">
        <v>110000</v>
      </c>
      <c r="E58" s="385">
        <v>110000</v>
      </c>
      <c r="F58" s="386">
        <v>196140</v>
      </c>
      <c r="G58" s="366">
        <v>110000</v>
      </c>
      <c r="H58" s="366">
        <f>110000+70000</f>
        <v>180000</v>
      </c>
      <c r="I58" s="366">
        <v>200000</v>
      </c>
      <c r="J58" s="366">
        <v>110000</v>
      </c>
      <c r="K58" s="366">
        <f>110000+70000</f>
        <v>180000</v>
      </c>
      <c r="L58" s="367">
        <v>200000</v>
      </c>
      <c r="M58" s="366"/>
      <c r="N58" s="366">
        <v>1160000</v>
      </c>
      <c r="O58" s="366">
        <v>319000</v>
      </c>
      <c r="P58" s="494"/>
      <c r="Q58" s="818"/>
      <c r="R58" s="419"/>
      <c r="S58" s="419"/>
      <c r="T58" s="419"/>
      <c r="U58" s="419"/>
      <c r="V58" s="419"/>
      <c r="W58" s="419"/>
      <c r="X58" s="419"/>
      <c r="Y58" s="419"/>
      <c r="Z58" s="419"/>
      <c r="AA58" s="419"/>
      <c r="AB58" s="419"/>
      <c r="AC58" s="419"/>
      <c r="AD58" s="419"/>
      <c r="AE58" s="419"/>
      <c r="AF58" s="419"/>
      <c r="AG58" s="419"/>
      <c r="AH58" s="419"/>
      <c r="AI58" s="419"/>
      <c r="AJ58" s="419"/>
      <c r="AK58" s="419"/>
      <c r="AL58" s="419"/>
      <c r="AM58" s="419"/>
    </row>
    <row r="59" spans="1:39" s="373" customFormat="1" ht="20.25" customHeight="1" collapsed="1">
      <c r="A59" s="342">
        <v>12</v>
      </c>
      <c r="B59" s="352" t="s">
        <v>85</v>
      </c>
      <c r="C59" s="376"/>
      <c r="D59" s="377">
        <v>17000</v>
      </c>
      <c r="E59" s="378">
        <v>17000</v>
      </c>
      <c r="F59" s="349">
        <v>14386</v>
      </c>
      <c r="G59" s="379">
        <v>9000</v>
      </c>
      <c r="H59" s="379">
        <v>9000</v>
      </c>
      <c r="I59" s="379">
        <v>14000</v>
      </c>
      <c r="J59" s="379">
        <v>20000</v>
      </c>
      <c r="K59" s="379">
        <v>20000</v>
      </c>
      <c r="L59" s="380">
        <v>14176</v>
      </c>
      <c r="M59" s="379">
        <v>22000</v>
      </c>
      <c r="N59" s="379">
        <v>23700</v>
      </c>
      <c r="O59" s="379">
        <v>26000</v>
      </c>
      <c r="P59" s="497"/>
      <c r="Q59" s="825"/>
      <c r="R59" s="419"/>
      <c r="S59" s="419"/>
      <c r="T59" s="419"/>
      <c r="U59" s="419"/>
      <c r="V59" s="419"/>
      <c r="W59" s="419"/>
      <c r="X59" s="419"/>
      <c r="Y59" s="419"/>
      <c r="Z59" s="419"/>
      <c r="AA59" s="419"/>
      <c r="AB59" s="419"/>
      <c r="AC59" s="419"/>
      <c r="AD59" s="419"/>
      <c r="AE59" s="419"/>
      <c r="AF59" s="419"/>
      <c r="AG59" s="419"/>
      <c r="AH59" s="419"/>
      <c r="AI59" s="419"/>
      <c r="AJ59" s="419"/>
      <c r="AK59" s="419"/>
      <c r="AL59" s="419"/>
      <c r="AM59" s="419"/>
    </row>
    <row r="60" spans="1:39" s="373" customFormat="1" ht="20.25" hidden="1" customHeight="1" outlineLevel="1">
      <c r="A60" s="342">
        <v>13</v>
      </c>
      <c r="B60" s="352" t="s">
        <v>86</v>
      </c>
      <c r="C60" s="376"/>
      <c r="D60" s="349"/>
      <c r="E60" s="379"/>
      <c r="F60" s="349"/>
      <c r="G60" s="379"/>
      <c r="H60" s="379"/>
      <c r="I60" s="379"/>
      <c r="J60" s="379"/>
      <c r="K60" s="379"/>
      <c r="L60" s="380"/>
      <c r="M60" s="379"/>
      <c r="N60" s="379"/>
      <c r="O60" s="379"/>
      <c r="P60" s="497"/>
      <c r="Q60" s="825"/>
      <c r="R60" s="419"/>
      <c r="S60" s="419"/>
      <c r="T60" s="419"/>
      <c r="U60" s="419"/>
      <c r="V60" s="419"/>
      <c r="W60" s="419"/>
      <c r="X60" s="419"/>
      <c r="Y60" s="419"/>
      <c r="Z60" s="419"/>
      <c r="AA60" s="419"/>
      <c r="AB60" s="419"/>
      <c r="AC60" s="419"/>
      <c r="AD60" s="419"/>
      <c r="AE60" s="419"/>
      <c r="AF60" s="419"/>
      <c r="AG60" s="419"/>
      <c r="AH60" s="419"/>
      <c r="AI60" s="419"/>
      <c r="AJ60" s="419"/>
      <c r="AK60" s="419"/>
      <c r="AL60" s="419"/>
      <c r="AM60" s="419"/>
    </row>
    <row r="61" spans="1:39" s="373" customFormat="1" ht="20.25" hidden="1" customHeight="1" outlineLevel="1">
      <c r="A61" s="342"/>
      <c r="B61" s="364" t="s">
        <v>87</v>
      </c>
      <c r="C61" s="376"/>
      <c r="D61" s="359"/>
      <c r="E61" s="379"/>
      <c r="F61" s="359"/>
      <c r="G61" s="379"/>
      <c r="H61" s="379"/>
      <c r="I61" s="379"/>
      <c r="J61" s="379"/>
      <c r="K61" s="379"/>
      <c r="L61" s="380"/>
      <c r="M61" s="379"/>
      <c r="N61" s="379"/>
      <c r="O61" s="379"/>
      <c r="P61" s="497"/>
      <c r="Q61" s="825"/>
      <c r="R61" s="419"/>
      <c r="S61" s="419"/>
      <c r="T61" s="419"/>
      <c r="U61" s="419"/>
      <c r="V61" s="419"/>
      <c r="W61" s="419"/>
      <c r="X61" s="419"/>
      <c r="Y61" s="419"/>
      <c r="Z61" s="419"/>
      <c r="AA61" s="419"/>
      <c r="AB61" s="419"/>
      <c r="AC61" s="419"/>
      <c r="AD61" s="419"/>
      <c r="AE61" s="419"/>
      <c r="AF61" s="419"/>
      <c r="AG61" s="419"/>
      <c r="AH61" s="419"/>
      <c r="AI61" s="419"/>
      <c r="AJ61" s="419"/>
      <c r="AK61" s="419"/>
      <c r="AL61" s="419"/>
      <c r="AM61" s="419"/>
    </row>
    <row r="62" spans="1:39" s="373" customFormat="1" ht="20.25" hidden="1" customHeight="1" outlineLevel="1" collapsed="1">
      <c r="A62" s="342"/>
      <c r="B62" s="390" t="s">
        <v>88</v>
      </c>
      <c r="C62" s="376"/>
      <c r="D62" s="359"/>
      <c r="E62" s="379"/>
      <c r="F62" s="359"/>
      <c r="G62" s="379"/>
      <c r="H62" s="379"/>
      <c r="I62" s="379"/>
      <c r="J62" s="379"/>
      <c r="K62" s="379"/>
      <c r="L62" s="380"/>
      <c r="M62" s="379"/>
      <c r="N62" s="379"/>
      <c r="O62" s="379"/>
      <c r="P62" s="497"/>
      <c r="Q62" s="825"/>
      <c r="R62" s="419"/>
      <c r="S62" s="419"/>
      <c r="T62" s="419"/>
      <c r="U62" s="419"/>
      <c r="V62" s="419"/>
      <c r="W62" s="419"/>
      <c r="X62" s="419"/>
      <c r="Y62" s="419"/>
      <c r="Z62" s="419"/>
      <c r="AA62" s="419"/>
      <c r="AB62" s="419"/>
      <c r="AC62" s="419"/>
      <c r="AD62" s="419"/>
      <c r="AE62" s="419"/>
      <c r="AF62" s="419"/>
      <c r="AG62" s="419"/>
      <c r="AH62" s="419"/>
      <c r="AI62" s="419"/>
      <c r="AJ62" s="419"/>
      <c r="AK62" s="419"/>
      <c r="AL62" s="419"/>
      <c r="AM62" s="419"/>
    </row>
    <row r="63" spans="1:39" s="373" customFormat="1" ht="20.25" hidden="1" customHeight="1" outlineLevel="1">
      <c r="A63" s="342">
        <v>14</v>
      </c>
      <c r="B63" s="352" t="s">
        <v>89</v>
      </c>
      <c r="C63" s="376"/>
      <c r="D63" s="359"/>
      <c r="E63" s="379"/>
      <c r="F63" s="359"/>
      <c r="G63" s="379"/>
      <c r="H63" s="379"/>
      <c r="I63" s="379"/>
      <c r="J63" s="379"/>
      <c r="K63" s="379"/>
      <c r="L63" s="380"/>
      <c r="M63" s="379"/>
      <c r="N63" s="379"/>
      <c r="O63" s="379"/>
      <c r="P63" s="497"/>
      <c r="Q63" s="825"/>
      <c r="R63" s="419"/>
      <c r="S63" s="419"/>
      <c r="T63" s="419"/>
      <c r="U63" s="419"/>
      <c r="V63" s="419"/>
      <c r="W63" s="419"/>
      <c r="X63" s="419"/>
      <c r="Y63" s="419"/>
      <c r="Z63" s="419"/>
      <c r="AA63" s="419"/>
      <c r="AB63" s="419"/>
      <c r="AC63" s="419"/>
      <c r="AD63" s="419"/>
      <c r="AE63" s="419"/>
      <c r="AF63" s="419"/>
      <c r="AG63" s="419"/>
      <c r="AH63" s="419"/>
      <c r="AI63" s="419"/>
      <c r="AJ63" s="419"/>
      <c r="AK63" s="419"/>
      <c r="AL63" s="419"/>
      <c r="AM63" s="419"/>
    </row>
    <row r="64" spans="1:39" s="373" customFormat="1" ht="20.25" hidden="1" customHeight="1" outlineLevel="1">
      <c r="A64" s="342"/>
      <c r="B64" s="364" t="s">
        <v>90</v>
      </c>
      <c r="C64" s="376"/>
      <c r="D64" s="359"/>
      <c r="E64" s="379"/>
      <c r="F64" s="359"/>
      <c r="G64" s="379"/>
      <c r="H64" s="379"/>
      <c r="I64" s="379"/>
      <c r="J64" s="379"/>
      <c r="K64" s="379"/>
      <c r="L64" s="380"/>
      <c r="M64" s="379"/>
      <c r="N64" s="379"/>
      <c r="O64" s="379"/>
      <c r="P64" s="497"/>
      <c r="Q64" s="825"/>
      <c r="R64" s="419"/>
      <c r="S64" s="419"/>
      <c r="T64" s="419"/>
      <c r="U64" s="419"/>
      <c r="V64" s="419"/>
      <c r="W64" s="419"/>
      <c r="X64" s="419"/>
      <c r="Y64" s="419"/>
      <c r="Z64" s="419"/>
      <c r="AA64" s="419"/>
      <c r="AB64" s="419"/>
      <c r="AC64" s="419"/>
      <c r="AD64" s="419"/>
      <c r="AE64" s="419"/>
      <c r="AF64" s="419"/>
      <c r="AG64" s="419"/>
      <c r="AH64" s="419"/>
      <c r="AI64" s="419"/>
      <c r="AJ64" s="419"/>
      <c r="AK64" s="419"/>
      <c r="AL64" s="419"/>
      <c r="AM64" s="419"/>
    </row>
    <row r="65" spans="1:39" s="373" customFormat="1" ht="15.75" hidden="1" outlineLevel="1" collapsed="1">
      <c r="A65" s="342"/>
      <c r="B65" s="390" t="s">
        <v>91</v>
      </c>
      <c r="C65" s="376"/>
      <c r="D65" s="359"/>
      <c r="E65" s="379"/>
      <c r="F65" s="359"/>
      <c r="G65" s="379"/>
      <c r="H65" s="379"/>
      <c r="I65" s="379"/>
      <c r="J65" s="379"/>
      <c r="K65" s="379"/>
      <c r="L65" s="380"/>
      <c r="M65" s="379"/>
      <c r="N65" s="379"/>
      <c r="O65" s="379"/>
      <c r="P65" s="497"/>
      <c r="Q65" s="825"/>
      <c r="R65" s="419"/>
      <c r="S65" s="419"/>
      <c r="T65" s="419"/>
      <c r="U65" s="419"/>
      <c r="V65" s="419"/>
      <c r="W65" s="419"/>
      <c r="X65" s="419"/>
      <c r="Y65" s="419"/>
      <c r="Z65" s="419"/>
      <c r="AA65" s="419"/>
      <c r="AB65" s="419"/>
      <c r="AC65" s="419"/>
      <c r="AD65" s="419"/>
      <c r="AE65" s="419"/>
      <c r="AF65" s="419"/>
      <c r="AG65" s="419"/>
      <c r="AH65" s="419"/>
      <c r="AI65" s="419"/>
      <c r="AJ65" s="419"/>
      <c r="AK65" s="419"/>
      <c r="AL65" s="419"/>
      <c r="AM65" s="419"/>
    </row>
    <row r="66" spans="1:39" s="373" customFormat="1" ht="30.75" hidden="1" customHeight="1" outlineLevel="1">
      <c r="A66" s="342">
        <v>15</v>
      </c>
      <c r="B66" s="352" t="s">
        <v>92</v>
      </c>
      <c r="C66" s="376"/>
      <c r="D66" s="359"/>
      <c r="E66" s="379"/>
      <c r="F66" s="359"/>
      <c r="G66" s="379"/>
      <c r="H66" s="379"/>
      <c r="I66" s="379"/>
      <c r="J66" s="379"/>
      <c r="K66" s="379"/>
      <c r="L66" s="380"/>
      <c r="M66" s="379"/>
      <c r="N66" s="379"/>
      <c r="O66" s="379"/>
      <c r="P66" s="497"/>
      <c r="Q66" s="825"/>
      <c r="R66" s="419"/>
      <c r="S66" s="419"/>
      <c r="T66" s="419"/>
      <c r="U66" s="419"/>
      <c r="V66" s="419"/>
      <c r="W66" s="419"/>
      <c r="X66" s="419"/>
      <c r="Y66" s="419"/>
      <c r="Z66" s="419"/>
      <c r="AA66" s="419"/>
      <c r="AB66" s="419"/>
      <c r="AC66" s="419"/>
      <c r="AD66" s="419"/>
      <c r="AE66" s="419"/>
      <c r="AF66" s="419"/>
      <c r="AG66" s="419"/>
      <c r="AH66" s="419"/>
      <c r="AI66" s="419"/>
      <c r="AJ66" s="419"/>
      <c r="AK66" s="419"/>
      <c r="AL66" s="419"/>
      <c r="AM66" s="419"/>
    </row>
    <row r="67" spans="1:39" s="373" customFormat="1" ht="20.25" hidden="1" customHeight="1" outlineLevel="1">
      <c r="A67" s="342"/>
      <c r="B67" s="364" t="s">
        <v>93</v>
      </c>
      <c r="C67" s="376"/>
      <c r="D67" s="359"/>
      <c r="E67" s="379"/>
      <c r="F67" s="359"/>
      <c r="G67" s="379"/>
      <c r="H67" s="379"/>
      <c r="I67" s="379"/>
      <c r="J67" s="379"/>
      <c r="K67" s="379"/>
      <c r="L67" s="380"/>
      <c r="M67" s="379"/>
      <c r="N67" s="379"/>
      <c r="O67" s="379"/>
      <c r="P67" s="497"/>
      <c r="Q67" s="825"/>
      <c r="R67" s="419"/>
      <c r="S67" s="419"/>
      <c r="T67" s="419"/>
      <c r="U67" s="419"/>
      <c r="V67" s="419"/>
      <c r="W67" s="419"/>
      <c r="X67" s="419"/>
      <c r="Y67" s="419"/>
      <c r="Z67" s="419"/>
      <c r="AA67" s="419"/>
      <c r="AB67" s="419"/>
      <c r="AC67" s="419"/>
      <c r="AD67" s="419"/>
      <c r="AE67" s="419"/>
      <c r="AF67" s="419"/>
      <c r="AG67" s="419"/>
      <c r="AH67" s="419"/>
      <c r="AI67" s="419"/>
      <c r="AJ67" s="419"/>
      <c r="AK67" s="419"/>
      <c r="AL67" s="419"/>
      <c r="AM67" s="419"/>
    </row>
    <row r="68" spans="1:39" s="373" customFormat="1" ht="15.75" hidden="1" outlineLevel="1" collapsed="1">
      <c r="A68" s="342"/>
      <c r="B68" s="390" t="s">
        <v>94</v>
      </c>
      <c r="C68" s="376"/>
      <c r="D68" s="359"/>
      <c r="E68" s="379"/>
      <c r="F68" s="359"/>
      <c r="G68" s="379"/>
      <c r="H68" s="379"/>
      <c r="I68" s="379"/>
      <c r="J68" s="379"/>
      <c r="K68" s="379"/>
      <c r="L68" s="380"/>
      <c r="M68" s="379"/>
      <c r="N68" s="379"/>
      <c r="O68" s="379"/>
      <c r="P68" s="497"/>
      <c r="Q68" s="825"/>
      <c r="R68" s="419"/>
      <c r="S68" s="419"/>
      <c r="T68" s="419"/>
      <c r="U68" s="419"/>
      <c r="V68" s="419"/>
      <c r="W68" s="419"/>
      <c r="X68" s="419"/>
      <c r="Y68" s="419"/>
      <c r="Z68" s="419"/>
      <c r="AA68" s="419"/>
      <c r="AB68" s="419"/>
      <c r="AC68" s="419"/>
      <c r="AD68" s="419"/>
      <c r="AE68" s="419"/>
      <c r="AF68" s="419"/>
      <c r="AG68" s="419"/>
      <c r="AH68" s="419"/>
      <c r="AI68" s="419"/>
      <c r="AJ68" s="419"/>
      <c r="AK68" s="419"/>
      <c r="AL68" s="419"/>
      <c r="AM68" s="419"/>
    </row>
    <row r="69" spans="1:39" s="373" customFormat="1" ht="15.75" collapsed="1">
      <c r="A69" s="342">
        <v>13</v>
      </c>
      <c r="B69" s="352" t="s">
        <v>95</v>
      </c>
      <c r="C69" s="376"/>
      <c r="D69" s="377">
        <v>200</v>
      </c>
      <c r="E69" s="378">
        <v>200</v>
      </c>
      <c r="F69" s="349">
        <v>237</v>
      </c>
      <c r="G69" s="379">
        <v>200</v>
      </c>
      <c r="H69" s="379">
        <v>200</v>
      </c>
      <c r="I69" s="379">
        <v>200</v>
      </c>
      <c r="J69" s="379"/>
      <c r="K69" s="379"/>
      <c r="L69" s="380"/>
      <c r="M69" s="379"/>
      <c r="N69" s="379"/>
      <c r="O69" s="379"/>
      <c r="P69" s="497"/>
      <c r="Q69" s="825"/>
      <c r="R69" s="419"/>
      <c r="S69" s="419"/>
      <c r="T69" s="419"/>
      <c r="U69" s="419"/>
      <c r="V69" s="419"/>
      <c r="W69" s="419"/>
      <c r="X69" s="419"/>
      <c r="Y69" s="419"/>
      <c r="Z69" s="419"/>
      <c r="AA69" s="419"/>
      <c r="AB69" s="419"/>
      <c r="AC69" s="419"/>
      <c r="AD69" s="419"/>
      <c r="AE69" s="419"/>
      <c r="AF69" s="419"/>
      <c r="AG69" s="419"/>
      <c r="AH69" s="419"/>
      <c r="AI69" s="419"/>
      <c r="AJ69" s="419"/>
      <c r="AK69" s="419"/>
      <c r="AL69" s="419"/>
      <c r="AM69" s="419"/>
    </row>
    <row r="70" spans="1:39" s="373" customFormat="1" ht="20.25" customHeight="1">
      <c r="A70" s="342">
        <v>14</v>
      </c>
      <c r="B70" s="352" t="s">
        <v>96</v>
      </c>
      <c r="C70" s="376"/>
      <c r="D70" s="391">
        <v>54800</v>
      </c>
      <c r="E70" s="391">
        <v>54800</v>
      </c>
      <c r="F70" s="349">
        <v>183752</v>
      </c>
      <c r="G70" s="379">
        <v>50000</v>
      </c>
      <c r="H70" s="379">
        <v>50000</v>
      </c>
      <c r="I70" s="379">
        <v>55000</v>
      </c>
      <c r="J70" s="379">
        <v>54900</v>
      </c>
      <c r="K70" s="379">
        <f t="shared" ref="K70:K77" si="12">J70</f>
        <v>54900</v>
      </c>
      <c r="L70" s="380">
        <v>66600</v>
      </c>
      <c r="M70" s="379">
        <v>70000</v>
      </c>
      <c r="N70" s="379">
        <v>86200</v>
      </c>
      <c r="O70" s="379">
        <v>94600</v>
      </c>
      <c r="P70" s="497"/>
      <c r="Q70" s="825"/>
      <c r="R70" s="419"/>
      <c r="S70" s="419"/>
      <c r="T70" s="419"/>
      <c r="U70" s="419"/>
      <c r="V70" s="419"/>
      <c r="W70" s="419"/>
      <c r="X70" s="419"/>
      <c r="Y70" s="419"/>
      <c r="Z70" s="419"/>
      <c r="AA70" s="419"/>
      <c r="AB70" s="419"/>
      <c r="AC70" s="419"/>
      <c r="AD70" s="419"/>
      <c r="AE70" s="419"/>
      <c r="AF70" s="419"/>
      <c r="AG70" s="419"/>
      <c r="AH70" s="419"/>
      <c r="AI70" s="419"/>
      <c r="AJ70" s="419"/>
      <c r="AK70" s="419"/>
      <c r="AL70" s="419"/>
      <c r="AM70" s="419"/>
    </row>
    <row r="71" spans="1:39" s="373" customFormat="1" ht="20.25" customHeight="1">
      <c r="A71" s="363"/>
      <c r="B71" s="364" t="s">
        <v>97</v>
      </c>
      <c r="C71" s="383"/>
      <c r="D71" s="392">
        <v>21800</v>
      </c>
      <c r="E71" s="392">
        <v>21800</v>
      </c>
      <c r="F71" s="386">
        <v>27490.530535999998</v>
      </c>
      <c r="G71" s="366">
        <v>23000</v>
      </c>
      <c r="H71" s="366">
        <v>23000</v>
      </c>
      <c r="I71" s="366">
        <v>23000</v>
      </c>
      <c r="J71" s="366">
        <v>21000</v>
      </c>
      <c r="K71" s="366">
        <f t="shared" si="12"/>
        <v>21000</v>
      </c>
      <c r="L71" s="367">
        <v>14680</v>
      </c>
      <c r="M71" s="366">
        <v>22000</v>
      </c>
      <c r="N71" s="366">
        <v>23700</v>
      </c>
      <c r="O71" s="366">
        <v>26000</v>
      </c>
      <c r="P71" s="494"/>
      <c r="Q71" s="818"/>
      <c r="R71" s="828">
        <f>27667/M78*100</f>
        <v>3.4030750307503075</v>
      </c>
      <c r="S71" s="419"/>
      <c r="T71" s="419"/>
      <c r="U71" s="419"/>
      <c r="V71" s="419"/>
      <c r="W71" s="419"/>
      <c r="X71" s="419"/>
      <c r="Y71" s="419"/>
      <c r="Z71" s="419"/>
      <c r="AA71" s="419"/>
      <c r="AB71" s="419"/>
      <c r="AC71" s="419"/>
      <c r="AD71" s="419"/>
      <c r="AE71" s="419"/>
      <c r="AF71" s="419"/>
      <c r="AG71" s="419"/>
      <c r="AH71" s="419"/>
      <c r="AI71" s="419"/>
      <c r="AJ71" s="419"/>
      <c r="AK71" s="419"/>
      <c r="AL71" s="419"/>
      <c r="AM71" s="419"/>
    </row>
    <row r="72" spans="1:39" s="373" customFormat="1" ht="20.25" customHeight="1">
      <c r="A72" s="342">
        <v>15</v>
      </c>
      <c r="B72" s="352" t="s">
        <v>98</v>
      </c>
      <c r="C72" s="376"/>
      <c r="D72" s="349">
        <f>D73+D74</f>
        <v>8000</v>
      </c>
      <c r="E72" s="349">
        <f>E73+E74</f>
        <v>8000</v>
      </c>
      <c r="F72" s="349">
        <f t="shared" ref="F72:N72" si="13">F73+F74</f>
        <v>6307.077714</v>
      </c>
      <c r="G72" s="349">
        <f t="shared" si="13"/>
        <v>8000</v>
      </c>
      <c r="H72" s="349">
        <f t="shared" si="13"/>
        <v>8000</v>
      </c>
      <c r="I72" s="349">
        <v>60000</v>
      </c>
      <c r="J72" s="349">
        <f>J73+J74</f>
        <v>30000</v>
      </c>
      <c r="K72" s="349">
        <f t="shared" si="12"/>
        <v>30000</v>
      </c>
      <c r="L72" s="353">
        <f>L73+L74</f>
        <v>100900</v>
      </c>
      <c r="M72" s="349">
        <f t="shared" si="13"/>
        <v>90000</v>
      </c>
      <c r="N72" s="349">
        <f t="shared" si="13"/>
        <v>100000</v>
      </c>
      <c r="O72" s="349">
        <f>O73+O74</f>
        <v>105000</v>
      </c>
      <c r="P72" s="492"/>
      <c r="Q72" s="568"/>
      <c r="R72" s="419"/>
      <c r="S72" s="419"/>
      <c r="T72" s="419"/>
      <c r="U72" s="419"/>
      <c r="V72" s="419"/>
      <c r="W72" s="419"/>
      <c r="X72" s="419"/>
      <c r="Y72" s="419"/>
      <c r="Z72" s="419"/>
      <c r="AA72" s="419"/>
      <c r="AB72" s="419"/>
      <c r="AC72" s="419"/>
      <c r="AD72" s="419"/>
      <c r="AE72" s="419"/>
      <c r="AF72" s="419"/>
      <c r="AG72" s="419"/>
      <c r="AH72" s="419"/>
      <c r="AI72" s="419"/>
      <c r="AJ72" s="419"/>
      <c r="AK72" s="419"/>
      <c r="AL72" s="419"/>
      <c r="AM72" s="419"/>
    </row>
    <row r="73" spans="1:39" s="393" customFormat="1" ht="15.75">
      <c r="A73" s="363"/>
      <c r="B73" s="364" t="s">
        <v>99</v>
      </c>
      <c r="C73" s="383"/>
      <c r="D73" s="384">
        <v>450</v>
      </c>
      <c r="E73" s="385">
        <v>450</v>
      </c>
      <c r="F73" s="386">
        <v>0</v>
      </c>
      <c r="G73" s="366">
        <v>0</v>
      </c>
      <c r="H73" s="366">
        <v>0</v>
      </c>
      <c r="I73" s="366">
        <v>9000</v>
      </c>
      <c r="J73" s="366">
        <v>20000</v>
      </c>
      <c r="K73" s="366">
        <f t="shared" si="12"/>
        <v>20000</v>
      </c>
      <c r="L73" s="367">
        <v>91710</v>
      </c>
      <c r="M73" s="366">
        <v>80000</v>
      </c>
      <c r="N73" s="366">
        <v>85000</v>
      </c>
      <c r="O73" s="366">
        <v>90000</v>
      </c>
      <c r="P73" s="494"/>
      <c r="Q73" s="818"/>
      <c r="R73" s="420"/>
      <c r="S73" s="420">
        <f>M73*70%</f>
        <v>56000</v>
      </c>
      <c r="T73" s="420"/>
      <c r="U73" s="420"/>
      <c r="V73" s="420"/>
      <c r="W73" s="420"/>
      <c r="X73" s="420"/>
      <c r="Y73" s="420"/>
      <c r="Z73" s="420"/>
      <c r="AA73" s="420"/>
      <c r="AB73" s="420"/>
      <c r="AC73" s="420"/>
      <c r="AD73" s="420"/>
      <c r="AE73" s="420"/>
      <c r="AF73" s="420"/>
      <c r="AG73" s="420"/>
      <c r="AH73" s="420"/>
      <c r="AI73" s="420"/>
      <c r="AJ73" s="420"/>
      <c r="AK73" s="420"/>
      <c r="AL73" s="420"/>
      <c r="AM73" s="420"/>
    </row>
    <row r="74" spans="1:39" s="368" customFormat="1" ht="15.75">
      <c r="A74" s="363"/>
      <c r="B74" s="364" t="s">
        <v>313</v>
      </c>
      <c r="C74" s="383"/>
      <c r="D74" s="384">
        <f>8000-450</f>
        <v>7550</v>
      </c>
      <c r="E74" s="385">
        <v>7550</v>
      </c>
      <c r="F74" s="386">
        <v>6307.077714</v>
      </c>
      <c r="G74" s="366">
        <v>8000</v>
      </c>
      <c r="H74" s="366">
        <v>8000</v>
      </c>
      <c r="I74" s="366">
        <v>51000</v>
      </c>
      <c r="J74" s="366">
        <v>10000</v>
      </c>
      <c r="K74" s="366">
        <f t="shared" si="12"/>
        <v>10000</v>
      </c>
      <c r="L74" s="367">
        <f>5785+3405</f>
        <v>9190</v>
      </c>
      <c r="M74" s="366">
        <v>10000</v>
      </c>
      <c r="N74" s="366">
        <v>15000</v>
      </c>
      <c r="O74" s="366">
        <v>15000</v>
      </c>
      <c r="P74" s="494"/>
      <c r="Q74" s="818"/>
      <c r="R74" s="421">
        <f>M78-M79-315000</f>
        <v>450000</v>
      </c>
      <c r="S74" s="421">
        <f>N78-N79</f>
        <v>441000</v>
      </c>
      <c r="T74" s="421">
        <f>O78-O79</f>
        <v>485000.46999999974</v>
      </c>
      <c r="U74" s="418"/>
      <c r="V74" s="418"/>
      <c r="W74" s="418"/>
      <c r="X74" s="576"/>
      <c r="Y74" s="576"/>
      <c r="Z74" s="576"/>
      <c r="AA74" s="495"/>
      <c r="AB74" s="418"/>
      <c r="AC74" s="418"/>
      <c r="AD74" s="418"/>
      <c r="AE74" s="418"/>
      <c r="AF74" s="418"/>
      <c r="AG74" s="418"/>
      <c r="AH74" s="418"/>
      <c r="AI74" s="418"/>
      <c r="AJ74" s="418"/>
      <c r="AK74" s="418"/>
      <c r="AL74" s="418"/>
      <c r="AM74" s="418"/>
    </row>
    <row r="75" spans="1:39" s="373" customFormat="1" ht="31.5" customHeight="1">
      <c r="A75" s="342">
        <v>16</v>
      </c>
      <c r="B75" s="352" t="s">
        <v>100</v>
      </c>
      <c r="C75" s="376"/>
      <c r="D75" s="377">
        <v>3000</v>
      </c>
      <c r="E75" s="378">
        <v>3000</v>
      </c>
      <c r="F75" s="349">
        <v>4185</v>
      </c>
      <c r="G75" s="379">
        <v>3100</v>
      </c>
      <c r="H75" s="379">
        <v>3100</v>
      </c>
      <c r="I75" s="379">
        <v>1000</v>
      </c>
      <c r="J75" s="379">
        <v>500</v>
      </c>
      <c r="K75" s="379">
        <f t="shared" si="12"/>
        <v>500</v>
      </c>
      <c r="L75" s="380">
        <v>1320</v>
      </c>
      <c r="M75" s="379">
        <v>700</v>
      </c>
      <c r="N75" s="379">
        <v>800</v>
      </c>
      <c r="O75" s="379">
        <v>800</v>
      </c>
      <c r="P75" s="497"/>
      <c r="Q75" s="825" t="s">
        <v>742</v>
      </c>
      <c r="R75" s="421">
        <f>R74*95%</f>
        <v>427500</v>
      </c>
      <c r="S75" s="421">
        <f t="shared" ref="S75:T75" si="14">S74*95%</f>
        <v>418950</v>
      </c>
      <c r="T75" s="421">
        <f t="shared" si="14"/>
        <v>460750.44649999973</v>
      </c>
      <c r="U75" s="419"/>
      <c r="V75" s="419"/>
      <c r="W75" s="419"/>
      <c r="X75" s="578">
        <f>X74*85%</f>
        <v>0</v>
      </c>
      <c r="Y75" s="578">
        <f>X74*15%</f>
        <v>0</v>
      </c>
      <c r="Z75" s="577"/>
      <c r="AA75" s="496"/>
      <c r="AB75" s="419"/>
      <c r="AC75" s="419"/>
      <c r="AD75" s="419"/>
      <c r="AE75" s="419"/>
      <c r="AF75" s="419"/>
      <c r="AG75" s="419"/>
      <c r="AH75" s="419"/>
      <c r="AI75" s="419"/>
      <c r="AJ75" s="419"/>
      <c r="AK75" s="419"/>
      <c r="AL75" s="419"/>
      <c r="AM75" s="419"/>
    </row>
    <row r="76" spans="1:39" s="373" customFormat="1" ht="33" customHeight="1">
      <c r="A76" s="342">
        <v>17</v>
      </c>
      <c r="B76" s="352" t="s">
        <v>101</v>
      </c>
      <c r="C76" s="376"/>
      <c r="D76" s="349">
        <v>0</v>
      </c>
      <c r="E76" s="379">
        <v>0</v>
      </c>
      <c r="F76" s="349">
        <v>1015</v>
      </c>
      <c r="G76" s="379">
        <v>700</v>
      </c>
      <c r="H76" s="379">
        <v>700</v>
      </c>
      <c r="I76" s="379">
        <v>600</v>
      </c>
      <c r="J76" s="379">
        <v>2000</v>
      </c>
      <c r="K76" s="379">
        <f t="shared" si="12"/>
        <v>2000</v>
      </c>
      <c r="L76" s="380">
        <v>2000</v>
      </c>
      <c r="M76" s="379">
        <v>2000</v>
      </c>
      <c r="N76" s="379">
        <v>2000</v>
      </c>
      <c r="O76" s="379">
        <v>2000</v>
      </c>
      <c r="P76" s="497"/>
      <c r="Q76" s="825" t="s">
        <v>743</v>
      </c>
      <c r="R76" s="421">
        <f>R74*5%</f>
        <v>22500</v>
      </c>
      <c r="S76" s="421">
        <f t="shared" ref="S76:T76" si="15">S74*5%</f>
        <v>22050</v>
      </c>
      <c r="T76" s="421">
        <f t="shared" si="15"/>
        <v>24250.023499999988</v>
      </c>
      <c r="U76" s="419"/>
      <c r="V76" s="419"/>
      <c r="W76" s="419"/>
      <c r="X76" s="578">
        <f>X75*10%</f>
        <v>0</v>
      </c>
      <c r="Y76" s="578">
        <f>Y75*10%</f>
        <v>0</v>
      </c>
      <c r="Z76" s="577"/>
      <c r="AA76" s="496"/>
      <c r="AB76" s="419"/>
      <c r="AC76" s="419"/>
      <c r="AD76" s="419"/>
      <c r="AE76" s="419"/>
      <c r="AF76" s="419"/>
      <c r="AG76" s="419"/>
      <c r="AH76" s="419"/>
      <c r="AI76" s="419"/>
      <c r="AJ76" s="419"/>
      <c r="AK76" s="419"/>
      <c r="AL76" s="419"/>
      <c r="AM76" s="419"/>
    </row>
    <row r="77" spans="1:39" s="373" customFormat="1" ht="31.5">
      <c r="A77" s="342">
        <v>18</v>
      </c>
      <c r="B77" s="352" t="s">
        <v>102</v>
      </c>
      <c r="C77" s="376"/>
      <c r="D77" s="378">
        <v>70000</v>
      </c>
      <c r="E77" s="378">
        <v>70000</v>
      </c>
      <c r="F77" s="349">
        <v>72781</v>
      </c>
      <c r="G77" s="379">
        <v>66000</v>
      </c>
      <c r="H77" s="379">
        <v>66000</v>
      </c>
      <c r="I77" s="379">
        <v>80000</v>
      </c>
      <c r="J77" s="379">
        <v>90000</v>
      </c>
      <c r="K77" s="379">
        <f t="shared" si="12"/>
        <v>90000</v>
      </c>
      <c r="L77" s="380">
        <v>95000</v>
      </c>
      <c r="M77" s="379">
        <v>60000</v>
      </c>
      <c r="N77" s="379">
        <v>100000</v>
      </c>
      <c r="O77" s="379">
        <v>110000</v>
      </c>
      <c r="P77" s="497"/>
      <c r="Q77" s="825" t="s">
        <v>744</v>
      </c>
      <c r="R77" s="421">
        <f>R76*2%</f>
        <v>450</v>
      </c>
      <c r="S77" s="421">
        <f t="shared" ref="S77:T77" si="16">S76*2%</f>
        <v>441</v>
      </c>
      <c r="T77" s="421">
        <f t="shared" si="16"/>
        <v>485.00046999999978</v>
      </c>
      <c r="U77" s="419"/>
      <c r="V77" s="419"/>
      <c r="W77" s="419"/>
      <c r="X77" s="578"/>
      <c r="Y77" s="578"/>
      <c r="Z77" s="577"/>
      <c r="AA77" s="496"/>
      <c r="AB77" s="419"/>
      <c r="AC77" s="419"/>
      <c r="AD77" s="419"/>
      <c r="AE77" s="419"/>
      <c r="AF77" s="419"/>
      <c r="AG77" s="419"/>
      <c r="AH77" s="419"/>
      <c r="AI77" s="419"/>
      <c r="AJ77" s="419"/>
      <c r="AK77" s="419"/>
      <c r="AL77" s="419"/>
      <c r="AM77" s="419"/>
    </row>
    <row r="78" spans="1:39" s="373" customFormat="1" ht="47.25">
      <c r="A78" s="342">
        <v>19</v>
      </c>
      <c r="B78" s="347" t="s">
        <v>593</v>
      </c>
      <c r="C78" s="376"/>
      <c r="D78" s="349"/>
      <c r="E78" s="379"/>
      <c r="F78" s="349"/>
      <c r="G78" s="379"/>
      <c r="H78" s="379"/>
      <c r="I78" s="379"/>
      <c r="J78" s="379"/>
      <c r="K78" s="379">
        <v>806400</v>
      </c>
      <c r="L78" s="380">
        <v>570300</v>
      </c>
      <c r="M78" s="379">
        <v>813000</v>
      </c>
      <c r="N78" s="379">
        <v>471000</v>
      </c>
      <c r="O78" s="379">
        <v>515000.46999999974</v>
      </c>
      <c r="P78" s="497"/>
      <c r="Q78" s="825"/>
      <c r="R78" s="421">
        <f>M78*2%</f>
        <v>16260</v>
      </c>
      <c r="S78" s="421">
        <f>N78*2%</f>
        <v>9420</v>
      </c>
      <c r="T78" s="421">
        <f>O78*2%</f>
        <v>10300.009399999995</v>
      </c>
      <c r="U78" s="419"/>
      <c r="V78" s="419"/>
      <c r="W78" s="419"/>
      <c r="X78" s="421"/>
      <c r="Y78" s="419"/>
      <c r="Z78" s="496"/>
      <c r="AA78" s="496"/>
      <c r="AB78" s="419"/>
      <c r="AC78" s="419"/>
      <c r="AD78" s="419"/>
      <c r="AE78" s="419"/>
      <c r="AF78" s="419"/>
      <c r="AG78" s="419"/>
      <c r="AH78" s="419"/>
      <c r="AI78" s="419"/>
      <c r="AJ78" s="419"/>
      <c r="AK78" s="419"/>
      <c r="AL78" s="419"/>
      <c r="AM78" s="419"/>
    </row>
    <row r="79" spans="1:39" s="393" customFormat="1" ht="38.25" customHeight="1">
      <c r="A79" s="363"/>
      <c r="B79" s="571" t="s">
        <v>741</v>
      </c>
      <c r="C79" s="383"/>
      <c r="D79" s="386"/>
      <c r="E79" s="366"/>
      <c r="F79" s="386"/>
      <c r="G79" s="366"/>
      <c r="H79" s="366"/>
      <c r="I79" s="366"/>
      <c r="J79" s="366"/>
      <c r="K79" s="366"/>
      <c r="L79" s="367"/>
      <c r="M79" s="366">
        <v>48000</v>
      </c>
      <c r="N79" s="366">
        <v>30000</v>
      </c>
      <c r="O79" s="366">
        <v>30000</v>
      </c>
      <c r="P79" s="494"/>
      <c r="Q79" s="818" t="s">
        <v>745</v>
      </c>
      <c r="R79" s="572">
        <f>R78-R77</f>
        <v>15810</v>
      </c>
      <c r="S79" s="572">
        <f>S78-S77</f>
        <v>8979</v>
      </c>
      <c r="T79" s="572">
        <f>T78-T77</f>
        <v>9815.0089299999963</v>
      </c>
      <c r="U79" s="420"/>
      <c r="V79" s="420"/>
      <c r="W79" s="420"/>
      <c r="X79" s="572"/>
      <c r="Y79" s="420"/>
      <c r="Z79" s="500"/>
      <c r="AA79" s="500"/>
      <c r="AB79" s="420"/>
      <c r="AC79" s="420"/>
      <c r="AD79" s="420"/>
      <c r="AE79" s="420"/>
      <c r="AF79" s="420"/>
      <c r="AG79" s="420"/>
      <c r="AH79" s="420"/>
      <c r="AI79" s="420"/>
      <c r="AJ79" s="420"/>
      <c r="AK79" s="420"/>
      <c r="AL79" s="420"/>
      <c r="AM79" s="420"/>
    </row>
    <row r="80" spans="1:39" s="373" customFormat="1" ht="15.75">
      <c r="A80" s="342">
        <v>20</v>
      </c>
      <c r="B80" s="347" t="s">
        <v>705</v>
      </c>
      <c r="C80" s="376"/>
      <c r="D80" s="349"/>
      <c r="E80" s="379"/>
      <c r="F80" s="349"/>
      <c r="G80" s="379"/>
      <c r="H80" s="379"/>
      <c r="I80" s="379"/>
      <c r="J80" s="379"/>
      <c r="K80" s="379">
        <v>39000</v>
      </c>
      <c r="L80" s="380"/>
      <c r="M80" s="379"/>
      <c r="N80" s="379"/>
      <c r="O80" s="379"/>
      <c r="P80" s="497"/>
      <c r="Q80" s="825"/>
      <c r="R80" s="421"/>
      <c r="S80" s="421"/>
      <c r="T80" s="421"/>
      <c r="U80" s="419"/>
      <c r="V80" s="419"/>
      <c r="W80" s="419"/>
      <c r="X80" s="421"/>
      <c r="Y80" s="419"/>
      <c r="Z80" s="496"/>
      <c r="AA80" s="496"/>
      <c r="AB80" s="419"/>
      <c r="AC80" s="419"/>
      <c r="AD80" s="419"/>
      <c r="AE80" s="419"/>
      <c r="AF80" s="419"/>
      <c r="AG80" s="419"/>
      <c r="AH80" s="419"/>
      <c r="AI80" s="419"/>
      <c r="AJ80" s="419"/>
      <c r="AK80" s="419"/>
      <c r="AL80" s="419"/>
      <c r="AM80" s="419"/>
    </row>
    <row r="81" spans="1:39" s="373" customFormat="1" ht="20.25" customHeight="1">
      <c r="A81" s="342" t="s">
        <v>103</v>
      </c>
      <c r="B81" s="347" t="s">
        <v>105</v>
      </c>
      <c r="C81" s="376"/>
      <c r="D81" s="349">
        <f>D82+D85+D86+D87</f>
        <v>90000</v>
      </c>
      <c r="E81" s="349">
        <f t="shared" ref="E81:O81" si="17">E82+E85+E86+E87</f>
        <v>90000</v>
      </c>
      <c r="F81" s="349">
        <f>F82+F87+F88</f>
        <v>295178.84333399998</v>
      </c>
      <c r="G81" s="349">
        <f>G82+G85+G86+G87</f>
        <v>252000</v>
      </c>
      <c r="H81" s="349">
        <f>H82+H85+H86+H87</f>
        <v>252000</v>
      </c>
      <c r="I81" s="349">
        <f>I82+I85+I86+I87+I88</f>
        <v>224000</v>
      </c>
      <c r="J81" s="349">
        <f>J82+J85+J86+J87</f>
        <v>246800</v>
      </c>
      <c r="K81" s="349">
        <f>K82+K85+K86+K87</f>
        <v>246800</v>
      </c>
      <c r="L81" s="353">
        <f>L82+L85+L86+L87+L88</f>
        <v>269000</v>
      </c>
      <c r="M81" s="349">
        <f t="shared" si="17"/>
        <v>270000</v>
      </c>
      <c r="N81" s="349">
        <f t="shared" si="17"/>
        <v>331000</v>
      </c>
      <c r="O81" s="349">
        <f t="shared" si="17"/>
        <v>353999.53</v>
      </c>
      <c r="P81" s="492"/>
      <c r="Q81" s="568" t="s">
        <v>746</v>
      </c>
      <c r="R81" s="421">
        <f>M78-R78</f>
        <v>796740</v>
      </c>
      <c r="S81" s="421">
        <f>N78-S78</f>
        <v>461580</v>
      </c>
      <c r="T81" s="421">
        <f>O78-T78</f>
        <v>504700.46059999976</v>
      </c>
      <c r="U81" s="419"/>
      <c r="V81" s="419"/>
      <c r="W81" s="419"/>
      <c r="X81" s="419">
        <f>N81/M81</f>
        <v>1.2259259259259259</v>
      </c>
      <c r="Y81" s="419">
        <f>O81/N81</f>
        <v>1.0694849848942598</v>
      </c>
      <c r="Z81" s="496"/>
      <c r="AA81" s="496"/>
      <c r="AB81" s="419"/>
      <c r="AC81" s="419"/>
      <c r="AD81" s="419"/>
      <c r="AE81" s="419"/>
      <c r="AF81" s="419"/>
      <c r="AG81" s="419"/>
      <c r="AH81" s="419"/>
      <c r="AI81" s="419"/>
      <c r="AJ81" s="419"/>
      <c r="AK81" s="419"/>
      <c r="AL81" s="419"/>
      <c r="AM81" s="419"/>
    </row>
    <row r="82" spans="1:39" s="373" customFormat="1" ht="20.25" customHeight="1">
      <c r="A82" s="342">
        <v>1</v>
      </c>
      <c r="B82" s="347" t="s">
        <v>211</v>
      </c>
      <c r="C82" s="376"/>
      <c r="D82" s="349">
        <f>D83+D84</f>
        <v>8000</v>
      </c>
      <c r="E82" s="349">
        <f t="shared" ref="E82:O82" si="18">E83+E84</f>
        <v>8000</v>
      </c>
      <c r="F82" s="349">
        <f t="shared" si="18"/>
        <v>4935.0498069999994</v>
      </c>
      <c r="G82" s="349">
        <f t="shared" si="18"/>
        <v>105000</v>
      </c>
      <c r="H82" s="349">
        <f t="shared" si="18"/>
        <v>105000</v>
      </c>
      <c r="I82" s="349">
        <f t="shared" si="18"/>
        <v>4110</v>
      </c>
      <c r="J82" s="349">
        <f t="shared" si="18"/>
        <v>3800</v>
      </c>
      <c r="K82" s="349">
        <f t="shared" si="18"/>
        <v>3800</v>
      </c>
      <c r="L82" s="353">
        <f t="shared" si="18"/>
        <v>5300</v>
      </c>
      <c r="M82" s="349">
        <f t="shared" si="18"/>
        <v>8140</v>
      </c>
      <c r="N82" s="349">
        <f t="shared" si="18"/>
        <v>9179</v>
      </c>
      <c r="O82" s="349">
        <f t="shared" si="18"/>
        <v>9821.5300000000007</v>
      </c>
      <c r="P82" s="492"/>
      <c r="Q82" s="568"/>
      <c r="R82" s="419"/>
      <c r="S82" s="419"/>
      <c r="T82" s="419"/>
      <c r="U82" s="419"/>
      <c r="V82" s="419"/>
      <c r="W82" s="419"/>
      <c r="X82" s="419"/>
      <c r="Y82" s="419"/>
      <c r="Z82" s="496"/>
      <c r="AA82" s="496"/>
      <c r="AB82" s="419"/>
      <c r="AC82" s="419"/>
      <c r="AD82" s="419"/>
      <c r="AE82" s="419"/>
      <c r="AF82" s="419"/>
      <c r="AG82" s="419"/>
      <c r="AH82" s="419"/>
      <c r="AI82" s="419"/>
      <c r="AJ82" s="419"/>
      <c r="AK82" s="419"/>
      <c r="AL82" s="419"/>
      <c r="AM82" s="419"/>
    </row>
    <row r="83" spans="1:39" s="351" customFormat="1" ht="22.5" customHeight="1">
      <c r="A83" s="363"/>
      <c r="B83" s="364" t="s">
        <v>106</v>
      </c>
      <c r="C83" s="383"/>
      <c r="D83" s="385">
        <v>1700</v>
      </c>
      <c r="E83" s="385">
        <f>D83</f>
        <v>1700</v>
      </c>
      <c r="F83" s="386">
        <v>3790.8332989999999</v>
      </c>
      <c r="G83" s="359">
        <v>4000</v>
      </c>
      <c r="H83" s="359">
        <v>4000</v>
      </c>
      <c r="I83" s="359">
        <v>2150</v>
      </c>
      <c r="J83" s="359">
        <v>3800</v>
      </c>
      <c r="K83" s="359">
        <f>J83</f>
        <v>3800</v>
      </c>
      <c r="L83" s="394">
        <v>3000</v>
      </c>
      <c r="M83" s="359">
        <v>4500</v>
      </c>
      <c r="N83" s="359">
        <v>4283</v>
      </c>
      <c r="O83" s="359">
        <f>N83*1.07</f>
        <v>4582.8100000000004</v>
      </c>
      <c r="P83" s="501"/>
      <c r="Q83" s="829" t="s">
        <v>747</v>
      </c>
      <c r="R83" s="830">
        <f>R75-R79</f>
        <v>411690</v>
      </c>
      <c r="S83" s="830">
        <f>S75-S79</f>
        <v>409971</v>
      </c>
      <c r="T83" s="830">
        <f>T75-T79</f>
        <v>450935.43756999972</v>
      </c>
      <c r="U83" s="415"/>
      <c r="V83" s="415"/>
      <c r="W83" s="415"/>
      <c r="X83" s="415"/>
      <c r="Y83" s="415"/>
      <c r="Z83" s="415"/>
      <c r="AA83" s="415"/>
      <c r="AB83" s="415"/>
      <c r="AC83" s="415"/>
      <c r="AD83" s="415"/>
      <c r="AE83" s="415"/>
      <c r="AF83" s="415"/>
      <c r="AG83" s="415"/>
      <c r="AH83" s="415"/>
      <c r="AI83" s="415"/>
      <c r="AJ83" s="415"/>
      <c r="AK83" s="415"/>
      <c r="AL83" s="415"/>
      <c r="AM83" s="415"/>
    </row>
    <row r="84" spans="1:39" s="351" customFormat="1" ht="22.5" customHeight="1">
      <c r="A84" s="363"/>
      <c r="B84" s="364" t="s">
        <v>107</v>
      </c>
      <c r="C84" s="383"/>
      <c r="D84" s="385">
        <v>6300</v>
      </c>
      <c r="E84" s="385">
        <f>D84</f>
        <v>6300</v>
      </c>
      <c r="F84" s="386">
        <v>1144.216508</v>
      </c>
      <c r="G84" s="359">
        <v>101000</v>
      </c>
      <c r="H84" s="359">
        <v>101000</v>
      </c>
      <c r="I84" s="359">
        <v>1960</v>
      </c>
      <c r="J84" s="359"/>
      <c r="K84" s="359">
        <f>J84</f>
        <v>0</v>
      </c>
      <c r="L84" s="394">
        <v>2300</v>
      </c>
      <c r="M84" s="359">
        <v>3640</v>
      </c>
      <c r="N84" s="359">
        <v>4896</v>
      </c>
      <c r="O84" s="359">
        <f t="shared" ref="O84:O86" si="19">N84*1.07</f>
        <v>5238.72</v>
      </c>
      <c r="P84" s="501"/>
      <c r="Q84" s="829" t="s">
        <v>748</v>
      </c>
      <c r="R84" s="830">
        <f>R76-R77</f>
        <v>22050</v>
      </c>
      <c r="S84" s="830">
        <f>S76-S77</f>
        <v>21609</v>
      </c>
      <c r="T84" s="830">
        <f>T76-T77</f>
        <v>23765.023029999989</v>
      </c>
      <c r="U84" s="415"/>
      <c r="V84" s="415"/>
      <c r="W84" s="415"/>
      <c r="X84" s="415"/>
      <c r="Y84" s="415"/>
      <c r="Z84" s="415"/>
      <c r="AA84" s="415"/>
      <c r="AB84" s="415"/>
      <c r="AC84" s="415"/>
      <c r="AD84" s="415"/>
      <c r="AE84" s="415"/>
      <c r="AF84" s="415"/>
      <c r="AG84" s="415"/>
      <c r="AH84" s="415"/>
      <c r="AI84" s="415"/>
      <c r="AJ84" s="415"/>
      <c r="AK84" s="415"/>
      <c r="AL84" s="415"/>
      <c r="AM84" s="415"/>
    </row>
    <row r="85" spans="1:39" s="395" customFormat="1" ht="20.25" hidden="1" customHeight="1" outlineLevel="1">
      <c r="A85" s="342"/>
      <c r="B85" s="352" t="s">
        <v>108</v>
      </c>
      <c r="C85" s="376"/>
      <c r="D85" s="349"/>
      <c r="E85" s="379"/>
      <c r="F85" s="349"/>
      <c r="G85" s="349">
        <f t="shared" ref="G85:L86" si="20">F85*1.07</f>
        <v>0</v>
      </c>
      <c r="H85" s="349">
        <f t="shared" si="20"/>
        <v>0</v>
      </c>
      <c r="I85" s="349">
        <f t="shared" si="20"/>
        <v>0</v>
      </c>
      <c r="J85" s="349">
        <f t="shared" si="20"/>
        <v>0</v>
      </c>
      <c r="K85" s="349">
        <f t="shared" si="20"/>
        <v>0</v>
      </c>
      <c r="L85" s="353">
        <f t="shared" si="20"/>
        <v>0</v>
      </c>
      <c r="M85" s="349"/>
      <c r="N85" s="359">
        <f t="shared" ref="N85:N86" si="21">M85*1.069</f>
        <v>0</v>
      </c>
      <c r="O85" s="359">
        <f t="shared" si="19"/>
        <v>0</v>
      </c>
      <c r="P85" s="492"/>
      <c r="Q85" s="568" t="s">
        <v>749</v>
      </c>
      <c r="R85" s="831">
        <f>R83+M79</f>
        <v>459690</v>
      </c>
      <c r="S85" s="831">
        <f>S83+N79</f>
        <v>439971</v>
      </c>
      <c r="T85" s="831">
        <f>T83+O79</f>
        <v>480935.43756999972</v>
      </c>
      <c r="U85" s="422"/>
      <c r="V85" s="422"/>
      <c r="W85" s="422"/>
      <c r="X85" s="422"/>
      <c r="Y85" s="422"/>
      <c r="Z85" s="422"/>
      <c r="AA85" s="422"/>
      <c r="AB85" s="422"/>
      <c r="AC85" s="422"/>
      <c r="AD85" s="422"/>
      <c r="AE85" s="422"/>
      <c r="AF85" s="422"/>
      <c r="AG85" s="422"/>
      <c r="AH85" s="422"/>
      <c r="AI85" s="422"/>
      <c r="AJ85" s="422"/>
      <c r="AK85" s="422"/>
      <c r="AL85" s="422"/>
      <c r="AM85" s="422"/>
    </row>
    <row r="86" spans="1:39" s="396" customFormat="1" ht="16.5" hidden="1" customHeight="1" outlineLevel="1">
      <c r="A86" s="342"/>
      <c r="B86" s="352" t="s">
        <v>79</v>
      </c>
      <c r="C86" s="376"/>
      <c r="D86" s="349"/>
      <c r="E86" s="379"/>
      <c r="F86" s="349"/>
      <c r="G86" s="349">
        <f t="shared" si="20"/>
        <v>0</v>
      </c>
      <c r="H86" s="349">
        <f t="shared" si="20"/>
        <v>0</v>
      </c>
      <c r="I86" s="349">
        <f t="shared" si="20"/>
        <v>0</v>
      </c>
      <c r="J86" s="349">
        <f t="shared" si="20"/>
        <v>0</v>
      </c>
      <c r="K86" s="349">
        <f t="shared" si="20"/>
        <v>0</v>
      </c>
      <c r="L86" s="353">
        <f t="shared" si="20"/>
        <v>0</v>
      </c>
      <c r="M86" s="349">
        <f>G86*1.07</f>
        <v>0</v>
      </c>
      <c r="N86" s="359">
        <f t="shared" si="21"/>
        <v>0</v>
      </c>
      <c r="O86" s="359">
        <f t="shared" si="19"/>
        <v>0</v>
      </c>
      <c r="P86" s="492"/>
      <c r="Q86" s="568"/>
      <c r="R86" s="832">
        <f>R85+R84+R79+R77</f>
        <v>498000</v>
      </c>
      <c r="S86" s="832">
        <f>S85+S84+S79+S77</f>
        <v>471000</v>
      </c>
      <c r="T86" s="832">
        <f>T85+T84+T79+T77</f>
        <v>515000.46999999974</v>
      </c>
      <c r="U86" s="423"/>
      <c r="V86" s="423"/>
      <c r="W86" s="423"/>
      <c r="X86" s="423"/>
      <c r="Y86" s="423"/>
      <c r="Z86" s="423"/>
      <c r="AA86" s="423"/>
      <c r="AB86" s="423"/>
      <c r="AC86" s="423"/>
      <c r="AD86" s="423"/>
      <c r="AE86" s="423"/>
      <c r="AF86" s="423"/>
      <c r="AG86" s="423"/>
      <c r="AH86" s="423"/>
      <c r="AI86" s="423"/>
      <c r="AJ86" s="423"/>
      <c r="AK86" s="423"/>
      <c r="AL86" s="423"/>
      <c r="AM86" s="423"/>
    </row>
    <row r="87" spans="1:39" s="397" customFormat="1" ht="16.5" customHeight="1" collapsed="1">
      <c r="A87" s="342">
        <v>2</v>
      </c>
      <c r="B87" s="352" t="s">
        <v>109</v>
      </c>
      <c r="C87" s="376"/>
      <c r="D87" s="378">
        <v>82000</v>
      </c>
      <c r="E87" s="378">
        <v>82000</v>
      </c>
      <c r="F87" s="349">
        <v>289818.40746999998</v>
      </c>
      <c r="G87" s="349">
        <v>147000</v>
      </c>
      <c r="H87" s="349">
        <v>147000</v>
      </c>
      <c r="I87" s="349">
        <v>219690</v>
      </c>
      <c r="J87" s="349">
        <v>243000</v>
      </c>
      <c r="K87" s="349">
        <f>J87</f>
        <v>243000</v>
      </c>
      <c r="L87" s="353">
        <v>263536</v>
      </c>
      <c r="M87" s="349">
        <v>261860</v>
      </c>
      <c r="N87" s="349">
        <v>321821</v>
      </c>
      <c r="O87" s="349">
        <v>344178</v>
      </c>
      <c r="P87" s="492"/>
      <c r="Q87" s="568"/>
      <c r="R87" s="424"/>
      <c r="S87" s="424"/>
      <c r="T87" s="424"/>
      <c r="U87" s="424"/>
      <c r="V87" s="424"/>
      <c r="W87" s="424"/>
      <c r="X87" s="424"/>
      <c r="Y87" s="424"/>
      <c r="Z87" s="424"/>
      <c r="AA87" s="424"/>
      <c r="AB87" s="424"/>
      <c r="AC87" s="424"/>
      <c r="AD87" s="424"/>
      <c r="AE87" s="424"/>
      <c r="AF87" s="424"/>
      <c r="AG87" s="424"/>
      <c r="AH87" s="424"/>
      <c r="AI87" s="424"/>
      <c r="AJ87" s="424"/>
      <c r="AK87" s="424"/>
      <c r="AL87" s="424"/>
      <c r="AM87" s="424"/>
    </row>
    <row r="88" spans="1:39" s="397" customFormat="1" ht="16.5" customHeight="1">
      <c r="A88" s="342">
        <v>3</v>
      </c>
      <c r="B88" s="352" t="s">
        <v>130</v>
      </c>
      <c r="C88" s="376"/>
      <c r="D88" s="378"/>
      <c r="E88" s="378"/>
      <c r="F88" s="349">
        <v>425.38605699999999</v>
      </c>
      <c r="G88" s="349"/>
      <c r="H88" s="349"/>
      <c r="I88" s="349">
        <v>200</v>
      </c>
      <c r="J88" s="349"/>
      <c r="K88" s="349"/>
      <c r="L88" s="353">
        <v>164</v>
      </c>
      <c r="M88" s="349"/>
      <c r="N88" s="349"/>
      <c r="O88" s="349"/>
      <c r="P88" s="492"/>
      <c r="Q88" s="568"/>
      <c r="R88" s="424"/>
      <c r="S88" s="424"/>
      <c r="T88" s="424"/>
      <c r="U88" s="424"/>
      <c r="V88" s="424"/>
      <c r="W88" s="424"/>
      <c r="X88" s="424"/>
      <c r="Y88" s="424"/>
      <c r="Z88" s="424"/>
      <c r="AA88" s="424"/>
      <c r="AB88" s="424"/>
      <c r="AC88" s="424"/>
      <c r="AD88" s="424"/>
      <c r="AE88" s="424"/>
      <c r="AF88" s="424"/>
      <c r="AG88" s="424"/>
      <c r="AH88" s="424"/>
      <c r="AI88" s="424"/>
      <c r="AJ88" s="424"/>
      <c r="AK88" s="424"/>
      <c r="AL88" s="424"/>
      <c r="AM88" s="424"/>
    </row>
    <row r="89" spans="1:39" s="401" customFormat="1" ht="31.5">
      <c r="A89" s="398" t="s">
        <v>160</v>
      </c>
      <c r="B89" s="399" t="s">
        <v>613</v>
      </c>
      <c r="C89" s="400"/>
      <c r="D89" s="400"/>
      <c r="E89" s="378">
        <v>31000</v>
      </c>
      <c r="F89" s="349">
        <v>43934</v>
      </c>
      <c r="G89" s="379"/>
      <c r="H89" s="379">
        <v>20000</v>
      </c>
      <c r="I89" s="379">
        <v>18000</v>
      </c>
      <c r="J89" s="379"/>
      <c r="K89" s="379"/>
      <c r="L89" s="380"/>
      <c r="M89" s="379"/>
      <c r="N89" s="379"/>
      <c r="O89" s="379"/>
      <c r="P89" s="497"/>
      <c r="Q89" s="8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row>
    <row r="90" spans="1:39" ht="10.5" customHeight="1">
      <c r="A90" s="402"/>
      <c r="B90" s="403"/>
      <c r="C90" s="404"/>
      <c r="D90" s="404"/>
      <c r="E90" s="404"/>
      <c r="F90" s="404"/>
      <c r="G90" s="405"/>
      <c r="H90" s="405"/>
      <c r="I90" s="405"/>
      <c r="J90" s="405"/>
      <c r="K90" s="405"/>
      <c r="L90" s="406"/>
      <c r="M90" s="405"/>
      <c r="N90" s="407"/>
      <c r="O90" s="407"/>
      <c r="P90" s="502"/>
      <c r="Q90" s="833"/>
    </row>
    <row r="91" spans="1:39" ht="18" customHeight="1">
      <c r="A91" s="976"/>
      <c r="B91" s="976"/>
      <c r="C91" s="976"/>
      <c r="D91" s="976"/>
      <c r="E91" s="976"/>
      <c r="F91" s="976"/>
      <c r="G91" s="976"/>
      <c r="H91" s="976"/>
      <c r="I91" s="976"/>
      <c r="J91" s="976"/>
      <c r="K91" s="976"/>
      <c r="L91" s="976"/>
      <c r="M91" s="976"/>
      <c r="N91" s="976"/>
      <c r="O91" s="976"/>
      <c r="P91" s="503"/>
      <c r="Q91" s="834"/>
    </row>
    <row r="92" spans="1:39" ht="15.75" outlineLevel="1">
      <c r="F92" s="977"/>
      <c r="G92" s="977"/>
      <c r="H92" s="977"/>
      <c r="I92" s="977"/>
      <c r="J92" s="977"/>
      <c r="K92" s="977"/>
      <c r="L92" s="977"/>
      <c r="M92" s="977"/>
      <c r="N92" s="977"/>
    </row>
    <row r="93" spans="1:39" ht="15.75" outlineLevel="1">
      <c r="F93" s="977"/>
      <c r="G93" s="977"/>
      <c r="H93" s="977"/>
      <c r="I93" s="977"/>
      <c r="J93" s="977"/>
      <c r="K93" s="977"/>
      <c r="L93" s="977"/>
      <c r="M93" s="977"/>
      <c r="N93" s="977"/>
      <c r="O93" s="483"/>
    </row>
    <row r="94" spans="1:39" ht="15.75" outlineLevel="1">
      <c r="F94" s="977"/>
      <c r="G94" s="977"/>
      <c r="H94" s="977"/>
      <c r="I94" s="977"/>
      <c r="J94" s="977"/>
      <c r="K94" s="977"/>
      <c r="L94" s="977"/>
      <c r="M94" s="977"/>
      <c r="N94" s="977"/>
    </row>
    <row r="96" spans="1:39">
      <c r="M96" s="483"/>
      <c r="N96" s="483"/>
      <c r="O96" s="483"/>
    </row>
  </sheetData>
  <mergeCells count="27">
    <mergeCell ref="A91:O91"/>
    <mergeCell ref="F92:N92"/>
    <mergeCell ref="F93:N93"/>
    <mergeCell ref="F94:N94"/>
    <mergeCell ref="O7:O8"/>
    <mergeCell ref="I7:I8"/>
    <mergeCell ref="M3:N3"/>
    <mergeCell ref="A4:N4"/>
    <mergeCell ref="M5:N5"/>
    <mergeCell ref="A6:A8"/>
    <mergeCell ref="B6:B8"/>
    <mergeCell ref="C6:C8"/>
    <mergeCell ref="D6:F6"/>
    <mergeCell ref="D7:D8"/>
    <mergeCell ref="E7:E8"/>
    <mergeCell ref="F7:F8"/>
    <mergeCell ref="G7:G8"/>
    <mergeCell ref="M7:M8"/>
    <mergeCell ref="N7:N8"/>
    <mergeCell ref="G6:I6"/>
    <mergeCell ref="H7:H8"/>
    <mergeCell ref="R8:V8"/>
    <mergeCell ref="M6:O6"/>
    <mergeCell ref="J6:L6"/>
    <mergeCell ref="J7:J8"/>
    <mergeCell ref="K7:K8"/>
    <mergeCell ref="L7:L8"/>
  </mergeCells>
  <printOptions horizontalCentered="1"/>
  <pageMargins left="0.59055118110236227" right="0.19685039370078741" top="0.70866141732283472" bottom="0.62992125984251968" header="0.23622047244094491" footer="0"/>
  <pageSetup paperSize="9" scale="78" fitToHeight="2" orientation="portrait" r:id="rId1"/>
  <headerFooter scaleWithDoc="0" alignWithMargins="0">
    <oddHeader xml:space="preserve">&amp;C </oddHead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40"/>
  <sheetViews>
    <sheetView zoomScale="85" zoomScaleNormal="85" workbookViewId="0">
      <pane xSplit="2" ySplit="6" topLeftCell="H7" activePane="bottomRight" state="frozen"/>
      <selection activeCell="B55" sqref="B55"/>
      <selection pane="topRight" activeCell="B55" sqref="B55"/>
      <selection pane="bottomLeft" activeCell="B55" sqref="B55"/>
      <selection pane="bottomRight" activeCell="I11" sqref="I11"/>
    </sheetView>
  </sheetViews>
  <sheetFormatPr defaultRowHeight="15" outlineLevelRow="1" outlineLevelCol="1"/>
  <cols>
    <col min="1" max="1" width="5.375" style="45" customWidth="1"/>
    <col min="2" max="2" width="38.125" style="43" customWidth="1"/>
    <col min="3" max="3" width="11.375" style="43" hidden="1" customWidth="1" outlineLevel="1"/>
    <col min="4" max="4" width="11.875" style="44" hidden="1" customWidth="1" outlineLevel="1"/>
    <col min="5" max="5" width="12.25" style="44" hidden="1" customWidth="1" outlineLevel="1"/>
    <col min="6" max="6" width="10.125" style="45" hidden="1" customWidth="1" outlineLevel="1"/>
    <col min="7" max="7" width="12.25" style="44" customWidth="1" collapsed="1"/>
    <col min="8" max="8" width="10.125" style="62" customWidth="1"/>
    <col min="9" max="11" width="11.875" style="45" bestFit="1" customWidth="1"/>
    <col min="12" max="12" width="19.375" style="45" customWidth="1"/>
    <col min="13" max="14" width="12.875" style="45" bestFit="1" customWidth="1"/>
    <col min="15" max="257" width="9.125" style="45"/>
    <col min="258" max="258" width="67.125" style="45" customWidth="1"/>
    <col min="259" max="265" width="17" style="45" customWidth="1"/>
    <col min="266" max="513" width="9.125" style="45"/>
    <col min="514" max="514" width="67.125" style="45" customWidth="1"/>
    <col min="515" max="521" width="17" style="45" customWidth="1"/>
    <col min="522" max="769" width="9.125" style="45"/>
    <col min="770" max="770" width="67.125" style="45" customWidth="1"/>
    <col min="771" max="777" width="17" style="45" customWidth="1"/>
    <col min="778" max="1025" width="9.125" style="45"/>
    <col min="1026" max="1026" width="67.125" style="45" customWidth="1"/>
    <col min="1027" max="1033" width="17" style="45" customWidth="1"/>
    <col min="1034" max="1281" width="9.125" style="45"/>
    <col min="1282" max="1282" width="67.125" style="45" customWidth="1"/>
    <col min="1283" max="1289" width="17" style="45" customWidth="1"/>
    <col min="1290" max="1537" width="9.125" style="45"/>
    <col min="1538" max="1538" width="67.125" style="45" customWidth="1"/>
    <col min="1539" max="1545" width="17" style="45" customWidth="1"/>
    <col min="1546" max="1793" width="9.125" style="45"/>
    <col min="1794" max="1794" width="67.125" style="45" customWidth="1"/>
    <col min="1795" max="1801" width="17" style="45" customWidth="1"/>
    <col min="1802" max="2049" width="9.125" style="45"/>
    <col min="2050" max="2050" width="67.125" style="45" customWidth="1"/>
    <col min="2051" max="2057" width="17" style="45" customWidth="1"/>
    <col min="2058" max="2305" width="9.125" style="45"/>
    <col min="2306" max="2306" width="67.125" style="45" customWidth="1"/>
    <col min="2307" max="2313" width="17" style="45" customWidth="1"/>
    <col min="2314" max="2561" width="9.125" style="45"/>
    <col min="2562" max="2562" width="67.125" style="45" customWidth="1"/>
    <col min="2563" max="2569" width="17" style="45" customWidth="1"/>
    <col min="2570" max="2817" width="9.125" style="45"/>
    <col min="2818" max="2818" width="67.125" style="45" customWidth="1"/>
    <col min="2819" max="2825" width="17" style="45" customWidth="1"/>
    <col min="2826" max="3073" width="9.125" style="45"/>
    <col min="3074" max="3074" width="67.125" style="45" customWidth="1"/>
    <col min="3075" max="3081" width="17" style="45" customWidth="1"/>
    <col min="3082" max="3329" width="9.125" style="45"/>
    <col min="3330" max="3330" width="67.125" style="45" customWidth="1"/>
    <col min="3331" max="3337" width="17" style="45" customWidth="1"/>
    <col min="3338" max="3585" width="9.125" style="45"/>
    <col min="3586" max="3586" width="67.125" style="45" customWidth="1"/>
    <col min="3587" max="3593" width="17" style="45" customWidth="1"/>
    <col min="3594" max="3841" width="9.125" style="45"/>
    <col min="3842" max="3842" width="67.125" style="45" customWidth="1"/>
    <col min="3843" max="3849" width="17" style="45" customWidth="1"/>
    <col min="3850" max="4097" width="9.125" style="45"/>
    <col min="4098" max="4098" width="67.125" style="45" customWidth="1"/>
    <col min="4099" max="4105" width="17" style="45" customWidth="1"/>
    <col min="4106" max="4353" width="9.125" style="45"/>
    <col min="4354" max="4354" width="67.125" style="45" customWidth="1"/>
    <col min="4355" max="4361" width="17" style="45" customWidth="1"/>
    <col min="4362" max="4609" width="9.125" style="45"/>
    <col min="4610" max="4610" width="67.125" style="45" customWidth="1"/>
    <col min="4611" max="4617" width="17" style="45" customWidth="1"/>
    <col min="4618" max="4865" width="9.125" style="45"/>
    <col min="4866" max="4866" width="67.125" style="45" customWidth="1"/>
    <col min="4867" max="4873" width="17" style="45" customWidth="1"/>
    <col min="4874" max="5121" width="9.125" style="45"/>
    <col min="5122" max="5122" width="67.125" style="45" customWidth="1"/>
    <col min="5123" max="5129" width="17" style="45" customWidth="1"/>
    <col min="5130" max="5377" width="9.125" style="45"/>
    <col min="5378" max="5378" width="67.125" style="45" customWidth="1"/>
    <col min="5379" max="5385" width="17" style="45" customWidth="1"/>
    <col min="5386" max="5633" width="9.125" style="45"/>
    <col min="5634" max="5634" width="67.125" style="45" customWidth="1"/>
    <col min="5635" max="5641" width="17" style="45" customWidth="1"/>
    <col min="5642" max="5889" width="9.125" style="45"/>
    <col min="5890" max="5890" width="67.125" style="45" customWidth="1"/>
    <col min="5891" max="5897" width="17" style="45" customWidth="1"/>
    <col min="5898" max="6145" width="9.125" style="45"/>
    <col min="6146" max="6146" width="67.125" style="45" customWidth="1"/>
    <col min="6147" max="6153" width="17" style="45" customWidth="1"/>
    <col min="6154" max="6401" width="9.125" style="45"/>
    <col min="6402" max="6402" width="67.125" style="45" customWidth="1"/>
    <col min="6403" max="6409" width="17" style="45" customWidth="1"/>
    <col min="6410" max="6657" width="9.125" style="45"/>
    <col min="6658" max="6658" width="67.125" style="45" customWidth="1"/>
    <col min="6659" max="6665" width="17" style="45" customWidth="1"/>
    <col min="6666" max="6913" width="9.125" style="45"/>
    <col min="6914" max="6914" width="67.125" style="45" customWidth="1"/>
    <col min="6915" max="6921" width="17" style="45" customWidth="1"/>
    <col min="6922" max="7169" width="9.125" style="45"/>
    <col min="7170" max="7170" width="67.125" style="45" customWidth="1"/>
    <col min="7171" max="7177" width="17" style="45" customWidth="1"/>
    <col min="7178" max="7425" width="9.125" style="45"/>
    <col min="7426" max="7426" width="67.125" style="45" customWidth="1"/>
    <col min="7427" max="7433" width="17" style="45" customWidth="1"/>
    <col min="7434" max="7681" width="9.125" style="45"/>
    <col min="7682" max="7682" width="67.125" style="45" customWidth="1"/>
    <col min="7683" max="7689" width="17" style="45" customWidth="1"/>
    <col min="7690" max="7937" width="9.125" style="45"/>
    <col min="7938" max="7938" width="67.125" style="45" customWidth="1"/>
    <col min="7939" max="7945" width="17" style="45" customWidth="1"/>
    <col min="7946" max="8193" width="9.125" style="45"/>
    <col min="8194" max="8194" width="67.125" style="45" customWidth="1"/>
    <col min="8195" max="8201" width="17" style="45" customWidth="1"/>
    <col min="8202" max="8449" width="9.125" style="45"/>
    <col min="8450" max="8450" width="67.125" style="45" customWidth="1"/>
    <col min="8451" max="8457" width="17" style="45" customWidth="1"/>
    <col min="8458" max="8705" width="9.125" style="45"/>
    <col min="8706" max="8706" width="67.125" style="45" customWidth="1"/>
    <col min="8707" max="8713" width="17" style="45" customWidth="1"/>
    <col min="8714" max="8961" width="9.125" style="45"/>
    <col min="8962" max="8962" width="67.125" style="45" customWidth="1"/>
    <col min="8963" max="8969" width="17" style="45" customWidth="1"/>
    <col min="8970" max="9217" width="9.125" style="45"/>
    <col min="9218" max="9218" width="67.125" style="45" customWidth="1"/>
    <col min="9219" max="9225" width="17" style="45" customWidth="1"/>
    <col min="9226" max="9473" width="9.125" style="45"/>
    <col min="9474" max="9474" width="67.125" style="45" customWidth="1"/>
    <col min="9475" max="9481" width="17" style="45" customWidth="1"/>
    <col min="9482" max="9729" width="9.125" style="45"/>
    <col min="9730" max="9730" width="67.125" style="45" customWidth="1"/>
    <col min="9731" max="9737" width="17" style="45" customWidth="1"/>
    <col min="9738" max="9985" width="9.125" style="45"/>
    <col min="9986" max="9986" width="67.125" style="45" customWidth="1"/>
    <col min="9987" max="9993" width="17" style="45" customWidth="1"/>
    <col min="9994" max="10241" width="9.125" style="45"/>
    <col min="10242" max="10242" width="67.125" style="45" customWidth="1"/>
    <col min="10243" max="10249" width="17" style="45" customWidth="1"/>
    <col min="10250" max="10497" width="9.125" style="45"/>
    <col min="10498" max="10498" width="67.125" style="45" customWidth="1"/>
    <col min="10499" max="10505" width="17" style="45" customWidth="1"/>
    <col min="10506" max="10753" width="9.125" style="45"/>
    <col min="10754" max="10754" width="67.125" style="45" customWidth="1"/>
    <col min="10755" max="10761" width="17" style="45" customWidth="1"/>
    <col min="10762" max="11009" width="9.125" style="45"/>
    <col min="11010" max="11010" width="67.125" style="45" customWidth="1"/>
    <col min="11011" max="11017" width="17" style="45" customWidth="1"/>
    <col min="11018" max="11265" width="9.125" style="45"/>
    <col min="11266" max="11266" width="67.125" style="45" customWidth="1"/>
    <col min="11267" max="11273" width="17" style="45" customWidth="1"/>
    <col min="11274" max="11521" width="9.125" style="45"/>
    <col min="11522" max="11522" width="67.125" style="45" customWidth="1"/>
    <col min="11523" max="11529" width="17" style="45" customWidth="1"/>
    <col min="11530" max="11777" width="9.125" style="45"/>
    <col min="11778" max="11778" width="67.125" style="45" customWidth="1"/>
    <col min="11779" max="11785" width="17" style="45" customWidth="1"/>
    <col min="11786" max="12033" width="9.125" style="45"/>
    <col min="12034" max="12034" width="67.125" style="45" customWidth="1"/>
    <col min="12035" max="12041" width="17" style="45" customWidth="1"/>
    <col min="12042" max="12289" width="9.125" style="45"/>
    <col min="12290" max="12290" width="67.125" style="45" customWidth="1"/>
    <col min="12291" max="12297" width="17" style="45" customWidth="1"/>
    <col min="12298" max="12545" width="9.125" style="45"/>
    <col min="12546" max="12546" width="67.125" style="45" customWidth="1"/>
    <col min="12547" max="12553" width="17" style="45" customWidth="1"/>
    <col min="12554" max="12801" width="9.125" style="45"/>
    <col min="12802" max="12802" width="67.125" style="45" customWidth="1"/>
    <col min="12803" max="12809" width="17" style="45" customWidth="1"/>
    <col min="12810" max="13057" width="9.125" style="45"/>
    <col min="13058" max="13058" width="67.125" style="45" customWidth="1"/>
    <col min="13059" max="13065" width="17" style="45" customWidth="1"/>
    <col min="13066" max="13313" width="9.125" style="45"/>
    <col min="13314" max="13314" width="67.125" style="45" customWidth="1"/>
    <col min="13315" max="13321" width="17" style="45" customWidth="1"/>
    <col min="13322" max="13569" width="9.125" style="45"/>
    <col min="13570" max="13570" width="67.125" style="45" customWidth="1"/>
    <col min="13571" max="13577" width="17" style="45" customWidth="1"/>
    <col min="13578" max="13825" width="9.125" style="45"/>
    <col min="13826" max="13826" width="67.125" style="45" customWidth="1"/>
    <col min="13827" max="13833" width="17" style="45" customWidth="1"/>
    <col min="13834" max="14081" width="9.125" style="45"/>
    <col min="14082" max="14082" width="67.125" style="45" customWidth="1"/>
    <col min="14083" max="14089" width="17" style="45" customWidth="1"/>
    <col min="14090" max="14337" width="9.125" style="45"/>
    <col min="14338" max="14338" width="67.125" style="45" customWidth="1"/>
    <col min="14339" max="14345" width="17" style="45" customWidth="1"/>
    <col min="14346" max="14593" width="9.125" style="45"/>
    <col min="14594" max="14594" width="67.125" style="45" customWidth="1"/>
    <col min="14595" max="14601" width="17" style="45" customWidth="1"/>
    <col min="14602" max="14849" width="9.125" style="45"/>
    <col min="14850" max="14850" width="67.125" style="45" customWidth="1"/>
    <col min="14851" max="14857" width="17" style="45" customWidth="1"/>
    <col min="14858" max="15105" width="9.125" style="45"/>
    <col min="15106" max="15106" width="67.125" style="45" customWidth="1"/>
    <col min="15107" max="15113" width="17" style="45" customWidth="1"/>
    <col min="15114" max="15361" width="9.125" style="45"/>
    <col min="15362" max="15362" width="67.125" style="45" customWidth="1"/>
    <col min="15363" max="15369" width="17" style="45" customWidth="1"/>
    <col min="15370" max="15617" width="9.125" style="45"/>
    <col min="15618" max="15618" width="67.125" style="45" customWidth="1"/>
    <col min="15619" max="15625" width="17" style="45" customWidth="1"/>
    <col min="15626" max="15873" width="9.125" style="45"/>
    <col min="15874" max="15874" width="67.125" style="45" customWidth="1"/>
    <col min="15875" max="15881" width="17" style="45" customWidth="1"/>
    <col min="15882" max="16129" width="9.125" style="45"/>
    <col min="16130" max="16130" width="67.125" style="45" customWidth="1"/>
    <col min="16131" max="16137" width="17" style="45" customWidth="1"/>
    <col min="16138" max="16384" width="9.125" style="45"/>
  </cols>
  <sheetData>
    <row r="1" spans="1:14" ht="20.25" customHeight="1">
      <c r="I1" s="980"/>
      <c r="J1" s="980"/>
      <c r="L1" s="66"/>
    </row>
    <row r="2" spans="1:14" s="71" customFormat="1" ht="29.25" customHeight="1">
      <c r="A2" s="67" t="s">
        <v>233</v>
      </c>
      <c r="B2" s="68"/>
      <c r="C2" s="68"/>
      <c r="D2" s="69"/>
      <c r="E2" s="69"/>
      <c r="F2" s="70"/>
      <c r="G2" s="69"/>
      <c r="H2" s="247"/>
      <c r="I2" s="981"/>
      <c r="J2" s="981"/>
      <c r="K2" s="71" t="s">
        <v>314</v>
      </c>
    </row>
    <row r="3" spans="1:14" s="47" customFormat="1" ht="18.75" customHeight="1">
      <c r="A3" s="983" t="s">
        <v>618</v>
      </c>
      <c r="B3" s="983"/>
      <c r="C3" s="983"/>
      <c r="D3" s="983"/>
      <c r="E3" s="983"/>
      <c r="F3" s="983"/>
      <c r="G3" s="983"/>
      <c r="H3" s="983"/>
      <c r="I3" s="983"/>
      <c r="J3" s="983"/>
      <c r="K3" s="983"/>
    </row>
    <row r="4" spans="1:14" ht="24" customHeight="1">
      <c r="A4" s="46"/>
      <c r="B4" s="48"/>
      <c r="C4" s="72"/>
      <c r="D4" s="49"/>
      <c r="E4" s="49"/>
      <c r="F4" s="984" t="s">
        <v>54</v>
      </c>
      <c r="G4" s="984"/>
      <c r="H4" s="984"/>
      <c r="I4" s="984"/>
      <c r="J4" s="984"/>
      <c r="K4" s="984"/>
    </row>
    <row r="5" spans="1:14" s="50" customFormat="1" ht="54" customHeight="1">
      <c r="A5" s="982" t="s">
        <v>0</v>
      </c>
      <c r="B5" s="979" t="s">
        <v>1</v>
      </c>
      <c r="C5" s="979" t="s">
        <v>182</v>
      </c>
      <c r="D5" s="979"/>
      <c r="E5" s="979" t="s">
        <v>183</v>
      </c>
      <c r="F5" s="979"/>
      <c r="G5" s="979" t="s">
        <v>185</v>
      </c>
      <c r="H5" s="979"/>
      <c r="I5" s="979" t="s">
        <v>574</v>
      </c>
      <c r="J5" s="979" t="s">
        <v>584</v>
      </c>
      <c r="K5" s="979" t="s">
        <v>619</v>
      </c>
    </row>
    <row r="6" spans="1:14" s="52" customFormat="1" ht="48.75" customHeight="1">
      <c r="A6" s="982"/>
      <c r="B6" s="979"/>
      <c r="C6" s="73" t="s">
        <v>110</v>
      </c>
      <c r="D6" s="73" t="s">
        <v>565</v>
      </c>
      <c r="E6" s="73" t="s">
        <v>110</v>
      </c>
      <c r="F6" s="73" t="s">
        <v>4</v>
      </c>
      <c r="G6" s="73" t="s">
        <v>110</v>
      </c>
      <c r="H6" s="244" t="s">
        <v>4</v>
      </c>
      <c r="I6" s="979"/>
      <c r="J6" s="979"/>
      <c r="K6" s="979"/>
    </row>
    <row r="7" spans="1:14" s="55" customFormat="1" ht="16.5" customHeight="1">
      <c r="A7" s="74" t="s">
        <v>158</v>
      </c>
      <c r="B7" s="74" t="s">
        <v>160</v>
      </c>
      <c r="C7" s="74">
        <v>1</v>
      </c>
      <c r="D7" s="74">
        <v>2</v>
      </c>
      <c r="E7" s="74">
        <v>3</v>
      </c>
      <c r="F7" s="74" t="s">
        <v>111</v>
      </c>
      <c r="G7" s="74">
        <v>1</v>
      </c>
      <c r="H7" s="245">
        <v>2</v>
      </c>
      <c r="I7" s="74">
        <v>3</v>
      </c>
      <c r="J7" s="74">
        <v>4</v>
      </c>
      <c r="K7" s="74">
        <v>5</v>
      </c>
    </row>
    <row r="8" spans="1:14" s="51" customFormat="1" ht="18" hidden="1" outlineLevel="1">
      <c r="A8" s="75"/>
      <c r="B8" s="75" t="s">
        <v>322</v>
      </c>
      <c r="C8" s="76">
        <f t="shared" ref="C8:K8" si="0">C9+C36</f>
        <v>1848000</v>
      </c>
      <c r="D8" s="76">
        <f t="shared" si="0"/>
        <v>2467637.9677630002</v>
      </c>
      <c r="E8" s="76">
        <f t="shared" si="0"/>
        <v>2079000</v>
      </c>
      <c r="F8" s="76">
        <f t="shared" si="0"/>
        <v>2369300</v>
      </c>
      <c r="G8" s="76">
        <f t="shared" si="0"/>
        <v>3461000</v>
      </c>
      <c r="H8" s="248">
        <f>H9</f>
        <v>3500000</v>
      </c>
      <c r="I8" s="76">
        <f t="shared" si="0"/>
        <v>3600000</v>
      </c>
      <c r="J8" s="76">
        <f t="shared" si="0"/>
        <v>3772000</v>
      </c>
      <c r="K8" s="76">
        <f t="shared" si="0"/>
        <v>4127999.9999999995</v>
      </c>
    </row>
    <row r="9" spans="1:14" s="55" customFormat="1" ht="21" customHeight="1" collapsed="1">
      <c r="A9" s="77" t="s">
        <v>158</v>
      </c>
      <c r="B9" s="78" t="s">
        <v>191</v>
      </c>
      <c r="C9" s="79">
        <f t="shared" ref="C9:F9" si="1">C10+C19+C22+C25+C32</f>
        <v>1817000</v>
      </c>
      <c r="D9" s="79">
        <f t="shared" si="1"/>
        <v>2423703.9677630002</v>
      </c>
      <c r="E9" s="79">
        <f t="shared" si="1"/>
        <v>2079000</v>
      </c>
      <c r="F9" s="79">
        <f t="shared" si="1"/>
        <v>2351300</v>
      </c>
      <c r="G9" s="79">
        <f>G10+G19+G22+G25+G32+G36</f>
        <v>3461000</v>
      </c>
      <c r="H9" s="249">
        <f>H10+H19+H22+H25+H32+H36</f>
        <v>3500000</v>
      </c>
      <c r="I9" s="79">
        <f t="shared" ref="I9:K9" si="2">I10+I19+I22+I25+I32+I36</f>
        <v>3600000</v>
      </c>
      <c r="J9" s="79">
        <f t="shared" si="2"/>
        <v>3772000</v>
      </c>
      <c r="K9" s="79">
        <f t="shared" si="2"/>
        <v>4127999.9999999995</v>
      </c>
    </row>
    <row r="10" spans="1:14" s="57" customFormat="1" ht="18">
      <c r="A10" s="80" t="s">
        <v>60</v>
      </c>
      <c r="B10" s="81" t="s">
        <v>112</v>
      </c>
      <c r="C10" s="82">
        <f>SUM(C11:C18)</f>
        <v>1437000</v>
      </c>
      <c r="D10" s="82">
        <f t="shared" ref="D10:E10" si="3">SUM(D11:D18)</f>
        <v>1838335.6549500001</v>
      </c>
      <c r="E10" s="82">
        <f t="shared" si="3"/>
        <v>1718500</v>
      </c>
      <c r="F10" s="82">
        <f t="shared" ref="F10:K10" si="4">SUM(F11:F18)</f>
        <v>1830800</v>
      </c>
      <c r="G10" s="82">
        <f t="shared" si="4"/>
        <v>2021800</v>
      </c>
      <c r="H10" s="250">
        <f t="shared" ref="H10" si="5">SUM(H11:H18)</f>
        <v>2166668</v>
      </c>
      <c r="I10" s="82">
        <f t="shared" si="4"/>
        <v>2149000</v>
      </c>
      <c r="J10" s="82">
        <f t="shared" si="4"/>
        <v>2542700</v>
      </c>
      <c r="K10" s="82">
        <f t="shared" si="4"/>
        <v>2785799.53</v>
      </c>
      <c r="L10" s="83"/>
      <c r="M10" s="83"/>
      <c r="N10" s="83"/>
    </row>
    <row r="11" spans="1:14" s="58" customFormat="1" ht="15.75">
      <c r="A11" s="84">
        <v>1</v>
      </c>
      <c r="B11" s="85" t="s">
        <v>113</v>
      </c>
      <c r="C11" s="86">
        <v>750500</v>
      </c>
      <c r="D11" s="86">
        <f>'DT thu 69-7'!F14+'DT thu 69-7'!F22+'DT thu 69-7'!F28+'DT thu 69-7'!F40</f>
        <v>798611.6</v>
      </c>
      <c r="E11" s="86">
        <f>'DT thu 69-7'!G14+'DT thu 69-7'!G22+'DT thu 69-7'!G28+'DT thu 69-7'!G40</f>
        <v>776500</v>
      </c>
      <c r="F11" s="86">
        <f>'DT thu 69-7'!I14+'DT thu 69-7'!I22+'DT thu 69-7'!I28+'DT thu 69-7'!I40</f>
        <v>815700</v>
      </c>
      <c r="G11" s="86">
        <f>'DT thu 69-7'!K14+'DT thu 69-7'!K22+'DT thu 69-7'!K28+'DT thu 69-7'!K40</f>
        <v>815000</v>
      </c>
      <c r="H11" s="251">
        <f>'DT thu 69-7'!L14+'DT thu 69-7'!L22+'DT thu 69-7'!L28+'DT thu 69-7'!L40</f>
        <v>900718</v>
      </c>
      <c r="I11" s="86">
        <f>'DT thu 69-7'!M14+'DT thu 69-7'!M22+'DT thu 69-7'!M28+'DT thu 69-7'!M40</f>
        <v>887700</v>
      </c>
      <c r="J11" s="86">
        <f>'DT thu 69-7'!N14+'DT thu 69-7'!N22+'DT thu 69-7'!N28+'DT thu 69-7'!N40</f>
        <v>1017300</v>
      </c>
      <c r="K11" s="86">
        <f>'DT thu 69-7'!O14+'DT thu 69-7'!O22+'DT thu 69-7'!O28+'DT thu 69-7'!O40</f>
        <v>1121600</v>
      </c>
    </row>
    <row r="12" spans="1:14" s="59" customFormat="1" ht="15.75">
      <c r="A12" s="84">
        <v>2</v>
      </c>
      <c r="B12" s="85" t="s">
        <v>114</v>
      </c>
      <c r="C12" s="87">
        <v>1700</v>
      </c>
      <c r="D12" s="87">
        <f>'DT thu 69-7'!F42</f>
        <v>2475.8146379999998</v>
      </c>
      <c r="E12" s="87">
        <f>'DT thu 69-7'!G42</f>
        <v>1700</v>
      </c>
      <c r="F12" s="87">
        <f>'DT thu 69-7'!I42</f>
        <v>3000</v>
      </c>
      <c r="G12" s="87">
        <f>'DT thu 69-7'!K42</f>
        <v>3300</v>
      </c>
      <c r="H12" s="252">
        <f>'DT thu 69-7'!L42</f>
        <v>3330</v>
      </c>
      <c r="I12" s="87">
        <f>'DT thu 69-7'!M42</f>
        <v>3300</v>
      </c>
      <c r="J12" s="87">
        <f>'DT thu 69-7'!N42</f>
        <v>3800</v>
      </c>
      <c r="K12" s="87">
        <f>'DT thu 69-7'!O42</f>
        <v>4200</v>
      </c>
    </row>
    <row r="13" spans="1:14" s="60" customFormat="1" ht="15.75">
      <c r="A13" s="84">
        <v>3</v>
      </c>
      <c r="B13" s="85" t="s">
        <v>115</v>
      </c>
      <c r="C13" s="88">
        <v>153000</v>
      </c>
      <c r="D13" s="88">
        <f>'DT thu 69-7'!F49</f>
        <v>164259</v>
      </c>
      <c r="E13" s="88">
        <f>'DT thu 69-7'!G49</f>
        <v>172000</v>
      </c>
      <c r="F13" s="88">
        <f>'DT thu 69-7'!I49</f>
        <v>190000</v>
      </c>
      <c r="G13" s="88">
        <f>'DT thu 69-7'!K49</f>
        <v>255000</v>
      </c>
      <c r="H13" s="253">
        <f>'DT thu 69-7'!L49</f>
        <v>280000</v>
      </c>
      <c r="I13" s="88">
        <f>'DT thu 69-7'!M49</f>
        <v>280000</v>
      </c>
      <c r="J13" s="88">
        <f>'DT thu 69-7'!N49</f>
        <v>309400</v>
      </c>
      <c r="K13" s="88">
        <f>'DT thu 69-7'!O49</f>
        <v>339400</v>
      </c>
    </row>
    <row r="14" spans="1:14" s="59" customFormat="1" ht="18" customHeight="1">
      <c r="A14" s="84">
        <v>4</v>
      </c>
      <c r="B14" s="85" t="s">
        <v>116</v>
      </c>
      <c r="C14" s="87">
        <v>43700</v>
      </c>
      <c r="D14" s="87">
        <f>'DT thu 69-7'!F16+'DT thu 69-7'!F23+'DT thu 69-7'!F30+'DT thu 69-7'!F41</f>
        <v>50266.983034999997</v>
      </c>
      <c r="E14" s="87">
        <f>'DT thu 69-7'!G16+'DT thu 69-7'!G23+'DT thu 69-7'!G30+'DT thu 69-7'!G41</f>
        <v>46800</v>
      </c>
      <c r="F14" s="87">
        <f>'DT thu 69-7'!I16+'DT thu 69-7'!I23+'DT thu 69-7'!I30+'DT thu 69-7'!I41</f>
        <v>51300</v>
      </c>
      <c r="G14" s="87">
        <f>'DT thu 69-7'!K16+'DT thu 69-7'!K23+'DT thu 69-7'!K30+'DT thu 69-7'!K41</f>
        <v>52400</v>
      </c>
      <c r="H14" s="252">
        <f>'DT thu 69-7'!L16+'DT thu 69-7'!L23+'DT thu 69-7'!L30+'DT thu 69-7'!L41</f>
        <v>49858</v>
      </c>
      <c r="I14" s="87">
        <f>'DT thu 69-7'!M16+'DT thu 69-7'!M23+'DT thu 69-7'!M30+'DT thu 69-7'!M41</f>
        <v>56000</v>
      </c>
      <c r="J14" s="87">
        <f>'DT thu 69-7'!N16+'DT thu 69-7'!N23+'DT thu 69-7'!N30+'DT thu 69-7'!N41</f>
        <v>63600</v>
      </c>
      <c r="K14" s="87">
        <f>'DT thu 69-7'!O16+'DT thu 69-7'!O23+'DT thu 69-7'!O30+'DT thu 69-7'!O41</f>
        <v>69700</v>
      </c>
    </row>
    <row r="15" spans="1:14" s="60" customFormat="1" ht="16.5" customHeight="1">
      <c r="A15" s="84">
        <v>5</v>
      </c>
      <c r="B15" s="85" t="s">
        <v>78</v>
      </c>
      <c r="C15" s="87">
        <v>68500</v>
      </c>
      <c r="D15" s="87">
        <f>'DT thu 69-7'!F48</f>
        <v>83414</v>
      </c>
      <c r="E15" s="87">
        <f>'DT thu 69-7'!G48</f>
        <v>80500</v>
      </c>
      <c r="F15" s="87">
        <f>'DT thu 69-7'!I48</f>
        <v>90000</v>
      </c>
      <c r="G15" s="87">
        <f>'DT thu 69-7'!K48</f>
        <v>87000</v>
      </c>
      <c r="H15" s="252">
        <f>'DT thu 69-7'!L48</f>
        <v>105680</v>
      </c>
      <c r="I15" s="87">
        <f>'DT thu 69-7'!M48</f>
        <v>95000</v>
      </c>
      <c r="J15" s="87">
        <f>'DT thu 69-7'!N48</f>
        <v>124000</v>
      </c>
      <c r="K15" s="87">
        <f>'DT thu 69-7'!O48</f>
        <v>136000</v>
      </c>
    </row>
    <row r="16" spans="1:14" s="59" customFormat="1" ht="16.5" customHeight="1">
      <c r="A16" s="84">
        <v>6</v>
      </c>
      <c r="B16" s="85" t="s">
        <v>117</v>
      </c>
      <c r="C16" s="88">
        <v>329600</v>
      </c>
      <c r="D16" s="88">
        <f>'DT thu 69-7'!F19+'DT thu 69-7'!F26+'DT thu 69-7'!F44</f>
        <v>444554.8</v>
      </c>
      <c r="E16" s="88">
        <f>'DT thu 69-7'!G19+'DT thu 69-7'!G26+'DT thu 69-7'!G44</f>
        <v>389000</v>
      </c>
      <c r="F16" s="88">
        <f>'DT thu 69-7'!I19+'DT thu 69-7'!I26+'DT thu 69-7'!I44</f>
        <v>457000</v>
      </c>
      <c r="G16" s="88">
        <f>'DT thu 69-7'!K19+'DT thu 69-7'!K26+'DT thu 69-7'!K44</f>
        <v>562300</v>
      </c>
      <c r="H16" s="253">
        <f>'DT thu 69-7'!L19+'DT thu 69-7'!L26+'DT thu 69-7'!L44</f>
        <v>558246</v>
      </c>
      <c r="I16" s="88">
        <f>'DT thu 69-7'!M19+'DT thu 69-7'!M26+'DT thu 69-7'!M44</f>
        <v>557000</v>
      </c>
      <c r="J16" s="88">
        <f>'DT thu 69-7'!N19+'DT thu 69-7'!N26+'DT thu 69-7'!N44</f>
        <v>693600</v>
      </c>
      <c r="K16" s="88">
        <f>'DT thu 69-7'!O19+'DT thu 69-7'!O26+'DT thu 69-7'!O44</f>
        <v>760900</v>
      </c>
    </row>
    <row r="17" spans="1:11" s="59" customFormat="1" ht="16.5" customHeight="1">
      <c r="A17" s="84">
        <v>7</v>
      </c>
      <c r="B17" s="85" t="s">
        <v>231</v>
      </c>
      <c r="C17" s="88">
        <v>8000</v>
      </c>
      <c r="D17" s="88">
        <f>'DT thu 69-7'!F82</f>
        <v>4935.0498069999994</v>
      </c>
      <c r="E17" s="88">
        <f>'DT thu 69-7'!G82</f>
        <v>105000</v>
      </c>
      <c r="F17" s="88">
        <f>'DT thu 69-7'!I82</f>
        <v>4110</v>
      </c>
      <c r="G17" s="88">
        <f>'DT thu 69-7'!K82</f>
        <v>3800</v>
      </c>
      <c r="H17" s="253">
        <f>'DT thu 69-7'!L82</f>
        <v>5300</v>
      </c>
      <c r="I17" s="88">
        <f>'DT thu 69-7'!M82</f>
        <v>8140</v>
      </c>
      <c r="J17" s="88">
        <f>'DT thu 69-7'!N82</f>
        <v>9179</v>
      </c>
      <c r="K17" s="88">
        <f>'DT thu 69-7'!O82</f>
        <v>9821.5300000000007</v>
      </c>
    </row>
    <row r="18" spans="1:11" s="59" customFormat="1" ht="18" customHeight="1">
      <c r="A18" s="84">
        <v>8</v>
      </c>
      <c r="B18" s="85" t="s">
        <v>232</v>
      </c>
      <c r="C18" s="88">
        <v>82000</v>
      </c>
      <c r="D18" s="88">
        <f>'DT thu 69-7'!F87</f>
        <v>289818.40746999998</v>
      </c>
      <c r="E18" s="88">
        <f>'DT thu 69-7'!G87</f>
        <v>147000</v>
      </c>
      <c r="F18" s="88">
        <f>'DT thu 69-7'!I87</f>
        <v>219690</v>
      </c>
      <c r="G18" s="88">
        <f>'DT thu 69-7'!K87</f>
        <v>243000</v>
      </c>
      <c r="H18" s="253">
        <f>'DT thu 69-7'!L87</f>
        <v>263536</v>
      </c>
      <c r="I18" s="88">
        <f>'DT thu 69-7'!M87</f>
        <v>261860</v>
      </c>
      <c r="J18" s="88">
        <f>'DT thu 69-7'!N87</f>
        <v>321821</v>
      </c>
      <c r="K18" s="88">
        <f>'DT thu 69-7'!O87</f>
        <v>344178</v>
      </c>
    </row>
    <row r="19" spans="1:11" s="59" customFormat="1" ht="18" customHeight="1">
      <c r="A19" s="89" t="s">
        <v>103</v>
      </c>
      <c r="B19" s="90" t="s">
        <v>118</v>
      </c>
      <c r="C19" s="91">
        <f>C20+C21</f>
        <v>114000</v>
      </c>
      <c r="D19" s="91">
        <f>D20+D21</f>
        <v>100314.849042</v>
      </c>
      <c r="E19" s="91">
        <f>E20+E21</f>
        <v>110000</v>
      </c>
      <c r="F19" s="91">
        <f t="shared" ref="F19:H19" si="6">F20+F21</f>
        <v>106000</v>
      </c>
      <c r="G19" s="91">
        <f>G20+G21</f>
        <v>131800</v>
      </c>
      <c r="H19" s="254">
        <f t="shared" si="6"/>
        <v>161650</v>
      </c>
      <c r="I19" s="91">
        <f t="shared" ref="I19" si="7">I20+I21</f>
        <v>155000</v>
      </c>
      <c r="J19" s="91">
        <f t="shared" ref="J19" si="8">J20+J21</f>
        <v>188700</v>
      </c>
      <c r="K19" s="91">
        <f t="shared" ref="K19" si="9">K20+K21</f>
        <v>207000</v>
      </c>
    </row>
    <row r="20" spans="1:11" s="60" customFormat="1" ht="16.5" customHeight="1">
      <c r="A20" s="84">
        <v>1</v>
      </c>
      <c r="B20" s="85" t="s">
        <v>119</v>
      </c>
      <c r="C20" s="88">
        <v>67000</v>
      </c>
      <c r="D20" s="88">
        <f>'DT thu 69-7'!F45</f>
        <v>58355</v>
      </c>
      <c r="E20" s="88">
        <f>'DT thu 69-7'!G45</f>
        <v>65000</v>
      </c>
      <c r="F20" s="88">
        <f>'DT thu 69-7'!I45</f>
        <v>63000</v>
      </c>
      <c r="G20" s="88">
        <f>'DT thu 69-7'!K45</f>
        <v>74000</v>
      </c>
      <c r="H20" s="253">
        <f>'DT thu 69-7'!L45</f>
        <v>100000</v>
      </c>
      <c r="I20" s="88">
        <f>'DT thu 69-7'!M45</f>
        <v>100000</v>
      </c>
      <c r="J20" s="88">
        <f>'DT thu 69-7'!N45</f>
        <v>124000</v>
      </c>
      <c r="K20" s="88">
        <f>'DT thu 69-7'!O45</f>
        <v>136000</v>
      </c>
    </row>
    <row r="21" spans="1:11" s="59" customFormat="1" ht="15.75">
      <c r="A21" s="84">
        <v>2</v>
      </c>
      <c r="B21" s="85" t="s">
        <v>120</v>
      </c>
      <c r="C21" s="86">
        <v>47000</v>
      </c>
      <c r="D21" s="86">
        <f>'DT thu 69-7'!F52</f>
        <v>41959.849042000002</v>
      </c>
      <c r="E21" s="86">
        <f>'DT thu 69-7'!G52</f>
        <v>45000</v>
      </c>
      <c r="F21" s="86">
        <f>'DT thu 69-7'!I52</f>
        <v>43000</v>
      </c>
      <c r="G21" s="86">
        <f>'DT thu 69-7'!K52</f>
        <v>57800</v>
      </c>
      <c r="H21" s="251">
        <f>'DT thu 69-7'!L52</f>
        <v>61650</v>
      </c>
      <c r="I21" s="86">
        <f>'DT thu 69-7'!M52</f>
        <v>55000</v>
      </c>
      <c r="J21" s="86">
        <f>'DT thu 69-7'!N52</f>
        <v>64700</v>
      </c>
      <c r="K21" s="86">
        <f>'DT thu 69-7'!O52</f>
        <v>71000</v>
      </c>
    </row>
    <row r="22" spans="1:11" s="59" customFormat="1" ht="31.5">
      <c r="A22" s="89" t="s">
        <v>104</v>
      </c>
      <c r="B22" s="90" t="s">
        <v>121</v>
      </c>
      <c r="C22" s="91">
        <f>C23+C24</f>
        <v>0</v>
      </c>
      <c r="D22" s="91">
        <f>D23+D24</f>
        <v>1015</v>
      </c>
      <c r="E22" s="91">
        <f>E23+E24</f>
        <v>700</v>
      </c>
      <c r="F22" s="91">
        <f t="shared" ref="F22:H22" si="10">F23+F24</f>
        <v>600</v>
      </c>
      <c r="G22" s="91">
        <f>G23+G24</f>
        <v>2000</v>
      </c>
      <c r="H22" s="254">
        <f t="shared" si="10"/>
        <v>2000</v>
      </c>
      <c r="I22" s="91">
        <f t="shared" ref="I22" si="11">I23+I24</f>
        <v>2000</v>
      </c>
      <c r="J22" s="91">
        <f t="shared" ref="J22" si="12">J23+J24</f>
        <v>2000</v>
      </c>
      <c r="K22" s="91">
        <f t="shared" ref="K22" si="13">K23+K24</f>
        <v>2000</v>
      </c>
    </row>
    <row r="23" spans="1:11" s="58" customFormat="1" ht="31.5">
      <c r="A23" s="84">
        <v>1</v>
      </c>
      <c r="B23" s="85" t="s">
        <v>122</v>
      </c>
      <c r="C23" s="87">
        <v>0</v>
      </c>
      <c r="D23" s="87">
        <f>'DT thu 69-7'!F76</f>
        <v>1015</v>
      </c>
      <c r="E23" s="87">
        <f>'DT thu 69-7'!G76</f>
        <v>700</v>
      </c>
      <c r="F23" s="87">
        <f>'DT thu 69-7'!I76</f>
        <v>600</v>
      </c>
      <c r="G23" s="87">
        <f>'DT thu 69-7'!K76</f>
        <v>2000</v>
      </c>
      <c r="H23" s="252">
        <f>'DT thu 69-7'!L76</f>
        <v>2000</v>
      </c>
      <c r="I23" s="87">
        <f>'DT thu 69-7'!M76</f>
        <v>2000</v>
      </c>
      <c r="J23" s="87">
        <f>'DT thu 69-7'!N76</f>
        <v>2000</v>
      </c>
      <c r="K23" s="87">
        <f>'DT thu 69-7'!O76</f>
        <v>2000</v>
      </c>
    </row>
    <row r="24" spans="1:11" s="59" customFormat="1" ht="22.5" hidden="1" customHeight="1" outlineLevel="1">
      <c r="A24" s="84">
        <v>2</v>
      </c>
      <c r="B24" s="85" t="s">
        <v>123</v>
      </c>
      <c r="C24" s="87"/>
      <c r="D24" s="87"/>
      <c r="E24" s="87"/>
      <c r="F24" s="87"/>
      <c r="G24" s="87"/>
      <c r="H24" s="252"/>
      <c r="I24" s="87"/>
      <c r="J24" s="87"/>
      <c r="K24" s="87"/>
    </row>
    <row r="25" spans="1:11" s="59" customFormat="1" ht="18" customHeight="1" collapsed="1">
      <c r="A25" s="89" t="s">
        <v>124</v>
      </c>
      <c r="B25" s="90" t="s">
        <v>125</v>
      </c>
      <c r="C25" s="92">
        <f>C26+C27+C28+C29+C30</f>
        <v>130200</v>
      </c>
      <c r="D25" s="92">
        <f>D26+D27+D28+D29+D30</f>
        <v>215622</v>
      </c>
      <c r="E25" s="92">
        <f>E26+E27+E28+E29+E30</f>
        <v>122700</v>
      </c>
      <c r="F25" s="92">
        <f t="shared" ref="F25" si="14">F26+F27+F28+F29+F30</f>
        <v>217700</v>
      </c>
      <c r="G25" s="92">
        <f t="shared" ref="G25:H25" si="15">G26+G27+G28+G29+G30+G31</f>
        <v>1130000</v>
      </c>
      <c r="H25" s="255">
        <f t="shared" si="15"/>
        <v>905698</v>
      </c>
      <c r="I25" s="92">
        <f>I26+I27+I28+I29+I30+I31</f>
        <v>1073300</v>
      </c>
      <c r="J25" s="92">
        <f t="shared" ref="J25:K25" si="16">J26+J27+J28+J29+J30+J31</f>
        <v>751600</v>
      </c>
      <c r="K25" s="92">
        <f t="shared" si="16"/>
        <v>822800.46999999974</v>
      </c>
    </row>
    <row r="26" spans="1:11" s="59" customFormat="1" ht="18" customHeight="1">
      <c r="A26" s="84">
        <v>1</v>
      </c>
      <c r="B26" s="85" t="s">
        <v>77</v>
      </c>
      <c r="C26" s="87">
        <v>2600</v>
      </c>
      <c r="D26" s="87">
        <f>'DT thu 69-7'!F47</f>
        <v>4055</v>
      </c>
      <c r="E26" s="87">
        <f>'DT thu 69-7'!G47</f>
        <v>3000</v>
      </c>
      <c r="F26" s="87">
        <f>'DT thu 69-7'!I47</f>
        <v>3000</v>
      </c>
      <c r="G26" s="87">
        <f>'DT thu 69-7'!K47</f>
        <v>3600</v>
      </c>
      <c r="H26" s="252">
        <f>'DT thu 69-7'!L47</f>
        <v>3247</v>
      </c>
      <c r="I26" s="87">
        <f>'DT thu 69-7'!M47</f>
        <v>3300</v>
      </c>
      <c r="J26" s="87">
        <f>'DT thu 69-7'!N47</f>
        <v>3600</v>
      </c>
      <c r="K26" s="87">
        <f>'DT thu 69-7'!O47</f>
        <v>3900</v>
      </c>
    </row>
    <row r="27" spans="1:11" s="59" customFormat="1" ht="18" customHeight="1">
      <c r="A27" s="84">
        <v>2</v>
      </c>
      <c r="B27" s="85" t="s">
        <v>76</v>
      </c>
      <c r="C27" s="86">
        <v>400</v>
      </c>
      <c r="D27" s="86">
        <f>'DT thu 69-7'!F46</f>
        <v>804</v>
      </c>
      <c r="E27" s="86">
        <f>'DT thu 69-7'!G46</f>
        <v>500</v>
      </c>
      <c r="F27" s="86">
        <f>'DT thu 69-7'!I46</f>
        <v>500</v>
      </c>
      <c r="G27" s="86">
        <f>'DT thu 69-7'!K46</f>
        <v>0</v>
      </c>
      <c r="H27" s="251">
        <f>'DT thu 69-7'!L46</f>
        <v>25</v>
      </c>
      <c r="I27" s="86">
        <f>'DT thu 69-7'!M46</f>
        <v>0</v>
      </c>
      <c r="J27" s="86">
        <f>'DT thu 69-7'!N46</f>
        <v>0</v>
      </c>
      <c r="K27" s="86">
        <f>'DT thu 69-7'!O46</f>
        <v>0</v>
      </c>
    </row>
    <row r="28" spans="1:11" s="59" customFormat="1" ht="20.25" customHeight="1">
      <c r="A28" s="84">
        <v>3</v>
      </c>
      <c r="B28" s="93" t="s">
        <v>126</v>
      </c>
      <c r="C28" s="87">
        <v>17000</v>
      </c>
      <c r="D28" s="87">
        <f>'DT thu 69-7'!F59</f>
        <v>14386</v>
      </c>
      <c r="E28" s="87">
        <f>'DT thu 69-7'!G59</f>
        <v>9000</v>
      </c>
      <c r="F28" s="87">
        <f>'DT thu 69-7'!I59</f>
        <v>14000</v>
      </c>
      <c r="G28" s="87">
        <f>'DT thu 69-7'!K59</f>
        <v>20000</v>
      </c>
      <c r="H28" s="252">
        <f>'DT thu 69-7'!L59</f>
        <v>14176</v>
      </c>
      <c r="I28" s="87">
        <f>'DT thu 69-7'!M59</f>
        <v>22000</v>
      </c>
      <c r="J28" s="87">
        <f>'DT thu 69-7'!N59</f>
        <v>23700</v>
      </c>
      <c r="K28" s="87">
        <f>'DT thu 69-7'!O59</f>
        <v>26000</v>
      </c>
    </row>
    <row r="29" spans="1:11" s="59" customFormat="1" ht="33" customHeight="1">
      <c r="A29" s="84">
        <v>4</v>
      </c>
      <c r="B29" s="93" t="s">
        <v>127</v>
      </c>
      <c r="C29" s="214">
        <v>110000</v>
      </c>
      <c r="D29" s="214">
        <f>'DT thu 69-7'!F56</f>
        <v>196140</v>
      </c>
      <c r="E29" s="214">
        <f>'DT thu 69-7'!G56</f>
        <v>110000</v>
      </c>
      <c r="F29" s="214">
        <f>'DT thu 69-7'!I56</f>
        <v>200000</v>
      </c>
      <c r="G29" s="214">
        <f>'DT thu 69-7'!K56</f>
        <v>300000</v>
      </c>
      <c r="H29" s="256">
        <f>'DT thu 69-7'!L56</f>
        <v>317950</v>
      </c>
      <c r="I29" s="214">
        <f>'DT thu 69-7'!M56</f>
        <v>235000</v>
      </c>
      <c r="J29" s="214">
        <f>'DT thu 69-7'!N56</f>
        <v>253300</v>
      </c>
      <c r="K29" s="214">
        <f>'DT thu 69-7'!O56</f>
        <v>277900</v>
      </c>
    </row>
    <row r="30" spans="1:11" s="61" customFormat="1" ht="31.5">
      <c r="A30" s="84">
        <v>5</v>
      </c>
      <c r="B30" s="93" t="s">
        <v>128</v>
      </c>
      <c r="C30" s="87">
        <v>200</v>
      </c>
      <c r="D30" s="87">
        <f>'DT thu 69-7'!F69</f>
        <v>237</v>
      </c>
      <c r="E30" s="87">
        <f>'DT thu 69-7'!G69</f>
        <v>200</v>
      </c>
      <c r="F30" s="87">
        <f>'DT thu 69-7'!I69</f>
        <v>200</v>
      </c>
      <c r="G30" s="87">
        <f>'DT thu 69-7'!K69</f>
        <v>0</v>
      </c>
      <c r="H30" s="252">
        <f>'DT thu 69-7'!L69</f>
        <v>0</v>
      </c>
      <c r="I30" s="87">
        <f>'DT thu 69-7'!M69</f>
        <v>0</v>
      </c>
      <c r="J30" s="87">
        <f>'DT thu 69-7'!N69</f>
        <v>0</v>
      </c>
      <c r="K30" s="87">
        <f>'DT thu 69-7'!O69</f>
        <v>0</v>
      </c>
    </row>
    <row r="31" spans="1:11" s="61" customFormat="1" ht="47.25">
      <c r="A31" s="84">
        <v>6</v>
      </c>
      <c r="B31" s="93" t="s">
        <v>593</v>
      </c>
      <c r="C31" s="87"/>
      <c r="D31" s="87"/>
      <c r="E31" s="87"/>
      <c r="F31" s="87"/>
      <c r="G31" s="87">
        <f>'DT thu 69-7'!K78</f>
        <v>806400</v>
      </c>
      <c r="H31" s="252">
        <f>'DT thu 69-7'!L78</f>
        <v>570300</v>
      </c>
      <c r="I31" s="87">
        <f>'DT thu 69-7'!M78</f>
        <v>813000</v>
      </c>
      <c r="J31" s="87">
        <f>'DT thu 69-7'!N78</f>
        <v>471000</v>
      </c>
      <c r="K31" s="87">
        <f>'DT thu 69-7'!O78</f>
        <v>515000.46999999974</v>
      </c>
    </row>
    <row r="32" spans="1:11" s="59" customFormat="1" ht="18.75" customHeight="1">
      <c r="A32" s="89" t="s">
        <v>129</v>
      </c>
      <c r="B32" s="94" t="s">
        <v>130</v>
      </c>
      <c r="C32" s="92">
        <f>C33+C34+C35</f>
        <v>135800</v>
      </c>
      <c r="D32" s="92">
        <f>D33+D34+D35</f>
        <v>268416.46377099998</v>
      </c>
      <c r="E32" s="92">
        <f>E33+E34+E35</f>
        <v>127100</v>
      </c>
      <c r="F32" s="92">
        <f t="shared" ref="F32:H32" si="17">F33+F34+F35</f>
        <v>196200</v>
      </c>
      <c r="G32" s="92">
        <f>G33+G34+G35</f>
        <v>175400</v>
      </c>
      <c r="H32" s="255">
        <f t="shared" si="17"/>
        <v>263984</v>
      </c>
      <c r="I32" s="92">
        <f t="shared" ref="I32" si="18">I33+I34+I35</f>
        <v>220700</v>
      </c>
      <c r="J32" s="92">
        <f t="shared" ref="J32" si="19">J33+J34+J35</f>
        <v>287000</v>
      </c>
      <c r="K32" s="92">
        <f t="shared" ref="K32" si="20">K33+K34+K35</f>
        <v>310400</v>
      </c>
    </row>
    <row r="33" spans="1:11" s="60" customFormat="1" ht="18.75" customHeight="1">
      <c r="A33" s="84">
        <v>1</v>
      </c>
      <c r="B33" s="85" t="s">
        <v>131</v>
      </c>
      <c r="C33" s="87">
        <v>8000</v>
      </c>
      <c r="D33" s="87">
        <f>'DT thu 69-7'!F72</f>
        <v>6307.077714</v>
      </c>
      <c r="E33" s="87">
        <f>'DT thu 69-7'!G72</f>
        <v>8000</v>
      </c>
      <c r="F33" s="87">
        <f>'DT thu 69-7'!I72</f>
        <v>60000</v>
      </c>
      <c r="G33" s="87">
        <f>'DT thu 69-7'!K72</f>
        <v>30000</v>
      </c>
      <c r="H33" s="252">
        <f>'DT thu 69-7'!L72</f>
        <v>100900</v>
      </c>
      <c r="I33" s="87">
        <f>'DT thu 69-7'!M72</f>
        <v>90000</v>
      </c>
      <c r="J33" s="87">
        <f>'DT thu 69-7'!N72</f>
        <v>100000</v>
      </c>
      <c r="K33" s="87">
        <f>'DT thu 69-7'!O72</f>
        <v>105000</v>
      </c>
    </row>
    <row r="34" spans="1:11" s="59" customFormat="1" ht="18" hidden="1" customHeight="1" outlineLevel="1">
      <c r="A34" s="84">
        <v>2</v>
      </c>
      <c r="B34" s="85" t="s">
        <v>132</v>
      </c>
      <c r="C34" s="87">
        <v>0</v>
      </c>
      <c r="D34" s="87">
        <v>0</v>
      </c>
      <c r="E34" s="87">
        <v>0</v>
      </c>
      <c r="F34" s="87"/>
      <c r="G34" s="87">
        <v>0</v>
      </c>
      <c r="H34" s="252"/>
      <c r="I34" s="87"/>
      <c r="J34" s="87"/>
      <c r="K34" s="87"/>
    </row>
    <row r="35" spans="1:11" s="60" customFormat="1" ht="15.75" collapsed="1">
      <c r="A35" s="84">
        <v>2</v>
      </c>
      <c r="B35" s="85" t="s">
        <v>133</v>
      </c>
      <c r="C35" s="88">
        <v>127800</v>
      </c>
      <c r="D35" s="88">
        <f>'DT thu 69-7'!F20+'DT thu 69-7'!F70+'DT thu 69-7'!F75+'DT thu 69-7'!F77+'DT thu 69-7'!F88</f>
        <v>262109.386057</v>
      </c>
      <c r="E35" s="88">
        <f>'DT thu 69-7'!G20+'DT thu 69-7'!G70+'DT thu 69-7'!G75+'DT thu 69-7'!G77+'DT thu 69-7'!G88</f>
        <v>119100</v>
      </c>
      <c r="F35" s="88">
        <f>'DT thu 69-7'!I20+'DT thu 69-7'!I70+'DT thu 69-7'!I75+'DT thu 69-7'!I77+'DT thu 69-7'!I88</f>
        <v>136200</v>
      </c>
      <c r="G35" s="88">
        <f>'DT thu 69-7'!K20+'DT thu 69-7'!K70+'DT thu 69-7'!K75+'DT thu 69-7'!K77+'DT thu 69-7'!K88</f>
        <v>145400</v>
      </c>
      <c r="H35" s="253">
        <f>'DT thu 69-7'!L20+'DT thu 69-7'!L70+'DT thu 69-7'!L75+'DT thu 69-7'!L77+'DT thu 69-7'!L88</f>
        <v>163084</v>
      </c>
      <c r="I35" s="88">
        <f>'DT thu 69-7'!M20+'DT thu 69-7'!M70+'DT thu 69-7'!M75+'DT thu 69-7'!M77+'DT thu 69-7'!M88</f>
        <v>130700</v>
      </c>
      <c r="J35" s="88">
        <f>'DT thu 69-7'!N20+'DT thu 69-7'!N70+'DT thu 69-7'!N75+'DT thu 69-7'!N77+'DT thu 69-7'!N88</f>
        <v>187000</v>
      </c>
      <c r="K35" s="88">
        <f>'DT thu 69-7'!O20+'DT thu 69-7'!O70+'DT thu 69-7'!O75+'DT thu 69-7'!O77+'DT thu 69-7'!O88</f>
        <v>205400</v>
      </c>
    </row>
    <row r="36" spans="1:11" ht="15.75">
      <c r="A36" s="56" t="s">
        <v>342</v>
      </c>
      <c r="B36" s="95" t="s">
        <v>559</v>
      </c>
      <c r="C36" s="92">
        <v>31000</v>
      </c>
      <c r="D36" s="92">
        <f>'DT thu 69-7'!F89</f>
        <v>43934</v>
      </c>
      <c r="E36" s="92">
        <f>'DT thu 69-7'!G89</f>
        <v>0</v>
      </c>
      <c r="F36" s="92">
        <f>'DT thu 69-7'!I89</f>
        <v>18000</v>
      </c>
      <c r="G36" s="92">
        <f>'DT thu 69-7'!K89</f>
        <v>0</v>
      </c>
      <c r="H36" s="255">
        <f>'DT thu 69-7'!L89</f>
        <v>0</v>
      </c>
      <c r="I36" s="92">
        <f>'DT thu 69-7'!M89</f>
        <v>0</v>
      </c>
      <c r="J36" s="92">
        <f>'DT thu 69-7'!N89</f>
        <v>0</v>
      </c>
      <c r="K36" s="92">
        <f>'DT thu 69-7'!O89</f>
        <v>0</v>
      </c>
    </row>
    <row r="37" spans="1:11" ht="6.75" customHeight="1">
      <c r="A37" s="63"/>
      <c r="B37" s="64"/>
      <c r="C37" s="64"/>
      <c r="D37" s="65"/>
      <c r="E37" s="65"/>
      <c r="F37" s="96"/>
      <c r="G37" s="65"/>
      <c r="H37" s="257"/>
      <c r="I37" s="65"/>
      <c r="J37" s="65"/>
      <c r="K37" s="65"/>
    </row>
    <row r="38" spans="1:11" ht="15.75">
      <c r="D38" s="97"/>
      <c r="F38" s="44"/>
      <c r="H38" s="258"/>
      <c r="I38" s="44"/>
      <c r="J38" s="44"/>
      <c r="K38" s="44"/>
    </row>
    <row r="39" spans="1:11" ht="15.75">
      <c r="E39" s="98"/>
      <c r="F39" s="98"/>
      <c r="G39" s="98"/>
      <c r="H39" s="246"/>
      <c r="I39" s="98"/>
      <c r="J39" s="98"/>
      <c r="K39" s="98"/>
    </row>
    <row r="40" spans="1:11" ht="15.75">
      <c r="E40" s="978"/>
      <c r="F40" s="978"/>
      <c r="G40" s="978"/>
      <c r="H40" s="978"/>
      <c r="I40" s="978"/>
      <c r="J40" s="978"/>
    </row>
  </sheetData>
  <mergeCells count="13">
    <mergeCell ref="I1:J1"/>
    <mergeCell ref="I2:J2"/>
    <mergeCell ref="A5:A6"/>
    <mergeCell ref="J5:J6"/>
    <mergeCell ref="A3:K3"/>
    <mergeCell ref="F4:K4"/>
    <mergeCell ref="K5:K6"/>
    <mergeCell ref="E40:J40"/>
    <mergeCell ref="B5:B6"/>
    <mergeCell ref="C5:D5"/>
    <mergeCell ref="I5:I6"/>
    <mergeCell ref="E5:F5"/>
    <mergeCell ref="G5:H5"/>
  </mergeCells>
  <printOptions horizontalCentered="1"/>
  <pageMargins left="0.59055118110236227" right="0.19685039370078741" top="0.55118110236220474" bottom="0.39370078740157483" header="0.35433070866141736" footer="0.39370078740157483"/>
  <pageSetup paperSize="9" scale="90" fitToHeight="2" orientation="portrait" r:id="rId1"/>
  <headerFooter scaleWithDoc="0" alignWithMargins="0">
    <oddHeader xml:space="preserve">&amp;C </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72"/>
  <sheetViews>
    <sheetView topLeftCell="A3" zoomScale="85" zoomScaleNormal="85" workbookViewId="0">
      <pane xSplit="9" ySplit="10" topLeftCell="J13" activePane="bottomRight" state="frozen"/>
      <selection activeCell="A3" sqref="A3"/>
      <selection pane="topRight" activeCell="J3" sqref="J3"/>
      <selection pane="bottomLeft" activeCell="A13" sqref="A13"/>
      <selection pane="bottomRight" activeCell="M27" sqref="M27"/>
    </sheetView>
  </sheetViews>
  <sheetFormatPr defaultRowHeight="15.75" outlineLevelRow="1" outlineLevelCol="1"/>
  <cols>
    <col min="1" max="1" width="5.375" style="100" customWidth="1"/>
    <col min="2" max="2" width="57.375" style="100" customWidth="1"/>
    <col min="3" max="3" width="12.75" style="100" hidden="1" customWidth="1"/>
    <col min="4" max="4" width="10" style="100" hidden="1" customWidth="1" outlineLevel="1"/>
    <col min="5" max="5" width="11.875" style="100" hidden="1" customWidth="1" outlineLevel="1"/>
    <col min="6" max="9" width="11.125" style="100" hidden="1" customWidth="1" outlineLevel="1"/>
    <col min="10" max="10" width="11.125" style="100" customWidth="1" collapsed="1"/>
    <col min="11" max="11" width="11.125" style="100" customWidth="1"/>
    <col min="12" max="12" width="11.125" style="595" customWidth="1"/>
    <col min="13" max="13" width="11" style="100" customWidth="1"/>
    <col min="14" max="14" width="11" style="99" customWidth="1"/>
    <col min="15" max="15" width="11.125" style="99" customWidth="1"/>
    <col min="16" max="16" width="25.875" style="99" hidden="1" customWidth="1" outlineLevel="1"/>
    <col min="17" max="17" width="15.25" style="99" hidden="1" customWidth="1" outlineLevel="1"/>
    <col min="18" max="18" width="14.375" style="99" hidden="1" customWidth="1" outlineLevel="1"/>
    <col min="19" max="19" width="9.25" style="99" hidden="1" customWidth="1" outlineLevel="1"/>
    <col min="20" max="20" width="24" style="99" customWidth="1" collapsed="1"/>
    <col min="21" max="21" width="13.125" style="99" customWidth="1"/>
    <col min="22" max="22" width="10.75" style="99" customWidth="1"/>
    <col min="23" max="23" width="9.125" style="99" customWidth="1"/>
    <col min="24" max="260" width="9.125" style="99"/>
    <col min="261" max="261" width="5.125" style="99" customWidth="1"/>
    <col min="262" max="262" width="76.75" style="99" customWidth="1"/>
    <col min="263" max="263" width="16.375" style="99" customWidth="1"/>
    <col min="264" max="269" width="17.875" style="99" customWidth="1"/>
    <col min="270" max="516" width="9.125" style="99"/>
    <col min="517" max="517" width="5.125" style="99" customWidth="1"/>
    <col min="518" max="518" width="76.75" style="99" customWidth="1"/>
    <col min="519" max="519" width="16.375" style="99" customWidth="1"/>
    <col min="520" max="525" width="17.875" style="99" customWidth="1"/>
    <col min="526" max="772" width="9.125" style="99"/>
    <col min="773" max="773" width="5.125" style="99" customWidth="1"/>
    <col min="774" max="774" width="76.75" style="99" customWidth="1"/>
    <col min="775" max="775" width="16.375" style="99" customWidth="1"/>
    <col min="776" max="781" width="17.875" style="99" customWidth="1"/>
    <col min="782" max="1028" width="9.125" style="99"/>
    <col min="1029" max="1029" width="5.125" style="99" customWidth="1"/>
    <col min="1030" max="1030" width="76.75" style="99" customWidth="1"/>
    <col min="1031" max="1031" width="16.375" style="99" customWidth="1"/>
    <col min="1032" max="1037" width="17.875" style="99" customWidth="1"/>
    <col min="1038" max="1284" width="9.125" style="99"/>
    <col min="1285" max="1285" width="5.125" style="99" customWidth="1"/>
    <col min="1286" max="1286" width="76.75" style="99" customWidth="1"/>
    <col min="1287" max="1287" width="16.375" style="99" customWidth="1"/>
    <col min="1288" max="1293" width="17.875" style="99" customWidth="1"/>
    <col min="1294" max="1540" width="9.125" style="99"/>
    <col min="1541" max="1541" width="5.125" style="99" customWidth="1"/>
    <col min="1542" max="1542" width="76.75" style="99" customWidth="1"/>
    <col min="1543" max="1543" width="16.375" style="99" customWidth="1"/>
    <col min="1544" max="1549" width="17.875" style="99" customWidth="1"/>
    <col min="1550" max="1796" width="9.125" style="99"/>
    <col min="1797" max="1797" width="5.125" style="99" customWidth="1"/>
    <col min="1798" max="1798" width="76.75" style="99" customWidth="1"/>
    <col min="1799" max="1799" width="16.375" style="99" customWidth="1"/>
    <col min="1800" max="1805" width="17.875" style="99" customWidth="1"/>
    <col min="1806" max="2052" width="9.125" style="99"/>
    <col min="2053" max="2053" width="5.125" style="99" customWidth="1"/>
    <col min="2054" max="2054" width="76.75" style="99" customWidth="1"/>
    <col min="2055" max="2055" width="16.375" style="99" customWidth="1"/>
    <col min="2056" max="2061" width="17.875" style="99" customWidth="1"/>
    <col min="2062" max="2308" width="9.125" style="99"/>
    <col min="2309" max="2309" width="5.125" style="99" customWidth="1"/>
    <col min="2310" max="2310" width="76.75" style="99" customWidth="1"/>
    <col min="2311" max="2311" width="16.375" style="99" customWidth="1"/>
    <col min="2312" max="2317" width="17.875" style="99" customWidth="1"/>
    <col min="2318" max="2564" width="9.125" style="99"/>
    <col min="2565" max="2565" width="5.125" style="99" customWidth="1"/>
    <col min="2566" max="2566" width="76.75" style="99" customWidth="1"/>
    <col min="2567" max="2567" width="16.375" style="99" customWidth="1"/>
    <col min="2568" max="2573" width="17.875" style="99" customWidth="1"/>
    <col min="2574" max="2820" width="9.125" style="99"/>
    <col min="2821" max="2821" width="5.125" style="99" customWidth="1"/>
    <col min="2822" max="2822" width="76.75" style="99" customWidth="1"/>
    <col min="2823" max="2823" width="16.375" style="99" customWidth="1"/>
    <col min="2824" max="2829" width="17.875" style="99" customWidth="1"/>
    <col min="2830" max="3076" width="9.125" style="99"/>
    <col min="3077" max="3077" width="5.125" style="99" customWidth="1"/>
    <col min="3078" max="3078" width="76.75" style="99" customWidth="1"/>
    <col min="3079" max="3079" width="16.375" style="99" customWidth="1"/>
    <col min="3080" max="3085" width="17.875" style="99" customWidth="1"/>
    <col min="3086" max="3332" width="9.125" style="99"/>
    <col min="3333" max="3333" width="5.125" style="99" customWidth="1"/>
    <col min="3334" max="3334" width="76.75" style="99" customWidth="1"/>
    <col min="3335" max="3335" width="16.375" style="99" customWidth="1"/>
    <col min="3336" max="3341" width="17.875" style="99" customWidth="1"/>
    <col min="3342" max="3588" width="9.125" style="99"/>
    <col min="3589" max="3589" width="5.125" style="99" customWidth="1"/>
    <col min="3590" max="3590" width="76.75" style="99" customWidth="1"/>
    <col min="3591" max="3591" width="16.375" style="99" customWidth="1"/>
    <col min="3592" max="3597" width="17.875" style="99" customWidth="1"/>
    <col min="3598" max="3844" width="9.125" style="99"/>
    <col min="3845" max="3845" width="5.125" style="99" customWidth="1"/>
    <col min="3846" max="3846" width="76.75" style="99" customWidth="1"/>
    <col min="3847" max="3847" width="16.375" style="99" customWidth="1"/>
    <col min="3848" max="3853" width="17.875" style="99" customWidth="1"/>
    <col min="3854" max="4100" width="9.125" style="99"/>
    <col min="4101" max="4101" width="5.125" style="99" customWidth="1"/>
    <col min="4102" max="4102" width="76.75" style="99" customWidth="1"/>
    <col min="4103" max="4103" width="16.375" style="99" customWidth="1"/>
    <col min="4104" max="4109" width="17.875" style="99" customWidth="1"/>
    <col min="4110" max="4356" width="9.125" style="99"/>
    <col min="4357" max="4357" width="5.125" style="99" customWidth="1"/>
    <col min="4358" max="4358" width="76.75" style="99" customWidth="1"/>
    <col min="4359" max="4359" width="16.375" style="99" customWidth="1"/>
    <col min="4360" max="4365" width="17.875" style="99" customWidth="1"/>
    <col min="4366" max="4612" width="9.125" style="99"/>
    <col min="4613" max="4613" width="5.125" style="99" customWidth="1"/>
    <col min="4614" max="4614" width="76.75" style="99" customWidth="1"/>
    <col min="4615" max="4615" width="16.375" style="99" customWidth="1"/>
    <col min="4616" max="4621" width="17.875" style="99" customWidth="1"/>
    <col min="4622" max="4868" width="9.125" style="99"/>
    <col min="4869" max="4869" width="5.125" style="99" customWidth="1"/>
    <col min="4870" max="4870" width="76.75" style="99" customWidth="1"/>
    <col min="4871" max="4871" width="16.375" style="99" customWidth="1"/>
    <col min="4872" max="4877" width="17.875" style="99" customWidth="1"/>
    <col min="4878" max="5124" width="9.125" style="99"/>
    <col min="5125" max="5125" width="5.125" style="99" customWidth="1"/>
    <col min="5126" max="5126" width="76.75" style="99" customWidth="1"/>
    <col min="5127" max="5127" width="16.375" style="99" customWidth="1"/>
    <col min="5128" max="5133" width="17.875" style="99" customWidth="1"/>
    <col min="5134" max="5380" width="9.125" style="99"/>
    <col min="5381" max="5381" width="5.125" style="99" customWidth="1"/>
    <col min="5382" max="5382" width="76.75" style="99" customWidth="1"/>
    <col min="5383" max="5383" width="16.375" style="99" customWidth="1"/>
    <col min="5384" max="5389" width="17.875" style="99" customWidth="1"/>
    <col min="5390" max="5636" width="9.125" style="99"/>
    <col min="5637" max="5637" width="5.125" style="99" customWidth="1"/>
    <col min="5638" max="5638" width="76.75" style="99" customWidth="1"/>
    <col min="5639" max="5639" width="16.375" style="99" customWidth="1"/>
    <col min="5640" max="5645" width="17.875" style="99" customWidth="1"/>
    <col min="5646" max="5892" width="9.125" style="99"/>
    <col min="5893" max="5893" width="5.125" style="99" customWidth="1"/>
    <col min="5894" max="5894" width="76.75" style="99" customWidth="1"/>
    <col min="5895" max="5895" width="16.375" style="99" customWidth="1"/>
    <col min="5896" max="5901" width="17.875" style="99" customWidth="1"/>
    <col min="5902" max="6148" width="9.125" style="99"/>
    <col min="6149" max="6149" width="5.125" style="99" customWidth="1"/>
    <col min="6150" max="6150" width="76.75" style="99" customWidth="1"/>
    <col min="6151" max="6151" width="16.375" style="99" customWidth="1"/>
    <col min="6152" max="6157" width="17.875" style="99" customWidth="1"/>
    <col min="6158" max="6404" width="9.125" style="99"/>
    <col min="6405" max="6405" width="5.125" style="99" customWidth="1"/>
    <col min="6406" max="6406" width="76.75" style="99" customWidth="1"/>
    <col min="6407" max="6407" width="16.375" style="99" customWidth="1"/>
    <col min="6408" max="6413" width="17.875" style="99" customWidth="1"/>
    <col min="6414" max="6660" width="9.125" style="99"/>
    <col min="6661" max="6661" width="5.125" style="99" customWidth="1"/>
    <col min="6662" max="6662" width="76.75" style="99" customWidth="1"/>
    <col min="6663" max="6663" width="16.375" style="99" customWidth="1"/>
    <col min="6664" max="6669" width="17.875" style="99" customWidth="1"/>
    <col min="6670" max="6916" width="9.125" style="99"/>
    <col min="6917" max="6917" width="5.125" style="99" customWidth="1"/>
    <col min="6918" max="6918" width="76.75" style="99" customWidth="1"/>
    <col min="6919" max="6919" width="16.375" style="99" customWidth="1"/>
    <col min="6920" max="6925" width="17.875" style="99" customWidth="1"/>
    <col min="6926" max="7172" width="9.125" style="99"/>
    <col min="7173" max="7173" width="5.125" style="99" customWidth="1"/>
    <col min="7174" max="7174" width="76.75" style="99" customWidth="1"/>
    <col min="7175" max="7175" width="16.375" style="99" customWidth="1"/>
    <col min="7176" max="7181" width="17.875" style="99" customWidth="1"/>
    <col min="7182" max="7428" width="9.125" style="99"/>
    <col min="7429" max="7429" width="5.125" style="99" customWidth="1"/>
    <col min="7430" max="7430" width="76.75" style="99" customWidth="1"/>
    <col min="7431" max="7431" width="16.375" style="99" customWidth="1"/>
    <col min="7432" max="7437" width="17.875" style="99" customWidth="1"/>
    <col min="7438" max="7684" width="9.125" style="99"/>
    <col min="7685" max="7685" width="5.125" style="99" customWidth="1"/>
    <col min="7686" max="7686" width="76.75" style="99" customWidth="1"/>
    <col min="7687" max="7687" width="16.375" style="99" customWidth="1"/>
    <col min="7688" max="7693" width="17.875" style="99" customWidth="1"/>
    <col min="7694" max="7940" width="9.125" style="99"/>
    <col min="7941" max="7941" width="5.125" style="99" customWidth="1"/>
    <col min="7942" max="7942" width="76.75" style="99" customWidth="1"/>
    <col min="7943" max="7943" width="16.375" style="99" customWidth="1"/>
    <col min="7944" max="7949" width="17.875" style="99" customWidth="1"/>
    <col min="7950" max="8196" width="9.125" style="99"/>
    <col min="8197" max="8197" width="5.125" style="99" customWidth="1"/>
    <col min="8198" max="8198" width="76.75" style="99" customWidth="1"/>
    <col min="8199" max="8199" width="16.375" style="99" customWidth="1"/>
    <col min="8200" max="8205" width="17.875" style="99" customWidth="1"/>
    <col min="8206" max="8452" width="9.125" style="99"/>
    <col min="8453" max="8453" width="5.125" style="99" customWidth="1"/>
    <col min="8454" max="8454" width="76.75" style="99" customWidth="1"/>
    <col min="8455" max="8455" width="16.375" style="99" customWidth="1"/>
    <col min="8456" max="8461" width="17.875" style="99" customWidth="1"/>
    <col min="8462" max="8708" width="9.125" style="99"/>
    <col min="8709" max="8709" width="5.125" style="99" customWidth="1"/>
    <col min="8710" max="8710" width="76.75" style="99" customWidth="1"/>
    <col min="8711" max="8711" width="16.375" style="99" customWidth="1"/>
    <col min="8712" max="8717" width="17.875" style="99" customWidth="1"/>
    <col min="8718" max="8964" width="9.125" style="99"/>
    <col min="8965" max="8965" width="5.125" style="99" customWidth="1"/>
    <col min="8966" max="8966" width="76.75" style="99" customWidth="1"/>
    <col min="8967" max="8967" width="16.375" style="99" customWidth="1"/>
    <col min="8968" max="8973" width="17.875" style="99" customWidth="1"/>
    <col min="8974" max="9220" width="9.125" style="99"/>
    <col min="9221" max="9221" width="5.125" style="99" customWidth="1"/>
    <col min="9222" max="9222" width="76.75" style="99" customWidth="1"/>
    <col min="9223" max="9223" width="16.375" style="99" customWidth="1"/>
    <col min="9224" max="9229" width="17.875" style="99" customWidth="1"/>
    <col min="9230" max="9476" width="9.125" style="99"/>
    <col min="9477" max="9477" width="5.125" style="99" customWidth="1"/>
    <col min="9478" max="9478" width="76.75" style="99" customWidth="1"/>
    <col min="9479" max="9479" width="16.375" style="99" customWidth="1"/>
    <col min="9480" max="9485" width="17.875" style="99" customWidth="1"/>
    <col min="9486" max="9732" width="9.125" style="99"/>
    <col min="9733" max="9733" width="5.125" style="99" customWidth="1"/>
    <col min="9734" max="9734" width="76.75" style="99" customWidth="1"/>
    <col min="9735" max="9735" width="16.375" style="99" customWidth="1"/>
    <col min="9736" max="9741" width="17.875" style="99" customWidth="1"/>
    <col min="9742" max="9988" width="9.125" style="99"/>
    <col min="9989" max="9989" width="5.125" style="99" customWidth="1"/>
    <col min="9990" max="9990" width="76.75" style="99" customWidth="1"/>
    <col min="9991" max="9991" width="16.375" style="99" customWidth="1"/>
    <col min="9992" max="9997" width="17.875" style="99" customWidth="1"/>
    <col min="9998" max="10244" width="9.125" style="99"/>
    <col min="10245" max="10245" width="5.125" style="99" customWidth="1"/>
    <col min="10246" max="10246" width="76.75" style="99" customWidth="1"/>
    <col min="10247" max="10247" width="16.375" style="99" customWidth="1"/>
    <col min="10248" max="10253" width="17.875" style="99" customWidth="1"/>
    <col min="10254" max="10500" width="9.125" style="99"/>
    <col min="10501" max="10501" width="5.125" style="99" customWidth="1"/>
    <col min="10502" max="10502" width="76.75" style="99" customWidth="1"/>
    <col min="10503" max="10503" width="16.375" style="99" customWidth="1"/>
    <col min="10504" max="10509" width="17.875" style="99" customWidth="1"/>
    <col min="10510" max="10756" width="9.125" style="99"/>
    <col min="10757" max="10757" width="5.125" style="99" customWidth="1"/>
    <col min="10758" max="10758" width="76.75" style="99" customWidth="1"/>
    <col min="10759" max="10759" width="16.375" style="99" customWidth="1"/>
    <col min="10760" max="10765" width="17.875" style="99" customWidth="1"/>
    <col min="10766" max="11012" width="9.125" style="99"/>
    <col min="11013" max="11013" width="5.125" style="99" customWidth="1"/>
    <col min="11014" max="11014" width="76.75" style="99" customWidth="1"/>
    <col min="11015" max="11015" width="16.375" style="99" customWidth="1"/>
    <col min="11016" max="11021" width="17.875" style="99" customWidth="1"/>
    <col min="11022" max="11268" width="9.125" style="99"/>
    <col min="11269" max="11269" width="5.125" style="99" customWidth="1"/>
    <col min="11270" max="11270" width="76.75" style="99" customWidth="1"/>
    <col min="11271" max="11271" width="16.375" style="99" customWidth="1"/>
    <col min="11272" max="11277" width="17.875" style="99" customWidth="1"/>
    <col min="11278" max="11524" width="9.125" style="99"/>
    <col min="11525" max="11525" width="5.125" style="99" customWidth="1"/>
    <col min="11526" max="11526" width="76.75" style="99" customWidth="1"/>
    <col min="11527" max="11527" width="16.375" style="99" customWidth="1"/>
    <col min="11528" max="11533" width="17.875" style="99" customWidth="1"/>
    <col min="11534" max="11780" width="9.125" style="99"/>
    <col min="11781" max="11781" width="5.125" style="99" customWidth="1"/>
    <col min="11782" max="11782" width="76.75" style="99" customWidth="1"/>
    <col min="11783" max="11783" width="16.375" style="99" customWidth="1"/>
    <col min="11784" max="11789" width="17.875" style="99" customWidth="1"/>
    <col min="11790" max="12036" width="9.125" style="99"/>
    <col min="12037" max="12037" width="5.125" style="99" customWidth="1"/>
    <col min="12038" max="12038" width="76.75" style="99" customWidth="1"/>
    <col min="12039" max="12039" width="16.375" style="99" customWidth="1"/>
    <col min="12040" max="12045" width="17.875" style="99" customWidth="1"/>
    <col min="12046" max="12292" width="9.125" style="99"/>
    <col min="12293" max="12293" width="5.125" style="99" customWidth="1"/>
    <col min="12294" max="12294" width="76.75" style="99" customWidth="1"/>
    <col min="12295" max="12295" width="16.375" style="99" customWidth="1"/>
    <col min="12296" max="12301" width="17.875" style="99" customWidth="1"/>
    <col min="12302" max="12548" width="9.125" style="99"/>
    <col min="12549" max="12549" width="5.125" style="99" customWidth="1"/>
    <col min="12550" max="12550" width="76.75" style="99" customWidth="1"/>
    <col min="12551" max="12551" width="16.375" style="99" customWidth="1"/>
    <col min="12552" max="12557" width="17.875" style="99" customWidth="1"/>
    <col min="12558" max="12804" width="9.125" style="99"/>
    <col min="12805" max="12805" width="5.125" style="99" customWidth="1"/>
    <col min="12806" max="12806" width="76.75" style="99" customWidth="1"/>
    <col min="12807" max="12807" width="16.375" style="99" customWidth="1"/>
    <col min="12808" max="12813" width="17.875" style="99" customWidth="1"/>
    <col min="12814" max="13060" width="9.125" style="99"/>
    <col min="13061" max="13061" width="5.125" style="99" customWidth="1"/>
    <col min="13062" max="13062" width="76.75" style="99" customWidth="1"/>
    <col min="13063" max="13063" width="16.375" style="99" customWidth="1"/>
    <col min="13064" max="13069" width="17.875" style="99" customWidth="1"/>
    <col min="13070" max="13316" width="9.125" style="99"/>
    <col min="13317" max="13317" width="5.125" style="99" customWidth="1"/>
    <col min="13318" max="13318" width="76.75" style="99" customWidth="1"/>
    <col min="13319" max="13319" width="16.375" style="99" customWidth="1"/>
    <col min="13320" max="13325" width="17.875" style="99" customWidth="1"/>
    <col min="13326" max="13572" width="9.125" style="99"/>
    <col min="13573" max="13573" width="5.125" style="99" customWidth="1"/>
    <col min="13574" max="13574" width="76.75" style="99" customWidth="1"/>
    <col min="13575" max="13575" width="16.375" style="99" customWidth="1"/>
    <col min="13576" max="13581" width="17.875" style="99" customWidth="1"/>
    <col min="13582" max="13828" width="9.125" style="99"/>
    <col min="13829" max="13829" width="5.125" style="99" customWidth="1"/>
    <col min="13830" max="13830" width="76.75" style="99" customWidth="1"/>
    <col min="13831" max="13831" width="16.375" style="99" customWidth="1"/>
    <col min="13832" max="13837" width="17.875" style="99" customWidth="1"/>
    <col min="13838" max="14084" width="9.125" style="99"/>
    <col min="14085" max="14085" width="5.125" style="99" customWidth="1"/>
    <col min="14086" max="14086" width="76.75" style="99" customWidth="1"/>
    <col min="14087" max="14087" width="16.375" style="99" customWidth="1"/>
    <col min="14088" max="14093" width="17.875" style="99" customWidth="1"/>
    <col min="14094" max="14340" width="9.125" style="99"/>
    <col min="14341" max="14341" width="5.125" style="99" customWidth="1"/>
    <col min="14342" max="14342" width="76.75" style="99" customWidth="1"/>
    <col min="14343" max="14343" width="16.375" style="99" customWidth="1"/>
    <col min="14344" max="14349" width="17.875" style="99" customWidth="1"/>
    <col min="14350" max="14596" width="9.125" style="99"/>
    <col min="14597" max="14597" width="5.125" style="99" customWidth="1"/>
    <col min="14598" max="14598" width="76.75" style="99" customWidth="1"/>
    <col min="14599" max="14599" width="16.375" style="99" customWidth="1"/>
    <col min="14600" max="14605" width="17.875" style="99" customWidth="1"/>
    <col min="14606" max="14852" width="9.125" style="99"/>
    <col min="14853" max="14853" width="5.125" style="99" customWidth="1"/>
    <col min="14854" max="14854" width="76.75" style="99" customWidth="1"/>
    <col min="14855" max="14855" width="16.375" style="99" customWidth="1"/>
    <col min="14856" max="14861" width="17.875" style="99" customWidth="1"/>
    <col min="14862" max="15108" width="9.125" style="99"/>
    <col min="15109" max="15109" width="5.125" style="99" customWidth="1"/>
    <col min="15110" max="15110" width="76.75" style="99" customWidth="1"/>
    <col min="15111" max="15111" width="16.375" style="99" customWidth="1"/>
    <col min="15112" max="15117" width="17.875" style="99" customWidth="1"/>
    <col min="15118" max="15364" width="9.125" style="99"/>
    <col min="15365" max="15365" width="5.125" style="99" customWidth="1"/>
    <col min="15366" max="15366" width="76.75" style="99" customWidth="1"/>
    <col min="15367" max="15367" width="16.375" style="99" customWidth="1"/>
    <col min="15368" max="15373" width="17.875" style="99" customWidth="1"/>
    <col min="15374" max="15620" width="9.125" style="99"/>
    <col min="15621" max="15621" width="5.125" style="99" customWidth="1"/>
    <col min="15622" max="15622" width="76.75" style="99" customWidth="1"/>
    <col min="15623" max="15623" width="16.375" style="99" customWidth="1"/>
    <col min="15624" max="15629" width="17.875" style="99" customWidth="1"/>
    <col min="15630" max="15876" width="9.125" style="99"/>
    <col min="15877" max="15877" width="5.125" style="99" customWidth="1"/>
    <col min="15878" max="15878" width="76.75" style="99" customWidth="1"/>
    <col min="15879" max="15879" width="16.375" style="99" customWidth="1"/>
    <col min="15880" max="15885" width="17.875" style="99" customWidth="1"/>
    <col min="15886" max="16132" width="9.125" style="99"/>
    <col min="16133" max="16133" width="5.125" style="99" customWidth="1"/>
    <col min="16134" max="16134" width="76.75" style="99" customWidth="1"/>
    <col min="16135" max="16135" width="16.375" style="99" customWidth="1"/>
    <col min="16136" max="16141" width="17.875" style="99" customWidth="1"/>
    <col min="16142" max="16384" width="9.125" style="99"/>
  </cols>
  <sheetData>
    <row r="1" spans="1:22">
      <c r="A1" s="99"/>
      <c r="B1" s="99"/>
      <c r="C1" s="99"/>
      <c r="D1" s="99"/>
      <c r="E1" s="99"/>
      <c r="F1" s="99"/>
      <c r="G1" s="980"/>
      <c r="H1" s="980"/>
      <c r="I1" s="980"/>
      <c r="J1" s="980"/>
      <c r="K1" s="980"/>
      <c r="L1" s="980"/>
      <c r="M1" s="980"/>
      <c r="N1" s="980"/>
      <c r="P1" s="101">
        <v>5309787.9789724834</v>
      </c>
      <c r="Q1" s="99">
        <v>5425081.1203200761</v>
      </c>
      <c r="R1" s="99">
        <v>5566285.8800791344</v>
      </c>
    </row>
    <row r="2" spans="1:22" s="102" customFormat="1" ht="26.25" customHeight="1">
      <c r="A2" s="67" t="s">
        <v>233</v>
      </c>
      <c r="B2" s="225"/>
      <c r="C2" s="226"/>
      <c r="D2" s="226"/>
      <c r="G2" s="981"/>
      <c r="H2" s="981"/>
      <c r="I2" s="981"/>
      <c r="J2" s="981"/>
      <c r="K2" s="981"/>
      <c r="L2" s="981"/>
      <c r="M2" s="981"/>
      <c r="N2" s="981"/>
      <c r="O2" s="227" t="s">
        <v>316</v>
      </c>
      <c r="P2" s="741">
        <f>P1-M14</f>
        <v>-1392129.0210275166</v>
      </c>
      <c r="Q2" s="741">
        <f t="shared" ref="Q2:R2" si="0">Q1-N14</f>
        <v>-1366735.6301441547</v>
      </c>
      <c r="R2" s="741">
        <f t="shared" si="0"/>
        <v>-1536231.6229256755</v>
      </c>
    </row>
    <row r="3" spans="1:22" ht="21.75" customHeight="1">
      <c r="A3" s="992" t="s">
        <v>706</v>
      </c>
      <c r="B3" s="992"/>
      <c r="C3" s="992"/>
      <c r="D3" s="992"/>
      <c r="E3" s="992"/>
      <c r="F3" s="992"/>
      <c r="G3" s="992"/>
      <c r="H3" s="992"/>
      <c r="I3" s="992"/>
      <c r="J3" s="992"/>
      <c r="K3" s="992"/>
      <c r="L3" s="992"/>
      <c r="M3" s="992"/>
      <c r="N3" s="992"/>
    </row>
    <row r="4" spans="1:22" ht="17.25" hidden="1" customHeight="1" outlineLevel="1">
      <c r="A4" s="804"/>
      <c r="B4" s="804"/>
      <c r="C4" s="804"/>
      <c r="D4" s="804"/>
      <c r="E4" s="804"/>
      <c r="F4" s="804"/>
      <c r="G4" s="804"/>
      <c r="H4" s="804"/>
      <c r="I4" s="804"/>
      <c r="J4" s="804"/>
      <c r="K4" s="804"/>
      <c r="L4" s="585"/>
      <c r="M4" s="804">
        <v>4872369</v>
      </c>
      <c r="N4" s="804">
        <v>5158869</v>
      </c>
    </row>
    <row r="5" spans="1:22" ht="17.25" hidden="1" customHeight="1" outlineLevel="1">
      <c r="A5" s="99"/>
      <c r="B5" s="99"/>
      <c r="C5" s="99"/>
      <c r="D5" s="99"/>
      <c r="E5" s="99"/>
      <c r="F5" s="99"/>
      <c r="G5" s="228">
        <v>3943849</v>
      </c>
      <c r="H5" s="228"/>
      <c r="I5" s="228"/>
      <c r="J5" s="228">
        <v>3943849</v>
      </c>
      <c r="K5" s="228"/>
      <c r="L5" s="586"/>
      <c r="M5" s="228">
        <v>3976314</v>
      </c>
      <c r="N5" s="228">
        <v>4057333</v>
      </c>
      <c r="O5" s="99" t="s">
        <v>323</v>
      </c>
    </row>
    <row r="6" spans="1:22" ht="17.25" hidden="1" customHeight="1" outlineLevel="1">
      <c r="A6" s="99"/>
      <c r="B6" s="99"/>
      <c r="C6" s="99"/>
      <c r="D6" s="99"/>
      <c r="E6" s="99"/>
      <c r="F6" s="99"/>
      <c r="G6" s="228"/>
      <c r="H6" s="228"/>
      <c r="I6" s="228"/>
      <c r="J6" s="228"/>
      <c r="K6" s="228"/>
      <c r="L6" s="586"/>
      <c r="M6" s="229">
        <f>M4-M16-M39-M54-M55-M57-M58</f>
        <v>3927111</v>
      </c>
      <c r="N6" s="229">
        <f>N4-N16-N39-N54-N55-N57-N58</f>
        <v>4115999.531043523</v>
      </c>
    </row>
    <row r="7" spans="1:22" ht="15.75" hidden="1" customHeight="1" outlineLevel="1">
      <c r="A7" s="99"/>
      <c r="B7" s="99"/>
      <c r="C7" s="99"/>
      <c r="D7" s="99"/>
      <c r="E7" s="99"/>
      <c r="F7" s="99"/>
      <c r="G7" s="229">
        <f>G5-G40</f>
        <v>-450</v>
      </c>
      <c r="H7" s="229"/>
      <c r="I7" s="229"/>
      <c r="J7" s="229">
        <f>J5-J40</f>
        <v>-519319</v>
      </c>
      <c r="K7" s="229"/>
      <c r="L7" s="587"/>
      <c r="M7" s="229">
        <f>M5-M40</f>
        <v>-983605</v>
      </c>
      <c r="N7" s="229">
        <f>N5-N40</f>
        <v>-1230034.2815077528</v>
      </c>
    </row>
    <row r="8" spans="1:22" ht="23.25" customHeight="1" collapsed="1">
      <c r="A8" s="230"/>
      <c r="B8" s="230"/>
      <c r="C8" s="99"/>
      <c r="D8" s="105"/>
      <c r="E8" s="231"/>
      <c r="F8" s="99"/>
      <c r="G8" s="105"/>
      <c r="H8" s="105"/>
      <c r="I8" s="105"/>
      <c r="J8" s="105"/>
      <c r="K8" s="105"/>
      <c r="L8" s="588"/>
      <c r="M8" s="231"/>
      <c r="N8" s="231" t="s">
        <v>54</v>
      </c>
      <c r="R8" s="742">
        <f>N19/M19</f>
        <v>1.1139932558061407</v>
      </c>
      <c r="S8" s="994" t="s">
        <v>592</v>
      </c>
    </row>
    <row r="9" spans="1:22" ht="25.5" customHeight="1">
      <c r="A9" s="993" t="s">
        <v>0</v>
      </c>
      <c r="B9" s="993" t="s">
        <v>1</v>
      </c>
      <c r="C9" s="993" t="s">
        <v>134</v>
      </c>
      <c r="D9" s="987" t="s">
        <v>182</v>
      </c>
      <c r="E9" s="988"/>
      <c r="F9" s="989"/>
      <c r="G9" s="987" t="s">
        <v>183</v>
      </c>
      <c r="H9" s="988"/>
      <c r="I9" s="989"/>
      <c r="J9" s="987" t="s">
        <v>572</v>
      </c>
      <c r="K9" s="988"/>
      <c r="L9" s="989"/>
      <c r="M9" s="986" t="s">
        <v>56</v>
      </c>
      <c r="N9" s="986"/>
      <c r="O9" s="986"/>
      <c r="R9" s="742">
        <f>'Bieu 07-31'!O25/'Bieu 07-31'!K25</f>
        <v>1.1127960624324684</v>
      </c>
      <c r="S9" s="994"/>
    </row>
    <row r="10" spans="1:22" ht="36" customHeight="1">
      <c r="A10" s="993"/>
      <c r="B10" s="993"/>
      <c r="C10" s="993"/>
      <c r="D10" s="986" t="s">
        <v>57</v>
      </c>
      <c r="E10" s="986" t="s">
        <v>58</v>
      </c>
      <c r="F10" s="986" t="s">
        <v>59</v>
      </c>
      <c r="G10" s="986" t="s">
        <v>57</v>
      </c>
      <c r="H10" s="986" t="s">
        <v>58</v>
      </c>
      <c r="I10" s="986" t="s">
        <v>59</v>
      </c>
      <c r="J10" s="986" t="s">
        <v>57</v>
      </c>
      <c r="K10" s="986" t="s">
        <v>605</v>
      </c>
      <c r="L10" s="990" t="s">
        <v>617</v>
      </c>
      <c r="M10" s="986" t="s">
        <v>582</v>
      </c>
      <c r="N10" s="986" t="s">
        <v>609</v>
      </c>
      <c r="O10" s="986" t="s">
        <v>704</v>
      </c>
      <c r="Q10" s="743">
        <f>M19/K25</f>
        <v>0.89559087583959562</v>
      </c>
      <c r="R10" s="744">
        <f>M40-'Bieu 07-31'!O25</f>
        <v>0</v>
      </c>
      <c r="S10" s="994"/>
      <c r="U10" s="625"/>
      <c r="V10" s="625"/>
    </row>
    <row r="11" spans="1:22" ht="36" customHeight="1">
      <c r="A11" s="993"/>
      <c r="B11" s="993"/>
      <c r="C11" s="993"/>
      <c r="D11" s="986"/>
      <c r="E11" s="986"/>
      <c r="F11" s="986"/>
      <c r="G11" s="986"/>
      <c r="H11" s="986"/>
      <c r="I11" s="986"/>
      <c r="J11" s="986"/>
      <c r="K11" s="986"/>
      <c r="L11" s="990"/>
      <c r="M11" s="986"/>
      <c r="N11" s="986"/>
      <c r="O11" s="986"/>
      <c r="P11" s="105"/>
      <c r="Q11" s="99">
        <f>O18/N18</f>
        <v>1.0384389420996654</v>
      </c>
      <c r="R11" s="742"/>
      <c r="S11" s="995"/>
    </row>
    <row r="12" spans="1:22" s="103" customFormat="1" ht="15.75" customHeight="1">
      <c r="A12" s="232" t="s">
        <v>158</v>
      </c>
      <c r="B12" s="232" t="s">
        <v>160</v>
      </c>
      <c r="C12" s="232">
        <v>1</v>
      </c>
      <c r="D12" s="53">
        <v>1</v>
      </c>
      <c r="E12" s="53">
        <v>2</v>
      </c>
      <c r="F12" s="53">
        <v>3</v>
      </c>
      <c r="G12" s="54" t="s">
        <v>186</v>
      </c>
      <c r="H12" s="54" t="s">
        <v>187</v>
      </c>
      <c r="I12" s="54" t="s">
        <v>188</v>
      </c>
      <c r="J12" s="54" t="s">
        <v>186</v>
      </c>
      <c r="K12" s="54" t="s">
        <v>187</v>
      </c>
      <c r="L12" s="589" t="s">
        <v>188</v>
      </c>
      <c r="M12" s="54" t="s">
        <v>189</v>
      </c>
      <c r="N12" s="54" t="s">
        <v>190</v>
      </c>
      <c r="O12" s="54" t="s">
        <v>573</v>
      </c>
    </row>
    <row r="13" spans="1:22" s="104" customFormat="1" ht="31.5" customHeight="1">
      <c r="A13" s="233" t="s">
        <v>158</v>
      </c>
      <c r="B13" s="582" t="s">
        <v>692</v>
      </c>
      <c r="C13" s="233"/>
      <c r="D13" s="234">
        <f>D14</f>
        <v>4597771</v>
      </c>
      <c r="E13" s="234">
        <f t="shared" ref="E13:G13" si="1">E14</f>
        <v>4604771</v>
      </c>
      <c r="F13" s="234">
        <f t="shared" si="1"/>
        <v>5175112</v>
      </c>
      <c r="G13" s="234">
        <f t="shared" si="1"/>
        <v>4711069</v>
      </c>
      <c r="H13" s="234"/>
      <c r="I13" s="234"/>
      <c r="J13" s="234">
        <f t="shared" ref="J13:O13" si="2">J14+J62</f>
        <v>5555725</v>
      </c>
      <c r="K13" s="234">
        <f t="shared" si="2"/>
        <v>6401125</v>
      </c>
      <c r="L13" s="590">
        <f t="shared" si="2"/>
        <v>6575404.7914784998</v>
      </c>
      <c r="M13" s="234">
        <f t="shared" si="2"/>
        <v>6750317</v>
      </c>
      <c r="N13" s="234">
        <f t="shared" si="2"/>
        <v>6895897.5837975638</v>
      </c>
      <c r="O13" s="234">
        <f t="shared" si="2"/>
        <v>7206598.3363381429</v>
      </c>
      <c r="P13" s="745"/>
      <c r="Q13" s="745">
        <f>N14-'Bieu 07-31'!P10</f>
        <v>-0.24953576922416687</v>
      </c>
      <c r="R13" s="745">
        <f>O14-'Bieu 07-31'!Q10</f>
        <v>3.3004810102283955E-2</v>
      </c>
    </row>
    <row r="14" spans="1:22" ht="26.25" customHeight="1">
      <c r="A14" s="106" t="s">
        <v>60</v>
      </c>
      <c r="B14" s="107" t="s">
        <v>135</v>
      </c>
      <c r="C14" s="108"/>
      <c r="D14" s="109">
        <f t="shared" ref="D14:J14" si="3">D16+D39+D40+D54+D55+D57+D58</f>
        <v>4597771</v>
      </c>
      <c r="E14" s="109">
        <f t="shared" si="3"/>
        <v>4604771</v>
      </c>
      <c r="F14" s="109">
        <f t="shared" si="3"/>
        <v>5175112</v>
      </c>
      <c r="G14" s="109">
        <f t="shared" si="3"/>
        <v>4711069</v>
      </c>
      <c r="H14" s="109">
        <f t="shared" si="3"/>
        <v>4803069</v>
      </c>
      <c r="I14" s="109">
        <f t="shared" si="3"/>
        <v>4950431</v>
      </c>
      <c r="J14" s="109">
        <f t="shared" si="3"/>
        <v>5471825</v>
      </c>
      <c r="K14" s="109">
        <f>K16+K39+K40+K54+K55+K57+K58+K59+K61</f>
        <v>6317225</v>
      </c>
      <c r="L14" s="591">
        <f>L16+L39+L40+L54+L55+L57+L58+L59</f>
        <v>6557952.7914784998</v>
      </c>
      <c r="M14" s="109">
        <f>M16+M39+M40+M54+M55+M57+M58+M59</f>
        <v>6701917</v>
      </c>
      <c r="N14" s="109">
        <f>N16+N39+N40+N54+N55+N57+N58+N59</f>
        <v>6791816.7504642308</v>
      </c>
      <c r="O14" s="109">
        <f>O16+O39+O40+O54+O55+O57+O58+O59</f>
        <v>7102517.5030048098</v>
      </c>
      <c r="P14" s="105"/>
      <c r="Q14" s="746"/>
      <c r="R14" s="746">
        <f>M18/K18</f>
        <v>0.89559087583959562</v>
      </c>
      <c r="S14" s="105"/>
      <c r="U14" s="105"/>
    </row>
    <row r="15" spans="1:22" ht="47.25" hidden="1" customHeight="1" outlineLevel="1">
      <c r="A15" s="113"/>
      <c r="B15" s="115" t="s">
        <v>136</v>
      </c>
      <c r="C15" s="235"/>
      <c r="D15" s="112"/>
      <c r="E15" s="112"/>
      <c r="F15" s="112"/>
      <c r="G15" s="112"/>
      <c r="H15" s="112"/>
      <c r="I15" s="112"/>
      <c r="J15" s="112"/>
      <c r="K15" s="112"/>
      <c r="L15" s="592"/>
      <c r="M15" s="112"/>
      <c r="N15" s="112"/>
      <c r="O15" s="112"/>
      <c r="P15" s="105"/>
    </row>
    <row r="16" spans="1:22" ht="25.5" customHeight="1" collapsed="1">
      <c r="A16" s="106">
        <v>1</v>
      </c>
      <c r="B16" s="107" t="s">
        <v>137</v>
      </c>
      <c r="C16" s="108"/>
      <c r="D16" s="109">
        <f t="shared" ref="D16:M16" si="4">D17+D18</f>
        <v>686220</v>
      </c>
      <c r="E16" s="109">
        <f t="shared" si="4"/>
        <v>686220</v>
      </c>
      <c r="F16" s="109">
        <f>F17+F18</f>
        <v>945662</v>
      </c>
      <c r="G16" s="109">
        <f t="shared" si="4"/>
        <v>670920</v>
      </c>
      <c r="H16" s="109">
        <f t="shared" si="4"/>
        <v>740920</v>
      </c>
      <c r="I16" s="109">
        <f t="shared" si="4"/>
        <v>854920</v>
      </c>
      <c r="J16" s="109">
        <f t="shared" si="4"/>
        <v>896220</v>
      </c>
      <c r="K16" s="109">
        <f t="shared" si="4"/>
        <v>902220</v>
      </c>
      <c r="L16" s="591">
        <f t="shared" si="4"/>
        <v>1409442.746</v>
      </c>
      <c r="M16" s="109">
        <f t="shared" si="4"/>
        <v>808020</v>
      </c>
      <c r="N16" s="109">
        <f>N17+N18</f>
        <v>900128.83055647777</v>
      </c>
      <c r="O16" s="109">
        <f>O17+O18</f>
        <v>934728.83055647777</v>
      </c>
      <c r="P16" s="105"/>
      <c r="R16" s="746"/>
    </row>
    <row r="17" spans="1:23" ht="71.25" customHeight="1">
      <c r="A17" s="106" t="s">
        <v>138</v>
      </c>
      <c r="B17" s="110" t="s">
        <v>139</v>
      </c>
      <c r="C17" s="111"/>
      <c r="D17" s="112">
        <v>0</v>
      </c>
      <c r="E17" s="112">
        <v>0</v>
      </c>
      <c r="F17" s="109">
        <f>32986</f>
        <v>32986</v>
      </c>
      <c r="G17" s="112">
        <v>0</v>
      </c>
      <c r="H17" s="112"/>
      <c r="I17" s="112"/>
      <c r="J17" s="112">
        <v>0</v>
      </c>
      <c r="K17" s="112"/>
      <c r="L17" s="592"/>
      <c r="M17" s="112">
        <v>0</v>
      </c>
      <c r="N17" s="112">
        <v>0</v>
      </c>
      <c r="O17" s="112">
        <v>0</v>
      </c>
      <c r="P17" s="105"/>
      <c r="R17" s="105"/>
    </row>
    <row r="18" spans="1:23">
      <c r="A18" s="106" t="s">
        <v>140</v>
      </c>
      <c r="B18" s="110" t="s">
        <v>141</v>
      </c>
      <c r="C18" s="111"/>
      <c r="D18" s="109">
        <v>686220</v>
      </c>
      <c r="E18" s="109">
        <v>686220</v>
      </c>
      <c r="F18" s="109">
        <f>F19</f>
        <v>912676</v>
      </c>
      <c r="G18" s="109">
        <f>G19</f>
        <v>670920</v>
      </c>
      <c r="H18" s="109">
        <f t="shared" ref="H18:O18" si="5">H19</f>
        <v>740920</v>
      </c>
      <c r="I18" s="109">
        <f t="shared" si="5"/>
        <v>854920</v>
      </c>
      <c r="J18" s="109">
        <f>J19</f>
        <v>896220</v>
      </c>
      <c r="K18" s="109">
        <f t="shared" ref="K18" si="6">K19</f>
        <v>902220</v>
      </c>
      <c r="L18" s="591">
        <f t="shared" si="5"/>
        <v>1409442.746</v>
      </c>
      <c r="M18" s="109">
        <f t="shared" si="5"/>
        <v>808020</v>
      </c>
      <c r="N18" s="109">
        <f t="shared" si="5"/>
        <v>900128.83055647777</v>
      </c>
      <c r="O18" s="109">
        <f t="shared" si="5"/>
        <v>934728.83055647777</v>
      </c>
      <c r="P18" s="105"/>
      <c r="Q18" s="105"/>
      <c r="R18" s="105"/>
      <c r="U18" s="104"/>
      <c r="V18" s="104"/>
    </row>
    <row r="19" spans="1:23">
      <c r="A19" s="106" t="s">
        <v>142</v>
      </c>
      <c r="B19" s="240" t="s">
        <v>143</v>
      </c>
      <c r="C19" s="108"/>
      <c r="D19" s="109">
        <f>D20+D21+D22+D23+D24</f>
        <v>686220</v>
      </c>
      <c r="E19" s="109">
        <f t="shared" ref="E19:M19" si="7">E20+E21+E22+E23+E24</f>
        <v>686220</v>
      </c>
      <c r="F19" s="109">
        <f>F20+F21+F22+F23+F24</f>
        <v>912676</v>
      </c>
      <c r="G19" s="109">
        <f t="shared" si="7"/>
        <v>670920</v>
      </c>
      <c r="H19" s="109">
        <f t="shared" si="7"/>
        <v>740920</v>
      </c>
      <c r="I19" s="109">
        <f t="shared" si="7"/>
        <v>854920</v>
      </c>
      <c r="J19" s="109">
        <f t="shared" si="7"/>
        <v>896220</v>
      </c>
      <c r="K19" s="109">
        <f t="shared" si="7"/>
        <v>902220</v>
      </c>
      <c r="L19" s="591">
        <f t="shared" si="7"/>
        <v>1409442.746</v>
      </c>
      <c r="M19" s="109">
        <f t="shared" si="7"/>
        <v>808020</v>
      </c>
      <c r="N19" s="109">
        <f>N20+N21+N22+N23+N24</f>
        <v>900128.83055647777</v>
      </c>
      <c r="O19" s="109">
        <f>O20+O21+O22+O23+O24</f>
        <v>934728.83055647777</v>
      </c>
      <c r="P19" s="105"/>
      <c r="Q19" s="105"/>
      <c r="R19" s="105"/>
      <c r="U19" s="105"/>
    </row>
    <row r="20" spans="1:23">
      <c r="A20" s="113" t="s">
        <v>144</v>
      </c>
      <c r="B20" s="114" t="s">
        <v>145</v>
      </c>
      <c r="C20" s="108"/>
      <c r="D20" s="112">
        <v>506220</v>
      </c>
      <c r="E20" s="112">
        <v>506220</v>
      </c>
      <c r="F20" s="112">
        <f>506200+964</f>
        <v>507164</v>
      </c>
      <c r="G20" s="112">
        <v>494920</v>
      </c>
      <c r="H20" s="112">
        <v>494920</v>
      </c>
      <c r="I20" s="112">
        <v>494920</v>
      </c>
      <c r="J20" s="112">
        <v>506220</v>
      </c>
      <c r="K20" s="112">
        <v>506220</v>
      </c>
      <c r="L20" s="592">
        <f>773404-41197</f>
        <v>732207</v>
      </c>
      <c r="M20" s="112">
        <v>506220</v>
      </c>
      <c r="N20" s="112">
        <f>M20*'Bieu 07-31'!V11</f>
        <v>540028.83055647777</v>
      </c>
      <c r="O20" s="112">
        <f>N20</f>
        <v>540028.83055647777</v>
      </c>
      <c r="P20" s="743"/>
      <c r="R20" s="105"/>
      <c r="U20" s="105"/>
    </row>
    <row r="21" spans="1:23">
      <c r="A21" s="113" t="s">
        <v>146</v>
      </c>
      <c r="B21" s="114" t="s">
        <v>147</v>
      </c>
      <c r="C21" s="108"/>
      <c r="D21" s="112">
        <v>110000</v>
      </c>
      <c r="E21" s="112">
        <v>110000</v>
      </c>
      <c r="F21" s="112">
        <v>196140</v>
      </c>
      <c r="G21" s="112">
        <v>110000</v>
      </c>
      <c r="H21" s="112">
        <v>180000</v>
      </c>
      <c r="I21" s="112">
        <v>200000</v>
      </c>
      <c r="J21" s="112">
        <v>300000</v>
      </c>
      <c r="K21" s="112">
        <v>300000</v>
      </c>
      <c r="L21" s="592">
        <v>512721.74599999998</v>
      </c>
      <c r="M21" s="112">
        <v>235000</v>
      </c>
      <c r="N21" s="112">
        <f>'DT thu 69-7'!N56</f>
        <v>253300</v>
      </c>
      <c r="O21" s="112">
        <f>'DT thu 69-7'!O56</f>
        <v>277900</v>
      </c>
      <c r="P21" s="105"/>
      <c r="Q21" s="105"/>
      <c r="U21" s="743"/>
    </row>
    <row r="22" spans="1:23">
      <c r="A22" s="113" t="s">
        <v>148</v>
      </c>
      <c r="B22" s="114" t="s">
        <v>149</v>
      </c>
      <c r="C22" s="108"/>
      <c r="D22" s="112">
        <v>70000</v>
      </c>
      <c r="E22" s="112">
        <v>70000</v>
      </c>
      <c r="F22" s="112">
        <f>70000+23208</f>
        <v>93208</v>
      </c>
      <c r="G22" s="112">
        <v>66000</v>
      </c>
      <c r="H22" s="112">
        <v>66000</v>
      </c>
      <c r="I22" s="112">
        <v>80000</v>
      </c>
      <c r="J22" s="112">
        <v>90000</v>
      </c>
      <c r="K22" s="112">
        <v>90000</v>
      </c>
      <c r="L22" s="592">
        <v>103523</v>
      </c>
      <c r="M22" s="112">
        <v>60000</v>
      </c>
      <c r="N22" s="112">
        <f>'DT thu 69-7'!N77</f>
        <v>100000</v>
      </c>
      <c r="O22" s="112">
        <f>'DT thu 69-7'!O77</f>
        <v>110000</v>
      </c>
      <c r="P22" s="105"/>
      <c r="Q22" s="105"/>
      <c r="U22" s="747"/>
      <c r="V22" s="748"/>
    </row>
    <row r="23" spans="1:23" ht="31.5">
      <c r="A23" s="113" t="s">
        <v>150</v>
      </c>
      <c r="B23" s="115" t="s">
        <v>595</v>
      </c>
      <c r="C23" s="108"/>
      <c r="D23" s="109"/>
      <c r="E23" s="109"/>
      <c r="F23" s="112">
        <f>110164+6000</f>
        <v>116164</v>
      </c>
      <c r="G23" s="112">
        <v>0</v>
      </c>
      <c r="H23" s="112"/>
      <c r="I23" s="112">
        <v>80000</v>
      </c>
      <c r="J23" s="112">
        <v>0</v>
      </c>
      <c r="K23" s="112">
        <v>6000</v>
      </c>
      <c r="L23" s="592">
        <v>19794</v>
      </c>
      <c r="M23" s="112">
        <v>6800</v>
      </c>
      <c r="N23" s="112">
        <f>M23</f>
        <v>6800</v>
      </c>
      <c r="O23" s="112">
        <f>M23</f>
        <v>6800</v>
      </c>
      <c r="Q23" s="105"/>
      <c r="U23" s="105"/>
    </row>
    <row r="24" spans="1:23" ht="15.75" customHeight="1">
      <c r="A24" s="113" t="s">
        <v>192</v>
      </c>
      <c r="B24" s="114" t="s">
        <v>641</v>
      </c>
      <c r="C24" s="108"/>
      <c r="D24" s="109"/>
      <c r="E24" s="109"/>
      <c r="F24" s="112">
        <v>0</v>
      </c>
      <c r="G24" s="112"/>
      <c r="H24" s="112"/>
      <c r="I24" s="112"/>
      <c r="J24" s="112"/>
      <c r="K24" s="112"/>
      <c r="L24" s="592">
        <v>41197</v>
      </c>
      <c r="M24" s="112"/>
      <c r="N24" s="112"/>
      <c r="O24" s="112"/>
      <c r="P24" s="105"/>
      <c r="U24" s="105"/>
      <c r="W24" s="105"/>
    </row>
    <row r="25" spans="1:23" ht="15.75" customHeight="1">
      <c r="A25" s="106" t="s">
        <v>151</v>
      </c>
      <c r="B25" s="107" t="s">
        <v>152</v>
      </c>
      <c r="C25" s="116"/>
      <c r="D25" s="109">
        <f>SUM(D26:D38)</f>
        <v>686220</v>
      </c>
      <c r="E25" s="109">
        <f t="shared" ref="E25:O25" si="8">SUM(E26:E38)</f>
        <v>686220</v>
      </c>
      <c r="F25" s="109">
        <f t="shared" si="8"/>
        <v>912676</v>
      </c>
      <c r="G25" s="109">
        <v>740919.85</v>
      </c>
      <c r="H25" s="109">
        <f t="shared" ref="H25:I25" si="9">SUM(H26:H38)</f>
        <v>740920</v>
      </c>
      <c r="I25" s="109">
        <f t="shared" si="9"/>
        <v>854919.84299999999</v>
      </c>
      <c r="J25" s="109">
        <f>J19</f>
        <v>896220</v>
      </c>
      <c r="K25" s="109">
        <f t="shared" ref="K25:L25" si="10">SUM(K26:K38)</f>
        <v>902220</v>
      </c>
      <c r="L25" s="591">
        <f t="shared" si="10"/>
        <v>1409443.0217009999</v>
      </c>
      <c r="M25" s="109">
        <f t="shared" si="8"/>
        <v>808019.73371510289</v>
      </c>
      <c r="N25" s="109">
        <f>SUM(N26:N38)</f>
        <v>900128.5339168983</v>
      </c>
      <c r="O25" s="109">
        <f t="shared" si="8"/>
        <v>934728.52251438657</v>
      </c>
      <c r="P25" s="105">
        <f>M18-M25</f>
        <v>0.26628489710856229</v>
      </c>
      <c r="T25" s="105"/>
      <c r="U25" s="105"/>
      <c r="V25" s="105"/>
    </row>
    <row r="26" spans="1:23" ht="15.75" customHeight="1">
      <c r="A26" s="113" t="s">
        <v>144</v>
      </c>
      <c r="B26" s="114" t="s">
        <v>153</v>
      </c>
      <c r="C26" s="111"/>
      <c r="D26" s="112">
        <v>75807</v>
      </c>
      <c r="E26" s="112">
        <v>75807</v>
      </c>
      <c r="F26" s="112">
        <v>75807</v>
      </c>
      <c r="G26" s="112"/>
      <c r="H26" s="112">
        <v>62107</v>
      </c>
      <c r="I26" s="112">
        <v>62107</v>
      </c>
      <c r="J26" s="112"/>
      <c r="K26" s="112">
        <v>121011</v>
      </c>
      <c r="L26" s="592">
        <v>114379.30000000002</v>
      </c>
      <c r="M26" s="592">
        <v>85378.572</v>
      </c>
      <c r="N26" s="112">
        <f t="shared" ref="N26:N37" si="11">M26*$R$8</f>
        <v>95111.153398359005</v>
      </c>
      <c r="O26" s="112">
        <f>N26*$Q$11</f>
        <v>98767.125516870918</v>
      </c>
      <c r="P26" s="105"/>
      <c r="Q26" s="105"/>
      <c r="T26" s="985"/>
      <c r="U26" s="991"/>
      <c r="V26" s="105"/>
    </row>
    <row r="27" spans="1:23" ht="15.75" customHeight="1">
      <c r="A27" s="113" t="s">
        <v>146</v>
      </c>
      <c r="B27" s="114" t="s">
        <v>154</v>
      </c>
      <c r="C27" s="111"/>
      <c r="D27" s="112">
        <v>420</v>
      </c>
      <c r="E27" s="112">
        <v>420</v>
      </c>
      <c r="F27" s="112">
        <v>420</v>
      </c>
      <c r="G27" s="112"/>
      <c r="H27" s="112">
        <v>0</v>
      </c>
      <c r="I27" s="112">
        <v>0</v>
      </c>
      <c r="J27" s="112"/>
      <c r="K27" s="112">
        <v>29412.589999999997</v>
      </c>
      <c r="L27" s="592">
        <v>35386.102303</v>
      </c>
      <c r="M27" s="592">
        <v>12900</v>
      </c>
      <c r="N27" s="112">
        <f t="shared" si="11"/>
        <v>14370.512999899216</v>
      </c>
      <c r="O27" s="112">
        <f t="shared" ref="O27:O37" si="12">N27*$Q$11</f>
        <v>14922.90031704483</v>
      </c>
      <c r="P27" s="105"/>
      <c r="T27" s="985"/>
      <c r="U27" s="991"/>
    </row>
    <row r="28" spans="1:23" ht="15.75" customHeight="1">
      <c r="A28" s="117" t="s">
        <v>148</v>
      </c>
      <c r="B28" s="118" t="s">
        <v>328</v>
      </c>
      <c r="C28" s="111"/>
      <c r="D28" s="112">
        <v>11904</v>
      </c>
      <c r="E28" s="112">
        <v>11904</v>
      </c>
      <c r="F28" s="112">
        <v>11904</v>
      </c>
      <c r="G28" s="112"/>
      <c r="H28" s="112">
        <v>7500</v>
      </c>
      <c r="I28" s="112">
        <v>7500</v>
      </c>
      <c r="J28" s="112"/>
      <c r="K28" s="112">
        <v>20970</v>
      </c>
      <c r="L28" s="592">
        <v>20970</v>
      </c>
      <c r="M28" s="592">
        <v>0</v>
      </c>
      <c r="N28" s="112">
        <f t="shared" si="11"/>
        <v>0</v>
      </c>
      <c r="O28" s="112">
        <f t="shared" si="12"/>
        <v>0</v>
      </c>
      <c r="P28" s="105"/>
      <c r="R28" s="105"/>
      <c r="T28" s="985"/>
      <c r="U28" s="991"/>
    </row>
    <row r="29" spans="1:23" ht="15.75" customHeight="1">
      <c r="A29" s="117" t="s">
        <v>150</v>
      </c>
      <c r="B29" s="118" t="s">
        <v>614</v>
      </c>
      <c r="C29" s="111"/>
      <c r="D29" s="112">
        <v>350</v>
      </c>
      <c r="E29" s="112">
        <v>350</v>
      </c>
      <c r="F29" s="112">
        <v>350</v>
      </c>
      <c r="G29" s="112"/>
      <c r="H29" s="112">
        <v>21129.843000000001</v>
      </c>
      <c r="I29" s="112">
        <v>21129.843000000001</v>
      </c>
      <c r="J29" s="112"/>
      <c r="K29" s="112">
        <v>200</v>
      </c>
      <c r="L29" s="592">
        <v>1951.5604640000006</v>
      </c>
      <c r="M29" s="592">
        <v>3200</v>
      </c>
      <c r="N29" s="112">
        <f t="shared" si="11"/>
        <v>3564.7784185796504</v>
      </c>
      <c r="O29" s="112">
        <f t="shared" si="12"/>
        <v>3701.8047298095703</v>
      </c>
      <c r="P29" s="105"/>
      <c r="T29" s="985"/>
      <c r="U29" s="991"/>
    </row>
    <row r="30" spans="1:23" ht="15.75" customHeight="1">
      <c r="A30" s="117" t="s">
        <v>192</v>
      </c>
      <c r="B30" s="118" t="s">
        <v>615</v>
      </c>
      <c r="C30" s="111"/>
      <c r="D30" s="112"/>
      <c r="E30" s="112"/>
      <c r="F30" s="112"/>
      <c r="G30" s="112"/>
      <c r="H30" s="112"/>
      <c r="I30" s="112"/>
      <c r="J30" s="112"/>
      <c r="K30" s="112">
        <v>6976</v>
      </c>
      <c r="L30" s="592">
        <v>0</v>
      </c>
      <c r="M30" s="592">
        <v>6243.52</v>
      </c>
      <c r="N30" s="112">
        <f t="shared" si="11"/>
        <v>6955.2391724907566</v>
      </c>
      <c r="O30" s="112">
        <f t="shared" si="12"/>
        <v>7222.5912083314533</v>
      </c>
      <c r="P30" s="105"/>
      <c r="T30" s="985"/>
      <c r="U30" s="991"/>
    </row>
    <row r="31" spans="1:23" ht="15.75" customHeight="1">
      <c r="A31" s="117" t="s">
        <v>193</v>
      </c>
      <c r="B31" s="118" t="s">
        <v>329</v>
      </c>
      <c r="C31" s="111"/>
      <c r="D31" s="112">
        <v>41692</v>
      </c>
      <c r="E31" s="112">
        <v>41692</v>
      </c>
      <c r="F31" s="112">
        <v>41692</v>
      </c>
      <c r="G31" s="112"/>
      <c r="H31" s="112">
        <v>32993</v>
      </c>
      <c r="I31" s="112">
        <v>32993</v>
      </c>
      <c r="J31" s="112"/>
      <c r="K31" s="112">
        <v>42116</v>
      </c>
      <c r="L31" s="592">
        <v>63418.145854000002</v>
      </c>
      <c r="M31" s="592">
        <v>13322</v>
      </c>
      <c r="N31" s="112">
        <f t="shared" si="11"/>
        <v>14840.618153849407</v>
      </c>
      <c r="O31" s="112">
        <f t="shared" si="12"/>
        <v>15411.075815788468</v>
      </c>
      <c r="P31" s="105">
        <f>K31*0.895</f>
        <v>37693.82</v>
      </c>
      <c r="T31" s="985"/>
      <c r="U31" s="991"/>
    </row>
    <row r="32" spans="1:23" ht="15.75" customHeight="1">
      <c r="A32" s="117" t="s">
        <v>194</v>
      </c>
      <c r="B32" s="118" t="s">
        <v>330</v>
      </c>
      <c r="C32" s="111"/>
      <c r="D32" s="112">
        <v>2650</v>
      </c>
      <c r="E32" s="112">
        <v>2650</v>
      </c>
      <c r="F32" s="112">
        <v>2650</v>
      </c>
      <c r="G32" s="112"/>
      <c r="H32" s="112">
        <v>19500</v>
      </c>
      <c r="I32" s="112">
        <v>19500</v>
      </c>
      <c r="J32" s="112"/>
      <c r="K32" s="112">
        <v>3600</v>
      </c>
      <c r="L32" s="592">
        <v>18976.680999999997</v>
      </c>
      <c r="M32" s="592">
        <v>18000</v>
      </c>
      <c r="N32" s="112">
        <f t="shared" si="11"/>
        <v>20051.878604510533</v>
      </c>
      <c r="O32" s="112">
        <f t="shared" si="12"/>
        <v>20822.651605178831</v>
      </c>
      <c r="P32" s="105">
        <f>K32*Q10</f>
        <v>3224.1271530225445</v>
      </c>
      <c r="T32" s="985"/>
      <c r="U32" s="991"/>
    </row>
    <row r="33" spans="1:22" ht="15.75" customHeight="1">
      <c r="A33" s="117" t="s">
        <v>195</v>
      </c>
      <c r="B33" s="118" t="s">
        <v>331</v>
      </c>
      <c r="C33" s="111"/>
      <c r="D33" s="112">
        <v>16419</v>
      </c>
      <c r="E33" s="112">
        <v>16419</v>
      </c>
      <c r="F33" s="112">
        <v>16419</v>
      </c>
      <c r="G33" s="112"/>
      <c r="H33" s="112">
        <v>8500</v>
      </c>
      <c r="I33" s="112">
        <v>8500</v>
      </c>
      <c r="J33" s="112"/>
      <c r="K33" s="112">
        <v>16698</v>
      </c>
      <c r="L33" s="592">
        <v>2062.1410000000001</v>
      </c>
      <c r="M33" s="592">
        <v>14954.576444769567</v>
      </c>
      <c r="N33" s="112">
        <f t="shared" si="11"/>
        <v>16659.297302910672</v>
      </c>
      <c r="O33" s="112">
        <f t="shared" si="12"/>
        <v>17299.663067358368</v>
      </c>
      <c r="P33" s="105">
        <f>K33*Q10</f>
        <v>14954.576444769567</v>
      </c>
      <c r="T33" s="985"/>
      <c r="U33" s="991"/>
    </row>
    <row r="34" spans="1:22" ht="15.75" customHeight="1">
      <c r="A34" s="117" t="s">
        <v>616</v>
      </c>
      <c r="B34" s="118" t="s">
        <v>332</v>
      </c>
      <c r="C34" s="111"/>
      <c r="D34" s="112"/>
      <c r="E34" s="112"/>
      <c r="F34" s="112"/>
      <c r="G34" s="112"/>
      <c r="H34" s="112"/>
      <c r="I34" s="112"/>
      <c r="J34" s="112"/>
      <c r="K34" s="112">
        <v>20970</v>
      </c>
      <c r="L34" s="592">
        <v>17487.065170000002</v>
      </c>
      <c r="M34" s="592">
        <v>18780.540666356319</v>
      </c>
      <c r="N34" s="112">
        <f t="shared" si="11"/>
        <v>20921.395642713902</v>
      </c>
      <c r="O34" s="112">
        <f t="shared" si="12"/>
        <v>21725.591958468372</v>
      </c>
      <c r="P34" s="105">
        <f>K34*Q10</f>
        <v>18780.540666356319</v>
      </c>
      <c r="T34" s="985"/>
      <c r="U34" s="991"/>
      <c r="V34" s="625"/>
    </row>
    <row r="35" spans="1:22" ht="15.75" customHeight="1">
      <c r="A35" s="117" t="s">
        <v>196</v>
      </c>
      <c r="B35" s="118" t="s">
        <v>197</v>
      </c>
      <c r="C35" s="111"/>
      <c r="D35" s="112">
        <v>436860</v>
      </c>
      <c r="E35" s="112">
        <v>436860</v>
      </c>
      <c r="F35" s="112">
        <v>615086</v>
      </c>
      <c r="G35" s="112"/>
      <c r="H35" s="112">
        <v>143565</v>
      </c>
      <c r="I35" s="112">
        <v>143565</v>
      </c>
      <c r="J35" s="112"/>
      <c r="K35" s="112">
        <v>589628.83799999999</v>
      </c>
      <c r="L35" s="592">
        <v>1068286.9376439999</v>
      </c>
      <c r="M35" s="592">
        <v>529468.27787098498</v>
      </c>
      <c r="N35" s="112">
        <f t="shared" si="11"/>
        <v>589824.09071156895</v>
      </c>
      <c r="O35" s="112">
        <f t="shared" si="12"/>
        <v>612496.30478341877</v>
      </c>
      <c r="P35" s="105">
        <f>K35*Q10</f>
        <v>528066.20744470309</v>
      </c>
      <c r="T35" s="985"/>
      <c r="U35" s="991"/>
    </row>
    <row r="36" spans="1:22" ht="15.75" customHeight="1">
      <c r="A36" s="117" t="s">
        <v>198</v>
      </c>
      <c r="B36" s="118" t="s">
        <v>199</v>
      </c>
      <c r="C36" s="111"/>
      <c r="D36" s="112">
        <v>31254</v>
      </c>
      <c r="E36" s="112">
        <v>31254</v>
      </c>
      <c r="F36" s="112">
        <v>31254</v>
      </c>
      <c r="G36" s="112"/>
      <c r="H36" s="112">
        <v>12730</v>
      </c>
      <c r="I36" s="112">
        <v>12730</v>
      </c>
      <c r="J36" s="112"/>
      <c r="K36" s="112">
        <v>49284</v>
      </c>
      <c r="L36" s="592">
        <v>65171.516265999999</v>
      </c>
      <c r="M36" s="592">
        <v>104560</v>
      </c>
      <c r="N36" s="112">
        <f t="shared" si="11"/>
        <v>116479.13482709008</v>
      </c>
      <c r="O36" s="112">
        <f t="shared" si="12"/>
        <v>120956.4695465277</v>
      </c>
      <c r="P36" s="105">
        <f>K36*Q10</f>
        <v>44138.300724878631</v>
      </c>
      <c r="T36" s="985"/>
      <c r="U36" s="991"/>
      <c r="V36" s="625"/>
    </row>
    <row r="37" spans="1:22" ht="15.75" customHeight="1">
      <c r="A37" s="117" t="s">
        <v>200</v>
      </c>
      <c r="B37" s="118" t="s">
        <v>201</v>
      </c>
      <c r="C37" s="111"/>
      <c r="D37" s="112">
        <v>50</v>
      </c>
      <c r="E37" s="112">
        <v>50</v>
      </c>
      <c r="F37" s="112">
        <v>930</v>
      </c>
      <c r="G37" s="112"/>
      <c r="H37" s="112">
        <v>24000</v>
      </c>
      <c r="I37" s="112">
        <v>24000</v>
      </c>
      <c r="J37" s="112"/>
      <c r="K37" s="112">
        <v>1353.5720000000001</v>
      </c>
      <c r="L37" s="592">
        <v>1353.5720000000001</v>
      </c>
      <c r="M37" s="592">
        <v>1212.2467329919532</v>
      </c>
      <c r="N37" s="112">
        <f t="shared" si="11"/>
        <v>1350.4346849260633</v>
      </c>
      <c r="O37" s="112">
        <f t="shared" si="12"/>
        <v>1402.343965589316</v>
      </c>
      <c r="P37" s="105">
        <f>K37*Q10</f>
        <v>1212.2467329919532</v>
      </c>
      <c r="T37" s="985"/>
      <c r="U37" s="991"/>
    </row>
    <row r="38" spans="1:22">
      <c r="A38" s="117" t="s">
        <v>202</v>
      </c>
      <c r="B38" s="118" t="s">
        <v>325</v>
      </c>
      <c r="C38" s="111"/>
      <c r="D38" s="112">
        <v>68814</v>
      </c>
      <c r="E38" s="112">
        <v>68814</v>
      </c>
      <c r="F38" s="112">
        <v>116164</v>
      </c>
      <c r="G38" s="112"/>
      <c r="H38" s="112">
        <v>408895.15700000001</v>
      </c>
      <c r="I38" s="112">
        <v>522895</v>
      </c>
      <c r="J38" s="112"/>
      <c r="K38" s="112"/>
      <c r="L38" s="592"/>
      <c r="M38" s="112">
        <f t="shared" ref="M38" si="13">K38*$Q$10</f>
        <v>0</v>
      </c>
      <c r="N38" s="112">
        <v>0</v>
      </c>
      <c r="O38" s="112">
        <v>0</v>
      </c>
      <c r="P38" s="105"/>
      <c r="U38" s="991"/>
    </row>
    <row r="39" spans="1:22" s="101" customFormat="1">
      <c r="A39" s="170">
        <v>2</v>
      </c>
      <c r="B39" s="171" t="s">
        <v>822</v>
      </c>
      <c r="C39" s="116"/>
      <c r="D39" s="109">
        <v>0</v>
      </c>
      <c r="E39" s="109">
        <v>0</v>
      </c>
      <c r="F39" s="109">
        <v>0</v>
      </c>
      <c r="G39" s="109">
        <v>400</v>
      </c>
      <c r="H39" s="109">
        <v>400</v>
      </c>
      <c r="I39" s="109">
        <v>0</v>
      </c>
      <c r="J39" s="109">
        <v>2000</v>
      </c>
      <c r="K39" s="109">
        <v>2000</v>
      </c>
      <c r="L39" s="109">
        <f>'vay, trả nợ 20-7'!I71+'vay, trả nợ 20-7'!I31+0.3</f>
        <v>9603.0454785000002</v>
      </c>
      <c r="M39" s="109">
        <f>'vay, trả nợ 20-7'!K71</f>
        <v>2200</v>
      </c>
      <c r="N39" s="109">
        <f>'vay, trả nợ 20-7'!M71</f>
        <v>5904.2983999999997</v>
      </c>
      <c r="O39" s="109">
        <f>'vay, trả nợ 20-7'!N71</f>
        <v>7340.5949999999993</v>
      </c>
      <c r="P39" s="105"/>
      <c r="Q39" s="749"/>
    </row>
    <row r="40" spans="1:22">
      <c r="A40" s="106">
        <v>3</v>
      </c>
      <c r="B40" s="107" t="s">
        <v>155</v>
      </c>
      <c r="C40" s="116"/>
      <c r="D40" s="109">
        <f>SUM(D41:D44)</f>
        <v>3818591</v>
      </c>
      <c r="E40" s="109">
        <f t="shared" ref="E40:O40" si="14">SUM(E41:E44)</f>
        <v>3818591</v>
      </c>
      <c r="F40" s="109">
        <f t="shared" si="14"/>
        <v>4224595</v>
      </c>
      <c r="G40" s="109">
        <f t="shared" si="14"/>
        <v>3944299</v>
      </c>
      <c r="H40" s="109">
        <f t="shared" si="14"/>
        <v>3949511</v>
      </c>
      <c r="I40" s="109">
        <f t="shared" si="14"/>
        <v>4094511</v>
      </c>
      <c r="J40" s="109">
        <f t="shared" si="14"/>
        <v>4463168</v>
      </c>
      <c r="K40" s="109">
        <f t="shared" si="14"/>
        <v>4457168</v>
      </c>
      <c r="L40" s="591">
        <f>L41+L42+L43+L44</f>
        <v>4662907</v>
      </c>
      <c r="M40" s="109">
        <f>M41+M42+M43+M44</f>
        <v>4959919</v>
      </c>
      <c r="N40" s="109">
        <f t="shared" si="14"/>
        <v>5287367.2815077528</v>
      </c>
      <c r="O40" s="109">
        <f t="shared" si="14"/>
        <v>5481467.607448332</v>
      </c>
      <c r="P40" s="105"/>
      <c r="Q40" s="746"/>
      <c r="U40" s="104"/>
      <c r="V40" s="104"/>
    </row>
    <row r="41" spans="1:22">
      <c r="A41" s="117" t="s">
        <v>144</v>
      </c>
      <c r="B41" s="118" t="s">
        <v>153</v>
      </c>
      <c r="C41" s="111"/>
      <c r="D41" s="112">
        <v>1723786</v>
      </c>
      <c r="E41" s="112">
        <v>1723786</v>
      </c>
      <c r="F41" s="112">
        <v>1745393</v>
      </c>
      <c r="G41" s="112">
        <v>1784689</v>
      </c>
      <c r="H41" s="112">
        <v>1784689</v>
      </c>
      <c r="I41" s="112">
        <v>1832480</v>
      </c>
      <c r="J41" s="112">
        <v>1969882</v>
      </c>
      <c r="K41" s="112">
        <v>1973977</v>
      </c>
      <c r="L41" s="592">
        <v>1973977</v>
      </c>
      <c r="M41" s="112">
        <v>2271049</v>
      </c>
      <c r="N41" s="112">
        <f>M41*'Bieu 07-31'!$V$11</f>
        <v>2422725.170096911</v>
      </c>
      <c r="O41" s="112">
        <f>N41*'Bieu 07-31'!$W$11</f>
        <v>2516954.396755083</v>
      </c>
      <c r="P41" s="750"/>
      <c r="Q41" s="751"/>
      <c r="U41" s="104"/>
      <c r="V41" s="104"/>
    </row>
    <row r="42" spans="1:22">
      <c r="A42" s="117" t="s">
        <v>146</v>
      </c>
      <c r="B42" s="118" t="s">
        <v>154</v>
      </c>
      <c r="C42" s="111"/>
      <c r="D42" s="112">
        <v>14390</v>
      </c>
      <c r="E42" s="112">
        <v>14390</v>
      </c>
      <c r="F42" s="112">
        <v>15398</v>
      </c>
      <c r="G42" s="112">
        <v>14586</v>
      </c>
      <c r="H42" s="112">
        <v>14586</v>
      </c>
      <c r="I42" s="112">
        <v>14622</v>
      </c>
      <c r="J42" s="112">
        <v>16442</v>
      </c>
      <c r="K42" s="112">
        <v>16442</v>
      </c>
      <c r="L42" s="592">
        <v>21314</v>
      </c>
      <c r="M42" s="112">
        <v>16388</v>
      </c>
      <c r="N42" s="112">
        <f>M42*'Bieu 07-31'!$V$11</f>
        <v>17482.502617754253</v>
      </c>
      <c r="O42" s="112">
        <f>N42*'Bieu 07-31'!$W$11</f>
        <v>18162.465298644944</v>
      </c>
      <c r="P42" s="752"/>
      <c r="Q42" s="751"/>
      <c r="U42" s="104"/>
      <c r="V42" s="104"/>
    </row>
    <row r="43" spans="1:22">
      <c r="A43" s="117" t="s">
        <v>148</v>
      </c>
      <c r="B43" s="118" t="s">
        <v>209</v>
      </c>
      <c r="C43" s="111"/>
      <c r="D43" s="112">
        <v>69944</v>
      </c>
      <c r="E43" s="112">
        <v>69944</v>
      </c>
      <c r="F43" s="112">
        <v>92947</v>
      </c>
      <c r="G43" s="112">
        <v>69964</v>
      </c>
      <c r="H43" s="112">
        <v>73042</v>
      </c>
      <c r="I43" s="112">
        <v>73092</v>
      </c>
      <c r="J43" s="112">
        <v>75008</v>
      </c>
      <c r="K43" s="112">
        <v>83687</v>
      </c>
      <c r="L43" s="592">
        <v>83687</v>
      </c>
      <c r="M43" s="112"/>
      <c r="N43" s="112">
        <f>M43*'Bieu 07-31'!$V$11</f>
        <v>0</v>
      </c>
      <c r="O43" s="112">
        <f>N43*'Bieu 07-31'!$W$11</f>
        <v>0</v>
      </c>
      <c r="P43" s="743"/>
      <c r="Q43" s="751"/>
      <c r="U43" s="104"/>
      <c r="V43" s="104"/>
    </row>
    <row r="44" spans="1:22" ht="15.75" customHeight="1">
      <c r="A44" s="117" t="s">
        <v>150</v>
      </c>
      <c r="B44" s="118" t="s">
        <v>333</v>
      </c>
      <c r="C44" s="111"/>
      <c r="D44" s="112">
        <f>SUM(D45:D53)</f>
        <v>2010471</v>
      </c>
      <c r="E44" s="112">
        <f t="shared" ref="E44:F44" si="15">SUM(E45:E53)</f>
        <v>2010471</v>
      </c>
      <c r="F44" s="112">
        <f t="shared" si="15"/>
        <v>2370857</v>
      </c>
      <c r="G44" s="112">
        <v>2075060</v>
      </c>
      <c r="H44" s="112">
        <f>2071532+5662</f>
        <v>2077194</v>
      </c>
      <c r="I44" s="112">
        <v>2174317</v>
      </c>
      <c r="J44" s="112">
        <v>2401836</v>
      </c>
      <c r="K44" s="112">
        <v>2383062</v>
      </c>
      <c r="L44" s="592">
        <f>4662907-L43-L42-L41</f>
        <v>2583929</v>
      </c>
      <c r="M44" s="112">
        <v>2672482</v>
      </c>
      <c r="N44" s="112">
        <f>(M44*'Bieu 07-31'!$V$11)-2233-1576</f>
        <v>2847159.6087930873</v>
      </c>
      <c r="O44" s="112">
        <f>(N44*'Bieu 07-31'!$W$11)-11546</f>
        <v>2946350.7453946043</v>
      </c>
      <c r="P44" s="752"/>
      <c r="Q44" s="751"/>
      <c r="U44" s="104"/>
      <c r="V44" s="104"/>
    </row>
    <row r="45" spans="1:22" s="125" customFormat="1" ht="15.75" hidden="1" customHeight="1" outlineLevel="1">
      <c r="A45" s="236"/>
      <c r="B45" s="237" t="s">
        <v>204</v>
      </c>
      <c r="C45" s="238"/>
      <c r="D45" s="239">
        <v>105426</v>
      </c>
      <c r="E45" s="239">
        <v>105426</v>
      </c>
      <c r="F45" s="239">
        <v>158493</v>
      </c>
      <c r="G45" s="239">
        <v>62659.39939223892</v>
      </c>
      <c r="H45" s="239"/>
      <c r="I45" s="239"/>
      <c r="J45" s="239">
        <v>62659.39939223892</v>
      </c>
      <c r="K45" s="239"/>
      <c r="L45" s="593">
        <v>133977</v>
      </c>
      <c r="M45" s="112">
        <f>J45*$R$9</f>
        <v>69727.132918066869</v>
      </c>
      <c r="N45" s="112">
        <f>M45*'Bieu 07-31'!$V$11</f>
        <v>74383.987293666258</v>
      </c>
      <c r="O45" s="112">
        <f>N45*'Bieu 07-31'!$W$11</f>
        <v>77277.070539321008</v>
      </c>
      <c r="P45" s="752"/>
      <c r="Q45" s="753"/>
    </row>
    <row r="46" spans="1:22" s="125" customFormat="1" ht="15.75" hidden="1" customHeight="1" outlineLevel="1">
      <c r="A46" s="236"/>
      <c r="B46" s="237" t="s">
        <v>205</v>
      </c>
      <c r="C46" s="238"/>
      <c r="D46" s="239">
        <v>479587</v>
      </c>
      <c r="E46" s="239">
        <v>479587</v>
      </c>
      <c r="F46" s="239">
        <v>477034</v>
      </c>
      <c r="G46" s="239">
        <v>631646.37133963953</v>
      </c>
      <c r="H46" s="239"/>
      <c r="I46" s="239"/>
      <c r="J46" s="239">
        <v>631646.37133963953</v>
      </c>
      <c r="K46" s="239"/>
      <c r="L46" s="593">
        <v>584003.4</v>
      </c>
      <c r="M46" s="112">
        <f t="shared" ref="M46:M52" si="16">J46*$R$9</f>
        <v>702893.59487650765</v>
      </c>
      <c r="N46" s="112">
        <f>M46*'Bieu 07-31'!$V$11</f>
        <v>749837.63195211382</v>
      </c>
      <c r="O46" s="112">
        <f>N46*'Bieu 07-31'!$W$11</f>
        <v>779001.74063853826</v>
      </c>
      <c r="P46" s="105"/>
      <c r="Q46" s="753"/>
    </row>
    <row r="47" spans="1:22" s="125" customFormat="1" ht="15.75" hidden="1" customHeight="1" outlineLevel="1">
      <c r="A47" s="236"/>
      <c r="B47" s="237" t="s">
        <v>206</v>
      </c>
      <c r="C47" s="238"/>
      <c r="D47" s="239">
        <v>44652</v>
      </c>
      <c r="E47" s="239">
        <v>44652</v>
      </c>
      <c r="F47" s="239">
        <v>42356</v>
      </c>
      <c r="G47" s="239">
        <v>44175.346438712681</v>
      </c>
      <c r="H47" s="239"/>
      <c r="I47" s="239"/>
      <c r="J47" s="239">
        <v>44175.346438712681</v>
      </c>
      <c r="K47" s="239"/>
      <c r="L47" s="593">
        <v>64327.22</v>
      </c>
      <c r="M47" s="112">
        <f t="shared" si="16"/>
        <v>49158.151573589639</v>
      </c>
      <c r="N47" s="112">
        <f>M47*'Bieu 07-31'!$V$11</f>
        <v>52441.268828974928</v>
      </c>
      <c r="O47" s="112">
        <f>N47*'Bieu 07-31'!$W$11</f>
        <v>54480.914211670126</v>
      </c>
      <c r="P47" s="105"/>
      <c r="Q47" s="753"/>
    </row>
    <row r="48" spans="1:22" s="125" customFormat="1" ht="15.75" hidden="1" customHeight="1" outlineLevel="1">
      <c r="A48" s="236"/>
      <c r="B48" s="237" t="s">
        <v>207</v>
      </c>
      <c r="C48" s="238"/>
      <c r="D48" s="239">
        <v>26460</v>
      </c>
      <c r="E48" s="239">
        <v>26460</v>
      </c>
      <c r="F48" s="239">
        <v>27584</v>
      </c>
      <c r="G48" s="239">
        <v>14873.906754581625</v>
      </c>
      <c r="H48" s="239"/>
      <c r="I48" s="239"/>
      <c r="J48" s="239">
        <v>14873.906754581625</v>
      </c>
      <c r="K48" s="239"/>
      <c r="L48" s="593">
        <v>26810.54</v>
      </c>
      <c r="M48" s="112">
        <f t="shared" si="16"/>
        <v>16551.624869486128</v>
      </c>
      <c r="N48" s="112">
        <f>M48*'Bieu 07-31'!$V$11</f>
        <v>17657.055474058921</v>
      </c>
      <c r="O48" s="112">
        <f>N48*'Bieu 07-31'!$W$11</f>
        <v>18343.80719601113</v>
      </c>
      <c r="P48" s="105"/>
      <c r="Q48" s="753"/>
    </row>
    <row r="49" spans="1:18" s="125" customFormat="1" ht="15.75" hidden="1" customHeight="1" outlineLevel="1">
      <c r="A49" s="236"/>
      <c r="B49" s="237" t="s">
        <v>208</v>
      </c>
      <c r="C49" s="238"/>
      <c r="D49" s="239">
        <v>14860</v>
      </c>
      <c r="E49" s="239">
        <v>14860</v>
      </c>
      <c r="F49" s="239">
        <v>14299</v>
      </c>
      <c r="G49" s="239">
        <v>14229.144562868452</v>
      </c>
      <c r="H49" s="239"/>
      <c r="I49" s="239"/>
      <c r="J49" s="239">
        <v>14229.144562868452</v>
      </c>
      <c r="K49" s="239"/>
      <c r="L49" s="593">
        <v>14476.3</v>
      </c>
      <c r="M49" s="112">
        <f t="shared" si="16"/>
        <v>15834.136041342381</v>
      </c>
      <c r="N49" s="112">
        <f>M49*'Bieu 07-31'!$V$11</f>
        <v>16891.647839434045</v>
      </c>
      <c r="O49" s="112">
        <f>N49*'Bieu 07-31'!$W$11</f>
        <v>17548.629874597522</v>
      </c>
      <c r="P49" s="105"/>
      <c r="Q49" s="753"/>
    </row>
    <row r="50" spans="1:18" s="125" customFormat="1" ht="15.75" hidden="1" customHeight="1" outlineLevel="1">
      <c r="A50" s="236"/>
      <c r="B50" s="237" t="s">
        <v>197</v>
      </c>
      <c r="C50" s="238"/>
      <c r="D50" s="239">
        <v>309933</v>
      </c>
      <c r="E50" s="239">
        <v>309933</v>
      </c>
      <c r="F50" s="239">
        <v>449401</v>
      </c>
      <c r="G50" s="239">
        <v>253941.0249115185</v>
      </c>
      <c r="H50" s="239"/>
      <c r="I50" s="239"/>
      <c r="J50" s="239">
        <v>253941.0249115185</v>
      </c>
      <c r="K50" s="239"/>
      <c r="L50" s="593">
        <v>478044</v>
      </c>
      <c r="M50" s="112">
        <f t="shared" si="16"/>
        <v>282584.57261160319</v>
      </c>
      <c r="N50" s="112">
        <f>M50*'Bieu 07-31'!$V$11</f>
        <v>301457.50124599214</v>
      </c>
      <c r="O50" s="112">
        <f>N50*'Bieu 07-31'!$W$11</f>
        <v>313182.35867651051</v>
      </c>
      <c r="P50" s="105"/>
      <c r="Q50" s="753"/>
    </row>
    <row r="51" spans="1:18" s="125" customFormat="1" ht="15.75" hidden="1" customHeight="1" outlineLevel="1">
      <c r="A51" s="236"/>
      <c r="B51" s="237" t="s">
        <v>199</v>
      </c>
      <c r="C51" s="238"/>
      <c r="D51" s="239">
        <v>887758</v>
      </c>
      <c r="E51" s="239">
        <v>887758</v>
      </c>
      <c r="F51" s="239">
        <v>986095</v>
      </c>
      <c r="G51" s="239">
        <v>390733.71929792047</v>
      </c>
      <c r="H51" s="239"/>
      <c r="I51" s="239"/>
      <c r="J51" s="239">
        <v>390733.71929792047</v>
      </c>
      <c r="K51" s="239"/>
      <c r="L51" s="593">
        <v>1089438.186</v>
      </c>
      <c r="M51" s="112">
        <f t="shared" si="16"/>
        <v>434806.94429431931</v>
      </c>
      <c r="N51" s="112">
        <f>M51*'Bieu 07-31'!$V$11</f>
        <v>463846.32303167955</v>
      </c>
      <c r="O51" s="112">
        <f>N51*'Bieu 07-31'!$W$11</f>
        <v>481887.1148007944</v>
      </c>
      <c r="P51" s="105"/>
      <c r="Q51" s="753"/>
    </row>
    <row r="52" spans="1:18" s="125" customFormat="1" ht="15.75" hidden="1" customHeight="1" outlineLevel="1">
      <c r="A52" s="236"/>
      <c r="B52" s="237" t="s">
        <v>201</v>
      </c>
      <c r="C52" s="238"/>
      <c r="D52" s="239">
        <v>87374</v>
      </c>
      <c r="E52" s="239">
        <v>87374</v>
      </c>
      <c r="F52" s="239">
        <v>121436</v>
      </c>
      <c r="G52" s="239">
        <v>37458.856077263306</v>
      </c>
      <c r="H52" s="239"/>
      <c r="I52" s="239"/>
      <c r="J52" s="239">
        <v>37458.856077263306</v>
      </c>
      <c r="K52" s="239"/>
      <c r="L52" s="593">
        <v>172429.45</v>
      </c>
      <c r="M52" s="112">
        <f t="shared" si="16"/>
        <v>41684.067546003149</v>
      </c>
      <c r="N52" s="112">
        <f>M52*'Bieu 07-31'!$V$11</f>
        <v>44468.01440027124</v>
      </c>
      <c r="O52" s="112">
        <f>N52*'Bieu 07-31'!$W$11</f>
        <v>46197.548835163165</v>
      </c>
      <c r="P52" s="105"/>
      <c r="Q52" s="753"/>
    </row>
    <row r="53" spans="1:18" s="125" customFormat="1" ht="15.75" hidden="1" customHeight="1" outlineLevel="1">
      <c r="A53" s="236"/>
      <c r="B53" s="237" t="s">
        <v>203</v>
      </c>
      <c r="C53" s="238"/>
      <c r="D53" s="239">
        <v>54421</v>
      </c>
      <c r="E53" s="239">
        <v>54421</v>
      </c>
      <c r="F53" s="239">
        <v>94159</v>
      </c>
      <c r="G53" s="239">
        <f>49858.1289948243+5662</f>
        <v>55520.128994824299</v>
      </c>
      <c r="H53" s="239"/>
      <c r="I53" s="239"/>
      <c r="J53" s="239">
        <f>49858.1289948243+5662</f>
        <v>55520.128994824299</v>
      </c>
      <c r="K53" s="239"/>
      <c r="L53" s="593">
        <v>124673</v>
      </c>
      <c r="M53" s="112">
        <f>M44-SUM(M45:M52)</f>
        <v>1059241.7752690818</v>
      </c>
      <c r="N53" s="112">
        <f>N44-SUM(N45:N52)</f>
        <v>1126176.1787268964</v>
      </c>
      <c r="O53" s="112">
        <f>O44-SUM(O45:O52)</f>
        <v>1158431.560621998</v>
      </c>
      <c r="P53" s="105"/>
      <c r="Q53" s="753"/>
    </row>
    <row r="54" spans="1:18" collapsed="1">
      <c r="A54" s="106">
        <v>4</v>
      </c>
      <c r="B54" s="107" t="s">
        <v>156</v>
      </c>
      <c r="C54" s="116"/>
      <c r="D54" s="109">
        <v>1000</v>
      </c>
      <c r="E54" s="109">
        <v>1000</v>
      </c>
      <c r="F54" s="109">
        <v>1000</v>
      </c>
      <c r="G54" s="109">
        <v>1000</v>
      </c>
      <c r="H54" s="109">
        <v>1000</v>
      </c>
      <c r="I54" s="109">
        <v>1000</v>
      </c>
      <c r="J54" s="109">
        <v>1000</v>
      </c>
      <c r="K54" s="109">
        <v>1000</v>
      </c>
      <c r="L54" s="591">
        <v>1000</v>
      </c>
      <c r="M54" s="109">
        <v>1000</v>
      </c>
      <c r="N54" s="109">
        <v>1000</v>
      </c>
      <c r="O54" s="109">
        <f t="shared" ref="O54" si="17">N54</f>
        <v>1000</v>
      </c>
      <c r="P54" s="105"/>
      <c r="Q54" s="105"/>
    </row>
    <row r="55" spans="1:18">
      <c r="A55" s="106">
        <v>5</v>
      </c>
      <c r="B55" s="107" t="s">
        <v>157</v>
      </c>
      <c r="C55" s="116"/>
      <c r="D55" s="109">
        <v>91960</v>
      </c>
      <c r="E55" s="109">
        <v>91960</v>
      </c>
      <c r="F55" s="109">
        <v>0</v>
      </c>
      <c r="G55" s="109">
        <v>94450</v>
      </c>
      <c r="H55" s="109">
        <v>96738</v>
      </c>
      <c r="I55" s="109">
        <v>0</v>
      </c>
      <c r="J55" s="109">
        <v>109437</v>
      </c>
      <c r="K55" s="109">
        <v>126345</v>
      </c>
      <c r="L55" s="591">
        <v>0</v>
      </c>
      <c r="M55" s="109">
        <f>117778+M56</f>
        <v>134038</v>
      </c>
      <c r="N55" s="109">
        <f>'Bieu 07-31'!P10*2%</f>
        <v>135836.34</v>
      </c>
      <c r="O55" s="109">
        <f>'Bieu 07-31'!Q9*2%</f>
        <v>173280.00939999998</v>
      </c>
      <c r="P55" s="105"/>
      <c r="Q55" s="105"/>
      <c r="R55" s="105"/>
    </row>
    <row r="56" spans="1:18" s="125" customFormat="1" ht="42" customHeight="1">
      <c r="A56" s="241"/>
      <c r="B56" s="127" t="s">
        <v>708</v>
      </c>
      <c r="C56" s="238"/>
      <c r="D56" s="239"/>
      <c r="E56" s="239"/>
      <c r="F56" s="239"/>
      <c r="G56" s="239"/>
      <c r="H56" s="239"/>
      <c r="I56" s="239"/>
      <c r="J56" s="239"/>
      <c r="K56" s="239"/>
      <c r="L56" s="593"/>
      <c r="M56" s="239">
        <f>'DT thu 69-7'!R78</f>
        <v>16260</v>
      </c>
      <c r="N56" s="239">
        <f>'DT thu 69-7'!S78</f>
        <v>9420</v>
      </c>
      <c r="O56" s="239">
        <f>'DT thu 69-7'!T78</f>
        <v>10300.009399999995</v>
      </c>
      <c r="P56" s="754"/>
      <c r="Q56" s="754"/>
      <c r="R56" s="754"/>
    </row>
    <row r="57" spans="1:18" s="101" customFormat="1">
      <c r="A57" s="106">
        <v>6</v>
      </c>
      <c r="B57" s="107" t="s">
        <v>326</v>
      </c>
      <c r="C57" s="116"/>
      <c r="D57" s="109">
        <v>0</v>
      </c>
      <c r="E57" s="109">
        <v>0</v>
      </c>
      <c r="F57" s="109">
        <v>0</v>
      </c>
      <c r="G57" s="109">
        <v>0</v>
      </c>
      <c r="H57" s="109">
        <v>7500</v>
      </c>
      <c r="I57" s="109">
        <v>0</v>
      </c>
      <c r="J57" s="109">
        <v>0</v>
      </c>
      <c r="K57" s="109"/>
      <c r="L57" s="591"/>
      <c r="M57" s="109"/>
      <c r="N57" s="109"/>
      <c r="O57" s="109"/>
      <c r="P57" s="105"/>
      <c r="Q57" s="751"/>
    </row>
    <row r="58" spans="1:18" s="101" customFormat="1" ht="15.75" customHeight="1">
      <c r="A58" s="106">
        <v>7</v>
      </c>
      <c r="B58" s="107" t="s">
        <v>327</v>
      </c>
      <c r="C58" s="116"/>
      <c r="D58" s="109"/>
      <c r="E58" s="109">
        <v>7000</v>
      </c>
      <c r="F58" s="109">
        <v>3855</v>
      </c>
      <c r="G58" s="109">
        <v>0</v>
      </c>
      <c r="H58" s="109">
        <v>7000</v>
      </c>
      <c r="I58" s="109">
        <v>0</v>
      </c>
      <c r="J58" s="109">
        <v>0</v>
      </c>
      <c r="K58" s="109"/>
      <c r="L58" s="591"/>
      <c r="M58" s="109"/>
      <c r="N58" s="109"/>
      <c r="O58" s="109"/>
      <c r="P58" s="105"/>
    </row>
    <row r="59" spans="1:18" s="101" customFormat="1" ht="59.25" customHeight="1">
      <c r="A59" s="106">
        <v>8</v>
      </c>
      <c r="B59" s="240" t="s">
        <v>590</v>
      </c>
      <c r="C59" s="116"/>
      <c r="D59" s="109">
        <v>682763</v>
      </c>
      <c r="E59" s="109">
        <v>682763</v>
      </c>
      <c r="F59" s="109">
        <v>913000</v>
      </c>
      <c r="G59" s="109">
        <v>1966842</v>
      </c>
      <c r="H59" s="109"/>
      <c r="I59" s="109"/>
      <c r="J59" s="109"/>
      <c r="K59" s="109">
        <v>789492</v>
      </c>
      <c r="L59" s="591">
        <v>475000</v>
      </c>
      <c r="M59" s="109">
        <f>'DT thu 69-7'!R81</f>
        <v>796740</v>
      </c>
      <c r="N59" s="109">
        <f>'DT thu 69-7'!S81</f>
        <v>461580</v>
      </c>
      <c r="O59" s="109">
        <f>'DT thu 69-7'!T81</f>
        <v>504700.46059999976</v>
      </c>
      <c r="P59" s="751"/>
      <c r="Q59" s="751">
        <f>1308-362.6</f>
        <v>945.4</v>
      </c>
    </row>
    <row r="60" spans="1:18" s="101" customFormat="1" ht="32.25" customHeight="1">
      <c r="A60" s="106"/>
      <c r="B60" s="127" t="s">
        <v>741</v>
      </c>
      <c r="C60" s="116"/>
      <c r="D60" s="109"/>
      <c r="E60" s="109"/>
      <c r="F60" s="109"/>
      <c r="G60" s="109"/>
      <c r="H60" s="109"/>
      <c r="I60" s="109"/>
      <c r="J60" s="109"/>
      <c r="K60" s="109"/>
      <c r="L60" s="593">
        <v>99925</v>
      </c>
      <c r="M60" s="239">
        <f>'DT thu 69-7'!M79</f>
        <v>48000</v>
      </c>
      <c r="N60" s="239">
        <v>30000</v>
      </c>
      <c r="O60" s="239">
        <v>30000</v>
      </c>
      <c r="P60" s="751"/>
      <c r="Q60" s="751"/>
    </row>
    <row r="61" spans="1:18" s="101" customFormat="1">
      <c r="A61" s="106">
        <v>9</v>
      </c>
      <c r="B61" s="240" t="s">
        <v>707</v>
      </c>
      <c r="C61" s="116"/>
      <c r="D61" s="109"/>
      <c r="E61" s="109"/>
      <c r="F61" s="109"/>
      <c r="G61" s="109"/>
      <c r="H61" s="109"/>
      <c r="I61" s="109"/>
      <c r="J61" s="109"/>
      <c r="K61" s="109">
        <v>39000</v>
      </c>
      <c r="L61" s="591"/>
      <c r="M61" s="109"/>
      <c r="N61" s="109"/>
      <c r="O61" s="109"/>
      <c r="P61" s="751"/>
    </row>
    <row r="62" spans="1:18">
      <c r="A62" s="106" t="s">
        <v>103</v>
      </c>
      <c r="B62" s="240" t="s">
        <v>597</v>
      </c>
      <c r="C62" s="111"/>
      <c r="D62" s="112"/>
      <c r="E62" s="112">
        <v>0</v>
      </c>
      <c r="F62" s="112">
        <v>0</v>
      </c>
      <c r="G62" s="109">
        <v>11300</v>
      </c>
      <c r="H62" s="109" t="e">
        <f>#REF!</f>
        <v>#REF!</v>
      </c>
      <c r="I62" s="109" t="e">
        <f>#REF!</f>
        <v>#REF!</v>
      </c>
      <c r="J62" s="109">
        <f>J63</f>
        <v>83900</v>
      </c>
      <c r="K62" s="109">
        <f>K63</f>
        <v>83900</v>
      </c>
      <c r="L62" s="591">
        <f>L63</f>
        <v>17452</v>
      </c>
      <c r="M62" s="591">
        <f t="shared" ref="M62:O62" si="18">M63</f>
        <v>48400</v>
      </c>
      <c r="N62" s="591">
        <f t="shared" si="18"/>
        <v>104080.83333333333</v>
      </c>
      <c r="O62" s="591">
        <f t="shared" si="18"/>
        <v>104080.83333333333</v>
      </c>
      <c r="P62" s="105"/>
    </row>
    <row r="63" spans="1:18" s="126" customFormat="1" ht="19.5" customHeight="1">
      <c r="A63" s="106" t="s">
        <v>160</v>
      </c>
      <c r="B63" s="107" t="s">
        <v>161</v>
      </c>
      <c r="C63" s="116"/>
      <c r="D63" s="109"/>
      <c r="E63" s="109"/>
      <c r="F63" s="109"/>
      <c r="G63" s="109"/>
      <c r="H63" s="109"/>
      <c r="I63" s="109"/>
      <c r="J63" s="109">
        <f t="shared" ref="J63:O63" si="19">J65</f>
        <v>83900</v>
      </c>
      <c r="K63" s="591">
        <f t="shared" si="19"/>
        <v>83900</v>
      </c>
      <c r="L63" s="591">
        <f t="shared" si="19"/>
        <v>17452</v>
      </c>
      <c r="M63" s="591">
        <f t="shared" si="19"/>
        <v>48400</v>
      </c>
      <c r="N63" s="591">
        <f t="shared" si="19"/>
        <v>104080.83333333333</v>
      </c>
      <c r="O63" s="591">
        <f t="shared" si="19"/>
        <v>104080.83333333333</v>
      </c>
    </row>
    <row r="64" spans="1:18" s="126" customFormat="1" ht="19.5" customHeight="1">
      <c r="A64" s="106" t="s">
        <v>162</v>
      </c>
      <c r="B64" s="107" t="s">
        <v>598</v>
      </c>
      <c r="C64" s="116"/>
      <c r="D64" s="109"/>
      <c r="E64" s="109"/>
      <c r="F64" s="109"/>
      <c r="G64" s="109"/>
      <c r="H64" s="109"/>
      <c r="I64" s="109"/>
      <c r="J64" s="109">
        <f t="shared" ref="J64:L64" si="20">J65+J66</f>
        <v>91000</v>
      </c>
      <c r="K64" s="109">
        <f t="shared" si="20"/>
        <v>91000</v>
      </c>
      <c r="L64" s="591">
        <f t="shared" si="20"/>
        <v>17452</v>
      </c>
      <c r="M64" s="109">
        <f>M65+M66</f>
        <v>57000</v>
      </c>
      <c r="N64" s="109">
        <f t="shared" ref="N64:O64" si="21">N65+N66</f>
        <v>112680.83333333333</v>
      </c>
      <c r="O64" s="109">
        <f t="shared" si="21"/>
        <v>112680.83333333333</v>
      </c>
    </row>
    <row r="65" spans="1:21" s="219" customFormat="1" ht="21" customHeight="1">
      <c r="A65" s="113">
        <v>1</v>
      </c>
      <c r="B65" s="114" t="s">
        <v>262</v>
      </c>
      <c r="C65" s="111"/>
      <c r="D65" s="112"/>
      <c r="E65" s="112"/>
      <c r="F65" s="112"/>
      <c r="G65" s="112"/>
      <c r="H65" s="112"/>
      <c r="I65" s="112"/>
      <c r="J65" s="112">
        <v>83900</v>
      </c>
      <c r="K65" s="112">
        <f>J65</f>
        <v>83900</v>
      </c>
      <c r="L65" s="592">
        <v>17452</v>
      </c>
      <c r="M65" s="592">
        <f>'vay, trả nợ 20-7'!K44</f>
        <v>48400</v>
      </c>
      <c r="N65" s="592">
        <f>'vay, trả nợ 20-7'!M44</f>
        <v>104080.83333333333</v>
      </c>
      <c r="O65" s="592">
        <f>'vay, trả nợ 20-7'!N44</f>
        <v>104080.83333333333</v>
      </c>
      <c r="P65" s="755"/>
      <c r="Q65" s="755"/>
      <c r="R65" s="755"/>
      <c r="S65" s="755"/>
      <c r="T65" s="755"/>
      <c r="U65" s="755"/>
    </row>
    <row r="66" spans="1:21" s="219" customFormat="1" ht="21" customHeight="1">
      <c r="A66" s="305">
        <v>2</v>
      </c>
      <c r="B66" s="306" t="s">
        <v>599</v>
      </c>
      <c r="C66" s="307"/>
      <c r="D66" s="308"/>
      <c r="E66" s="308"/>
      <c r="F66" s="308"/>
      <c r="G66" s="308"/>
      <c r="H66" s="308"/>
      <c r="I66" s="308"/>
      <c r="J66" s="308">
        <v>7100</v>
      </c>
      <c r="K66" s="308">
        <f>J66</f>
        <v>7100</v>
      </c>
      <c r="L66" s="756">
        <v>0</v>
      </c>
      <c r="M66" s="756">
        <f>'vay, trả nợ 20-7'!K53</f>
        <v>8600</v>
      </c>
      <c r="N66" s="756">
        <f>'vay, trả nợ 20-7'!M53</f>
        <v>8600</v>
      </c>
      <c r="O66" s="756">
        <f>'vay, trả nợ 20-7'!N53</f>
        <v>8600</v>
      </c>
    </row>
    <row r="67" spans="1:21" s="126" customFormat="1" ht="19.5" hidden="1" customHeight="1" outlineLevel="1">
      <c r="A67" s="215"/>
      <c r="B67" s="216"/>
      <c r="C67" s="217"/>
      <c r="D67" s="218"/>
      <c r="E67" s="218"/>
      <c r="F67" s="218"/>
      <c r="G67" s="218"/>
      <c r="H67" s="218"/>
      <c r="I67" s="218"/>
      <c r="J67" s="218"/>
      <c r="K67" s="218"/>
      <c r="L67" s="594"/>
      <c r="M67" s="218"/>
      <c r="N67" s="259"/>
    </row>
    <row r="68" spans="1:21" collapsed="1">
      <c r="P68" s="105"/>
    </row>
    <row r="69" spans="1:21">
      <c r="A69" s="100" t="s">
        <v>583</v>
      </c>
      <c r="F69" s="128"/>
      <c r="G69" s="128"/>
      <c r="H69" s="128"/>
      <c r="I69" s="128"/>
      <c r="J69" s="128"/>
      <c r="K69" s="128"/>
      <c r="L69" s="596"/>
      <c r="M69" s="128"/>
      <c r="N69" s="739"/>
      <c r="O69" s="739"/>
      <c r="P69" s="739"/>
      <c r="Q69" s="739"/>
    </row>
    <row r="70" spans="1:21">
      <c r="A70" s="99"/>
      <c r="B70" s="100" t="s">
        <v>694</v>
      </c>
      <c r="F70" s="739"/>
      <c r="G70" s="129"/>
      <c r="H70" s="129"/>
      <c r="I70" s="129"/>
      <c r="J70" s="129"/>
      <c r="K70" s="129"/>
      <c r="L70" s="597"/>
      <c r="M70" s="129"/>
      <c r="N70" s="129"/>
      <c r="O70" s="739"/>
    </row>
    <row r="71" spans="1:21">
      <c r="A71" s="99"/>
      <c r="F71" s="128"/>
      <c r="G71" s="128"/>
      <c r="H71" s="128"/>
      <c r="I71" s="128"/>
      <c r="J71" s="128"/>
      <c r="K71" s="128"/>
      <c r="L71" s="596"/>
      <c r="M71" s="128"/>
      <c r="N71" s="301"/>
      <c r="O71" s="739"/>
    </row>
    <row r="72" spans="1:21">
      <c r="A72" s="99"/>
      <c r="N72" s="105"/>
    </row>
  </sheetData>
  <mergeCells count="25">
    <mergeCell ref="U26:U38"/>
    <mergeCell ref="G1:N1"/>
    <mergeCell ref="G2:N2"/>
    <mergeCell ref="A3:N3"/>
    <mergeCell ref="A9:A11"/>
    <mergeCell ref="B9:B11"/>
    <mergeCell ref="C9:C11"/>
    <mergeCell ref="D9:F9"/>
    <mergeCell ref="D10:D11"/>
    <mergeCell ref="E10:E11"/>
    <mergeCell ref="F10:F11"/>
    <mergeCell ref="G10:G11"/>
    <mergeCell ref="M10:M11"/>
    <mergeCell ref="N10:N11"/>
    <mergeCell ref="S8:S11"/>
    <mergeCell ref="O10:O11"/>
    <mergeCell ref="T26:T37"/>
    <mergeCell ref="M9:O9"/>
    <mergeCell ref="G9:I9"/>
    <mergeCell ref="H10:H11"/>
    <mergeCell ref="I10:I11"/>
    <mergeCell ref="J9:L9"/>
    <mergeCell ref="J10:J11"/>
    <mergeCell ref="K10:K11"/>
    <mergeCell ref="L10:L11"/>
  </mergeCells>
  <dataValidations disablePrompts="1" count="4">
    <dataValidation allowBlank="1" showInputMessage="1" showErrorMessage="1" prompt="KH + vốn kéo dài" sqref="F20" xr:uid="{00000000-0002-0000-0300-000000000000}"/>
    <dataValidation allowBlank="1" showInputMessage="1" showErrorMessage="1" prompt="Lấy số thực hiện đến 31/12/2017" sqref="F21" xr:uid="{00000000-0002-0000-0300-000001000000}"/>
    <dataValidation allowBlank="1" showInputMessage="1" showErrorMessage="1" prompt="Dự toán + số chuyển nguồn" sqref="F22" xr:uid="{00000000-0002-0000-0300-000002000000}"/>
    <dataValidation allowBlank="1" showInputMessage="1" showErrorMessage="1" prompt="Tiền rừng + Nhà máy nước" sqref="F23" xr:uid="{00000000-0002-0000-0300-000003000000}"/>
  </dataValidations>
  <printOptions horizontalCentered="1"/>
  <pageMargins left="0.70866141732283472" right="0.19685039370078741" top="0.6692913385826772" bottom="0.19685039370078741" header="0.15748031496062992" footer="0.23622047244094491"/>
  <pageSetup paperSize="9" scale="70" fitToHeight="2" orientation="portrait" r:id="rId1"/>
  <headerFooter alignWithMargins="0">
    <oddHeader xml:space="preserve">&amp;C                                                                                                                                  </oddHeader>
    <oddFooter>&amp;C&amp;".VnTime,Italic"&amp;8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W89"/>
  <sheetViews>
    <sheetView showGridLines="0" topLeftCell="A4" zoomScale="85" zoomScaleNormal="85" workbookViewId="0">
      <pane xSplit="7" ySplit="4" topLeftCell="H8" activePane="bottomRight" state="frozen"/>
      <selection activeCell="A4" sqref="A4"/>
      <selection pane="topRight" activeCell="H4" sqref="H4"/>
      <selection pane="bottomLeft" activeCell="A8" sqref="A8"/>
      <selection pane="bottomRight" activeCell="L24" sqref="L24"/>
    </sheetView>
  </sheetViews>
  <sheetFormatPr defaultRowHeight="16.5" outlineLevelRow="1" outlineLevelCol="2"/>
  <cols>
    <col min="1" max="1" width="5.875" style="131" customWidth="1"/>
    <col min="2" max="2" width="49.625" style="131" customWidth="1"/>
    <col min="3" max="3" width="13" style="131" hidden="1" customWidth="1" outlineLevel="2"/>
    <col min="4" max="4" width="9.875" style="131" hidden="1" customWidth="1" outlineLevel="2" collapsed="1"/>
    <col min="5" max="5" width="10.625" style="131" hidden="1" customWidth="1" outlineLevel="2"/>
    <col min="6" max="7" width="9.875" style="131" hidden="1" customWidth="1" outlineLevel="1"/>
    <col min="8" max="8" width="11.625" style="946" customWidth="1" collapsed="1"/>
    <col min="9" max="9" width="11.375" style="946" customWidth="1"/>
    <col min="10" max="10" width="9.25" style="946" hidden="1" customWidth="1" outlineLevel="1"/>
    <col min="11" max="11" width="11.375" style="946" customWidth="1" collapsed="1"/>
    <col min="12" max="12" width="10" style="946" customWidth="1"/>
    <col min="13" max="13" width="11.25" style="947" customWidth="1"/>
    <col min="14" max="14" width="11.375" style="947" customWidth="1"/>
    <col min="15" max="15" width="11.125" style="929" customWidth="1"/>
    <col min="16" max="16" width="9.25" style="929" customWidth="1"/>
    <col min="17" max="17" width="10.125" style="929" bestFit="1" customWidth="1"/>
    <col min="18" max="257" width="9.125" style="929"/>
    <col min="258" max="258" width="5.875" style="929" customWidth="1"/>
    <col min="259" max="259" width="49.625" style="929" customWidth="1"/>
    <col min="260" max="262" width="0" style="929" hidden="1" customWidth="1"/>
    <col min="263" max="264" width="9.875" style="929" customWidth="1"/>
    <col min="265" max="265" width="11" style="929" customWidth="1"/>
    <col min="266" max="266" width="9.25" style="929" customWidth="1"/>
    <col min="267" max="267" width="10" style="929" customWidth="1"/>
    <col min="268" max="268" width="10.125" style="929" customWidth="1"/>
    <col min="269" max="513" width="9.125" style="929"/>
    <col min="514" max="514" width="5.875" style="929" customWidth="1"/>
    <col min="515" max="515" width="49.625" style="929" customWidth="1"/>
    <col min="516" max="518" width="0" style="929" hidden="1" customWidth="1"/>
    <col min="519" max="520" width="9.875" style="929" customWidth="1"/>
    <col min="521" max="521" width="11" style="929" customWidth="1"/>
    <col min="522" max="522" width="9.25" style="929" customWidth="1"/>
    <col min="523" max="523" width="10" style="929" customWidth="1"/>
    <col min="524" max="524" width="10.125" style="929" customWidth="1"/>
    <col min="525" max="769" width="9.125" style="929"/>
    <col min="770" max="770" width="5.875" style="929" customWidth="1"/>
    <col min="771" max="771" width="49.625" style="929" customWidth="1"/>
    <col min="772" max="774" width="0" style="929" hidden="1" customWidth="1"/>
    <col min="775" max="776" width="9.875" style="929" customWidth="1"/>
    <col min="777" max="777" width="11" style="929" customWidth="1"/>
    <col min="778" max="778" width="9.25" style="929" customWidth="1"/>
    <col min="779" max="779" width="10" style="929" customWidth="1"/>
    <col min="780" max="780" width="10.125" style="929" customWidth="1"/>
    <col min="781" max="1025" width="9.125" style="929"/>
    <col min="1026" max="1026" width="5.875" style="929" customWidth="1"/>
    <col min="1027" max="1027" width="49.625" style="929" customWidth="1"/>
    <col min="1028" max="1030" width="0" style="929" hidden="1" customWidth="1"/>
    <col min="1031" max="1032" width="9.875" style="929" customWidth="1"/>
    <col min="1033" max="1033" width="11" style="929" customWidth="1"/>
    <col min="1034" max="1034" width="9.25" style="929" customWidth="1"/>
    <col min="1035" max="1035" width="10" style="929" customWidth="1"/>
    <col min="1036" max="1036" width="10.125" style="929" customWidth="1"/>
    <col min="1037" max="1281" width="9.125" style="929"/>
    <col min="1282" max="1282" width="5.875" style="929" customWidth="1"/>
    <col min="1283" max="1283" width="49.625" style="929" customWidth="1"/>
    <col min="1284" max="1286" width="0" style="929" hidden="1" customWidth="1"/>
    <col min="1287" max="1288" width="9.875" style="929" customWidth="1"/>
    <col min="1289" max="1289" width="11" style="929" customWidth="1"/>
    <col min="1290" max="1290" width="9.25" style="929" customWidth="1"/>
    <col min="1291" max="1291" width="10" style="929" customWidth="1"/>
    <col min="1292" max="1292" width="10.125" style="929" customWidth="1"/>
    <col min="1293" max="1537" width="9.125" style="929"/>
    <col min="1538" max="1538" width="5.875" style="929" customWidth="1"/>
    <col min="1539" max="1539" width="49.625" style="929" customWidth="1"/>
    <col min="1540" max="1542" width="0" style="929" hidden="1" customWidth="1"/>
    <col min="1543" max="1544" width="9.875" style="929" customWidth="1"/>
    <col min="1545" max="1545" width="11" style="929" customWidth="1"/>
    <col min="1546" max="1546" width="9.25" style="929" customWidth="1"/>
    <col min="1547" max="1547" width="10" style="929" customWidth="1"/>
    <col min="1548" max="1548" width="10.125" style="929" customWidth="1"/>
    <col min="1549" max="1793" width="9.125" style="929"/>
    <col min="1794" max="1794" width="5.875" style="929" customWidth="1"/>
    <col min="1795" max="1795" width="49.625" style="929" customWidth="1"/>
    <col min="1796" max="1798" width="0" style="929" hidden="1" customWidth="1"/>
    <col min="1799" max="1800" width="9.875" style="929" customWidth="1"/>
    <col min="1801" max="1801" width="11" style="929" customWidth="1"/>
    <col min="1802" max="1802" width="9.25" style="929" customWidth="1"/>
    <col min="1803" max="1803" width="10" style="929" customWidth="1"/>
    <col min="1804" max="1804" width="10.125" style="929" customWidth="1"/>
    <col min="1805" max="2049" width="9.125" style="929"/>
    <col min="2050" max="2050" width="5.875" style="929" customWidth="1"/>
    <col min="2051" max="2051" width="49.625" style="929" customWidth="1"/>
    <col min="2052" max="2054" width="0" style="929" hidden="1" customWidth="1"/>
    <col min="2055" max="2056" width="9.875" style="929" customWidth="1"/>
    <col min="2057" max="2057" width="11" style="929" customWidth="1"/>
    <col min="2058" max="2058" width="9.25" style="929" customWidth="1"/>
    <col min="2059" max="2059" width="10" style="929" customWidth="1"/>
    <col min="2060" max="2060" width="10.125" style="929" customWidth="1"/>
    <col min="2061" max="2305" width="9.125" style="929"/>
    <col min="2306" max="2306" width="5.875" style="929" customWidth="1"/>
    <col min="2307" max="2307" width="49.625" style="929" customWidth="1"/>
    <col min="2308" max="2310" width="0" style="929" hidden="1" customWidth="1"/>
    <col min="2311" max="2312" width="9.875" style="929" customWidth="1"/>
    <col min="2313" max="2313" width="11" style="929" customWidth="1"/>
    <col min="2314" max="2314" width="9.25" style="929" customWidth="1"/>
    <col min="2315" max="2315" width="10" style="929" customWidth="1"/>
    <col min="2316" max="2316" width="10.125" style="929" customWidth="1"/>
    <col min="2317" max="2561" width="9.125" style="929"/>
    <col min="2562" max="2562" width="5.875" style="929" customWidth="1"/>
    <col min="2563" max="2563" width="49.625" style="929" customWidth="1"/>
    <col min="2564" max="2566" width="0" style="929" hidden="1" customWidth="1"/>
    <col min="2567" max="2568" width="9.875" style="929" customWidth="1"/>
    <col min="2569" max="2569" width="11" style="929" customWidth="1"/>
    <col min="2570" max="2570" width="9.25" style="929" customWidth="1"/>
    <col min="2571" max="2571" width="10" style="929" customWidth="1"/>
    <col min="2572" max="2572" width="10.125" style="929" customWidth="1"/>
    <col min="2573" max="2817" width="9.125" style="929"/>
    <col min="2818" max="2818" width="5.875" style="929" customWidth="1"/>
    <col min="2819" max="2819" width="49.625" style="929" customWidth="1"/>
    <col min="2820" max="2822" width="0" style="929" hidden="1" customWidth="1"/>
    <col min="2823" max="2824" width="9.875" style="929" customWidth="1"/>
    <col min="2825" max="2825" width="11" style="929" customWidth="1"/>
    <col min="2826" max="2826" width="9.25" style="929" customWidth="1"/>
    <col min="2827" max="2827" width="10" style="929" customWidth="1"/>
    <col min="2828" max="2828" width="10.125" style="929" customWidth="1"/>
    <col min="2829" max="3073" width="9.125" style="929"/>
    <col min="3074" max="3074" width="5.875" style="929" customWidth="1"/>
    <col min="3075" max="3075" width="49.625" style="929" customWidth="1"/>
    <col min="3076" max="3078" width="0" style="929" hidden="1" customWidth="1"/>
    <col min="3079" max="3080" width="9.875" style="929" customWidth="1"/>
    <col min="3081" max="3081" width="11" style="929" customWidth="1"/>
    <col min="3082" max="3082" width="9.25" style="929" customWidth="1"/>
    <col min="3083" max="3083" width="10" style="929" customWidth="1"/>
    <col min="3084" max="3084" width="10.125" style="929" customWidth="1"/>
    <col min="3085" max="3329" width="9.125" style="929"/>
    <col min="3330" max="3330" width="5.875" style="929" customWidth="1"/>
    <col min="3331" max="3331" width="49.625" style="929" customWidth="1"/>
    <col min="3332" max="3334" width="0" style="929" hidden="1" customWidth="1"/>
    <col min="3335" max="3336" width="9.875" style="929" customWidth="1"/>
    <col min="3337" max="3337" width="11" style="929" customWidth="1"/>
    <col min="3338" max="3338" width="9.25" style="929" customWidth="1"/>
    <col min="3339" max="3339" width="10" style="929" customWidth="1"/>
    <col min="3340" max="3340" width="10.125" style="929" customWidth="1"/>
    <col min="3341" max="3585" width="9.125" style="929"/>
    <col min="3586" max="3586" width="5.875" style="929" customWidth="1"/>
    <col min="3587" max="3587" width="49.625" style="929" customWidth="1"/>
    <col min="3588" max="3590" width="0" style="929" hidden="1" customWidth="1"/>
    <col min="3591" max="3592" width="9.875" style="929" customWidth="1"/>
    <col min="3593" max="3593" width="11" style="929" customWidth="1"/>
    <col min="3594" max="3594" width="9.25" style="929" customWidth="1"/>
    <col min="3595" max="3595" width="10" style="929" customWidth="1"/>
    <col min="3596" max="3596" width="10.125" style="929" customWidth="1"/>
    <col min="3597" max="3841" width="9.125" style="929"/>
    <col min="3842" max="3842" width="5.875" style="929" customWidth="1"/>
    <col min="3843" max="3843" width="49.625" style="929" customWidth="1"/>
    <col min="3844" max="3846" width="0" style="929" hidden="1" customWidth="1"/>
    <col min="3847" max="3848" width="9.875" style="929" customWidth="1"/>
    <col min="3849" max="3849" width="11" style="929" customWidth="1"/>
    <col min="3850" max="3850" width="9.25" style="929" customWidth="1"/>
    <col min="3851" max="3851" width="10" style="929" customWidth="1"/>
    <col min="3852" max="3852" width="10.125" style="929" customWidth="1"/>
    <col min="3853" max="4097" width="9.125" style="929"/>
    <col min="4098" max="4098" width="5.875" style="929" customWidth="1"/>
    <col min="4099" max="4099" width="49.625" style="929" customWidth="1"/>
    <col min="4100" max="4102" width="0" style="929" hidden="1" customWidth="1"/>
    <col min="4103" max="4104" width="9.875" style="929" customWidth="1"/>
    <col min="4105" max="4105" width="11" style="929" customWidth="1"/>
    <col min="4106" max="4106" width="9.25" style="929" customWidth="1"/>
    <col min="4107" max="4107" width="10" style="929" customWidth="1"/>
    <col min="4108" max="4108" width="10.125" style="929" customWidth="1"/>
    <col min="4109" max="4353" width="9.125" style="929"/>
    <col min="4354" max="4354" width="5.875" style="929" customWidth="1"/>
    <col min="4355" max="4355" width="49.625" style="929" customWidth="1"/>
    <col min="4356" max="4358" width="0" style="929" hidden="1" customWidth="1"/>
    <col min="4359" max="4360" width="9.875" style="929" customWidth="1"/>
    <col min="4361" max="4361" width="11" style="929" customWidth="1"/>
    <col min="4362" max="4362" width="9.25" style="929" customWidth="1"/>
    <col min="4363" max="4363" width="10" style="929" customWidth="1"/>
    <col min="4364" max="4364" width="10.125" style="929" customWidth="1"/>
    <col min="4365" max="4609" width="9.125" style="929"/>
    <col min="4610" max="4610" width="5.875" style="929" customWidth="1"/>
    <col min="4611" max="4611" width="49.625" style="929" customWidth="1"/>
    <col min="4612" max="4614" width="0" style="929" hidden="1" customWidth="1"/>
    <col min="4615" max="4616" width="9.875" style="929" customWidth="1"/>
    <col min="4617" max="4617" width="11" style="929" customWidth="1"/>
    <col min="4618" max="4618" width="9.25" style="929" customWidth="1"/>
    <col min="4619" max="4619" width="10" style="929" customWidth="1"/>
    <col min="4620" max="4620" width="10.125" style="929" customWidth="1"/>
    <col min="4621" max="4865" width="9.125" style="929"/>
    <col min="4866" max="4866" width="5.875" style="929" customWidth="1"/>
    <col min="4867" max="4867" width="49.625" style="929" customWidth="1"/>
    <col min="4868" max="4870" width="0" style="929" hidden="1" customWidth="1"/>
    <col min="4871" max="4872" width="9.875" style="929" customWidth="1"/>
    <col min="4873" max="4873" width="11" style="929" customWidth="1"/>
    <col min="4874" max="4874" width="9.25" style="929" customWidth="1"/>
    <col min="4875" max="4875" width="10" style="929" customWidth="1"/>
    <col min="4876" max="4876" width="10.125" style="929" customWidth="1"/>
    <col min="4877" max="5121" width="9.125" style="929"/>
    <col min="5122" max="5122" width="5.875" style="929" customWidth="1"/>
    <col min="5123" max="5123" width="49.625" style="929" customWidth="1"/>
    <col min="5124" max="5126" width="0" style="929" hidden="1" customWidth="1"/>
    <col min="5127" max="5128" width="9.875" style="929" customWidth="1"/>
    <col min="5129" max="5129" width="11" style="929" customWidth="1"/>
    <col min="5130" max="5130" width="9.25" style="929" customWidth="1"/>
    <col min="5131" max="5131" width="10" style="929" customWidth="1"/>
    <col min="5132" max="5132" width="10.125" style="929" customWidth="1"/>
    <col min="5133" max="5377" width="9.125" style="929"/>
    <col min="5378" max="5378" width="5.875" style="929" customWidth="1"/>
    <col min="5379" max="5379" width="49.625" style="929" customWidth="1"/>
    <col min="5380" max="5382" width="0" style="929" hidden="1" customWidth="1"/>
    <col min="5383" max="5384" width="9.875" style="929" customWidth="1"/>
    <col min="5385" max="5385" width="11" style="929" customWidth="1"/>
    <col min="5386" max="5386" width="9.25" style="929" customWidth="1"/>
    <col min="5387" max="5387" width="10" style="929" customWidth="1"/>
    <col min="5388" max="5388" width="10.125" style="929" customWidth="1"/>
    <col min="5389" max="5633" width="9.125" style="929"/>
    <col min="5634" max="5634" width="5.875" style="929" customWidth="1"/>
    <col min="5635" max="5635" width="49.625" style="929" customWidth="1"/>
    <col min="5636" max="5638" width="0" style="929" hidden="1" customWidth="1"/>
    <col min="5639" max="5640" width="9.875" style="929" customWidth="1"/>
    <col min="5641" max="5641" width="11" style="929" customWidth="1"/>
    <col min="5642" max="5642" width="9.25" style="929" customWidth="1"/>
    <col min="5643" max="5643" width="10" style="929" customWidth="1"/>
    <col min="5644" max="5644" width="10.125" style="929" customWidth="1"/>
    <col min="5645" max="5889" width="9.125" style="929"/>
    <col min="5890" max="5890" width="5.875" style="929" customWidth="1"/>
    <col min="5891" max="5891" width="49.625" style="929" customWidth="1"/>
    <col min="5892" max="5894" width="0" style="929" hidden="1" customWidth="1"/>
    <col min="5895" max="5896" width="9.875" style="929" customWidth="1"/>
    <col min="5897" max="5897" width="11" style="929" customWidth="1"/>
    <col min="5898" max="5898" width="9.25" style="929" customWidth="1"/>
    <col min="5899" max="5899" width="10" style="929" customWidth="1"/>
    <col min="5900" max="5900" width="10.125" style="929" customWidth="1"/>
    <col min="5901" max="6145" width="9.125" style="929"/>
    <col min="6146" max="6146" width="5.875" style="929" customWidth="1"/>
    <col min="6147" max="6147" width="49.625" style="929" customWidth="1"/>
    <col min="6148" max="6150" width="0" style="929" hidden="1" customWidth="1"/>
    <col min="6151" max="6152" width="9.875" style="929" customWidth="1"/>
    <col min="6153" max="6153" width="11" style="929" customWidth="1"/>
    <col min="6154" max="6154" width="9.25" style="929" customWidth="1"/>
    <col min="6155" max="6155" width="10" style="929" customWidth="1"/>
    <col min="6156" max="6156" width="10.125" style="929" customWidth="1"/>
    <col min="6157" max="6401" width="9.125" style="929"/>
    <col min="6402" max="6402" width="5.875" style="929" customWidth="1"/>
    <col min="6403" max="6403" width="49.625" style="929" customWidth="1"/>
    <col min="6404" max="6406" width="0" style="929" hidden="1" customWidth="1"/>
    <col min="6407" max="6408" width="9.875" style="929" customWidth="1"/>
    <col min="6409" max="6409" width="11" style="929" customWidth="1"/>
    <col min="6410" max="6410" width="9.25" style="929" customWidth="1"/>
    <col min="6411" max="6411" width="10" style="929" customWidth="1"/>
    <col min="6412" max="6412" width="10.125" style="929" customWidth="1"/>
    <col min="6413" max="6657" width="9.125" style="929"/>
    <col min="6658" max="6658" width="5.875" style="929" customWidth="1"/>
    <col min="6659" max="6659" width="49.625" style="929" customWidth="1"/>
    <col min="6660" max="6662" width="0" style="929" hidden="1" customWidth="1"/>
    <col min="6663" max="6664" width="9.875" style="929" customWidth="1"/>
    <col min="6665" max="6665" width="11" style="929" customWidth="1"/>
    <col min="6666" max="6666" width="9.25" style="929" customWidth="1"/>
    <col min="6667" max="6667" width="10" style="929" customWidth="1"/>
    <col min="6668" max="6668" width="10.125" style="929" customWidth="1"/>
    <col min="6669" max="6913" width="9.125" style="929"/>
    <col min="6914" max="6914" width="5.875" style="929" customWidth="1"/>
    <col min="6915" max="6915" width="49.625" style="929" customWidth="1"/>
    <col min="6916" max="6918" width="0" style="929" hidden="1" customWidth="1"/>
    <col min="6919" max="6920" width="9.875" style="929" customWidth="1"/>
    <col min="6921" max="6921" width="11" style="929" customWidth="1"/>
    <col min="6922" max="6922" width="9.25" style="929" customWidth="1"/>
    <col min="6923" max="6923" width="10" style="929" customWidth="1"/>
    <col min="6924" max="6924" width="10.125" style="929" customWidth="1"/>
    <col min="6925" max="7169" width="9.125" style="929"/>
    <col min="7170" max="7170" width="5.875" style="929" customWidth="1"/>
    <col min="7171" max="7171" width="49.625" style="929" customWidth="1"/>
    <col min="7172" max="7174" width="0" style="929" hidden="1" customWidth="1"/>
    <col min="7175" max="7176" width="9.875" style="929" customWidth="1"/>
    <col min="7177" max="7177" width="11" style="929" customWidth="1"/>
    <col min="7178" max="7178" width="9.25" style="929" customWidth="1"/>
    <col min="7179" max="7179" width="10" style="929" customWidth="1"/>
    <col min="7180" max="7180" width="10.125" style="929" customWidth="1"/>
    <col min="7181" max="7425" width="9.125" style="929"/>
    <col min="7426" max="7426" width="5.875" style="929" customWidth="1"/>
    <col min="7427" max="7427" width="49.625" style="929" customWidth="1"/>
    <col min="7428" max="7430" width="0" style="929" hidden="1" customWidth="1"/>
    <col min="7431" max="7432" width="9.875" style="929" customWidth="1"/>
    <col min="7433" max="7433" width="11" style="929" customWidth="1"/>
    <col min="7434" max="7434" width="9.25" style="929" customWidth="1"/>
    <col min="7435" max="7435" width="10" style="929" customWidth="1"/>
    <col min="7436" max="7436" width="10.125" style="929" customWidth="1"/>
    <col min="7437" max="7681" width="9.125" style="929"/>
    <col min="7682" max="7682" width="5.875" style="929" customWidth="1"/>
    <col min="7683" max="7683" width="49.625" style="929" customWidth="1"/>
    <col min="7684" max="7686" width="0" style="929" hidden="1" customWidth="1"/>
    <col min="7687" max="7688" width="9.875" style="929" customWidth="1"/>
    <col min="7689" max="7689" width="11" style="929" customWidth="1"/>
    <col min="7690" max="7690" width="9.25" style="929" customWidth="1"/>
    <col min="7691" max="7691" width="10" style="929" customWidth="1"/>
    <col min="7692" max="7692" width="10.125" style="929" customWidth="1"/>
    <col min="7693" max="7937" width="9.125" style="929"/>
    <col min="7938" max="7938" width="5.875" style="929" customWidth="1"/>
    <col min="7939" max="7939" width="49.625" style="929" customWidth="1"/>
    <col min="7940" max="7942" width="0" style="929" hidden="1" customWidth="1"/>
    <col min="7943" max="7944" width="9.875" style="929" customWidth="1"/>
    <col min="7945" max="7945" width="11" style="929" customWidth="1"/>
    <col min="7946" max="7946" width="9.25" style="929" customWidth="1"/>
    <col min="7947" max="7947" width="10" style="929" customWidth="1"/>
    <col min="7948" max="7948" width="10.125" style="929" customWidth="1"/>
    <col min="7949" max="8193" width="9.125" style="929"/>
    <col min="8194" max="8194" width="5.875" style="929" customWidth="1"/>
    <col min="8195" max="8195" width="49.625" style="929" customWidth="1"/>
    <col min="8196" max="8198" width="0" style="929" hidden="1" customWidth="1"/>
    <col min="8199" max="8200" width="9.875" style="929" customWidth="1"/>
    <col min="8201" max="8201" width="11" style="929" customWidth="1"/>
    <col min="8202" max="8202" width="9.25" style="929" customWidth="1"/>
    <col min="8203" max="8203" width="10" style="929" customWidth="1"/>
    <col min="8204" max="8204" width="10.125" style="929" customWidth="1"/>
    <col min="8205" max="8449" width="9.125" style="929"/>
    <col min="8450" max="8450" width="5.875" style="929" customWidth="1"/>
    <col min="8451" max="8451" width="49.625" style="929" customWidth="1"/>
    <col min="8452" max="8454" width="0" style="929" hidden="1" customWidth="1"/>
    <col min="8455" max="8456" width="9.875" style="929" customWidth="1"/>
    <col min="8457" max="8457" width="11" style="929" customWidth="1"/>
    <col min="8458" max="8458" width="9.25" style="929" customWidth="1"/>
    <col min="8459" max="8459" width="10" style="929" customWidth="1"/>
    <col min="8460" max="8460" width="10.125" style="929" customWidth="1"/>
    <col min="8461" max="8705" width="9.125" style="929"/>
    <col min="8706" max="8706" width="5.875" style="929" customWidth="1"/>
    <col min="8707" max="8707" width="49.625" style="929" customWidth="1"/>
    <col min="8708" max="8710" width="0" style="929" hidden="1" customWidth="1"/>
    <col min="8711" max="8712" width="9.875" style="929" customWidth="1"/>
    <col min="8713" max="8713" width="11" style="929" customWidth="1"/>
    <col min="8714" max="8714" width="9.25" style="929" customWidth="1"/>
    <col min="8715" max="8715" width="10" style="929" customWidth="1"/>
    <col min="8716" max="8716" width="10.125" style="929" customWidth="1"/>
    <col min="8717" max="8961" width="9.125" style="929"/>
    <col min="8962" max="8962" width="5.875" style="929" customWidth="1"/>
    <col min="8963" max="8963" width="49.625" style="929" customWidth="1"/>
    <col min="8964" max="8966" width="0" style="929" hidden="1" customWidth="1"/>
    <col min="8967" max="8968" width="9.875" style="929" customWidth="1"/>
    <col min="8969" max="8969" width="11" style="929" customWidth="1"/>
    <col min="8970" max="8970" width="9.25" style="929" customWidth="1"/>
    <col min="8971" max="8971" width="10" style="929" customWidth="1"/>
    <col min="8972" max="8972" width="10.125" style="929" customWidth="1"/>
    <col min="8973" max="9217" width="9.125" style="929"/>
    <col min="9218" max="9218" width="5.875" style="929" customWidth="1"/>
    <col min="9219" max="9219" width="49.625" style="929" customWidth="1"/>
    <col min="9220" max="9222" width="0" style="929" hidden="1" customWidth="1"/>
    <col min="9223" max="9224" width="9.875" style="929" customWidth="1"/>
    <col min="9225" max="9225" width="11" style="929" customWidth="1"/>
    <col min="9226" max="9226" width="9.25" style="929" customWidth="1"/>
    <col min="9227" max="9227" width="10" style="929" customWidth="1"/>
    <col min="9228" max="9228" width="10.125" style="929" customWidth="1"/>
    <col min="9229" max="9473" width="9.125" style="929"/>
    <col min="9474" max="9474" width="5.875" style="929" customWidth="1"/>
    <col min="9475" max="9475" width="49.625" style="929" customWidth="1"/>
    <col min="9476" max="9478" width="0" style="929" hidden="1" customWidth="1"/>
    <col min="9479" max="9480" width="9.875" style="929" customWidth="1"/>
    <col min="9481" max="9481" width="11" style="929" customWidth="1"/>
    <col min="9482" max="9482" width="9.25" style="929" customWidth="1"/>
    <col min="9483" max="9483" width="10" style="929" customWidth="1"/>
    <col min="9484" max="9484" width="10.125" style="929" customWidth="1"/>
    <col min="9485" max="9729" width="9.125" style="929"/>
    <col min="9730" max="9730" width="5.875" style="929" customWidth="1"/>
    <col min="9731" max="9731" width="49.625" style="929" customWidth="1"/>
    <col min="9732" max="9734" width="0" style="929" hidden="1" customWidth="1"/>
    <col min="9735" max="9736" width="9.875" style="929" customWidth="1"/>
    <col min="9737" max="9737" width="11" style="929" customWidth="1"/>
    <col min="9738" max="9738" width="9.25" style="929" customWidth="1"/>
    <col min="9739" max="9739" width="10" style="929" customWidth="1"/>
    <col min="9740" max="9740" width="10.125" style="929" customWidth="1"/>
    <col min="9741" max="9985" width="9.125" style="929"/>
    <col min="9986" max="9986" width="5.875" style="929" customWidth="1"/>
    <col min="9987" max="9987" width="49.625" style="929" customWidth="1"/>
    <col min="9988" max="9990" width="0" style="929" hidden="1" customWidth="1"/>
    <col min="9991" max="9992" width="9.875" style="929" customWidth="1"/>
    <col min="9993" max="9993" width="11" style="929" customWidth="1"/>
    <col min="9994" max="9994" width="9.25" style="929" customWidth="1"/>
    <col min="9995" max="9995" width="10" style="929" customWidth="1"/>
    <col min="9996" max="9996" width="10.125" style="929" customWidth="1"/>
    <col min="9997" max="10241" width="9.125" style="929"/>
    <col min="10242" max="10242" width="5.875" style="929" customWidth="1"/>
    <col min="10243" max="10243" width="49.625" style="929" customWidth="1"/>
    <col min="10244" max="10246" width="0" style="929" hidden="1" customWidth="1"/>
    <col min="10247" max="10248" width="9.875" style="929" customWidth="1"/>
    <col min="10249" max="10249" width="11" style="929" customWidth="1"/>
    <col min="10250" max="10250" width="9.25" style="929" customWidth="1"/>
    <col min="10251" max="10251" width="10" style="929" customWidth="1"/>
    <col min="10252" max="10252" width="10.125" style="929" customWidth="1"/>
    <col min="10253" max="10497" width="9.125" style="929"/>
    <col min="10498" max="10498" width="5.875" style="929" customWidth="1"/>
    <col min="10499" max="10499" width="49.625" style="929" customWidth="1"/>
    <col min="10500" max="10502" width="0" style="929" hidden="1" customWidth="1"/>
    <col min="10503" max="10504" width="9.875" style="929" customWidth="1"/>
    <col min="10505" max="10505" width="11" style="929" customWidth="1"/>
    <col min="10506" max="10506" width="9.25" style="929" customWidth="1"/>
    <col min="10507" max="10507" width="10" style="929" customWidth="1"/>
    <col min="10508" max="10508" width="10.125" style="929" customWidth="1"/>
    <col min="10509" max="10753" width="9.125" style="929"/>
    <col min="10754" max="10754" width="5.875" style="929" customWidth="1"/>
    <col min="10755" max="10755" width="49.625" style="929" customWidth="1"/>
    <col min="10756" max="10758" width="0" style="929" hidden="1" customWidth="1"/>
    <col min="10759" max="10760" width="9.875" style="929" customWidth="1"/>
    <col min="10761" max="10761" width="11" style="929" customWidth="1"/>
    <col min="10762" max="10762" width="9.25" style="929" customWidth="1"/>
    <col min="10763" max="10763" width="10" style="929" customWidth="1"/>
    <col min="10764" max="10764" width="10.125" style="929" customWidth="1"/>
    <col min="10765" max="11009" width="9.125" style="929"/>
    <col min="11010" max="11010" width="5.875" style="929" customWidth="1"/>
    <col min="11011" max="11011" width="49.625" style="929" customWidth="1"/>
    <col min="11012" max="11014" width="0" style="929" hidden="1" customWidth="1"/>
    <col min="11015" max="11016" width="9.875" style="929" customWidth="1"/>
    <col min="11017" max="11017" width="11" style="929" customWidth="1"/>
    <col min="11018" max="11018" width="9.25" style="929" customWidth="1"/>
    <col min="11019" max="11019" width="10" style="929" customWidth="1"/>
    <col min="11020" max="11020" width="10.125" style="929" customWidth="1"/>
    <col min="11021" max="11265" width="9.125" style="929"/>
    <col min="11266" max="11266" width="5.875" style="929" customWidth="1"/>
    <col min="11267" max="11267" width="49.625" style="929" customWidth="1"/>
    <col min="11268" max="11270" width="0" style="929" hidden="1" customWidth="1"/>
    <col min="11271" max="11272" width="9.875" style="929" customWidth="1"/>
    <col min="11273" max="11273" width="11" style="929" customWidth="1"/>
    <col min="11274" max="11274" width="9.25" style="929" customWidth="1"/>
    <col min="11275" max="11275" width="10" style="929" customWidth="1"/>
    <col min="11276" max="11276" width="10.125" style="929" customWidth="1"/>
    <col min="11277" max="11521" width="9.125" style="929"/>
    <col min="11522" max="11522" width="5.875" style="929" customWidth="1"/>
    <col min="11523" max="11523" width="49.625" style="929" customWidth="1"/>
    <col min="11524" max="11526" width="0" style="929" hidden="1" customWidth="1"/>
    <col min="11527" max="11528" width="9.875" style="929" customWidth="1"/>
    <col min="11529" max="11529" width="11" style="929" customWidth="1"/>
    <col min="11530" max="11530" width="9.25" style="929" customWidth="1"/>
    <col min="11531" max="11531" width="10" style="929" customWidth="1"/>
    <col min="11532" max="11532" width="10.125" style="929" customWidth="1"/>
    <col min="11533" max="11777" width="9.125" style="929"/>
    <col min="11778" max="11778" width="5.875" style="929" customWidth="1"/>
    <col min="11779" max="11779" width="49.625" style="929" customWidth="1"/>
    <col min="11780" max="11782" width="0" style="929" hidden="1" customWidth="1"/>
    <col min="11783" max="11784" width="9.875" style="929" customWidth="1"/>
    <col min="11785" max="11785" width="11" style="929" customWidth="1"/>
    <col min="11786" max="11786" width="9.25" style="929" customWidth="1"/>
    <col min="11787" max="11787" width="10" style="929" customWidth="1"/>
    <col min="11788" max="11788" width="10.125" style="929" customWidth="1"/>
    <col min="11789" max="12033" width="9.125" style="929"/>
    <col min="12034" max="12034" width="5.875" style="929" customWidth="1"/>
    <col min="12035" max="12035" width="49.625" style="929" customWidth="1"/>
    <col min="12036" max="12038" width="0" style="929" hidden="1" customWidth="1"/>
    <col min="12039" max="12040" width="9.875" style="929" customWidth="1"/>
    <col min="12041" max="12041" width="11" style="929" customWidth="1"/>
    <col min="12042" max="12042" width="9.25" style="929" customWidth="1"/>
    <col min="12043" max="12043" width="10" style="929" customWidth="1"/>
    <col min="12044" max="12044" width="10.125" style="929" customWidth="1"/>
    <col min="12045" max="12289" width="9.125" style="929"/>
    <col min="12290" max="12290" width="5.875" style="929" customWidth="1"/>
    <col min="12291" max="12291" width="49.625" style="929" customWidth="1"/>
    <col min="12292" max="12294" width="0" style="929" hidden="1" customWidth="1"/>
    <col min="12295" max="12296" width="9.875" style="929" customWidth="1"/>
    <col min="12297" max="12297" width="11" style="929" customWidth="1"/>
    <col min="12298" max="12298" width="9.25" style="929" customWidth="1"/>
    <col min="12299" max="12299" width="10" style="929" customWidth="1"/>
    <col min="12300" max="12300" width="10.125" style="929" customWidth="1"/>
    <col min="12301" max="12545" width="9.125" style="929"/>
    <col min="12546" max="12546" width="5.875" style="929" customWidth="1"/>
    <col min="12547" max="12547" width="49.625" style="929" customWidth="1"/>
    <col min="12548" max="12550" width="0" style="929" hidden="1" customWidth="1"/>
    <col min="12551" max="12552" width="9.875" style="929" customWidth="1"/>
    <col min="12553" max="12553" width="11" style="929" customWidth="1"/>
    <col min="12554" max="12554" width="9.25" style="929" customWidth="1"/>
    <col min="12555" max="12555" width="10" style="929" customWidth="1"/>
    <col min="12556" max="12556" width="10.125" style="929" customWidth="1"/>
    <col min="12557" max="12801" width="9.125" style="929"/>
    <col min="12802" max="12802" width="5.875" style="929" customWidth="1"/>
    <col min="12803" max="12803" width="49.625" style="929" customWidth="1"/>
    <col min="12804" max="12806" width="0" style="929" hidden="1" customWidth="1"/>
    <col min="12807" max="12808" width="9.875" style="929" customWidth="1"/>
    <col min="12809" max="12809" width="11" style="929" customWidth="1"/>
    <col min="12810" max="12810" width="9.25" style="929" customWidth="1"/>
    <col min="12811" max="12811" width="10" style="929" customWidth="1"/>
    <col min="12812" max="12812" width="10.125" style="929" customWidth="1"/>
    <col min="12813" max="13057" width="9.125" style="929"/>
    <col min="13058" max="13058" width="5.875" style="929" customWidth="1"/>
    <col min="13059" max="13059" width="49.625" style="929" customWidth="1"/>
    <col min="13060" max="13062" width="0" style="929" hidden="1" customWidth="1"/>
    <col min="13063" max="13064" width="9.875" style="929" customWidth="1"/>
    <col min="13065" max="13065" width="11" style="929" customWidth="1"/>
    <col min="13066" max="13066" width="9.25" style="929" customWidth="1"/>
    <col min="13067" max="13067" width="10" style="929" customWidth="1"/>
    <col min="13068" max="13068" width="10.125" style="929" customWidth="1"/>
    <col min="13069" max="13313" width="9.125" style="929"/>
    <col min="13314" max="13314" width="5.875" style="929" customWidth="1"/>
    <col min="13315" max="13315" width="49.625" style="929" customWidth="1"/>
    <col min="13316" max="13318" width="0" style="929" hidden="1" customWidth="1"/>
    <col min="13319" max="13320" width="9.875" style="929" customWidth="1"/>
    <col min="13321" max="13321" width="11" style="929" customWidth="1"/>
    <col min="13322" max="13322" width="9.25" style="929" customWidth="1"/>
    <col min="13323" max="13323" width="10" style="929" customWidth="1"/>
    <col min="13324" max="13324" width="10.125" style="929" customWidth="1"/>
    <col min="13325" max="13569" width="9.125" style="929"/>
    <col min="13570" max="13570" width="5.875" style="929" customWidth="1"/>
    <col min="13571" max="13571" width="49.625" style="929" customWidth="1"/>
    <col min="13572" max="13574" width="0" style="929" hidden="1" customWidth="1"/>
    <col min="13575" max="13576" width="9.875" style="929" customWidth="1"/>
    <col min="13577" max="13577" width="11" style="929" customWidth="1"/>
    <col min="13578" max="13578" width="9.25" style="929" customWidth="1"/>
    <col min="13579" max="13579" width="10" style="929" customWidth="1"/>
    <col min="13580" max="13580" width="10.125" style="929" customWidth="1"/>
    <col min="13581" max="13825" width="9.125" style="929"/>
    <col min="13826" max="13826" width="5.875" style="929" customWidth="1"/>
    <col min="13827" max="13827" width="49.625" style="929" customWidth="1"/>
    <col min="13828" max="13830" width="0" style="929" hidden="1" customWidth="1"/>
    <col min="13831" max="13832" width="9.875" style="929" customWidth="1"/>
    <col min="13833" max="13833" width="11" style="929" customWidth="1"/>
    <col min="13834" max="13834" width="9.25" style="929" customWidth="1"/>
    <col min="13835" max="13835" width="10" style="929" customWidth="1"/>
    <col min="13836" max="13836" width="10.125" style="929" customWidth="1"/>
    <col min="13837" max="14081" width="9.125" style="929"/>
    <col min="14082" max="14082" width="5.875" style="929" customWidth="1"/>
    <col min="14083" max="14083" width="49.625" style="929" customWidth="1"/>
    <col min="14084" max="14086" width="0" style="929" hidden="1" customWidth="1"/>
    <col min="14087" max="14088" width="9.875" style="929" customWidth="1"/>
    <col min="14089" max="14089" width="11" style="929" customWidth="1"/>
    <col min="14090" max="14090" width="9.25" style="929" customWidth="1"/>
    <col min="14091" max="14091" width="10" style="929" customWidth="1"/>
    <col min="14092" max="14092" width="10.125" style="929" customWidth="1"/>
    <col min="14093" max="14337" width="9.125" style="929"/>
    <col min="14338" max="14338" width="5.875" style="929" customWidth="1"/>
    <col min="14339" max="14339" width="49.625" style="929" customWidth="1"/>
    <col min="14340" max="14342" width="0" style="929" hidden="1" customWidth="1"/>
    <col min="14343" max="14344" width="9.875" style="929" customWidth="1"/>
    <col min="14345" max="14345" width="11" style="929" customWidth="1"/>
    <col min="14346" max="14346" width="9.25" style="929" customWidth="1"/>
    <col min="14347" max="14347" width="10" style="929" customWidth="1"/>
    <col min="14348" max="14348" width="10.125" style="929" customWidth="1"/>
    <col min="14349" max="14593" width="9.125" style="929"/>
    <col min="14594" max="14594" width="5.875" style="929" customWidth="1"/>
    <col min="14595" max="14595" width="49.625" style="929" customWidth="1"/>
    <col min="14596" max="14598" width="0" style="929" hidden="1" customWidth="1"/>
    <col min="14599" max="14600" width="9.875" style="929" customWidth="1"/>
    <col min="14601" max="14601" width="11" style="929" customWidth="1"/>
    <col min="14602" max="14602" width="9.25" style="929" customWidth="1"/>
    <col min="14603" max="14603" width="10" style="929" customWidth="1"/>
    <col min="14604" max="14604" width="10.125" style="929" customWidth="1"/>
    <col min="14605" max="14849" width="9.125" style="929"/>
    <col min="14850" max="14850" width="5.875" style="929" customWidth="1"/>
    <col min="14851" max="14851" width="49.625" style="929" customWidth="1"/>
    <col min="14852" max="14854" width="0" style="929" hidden="1" customWidth="1"/>
    <col min="14855" max="14856" width="9.875" style="929" customWidth="1"/>
    <col min="14857" max="14857" width="11" style="929" customWidth="1"/>
    <col min="14858" max="14858" width="9.25" style="929" customWidth="1"/>
    <col min="14859" max="14859" width="10" style="929" customWidth="1"/>
    <col min="14860" max="14860" width="10.125" style="929" customWidth="1"/>
    <col min="14861" max="15105" width="9.125" style="929"/>
    <col min="15106" max="15106" width="5.875" style="929" customWidth="1"/>
    <col min="15107" max="15107" width="49.625" style="929" customWidth="1"/>
    <col min="15108" max="15110" width="0" style="929" hidden="1" customWidth="1"/>
    <col min="15111" max="15112" width="9.875" style="929" customWidth="1"/>
    <col min="15113" max="15113" width="11" style="929" customWidth="1"/>
    <col min="15114" max="15114" width="9.25" style="929" customWidth="1"/>
    <col min="15115" max="15115" width="10" style="929" customWidth="1"/>
    <col min="15116" max="15116" width="10.125" style="929" customWidth="1"/>
    <col min="15117" max="15361" width="9.125" style="929"/>
    <col min="15362" max="15362" width="5.875" style="929" customWidth="1"/>
    <col min="15363" max="15363" width="49.625" style="929" customWidth="1"/>
    <col min="15364" max="15366" width="0" style="929" hidden="1" customWidth="1"/>
    <col min="15367" max="15368" width="9.875" style="929" customWidth="1"/>
    <col min="15369" max="15369" width="11" style="929" customWidth="1"/>
    <col min="15370" max="15370" width="9.25" style="929" customWidth="1"/>
    <col min="15371" max="15371" width="10" style="929" customWidth="1"/>
    <col min="15372" max="15372" width="10.125" style="929" customWidth="1"/>
    <col min="15373" max="15617" width="9.125" style="929"/>
    <col min="15618" max="15618" width="5.875" style="929" customWidth="1"/>
    <col min="15619" max="15619" width="49.625" style="929" customWidth="1"/>
    <col min="15620" max="15622" width="0" style="929" hidden="1" customWidth="1"/>
    <col min="15623" max="15624" width="9.875" style="929" customWidth="1"/>
    <col min="15625" max="15625" width="11" style="929" customWidth="1"/>
    <col min="15626" max="15626" width="9.25" style="929" customWidth="1"/>
    <col min="15627" max="15627" width="10" style="929" customWidth="1"/>
    <col min="15628" max="15628" width="10.125" style="929" customWidth="1"/>
    <col min="15629" max="15873" width="9.125" style="929"/>
    <col min="15874" max="15874" width="5.875" style="929" customWidth="1"/>
    <col min="15875" max="15875" width="49.625" style="929" customWidth="1"/>
    <col min="15876" max="15878" width="0" style="929" hidden="1" customWidth="1"/>
    <col min="15879" max="15880" width="9.875" style="929" customWidth="1"/>
    <col min="15881" max="15881" width="11" style="929" customWidth="1"/>
    <col min="15882" max="15882" width="9.25" style="929" customWidth="1"/>
    <col min="15883" max="15883" width="10" style="929" customWidth="1"/>
    <col min="15884" max="15884" width="10.125" style="929" customWidth="1"/>
    <col min="15885" max="16129" width="9.125" style="929"/>
    <col min="16130" max="16130" width="5.875" style="929" customWidth="1"/>
    <col min="16131" max="16131" width="49.625" style="929" customWidth="1"/>
    <col min="16132" max="16134" width="0" style="929" hidden="1" customWidth="1"/>
    <col min="16135" max="16136" width="9.875" style="929" customWidth="1"/>
    <col min="16137" max="16137" width="11" style="929" customWidth="1"/>
    <col min="16138" max="16138" width="9.25" style="929" customWidth="1"/>
    <col min="16139" max="16139" width="10" style="929" customWidth="1"/>
    <col min="16140" max="16140" width="10.125" style="929" customWidth="1"/>
    <col min="16141" max="16384" width="9.125" style="929"/>
  </cols>
  <sheetData>
    <row r="1" spans="1:21" s="838" customFormat="1" ht="17.25">
      <c r="A1" s="997" t="s">
        <v>233</v>
      </c>
      <c r="B1" s="997"/>
      <c r="C1" s="835"/>
      <c r="D1" s="835"/>
      <c r="E1" s="998"/>
      <c r="F1" s="998"/>
      <c r="G1" s="836"/>
      <c r="H1" s="999" t="s">
        <v>315</v>
      </c>
      <c r="I1" s="999"/>
      <c r="J1" s="999"/>
      <c r="K1" s="999"/>
      <c r="L1" s="999"/>
      <c r="M1" s="999"/>
      <c r="N1" s="437"/>
      <c r="O1" s="837"/>
    </row>
    <row r="2" spans="1:21" s="838" customFormat="1" ht="9" hidden="1" customHeight="1">
      <c r="A2" s="1000"/>
      <c r="B2" s="1000"/>
      <c r="F2" s="805"/>
      <c r="G2" s="805"/>
      <c r="H2" s="839"/>
      <c r="I2" s="839"/>
      <c r="J2" s="839"/>
      <c r="K2" s="839"/>
      <c r="L2" s="839"/>
      <c r="M2" s="840"/>
      <c r="N2" s="840"/>
      <c r="O2" s="131"/>
    </row>
    <row r="3" spans="1:21" s="131" customFormat="1" ht="27.75" customHeight="1">
      <c r="A3" s="1001" t="s">
        <v>620</v>
      </c>
      <c r="B3" s="1001"/>
      <c r="C3" s="1001"/>
      <c r="D3" s="1001"/>
      <c r="E3" s="1001"/>
      <c r="F3" s="1001"/>
      <c r="G3" s="1001"/>
      <c r="H3" s="1001"/>
      <c r="I3" s="1001"/>
      <c r="J3" s="1001"/>
      <c r="K3" s="1001"/>
      <c r="L3" s="1001"/>
      <c r="M3" s="1001"/>
      <c r="N3" s="1001"/>
    </row>
    <row r="4" spans="1:21" s="131" customFormat="1">
      <c r="A4" s="426"/>
      <c r="B4" s="426"/>
      <c r="C4" s="426"/>
      <c r="D4" s="426"/>
      <c r="E4" s="426"/>
      <c r="F4" s="841"/>
      <c r="G4" s="841"/>
      <c r="H4" s="996"/>
      <c r="I4" s="996"/>
      <c r="J4" s="996"/>
      <c r="K4" s="996"/>
      <c r="L4" s="996" t="s">
        <v>54</v>
      </c>
      <c r="M4" s="996"/>
      <c r="N4" s="996"/>
    </row>
    <row r="5" spans="1:21" s="131" customFormat="1" ht="43.5" customHeight="1">
      <c r="A5" s="1008" t="s">
        <v>0</v>
      </c>
      <c r="B5" s="1008" t="s">
        <v>213</v>
      </c>
      <c r="C5" s="1008" t="s">
        <v>214</v>
      </c>
      <c r="D5" s="1010" t="s">
        <v>575</v>
      </c>
      <c r="E5" s="1011"/>
      <c r="F5" s="1010" t="s">
        <v>568</v>
      </c>
      <c r="G5" s="1011"/>
      <c r="H5" s="1012" t="s">
        <v>730</v>
      </c>
      <c r="I5" s="1013"/>
      <c r="J5" s="1014" t="s">
        <v>581</v>
      </c>
      <c r="K5" s="1014" t="s">
        <v>585</v>
      </c>
      <c r="L5" s="1014" t="s">
        <v>817</v>
      </c>
      <c r="M5" s="1014" t="s">
        <v>621</v>
      </c>
      <c r="N5" s="1014" t="s">
        <v>731</v>
      </c>
      <c r="O5" s="1002"/>
      <c r="P5" s="1003"/>
      <c r="Q5" s="1003"/>
      <c r="R5" s="1003"/>
      <c r="S5" s="1003"/>
      <c r="T5" s="1003"/>
      <c r="U5" s="1003"/>
    </row>
    <row r="6" spans="1:21" s="131" customFormat="1" ht="53.25" customHeight="1">
      <c r="A6" s="1009"/>
      <c r="B6" s="1009"/>
      <c r="C6" s="1009"/>
      <c r="D6" s="842" t="s">
        <v>215</v>
      </c>
      <c r="E6" s="842" t="s">
        <v>576</v>
      </c>
      <c r="F6" s="842" t="s">
        <v>215</v>
      </c>
      <c r="G6" s="842" t="s">
        <v>569</v>
      </c>
      <c r="H6" s="843" t="s">
        <v>215</v>
      </c>
      <c r="I6" s="843" t="s">
        <v>604</v>
      </c>
      <c r="J6" s="1015"/>
      <c r="K6" s="1015"/>
      <c r="L6" s="1015"/>
      <c r="M6" s="1015"/>
      <c r="N6" s="1015"/>
    </row>
    <row r="7" spans="1:21" s="131" customFormat="1">
      <c r="A7" s="427" t="s">
        <v>158</v>
      </c>
      <c r="B7" s="427" t="s">
        <v>160</v>
      </c>
      <c r="C7" s="427">
        <v>1</v>
      </c>
      <c r="D7" s="427">
        <v>1</v>
      </c>
      <c r="E7" s="427">
        <v>2</v>
      </c>
      <c r="F7" s="844" t="s">
        <v>186</v>
      </c>
      <c r="G7" s="844" t="s">
        <v>187</v>
      </c>
      <c r="H7" s="845">
        <v>3</v>
      </c>
      <c r="I7" s="845"/>
      <c r="J7" s="845" t="s">
        <v>111</v>
      </c>
      <c r="K7" s="845" t="s">
        <v>190</v>
      </c>
      <c r="L7" s="845"/>
      <c r="M7" s="845" t="s">
        <v>573</v>
      </c>
      <c r="N7" s="845" t="s">
        <v>573</v>
      </c>
    </row>
    <row r="8" spans="1:21" s="131" customFormat="1" ht="21.75" customHeight="1">
      <c r="A8" s="846" t="s">
        <v>158</v>
      </c>
      <c r="B8" s="847" t="s">
        <v>159</v>
      </c>
      <c r="C8" s="848"/>
      <c r="D8" s="849">
        <v>319557</v>
      </c>
      <c r="E8" s="850">
        <v>319557</v>
      </c>
      <c r="F8" s="849">
        <v>338400</v>
      </c>
      <c r="G8" s="849">
        <v>338400</v>
      </c>
      <c r="H8" s="851">
        <f>2095150*20%</f>
        <v>419030</v>
      </c>
      <c r="I8" s="851">
        <v>440180</v>
      </c>
      <c r="J8" s="852">
        <v>113.43262411347517</v>
      </c>
      <c r="K8" s="849">
        <v>457100</v>
      </c>
      <c r="L8" s="853">
        <f t="shared" ref="L8:L17" si="0">K8/I8*100</f>
        <v>103.84388204825299</v>
      </c>
      <c r="M8" s="854">
        <v>457100</v>
      </c>
      <c r="N8" s="854">
        <v>457100</v>
      </c>
      <c r="O8" s="855"/>
      <c r="P8" s="855"/>
    </row>
    <row r="9" spans="1:21" s="131" customFormat="1" ht="21.75" customHeight="1">
      <c r="A9" s="856" t="s">
        <v>160</v>
      </c>
      <c r="B9" s="857" t="s">
        <v>161</v>
      </c>
      <c r="C9" s="858"/>
      <c r="D9" s="858"/>
      <c r="E9" s="858"/>
      <c r="F9" s="858"/>
      <c r="G9" s="858"/>
      <c r="H9" s="859"/>
      <c r="I9" s="859"/>
      <c r="J9" s="860"/>
      <c r="K9" s="859"/>
      <c r="L9" s="853"/>
      <c r="M9" s="861"/>
      <c r="N9" s="861"/>
    </row>
    <row r="10" spans="1:21" s="131" customFormat="1" ht="19.5" customHeight="1">
      <c r="A10" s="856" t="s">
        <v>162</v>
      </c>
      <c r="B10" s="857" t="s">
        <v>163</v>
      </c>
      <c r="C10" s="858"/>
      <c r="D10" s="858"/>
      <c r="E10" s="858"/>
      <c r="F10" s="858"/>
      <c r="G10" s="858"/>
      <c r="H10" s="859"/>
      <c r="I10" s="859"/>
      <c r="J10" s="860"/>
      <c r="K10" s="859"/>
      <c r="L10" s="853"/>
      <c r="M10" s="861"/>
      <c r="N10" s="861"/>
    </row>
    <row r="11" spans="1:21" s="837" customFormat="1">
      <c r="A11" s="856" t="s">
        <v>60</v>
      </c>
      <c r="B11" s="857" t="s">
        <v>164</v>
      </c>
      <c r="C11" s="849">
        <v>187500</v>
      </c>
      <c r="D11" s="849">
        <v>138500</v>
      </c>
      <c r="E11" s="849">
        <v>138500</v>
      </c>
      <c r="F11" s="849">
        <v>91500</v>
      </c>
      <c r="G11" s="849">
        <v>91500</v>
      </c>
      <c r="H11" s="851">
        <f>H13+H14+H23</f>
        <v>52587</v>
      </c>
      <c r="I11" s="851">
        <f t="shared" ref="I11:N11" si="1">I13+I14+I23</f>
        <v>49026.182380999999</v>
      </c>
      <c r="J11" s="851">
        <f t="shared" si="1"/>
        <v>57.923497267759558</v>
      </c>
      <c r="K11" s="851">
        <f t="shared" si="1"/>
        <v>57643.182380999999</v>
      </c>
      <c r="L11" s="853">
        <f t="shared" si="0"/>
        <v>117.57632265354503</v>
      </c>
      <c r="M11" s="854">
        <f t="shared" si="1"/>
        <v>106043.18238099999</v>
      </c>
      <c r="N11" s="854">
        <f t="shared" si="1"/>
        <v>210124.01571433333</v>
      </c>
    </row>
    <row r="12" spans="1:21" s="131" customFormat="1" ht="34.5" customHeight="1">
      <c r="A12" s="858"/>
      <c r="B12" s="862" t="s">
        <v>165</v>
      </c>
      <c r="C12" s="858"/>
      <c r="D12" s="863">
        <v>43.341250543721465</v>
      </c>
      <c r="E12" s="863">
        <v>43.341250543721465</v>
      </c>
      <c r="F12" s="863">
        <v>27.039007092198581</v>
      </c>
      <c r="G12" s="863">
        <v>27.039007092198581</v>
      </c>
      <c r="H12" s="864">
        <f>H11/H8*100</f>
        <v>12.549698112306995</v>
      </c>
      <c r="I12" s="864">
        <f t="shared" ref="I12:M12" si="2">I11/I8*100</f>
        <v>11.137757822027353</v>
      </c>
      <c r="J12" s="864">
        <f t="shared" si="2"/>
        <v>51.064231053858308</v>
      </c>
      <c r="K12" s="864">
        <f t="shared" si="2"/>
        <v>12.610628392255524</v>
      </c>
      <c r="L12" s="864"/>
      <c r="M12" s="864">
        <f t="shared" si="2"/>
        <v>23.199121063443446</v>
      </c>
      <c r="N12" s="864">
        <f>N11/N8*100</f>
        <v>45.968938025450299</v>
      </c>
    </row>
    <row r="13" spans="1:21" s="131" customFormat="1" ht="24" customHeight="1">
      <c r="A13" s="858">
        <v>1</v>
      </c>
      <c r="B13" s="865" t="s">
        <v>166</v>
      </c>
      <c r="C13" s="858"/>
      <c r="D13" s="858"/>
      <c r="E13" s="858"/>
      <c r="F13" s="858"/>
      <c r="G13" s="858"/>
      <c r="H13" s="859"/>
      <c r="I13" s="859"/>
      <c r="J13" s="866"/>
      <c r="K13" s="859"/>
      <c r="L13" s="853"/>
      <c r="M13" s="861"/>
      <c r="N13" s="861"/>
    </row>
    <row r="14" spans="1:21" s="131" customFormat="1" ht="21.75" customHeight="1">
      <c r="A14" s="858">
        <v>2</v>
      </c>
      <c r="B14" s="865" t="s">
        <v>216</v>
      </c>
      <c r="C14" s="858"/>
      <c r="D14" s="858"/>
      <c r="E14" s="858"/>
      <c r="F14" s="867"/>
      <c r="G14" s="867"/>
      <c r="H14" s="868">
        <f>SUM(H15:H22)</f>
        <v>46587</v>
      </c>
      <c r="I14" s="868">
        <f t="shared" ref="I14:N14" si="3">SUM(I15:I22)</f>
        <v>43026.182380999999</v>
      </c>
      <c r="J14" s="868">
        <f t="shared" si="3"/>
        <v>0</v>
      </c>
      <c r="K14" s="868">
        <f t="shared" si="3"/>
        <v>57643.182380999999</v>
      </c>
      <c r="L14" s="866">
        <f>K14/I14*100</f>
        <v>133.97233775138449</v>
      </c>
      <c r="M14" s="869">
        <f t="shared" si="3"/>
        <v>106043.18238099999</v>
      </c>
      <c r="N14" s="869">
        <f t="shared" si="3"/>
        <v>210124.01571433333</v>
      </c>
      <c r="O14" s="870"/>
      <c r="P14" s="870"/>
    </row>
    <row r="15" spans="1:21" s="131" customFormat="1" ht="21.75" customHeight="1">
      <c r="A15" s="858"/>
      <c r="B15" s="871" t="s">
        <v>732</v>
      </c>
      <c r="C15" s="859"/>
      <c r="D15" s="859"/>
      <c r="E15" s="859"/>
      <c r="F15" s="868"/>
      <c r="G15" s="868"/>
      <c r="H15" s="868">
        <v>20118</v>
      </c>
      <c r="I15" s="868">
        <v>20118.182380999999</v>
      </c>
      <c r="J15" s="866"/>
      <c r="K15" s="868">
        <f>I62</f>
        <v>24230.182380999999</v>
      </c>
      <c r="L15" s="866">
        <f t="shared" si="0"/>
        <v>120.43922220271475</v>
      </c>
      <c r="M15" s="869">
        <f>K62</f>
        <v>26480.182380999999</v>
      </c>
      <c r="N15" s="869">
        <f>M62</f>
        <v>26480.182380999999</v>
      </c>
    </row>
    <row r="16" spans="1:21" s="131" customFormat="1" ht="41.25" customHeight="1">
      <c r="A16" s="858"/>
      <c r="B16" s="871" t="s">
        <v>733</v>
      </c>
      <c r="C16" s="859"/>
      <c r="D16" s="859"/>
      <c r="E16" s="859"/>
      <c r="F16" s="868"/>
      <c r="G16" s="868"/>
      <c r="H16" s="868">
        <v>12512</v>
      </c>
      <c r="I16" s="868">
        <v>12512</v>
      </c>
      <c r="J16" s="866"/>
      <c r="K16" s="868">
        <f t="shared" ref="K16:K22" si="4">I63</f>
        <v>14194</v>
      </c>
      <c r="L16" s="866">
        <f t="shared" si="0"/>
        <v>113.44309462915601</v>
      </c>
      <c r="M16" s="869">
        <f>K63</f>
        <v>16065</v>
      </c>
      <c r="N16" s="869">
        <f t="shared" ref="N16:N23" si="5">M63</f>
        <v>16065</v>
      </c>
    </row>
    <row r="17" spans="1:18" s="131" customFormat="1" ht="36" customHeight="1">
      <c r="A17" s="858"/>
      <c r="B17" s="871" t="s">
        <v>734</v>
      </c>
      <c r="C17" s="859"/>
      <c r="D17" s="859"/>
      <c r="E17" s="859"/>
      <c r="F17" s="868"/>
      <c r="G17" s="868"/>
      <c r="H17" s="868">
        <v>13957</v>
      </c>
      <c r="I17" s="868">
        <v>10396</v>
      </c>
      <c r="J17" s="866"/>
      <c r="K17" s="868">
        <f t="shared" si="4"/>
        <v>19219</v>
      </c>
      <c r="L17" s="866">
        <f t="shared" si="0"/>
        <v>184.86918045402078</v>
      </c>
      <c r="M17" s="869">
        <f t="shared" ref="M17:M23" si="6">K64</f>
        <v>63498</v>
      </c>
      <c r="N17" s="869">
        <f t="shared" si="5"/>
        <v>63498</v>
      </c>
      <c r="P17" s="870"/>
    </row>
    <row r="18" spans="1:18" s="131" customFormat="1" ht="33.75" customHeight="1">
      <c r="A18" s="858"/>
      <c r="B18" s="872" t="s">
        <v>735</v>
      </c>
      <c r="C18" s="859"/>
      <c r="D18" s="859"/>
      <c r="E18" s="859"/>
      <c r="F18" s="868"/>
      <c r="G18" s="868"/>
      <c r="H18" s="868">
        <v>0</v>
      </c>
      <c r="I18" s="868">
        <v>0</v>
      </c>
      <c r="J18" s="866"/>
      <c r="K18" s="868">
        <f t="shared" si="4"/>
        <v>0</v>
      </c>
      <c r="L18" s="866"/>
      <c r="M18" s="869">
        <f t="shared" si="6"/>
        <v>0</v>
      </c>
      <c r="N18" s="869">
        <f t="shared" si="5"/>
        <v>20198.333333333332</v>
      </c>
    </row>
    <row r="19" spans="1:18" s="131" customFormat="1" ht="38.25" customHeight="1">
      <c r="A19" s="858"/>
      <c r="B19" s="872" t="s">
        <v>736</v>
      </c>
      <c r="C19" s="859"/>
      <c r="D19" s="859"/>
      <c r="E19" s="859"/>
      <c r="F19" s="868"/>
      <c r="G19" s="868"/>
      <c r="H19" s="868">
        <v>0</v>
      </c>
      <c r="I19" s="868"/>
      <c r="J19" s="866"/>
      <c r="K19" s="868">
        <f t="shared" si="4"/>
        <v>0</v>
      </c>
      <c r="L19" s="866"/>
      <c r="M19" s="869">
        <f t="shared" si="6"/>
        <v>0</v>
      </c>
      <c r="N19" s="869">
        <f t="shared" si="5"/>
        <v>17325</v>
      </c>
    </row>
    <row r="20" spans="1:18" s="131" customFormat="1" ht="51.75" customHeight="1">
      <c r="A20" s="858"/>
      <c r="B20" s="871" t="s">
        <v>737</v>
      </c>
      <c r="C20" s="859"/>
      <c r="D20" s="859"/>
      <c r="E20" s="859"/>
      <c r="F20" s="868"/>
      <c r="G20" s="868"/>
      <c r="H20" s="868">
        <v>0</v>
      </c>
      <c r="I20" s="868"/>
      <c r="J20" s="866"/>
      <c r="K20" s="868">
        <f t="shared" si="4"/>
        <v>0</v>
      </c>
      <c r="L20" s="866"/>
      <c r="M20" s="869">
        <f t="shared" si="6"/>
        <v>0</v>
      </c>
      <c r="N20" s="869">
        <f t="shared" si="5"/>
        <v>28590.25</v>
      </c>
    </row>
    <row r="21" spans="1:18" s="131" customFormat="1" ht="55.5" customHeight="1">
      <c r="A21" s="858"/>
      <c r="B21" s="871" t="s">
        <v>738</v>
      </c>
      <c r="C21" s="859"/>
      <c r="D21" s="859"/>
      <c r="E21" s="859"/>
      <c r="F21" s="868"/>
      <c r="G21" s="868"/>
      <c r="H21" s="868">
        <v>0</v>
      </c>
      <c r="I21" s="868"/>
      <c r="J21" s="866"/>
      <c r="K21" s="868">
        <f t="shared" si="4"/>
        <v>0</v>
      </c>
      <c r="L21" s="866"/>
      <c r="M21" s="869">
        <f t="shared" si="6"/>
        <v>0</v>
      </c>
      <c r="N21" s="869">
        <f t="shared" si="5"/>
        <v>18225</v>
      </c>
    </row>
    <row r="22" spans="1:18" s="131" customFormat="1" ht="36" customHeight="1">
      <c r="A22" s="858"/>
      <c r="B22" s="871" t="s">
        <v>739</v>
      </c>
      <c r="C22" s="859"/>
      <c r="D22" s="859"/>
      <c r="E22" s="859"/>
      <c r="F22" s="868"/>
      <c r="G22" s="868"/>
      <c r="H22" s="868">
        <v>0</v>
      </c>
      <c r="I22" s="868"/>
      <c r="J22" s="866"/>
      <c r="K22" s="868">
        <f t="shared" si="4"/>
        <v>0</v>
      </c>
      <c r="L22" s="866"/>
      <c r="M22" s="869">
        <f t="shared" si="6"/>
        <v>0</v>
      </c>
      <c r="N22" s="869">
        <f t="shared" si="5"/>
        <v>19742.25</v>
      </c>
    </row>
    <row r="23" spans="1:18" s="131" customFormat="1" ht="36.75" customHeight="1">
      <c r="A23" s="858">
        <v>3</v>
      </c>
      <c r="B23" s="871" t="s">
        <v>217</v>
      </c>
      <c r="C23" s="868">
        <v>187500</v>
      </c>
      <c r="D23" s="868">
        <v>138500</v>
      </c>
      <c r="E23" s="868">
        <v>138500</v>
      </c>
      <c r="F23" s="868">
        <v>91500</v>
      </c>
      <c r="G23" s="868">
        <v>91500</v>
      </c>
      <c r="H23" s="868">
        <v>6000</v>
      </c>
      <c r="I23" s="868">
        <v>6000</v>
      </c>
      <c r="J23" s="866">
        <v>57.923497267759558</v>
      </c>
      <c r="K23" s="868">
        <v>0</v>
      </c>
      <c r="L23" s="866">
        <v>0</v>
      </c>
      <c r="M23" s="869">
        <f t="shared" si="6"/>
        <v>0</v>
      </c>
      <c r="N23" s="869">
        <f t="shared" si="5"/>
        <v>0</v>
      </c>
    </row>
    <row r="24" spans="1:18" s="837" customFormat="1" ht="21.75" customHeight="1">
      <c r="A24" s="856" t="s">
        <v>103</v>
      </c>
      <c r="B24" s="857" t="s">
        <v>218</v>
      </c>
      <c r="C24" s="873">
        <v>49000</v>
      </c>
      <c r="D24" s="873">
        <v>47000</v>
      </c>
      <c r="E24" s="873">
        <v>47000</v>
      </c>
      <c r="F24" s="849">
        <v>38500</v>
      </c>
      <c r="G24" s="849">
        <v>38500</v>
      </c>
      <c r="H24" s="851">
        <f>H25+H31</f>
        <v>13100</v>
      </c>
      <c r="I24" s="851">
        <f t="shared" ref="I24:N24" si="7">I25+I31</f>
        <v>8835</v>
      </c>
      <c r="J24" s="851">
        <f t="shared" si="7"/>
        <v>75.324675324675326</v>
      </c>
      <c r="K24" s="851">
        <f t="shared" si="7"/>
        <v>8600</v>
      </c>
      <c r="L24" s="874">
        <f>K24/I24*100</f>
        <v>97.340124504810404</v>
      </c>
      <c r="M24" s="851">
        <f t="shared" si="7"/>
        <v>8600</v>
      </c>
      <c r="N24" s="851">
        <f t="shared" si="7"/>
        <v>8600</v>
      </c>
    </row>
    <row r="25" spans="1:18" s="837" customFormat="1" ht="20.25" customHeight="1">
      <c r="A25" s="856">
        <v>1</v>
      </c>
      <c r="B25" s="857" t="s">
        <v>167</v>
      </c>
      <c r="C25" s="849">
        <v>49000</v>
      </c>
      <c r="D25" s="849">
        <v>47000</v>
      </c>
      <c r="E25" s="849">
        <v>47000</v>
      </c>
      <c r="F25" s="849">
        <v>38500</v>
      </c>
      <c r="G25" s="849">
        <v>38500</v>
      </c>
      <c r="H25" s="851">
        <f>H26+H30</f>
        <v>7100</v>
      </c>
      <c r="I25" s="851">
        <f>I26+I30</f>
        <v>0</v>
      </c>
      <c r="J25" s="851">
        <f>J26+J30</f>
        <v>75.324675324675326</v>
      </c>
      <c r="K25" s="851">
        <f>K26+K30</f>
        <v>8600</v>
      </c>
      <c r="L25" s="874">
        <v>0</v>
      </c>
      <c r="M25" s="851">
        <f>M26+M30</f>
        <v>8600</v>
      </c>
      <c r="N25" s="851">
        <f>N26+N30</f>
        <v>8600</v>
      </c>
    </row>
    <row r="26" spans="1:18" s="131" customFormat="1" ht="21.75" customHeight="1">
      <c r="A26" s="875" t="s">
        <v>820</v>
      </c>
      <c r="B26" s="865" t="s">
        <v>216</v>
      </c>
      <c r="C26" s="858"/>
      <c r="D26" s="858"/>
      <c r="E26" s="858"/>
      <c r="F26" s="858"/>
      <c r="G26" s="876"/>
      <c r="H26" s="868">
        <f>H27+H29+H28</f>
        <v>7100</v>
      </c>
      <c r="I26" s="868">
        <f>I27+I29+I28</f>
        <v>0</v>
      </c>
      <c r="J26" s="877">
        <f>J27+J29+J28</f>
        <v>0</v>
      </c>
      <c r="K26" s="868">
        <f>K27+K29+K28</f>
        <v>8600</v>
      </c>
      <c r="L26" s="866"/>
      <c r="M26" s="869">
        <f>M27+M29+M28</f>
        <v>8600</v>
      </c>
      <c r="N26" s="869">
        <f>N27+N29+N28</f>
        <v>8600</v>
      </c>
    </row>
    <row r="27" spans="1:18" s="131" customFormat="1" ht="21.75" customHeight="1">
      <c r="A27" s="875" t="s">
        <v>220</v>
      </c>
      <c r="B27" s="865" t="s">
        <v>221</v>
      </c>
      <c r="C27" s="858"/>
      <c r="D27" s="858"/>
      <c r="E27" s="858"/>
      <c r="F27" s="858"/>
      <c r="G27" s="876"/>
      <c r="H27" s="868">
        <v>4260</v>
      </c>
      <c r="I27" s="868">
        <v>0</v>
      </c>
      <c r="J27" s="878"/>
      <c r="K27" s="878">
        <v>2000</v>
      </c>
      <c r="L27" s="866"/>
      <c r="M27" s="879">
        <v>2000</v>
      </c>
      <c r="N27" s="879">
        <v>2000</v>
      </c>
    </row>
    <row r="28" spans="1:18" s="131" customFormat="1" ht="34.5" customHeight="1">
      <c r="A28" s="875" t="s">
        <v>220</v>
      </c>
      <c r="B28" s="865" t="s">
        <v>223</v>
      </c>
      <c r="C28" s="858"/>
      <c r="D28" s="858"/>
      <c r="E28" s="858"/>
      <c r="F28" s="858"/>
      <c r="G28" s="876"/>
      <c r="H28" s="868">
        <v>2840</v>
      </c>
      <c r="I28" s="868">
        <v>0</v>
      </c>
      <c r="J28" s="878"/>
      <c r="K28" s="878">
        <v>1300</v>
      </c>
      <c r="L28" s="866"/>
      <c r="M28" s="879">
        <v>1300</v>
      </c>
      <c r="N28" s="879">
        <v>1300</v>
      </c>
    </row>
    <row r="29" spans="1:18" s="131" customFormat="1" ht="35.25" customHeight="1">
      <c r="A29" s="875" t="s">
        <v>220</v>
      </c>
      <c r="B29" s="865" t="s">
        <v>222</v>
      </c>
      <c r="C29" s="858"/>
      <c r="D29" s="858"/>
      <c r="E29" s="858"/>
      <c r="F29" s="858"/>
      <c r="G29" s="876"/>
      <c r="H29" s="878">
        <v>0</v>
      </c>
      <c r="I29" s="868">
        <v>0</v>
      </c>
      <c r="J29" s="878"/>
      <c r="K29" s="878">
        <v>5300</v>
      </c>
      <c r="L29" s="866"/>
      <c r="M29" s="879">
        <v>5300</v>
      </c>
      <c r="N29" s="879">
        <v>5300</v>
      </c>
    </row>
    <row r="30" spans="1:18" s="131" customFormat="1" ht="34.5" customHeight="1">
      <c r="A30" s="875" t="s">
        <v>821</v>
      </c>
      <c r="B30" s="865" t="s">
        <v>217</v>
      </c>
      <c r="C30" s="867">
        <v>49000</v>
      </c>
      <c r="D30" s="867">
        <v>47000</v>
      </c>
      <c r="E30" s="867">
        <v>47000</v>
      </c>
      <c r="F30" s="867">
        <v>38500</v>
      </c>
      <c r="G30" s="867">
        <v>38500</v>
      </c>
      <c r="H30" s="878">
        <v>0</v>
      </c>
      <c r="I30" s="868">
        <v>0</v>
      </c>
      <c r="J30" s="866">
        <v>75.324675324675326</v>
      </c>
      <c r="K30" s="868">
        <v>0</v>
      </c>
      <c r="L30" s="866">
        <v>0</v>
      </c>
      <c r="M30" s="869">
        <v>0</v>
      </c>
      <c r="N30" s="869">
        <v>0</v>
      </c>
    </row>
    <row r="31" spans="1:18" s="837" customFormat="1" ht="21.75" customHeight="1">
      <c r="A31" s="856">
        <v>2</v>
      </c>
      <c r="B31" s="857" t="s">
        <v>818</v>
      </c>
      <c r="C31" s="849">
        <v>0</v>
      </c>
      <c r="D31" s="849">
        <v>47000</v>
      </c>
      <c r="E31" s="849">
        <v>47000</v>
      </c>
      <c r="F31" s="849">
        <v>38500</v>
      </c>
      <c r="G31" s="849">
        <v>38500</v>
      </c>
      <c r="H31" s="851">
        <f>H32</f>
        <v>6000</v>
      </c>
      <c r="I31" s="851">
        <f t="shared" ref="I31:N31" si="8">I32</f>
        <v>8835</v>
      </c>
      <c r="J31" s="851">
        <f t="shared" si="8"/>
        <v>0</v>
      </c>
      <c r="K31" s="851">
        <f t="shared" si="8"/>
        <v>0</v>
      </c>
      <c r="L31" s="851">
        <f t="shared" si="8"/>
        <v>0</v>
      </c>
      <c r="M31" s="851">
        <f t="shared" si="8"/>
        <v>0</v>
      </c>
      <c r="N31" s="851">
        <f t="shared" si="8"/>
        <v>0</v>
      </c>
      <c r="O31" s="880"/>
      <c r="P31" s="880"/>
      <c r="Q31" s="880"/>
      <c r="R31" s="880"/>
    </row>
    <row r="32" spans="1:18" s="881" customFormat="1" ht="37.5" customHeight="1">
      <c r="A32" s="858" t="s">
        <v>176</v>
      </c>
      <c r="B32" s="865" t="s">
        <v>819</v>
      </c>
      <c r="C32" s="867"/>
      <c r="D32" s="867"/>
      <c r="E32" s="867">
        <v>47000</v>
      </c>
      <c r="F32" s="867">
        <v>27200</v>
      </c>
      <c r="G32" s="867">
        <v>27200</v>
      </c>
      <c r="H32" s="868">
        <f>SUM(H33:H41)</f>
        <v>6000</v>
      </c>
      <c r="I32" s="868">
        <f t="shared" ref="I32:N32" si="9">SUM(I33:I41)</f>
        <v>8835</v>
      </c>
      <c r="J32" s="868">
        <f t="shared" si="9"/>
        <v>0</v>
      </c>
      <c r="K32" s="868">
        <f t="shared" si="9"/>
        <v>0</v>
      </c>
      <c r="L32" s="866">
        <f>K32/I32*100</f>
        <v>0</v>
      </c>
      <c r="M32" s="869">
        <f t="shared" si="9"/>
        <v>0</v>
      </c>
      <c r="N32" s="869">
        <f t="shared" si="9"/>
        <v>0</v>
      </c>
    </row>
    <row r="33" spans="1:19" s="883" customFormat="1" ht="22.5" customHeight="1">
      <c r="A33" s="858"/>
      <c r="B33" s="865" t="s">
        <v>732</v>
      </c>
      <c r="C33" s="867"/>
      <c r="D33" s="867"/>
      <c r="E33" s="867"/>
      <c r="F33" s="867"/>
      <c r="G33" s="867"/>
      <c r="H33" s="868">
        <v>0</v>
      </c>
      <c r="I33" s="868">
        <v>1929</v>
      </c>
      <c r="J33" s="866"/>
      <c r="K33" s="868">
        <v>0</v>
      </c>
      <c r="L33" s="868">
        <v>0</v>
      </c>
      <c r="M33" s="868">
        <v>0</v>
      </c>
      <c r="N33" s="868">
        <v>0</v>
      </c>
      <c r="O33" s="882"/>
      <c r="P33" s="882"/>
      <c r="Q33" s="882"/>
      <c r="R33" s="882"/>
      <c r="S33" s="882"/>
    </row>
    <row r="34" spans="1:19" s="883" customFormat="1" ht="33.75" customHeight="1">
      <c r="A34" s="858"/>
      <c r="B34" s="884" t="s">
        <v>733</v>
      </c>
      <c r="C34" s="867"/>
      <c r="D34" s="867"/>
      <c r="E34" s="867"/>
      <c r="F34" s="867"/>
      <c r="G34" s="867"/>
      <c r="H34" s="868">
        <v>0</v>
      </c>
      <c r="I34" s="868">
        <v>906</v>
      </c>
      <c r="J34" s="866"/>
      <c r="K34" s="868">
        <v>0</v>
      </c>
      <c r="L34" s="868">
        <v>0</v>
      </c>
      <c r="M34" s="868">
        <v>0</v>
      </c>
      <c r="N34" s="868">
        <v>0</v>
      </c>
      <c r="O34" s="882"/>
      <c r="P34" s="882"/>
      <c r="Q34" s="882"/>
      <c r="R34" s="882"/>
      <c r="S34" s="882"/>
    </row>
    <row r="35" spans="1:19" s="883" customFormat="1" ht="30.75" hidden="1" customHeight="1" outlineLevel="1">
      <c r="A35" s="858"/>
      <c r="B35" s="884" t="s">
        <v>734</v>
      </c>
      <c r="C35" s="867"/>
      <c r="D35" s="867"/>
      <c r="E35" s="867"/>
      <c r="F35" s="867"/>
      <c r="G35" s="867"/>
      <c r="H35" s="868"/>
      <c r="I35" s="868"/>
      <c r="J35" s="866"/>
      <c r="K35" s="868">
        <v>0</v>
      </c>
      <c r="L35" s="868">
        <v>0</v>
      </c>
      <c r="M35" s="868">
        <v>0</v>
      </c>
      <c r="N35" s="868">
        <v>0</v>
      </c>
      <c r="O35" s="882"/>
      <c r="P35" s="882"/>
      <c r="Q35" s="882"/>
      <c r="R35" s="882"/>
      <c r="S35" s="882"/>
    </row>
    <row r="36" spans="1:19" s="883" customFormat="1" ht="39" hidden="1" customHeight="1" outlineLevel="1">
      <c r="A36" s="858"/>
      <c r="B36" s="872" t="s">
        <v>735</v>
      </c>
      <c r="C36" s="867"/>
      <c r="D36" s="867"/>
      <c r="E36" s="867"/>
      <c r="F36" s="867"/>
      <c r="G36" s="867"/>
      <c r="H36" s="868"/>
      <c r="I36" s="868"/>
      <c r="J36" s="866"/>
      <c r="K36" s="868">
        <v>0</v>
      </c>
      <c r="L36" s="868">
        <v>0</v>
      </c>
      <c r="M36" s="868">
        <v>0</v>
      </c>
      <c r="N36" s="868">
        <v>0</v>
      </c>
    </row>
    <row r="37" spans="1:19" s="889" customFormat="1" ht="39" hidden="1" customHeight="1" outlineLevel="1">
      <c r="A37" s="885"/>
      <c r="B37" s="872" t="s">
        <v>736</v>
      </c>
      <c r="C37" s="886"/>
      <c r="D37" s="886"/>
      <c r="E37" s="886"/>
      <c r="F37" s="886"/>
      <c r="G37" s="886"/>
      <c r="H37" s="887"/>
      <c r="I37" s="887"/>
      <c r="J37" s="888"/>
      <c r="K37" s="868">
        <v>0</v>
      </c>
      <c r="L37" s="868">
        <v>0</v>
      </c>
      <c r="M37" s="868">
        <v>0</v>
      </c>
      <c r="N37" s="868">
        <v>0</v>
      </c>
    </row>
    <row r="38" spans="1:19" s="889" customFormat="1" ht="48" hidden="1" customHeight="1" outlineLevel="1">
      <c r="A38" s="885"/>
      <c r="B38" s="871" t="s">
        <v>737</v>
      </c>
      <c r="C38" s="886"/>
      <c r="D38" s="886"/>
      <c r="E38" s="886"/>
      <c r="F38" s="886"/>
      <c r="G38" s="886"/>
      <c r="H38" s="887"/>
      <c r="I38" s="887"/>
      <c r="J38" s="888"/>
      <c r="K38" s="868">
        <v>0</v>
      </c>
      <c r="L38" s="868">
        <v>0</v>
      </c>
      <c r="M38" s="868">
        <v>0</v>
      </c>
      <c r="N38" s="868">
        <v>0</v>
      </c>
    </row>
    <row r="39" spans="1:19" s="889" customFormat="1" ht="48" hidden="1" customHeight="1" outlineLevel="1">
      <c r="A39" s="885"/>
      <c r="B39" s="871" t="s">
        <v>738</v>
      </c>
      <c r="C39" s="886"/>
      <c r="D39" s="886"/>
      <c r="E39" s="886"/>
      <c r="F39" s="886"/>
      <c r="G39" s="886"/>
      <c r="H39" s="887"/>
      <c r="I39" s="887"/>
      <c r="J39" s="888"/>
      <c r="K39" s="868">
        <v>0</v>
      </c>
      <c r="L39" s="868">
        <v>0</v>
      </c>
      <c r="M39" s="868">
        <v>0</v>
      </c>
      <c r="N39" s="868">
        <v>0</v>
      </c>
    </row>
    <row r="40" spans="1:19" s="889" customFormat="1" ht="38.25" hidden="1" customHeight="1" outlineLevel="1">
      <c r="A40" s="885"/>
      <c r="B40" s="871" t="s">
        <v>739</v>
      </c>
      <c r="C40" s="886"/>
      <c r="D40" s="886"/>
      <c r="E40" s="886"/>
      <c r="F40" s="886"/>
      <c r="G40" s="886"/>
      <c r="H40" s="887"/>
      <c r="I40" s="887"/>
      <c r="J40" s="888"/>
      <c r="K40" s="868">
        <v>0</v>
      </c>
      <c r="L40" s="868">
        <v>0</v>
      </c>
      <c r="M40" s="868">
        <v>0</v>
      </c>
      <c r="N40" s="868">
        <v>0</v>
      </c>
    </row>
    <row r="41" spans="1:19" s="889" customFormat="1" ht="38.25" customHeight="1" collapsed="1">
      <c r="A41" s="885"/>
      <c r="B41" s="865" t="s">
        <v>217</v>
      </c>
      <c r="C41" s="886"/>
      <c r="D41" s="886"/>
      <c r="E41" s="886"/>
      <c r="F41" s="886"/>
      <c r="G41" s="886"/>
      <c r="H41" s="868">
        <v>6000</v>
      </c>
      <c r="I41" s="868">
        <v>6000</v>
      </c>
      <c r="J41" s="866"/>
      <c r="K41" s="868">
        <v>0</v>
      </c>
      <c r="L41" s="868">
        <v>0</v>
      </c>
      <c r="M41" s="868">
        <v>0</v>
      </c>
      <c r="N41" s="868">
        <v>0</v>
      </c>
    </row>
    <row r="42" spans="1:19" s="837" customFormat="1" ht="21.75" customHeight="1">
      <c r="A42" s="856" t="s">
        <v>104</v>
      </c>
      <c r="B42" s="857" t="s">
        <v>168</v>
      </c>
      <c r="C42" s="849">
        <v>0</v>
      </c>
      <c r="D42" s="849">
        <v>0</v>
      </c>
      <c r="E42" s="849">
        <v>0</v>
      </c>
      <c r="F42" s="849">
        <v>18800</v>
      </c>
      <c r="G42" s="849">
        <v>6300</v>
      </c>
      <c r="H42" s="851">
        <f>H43+H57</f>
        <v>91000</v>
      </c>
      <c r="I42" s="851">
        <f t="shared" ref="I42:N42" si="10">I43+I57</f>
        <v>17452</v>
      </c>
      <c r="J42" s="851">
        <f t="shared" si="10"/>
        <v>3535.1851851851852</v>
      </c>
      <c r="K42" s="851">
        <f t="shared" si="10"/>
        <v>57000</v>
      </c>
      <c r="L42" s="853">
        <f>K42/I42*100</f>
        <v>326.61013064405228</v>
      </c>
      <c r="M42" s="851">
        <f t="shared" si="10"/>
        <v>112680.83333333333</v>
      </c>
      <c r="N42" s="851">
        <f t="shared" si="10"/>
        <v>112680.83333333333</v>
      </c>
      <c r="O42" s="890"/>
      <c r="P42" s="890"/>
      <c r="Q42" s="890"/>
    </row>
    <row r="43" spans="1:19" s="131" customFormat="1" ht="21.75" customHeight="1">
      <c r="A43" s="858">
        <v>1</v>
      </c>
      <c r="B43" s="865" t="s">
        <v>216</v>
      </c>
      <c r="C43" s="876">
        <v>0</v>
      </c>
      <c r="D43" s="867">
        <v>0</v>
      </c>
      <c r="E43" s="867">
        <v>0</v>
      </c>
      <c r="F43" s="867">
        <v>18800</v>
      </c>
      <c r="G43" s="867">
        <v>6300</v>
      </c>
      <c r="H43" s="868">
        <f>H44+H53</f>
        <v>91000</v>
      </c>
      <c r="I43" s="868">
        <f t="shared" ref="I43:J43" si="11">SUM(I45:I52)</f>
        <v>17452</v>
      </c>
      <c r="J43" s="868">
        <f t="shared" si="11"/>
        <v>3535.1851851851852</v>
      </c>
      <c r="K43" s="868">
        <f>K44+K53</f>
        <v>57000</v>
      </c>
      <c r="L43" s="866">
        <f>K43/I43*100</f>
        <v>326.61013064405228</v>
      </c>
      <c r="M43" s="869">
        <f>M44+M53</f>
        <v>112680.83333333333</v>
      </c>
      <c r="N43" s="869">
        <f>N44+N53</f>
        <v>112680.83333333333</v>
      </c>
    </row>
    <row r="44" spans="1:19" s="426" customFormat="1" ht="21.75" customHeight="1">
      <c r="A44" s="891" t="s">
        <v>759</v>
      </c>
      <c r="B44" s="892" t="s">
        <v>760</v>
      </c>
      <c r="C44" s="893"/>
      <c r="D44" s="894"/>
      <c r="E44" s="894"/>
      <c r="F44" s="894"/>
      <c r="G44" s="894"/>
      <c r="H44" s="869">
        <f>SUM(H45:H52)</f>
        <v>83900</v>
      </c>
      <c r="I44" s="869">
        <f t="shared" ref="I44:N44" si="12">SUM(I45:I52)</f>
        <v>17452</v>
      </c>
      <c r="J44" s="869">
        <f t="shared" si="12"/>
        <v>3535.1851851851852</v>
      </c>
      <c r="K44" s="869">
        <f t="shared" si="12"/>
        <v>48400</v>
      </c>
      <c r="L44" s="895">
        <f t="shared" ref="L44:L47" si="13">K44/I44*100</f>
        <v>277.33211093284439</v>
      </c>
      <c r="M44" s="869">
        <f t="shared" si="12"/>
        <v>104080.83333333333</v>
      </c>
      <c r="N44" s="869">
        <f t="shared" si="12"/>
        <v>104080.83333333333</v>
      </c>
    </row>
    <row r="45" spans="1:19" s="131" customFormat="1" ht="21.75" customHeight="1">
      <c r="A45" s="858"/>
      <c r="B45" s="884" t="s">
        <v>732</v>
      </c>
      <c r="C45" s="876"/>
      <c r="D45" s="867"/>
      <c r="E45" s="867"/>
      <c r="F45" s="867"/>
      <c r="G45" s="867"/>
      <c r="H45" s="868">
        <v>8354</v>
      </c>
      <c r="I45" s="868">
        <v>6041</v>
      </c>
      <c r="J45" s="868"/>
      <c r="K45" s="868">
        <v>2250</v>
      </c>
      <c r="L45" s="866">
        <f t="shared" si="13"/>
        <v>37.245489157424267</v>
      </c>
      <c r="M45" s="869"/>
      <c r="N45" s="869"/>
    </row>
    <row r="46" spans="1:19" s="131" customFormat="1" ht="33.75" customHeight="1">
      <c r="A46" s="858"/>
      <c r="B46" s="884" t="s">
        <v>733</v>
      </c>
      <c r="C46" s="876"/>
      <c r="D46" s="867"/>
      <c r="E46" s="867"/>
      <c r="F46" s="867"/>
      <c r="G46" s="867"/>
      <c r="H46" s="868">
        <v>4488</v>
      </c>
      <c r="I46" s="868">
        <v>2588</v>
      </c>
      <c r="J46" s="868"/>
      <c r="K46" s="868">
        <v>1871</v>
      </c>
      <c r="L46" s="866">
        <f t="shared" si="13"/>
        <v>72.295208655332303</v>
      </c>
      <c r="M46" s="869"/>
      <c r="N46" s="869"/>
    </row>
    <row r="47" spans="1:19" s="131" customFormat="1" ht="35.25" customHeight="1">
      <c r="A47" s="858"/>
      <c r="B47" s="884" t="s">
        <v>734</v>
      </c>
      <c r="C47" s="876"/>
      <c r="D47" s="867"/>
      <c r="E47" s="867"/>
      <c r="F47" s="867"/>
      <c r="G47" s="867"/>
      <c r="H47" s="868">
        <v>56000</v>
      </c>
      <c r="I47" s="868">
        <v>8823</v>
      </c>
      <c r="J47" s="868"/>
      <c r="K47" s="868">
        <v>44279</v>
      </c>
      <c r="L47" s="866">
        <f t="shared" si="13"/>
        <v>501.85877819335826</v>
      </c>
      <c r="M47" s="869"/>
      <c r="N47" s="869"/>
    </row>
    <row r="48" spans="1:19" s="131" customFormat="1" ht="38.25" customHeight="1">
      <c r="A48" s="858"/>
      <c r="B48" s="872" t="s">
        <v>735</v>
      </c>
      <c r="C48" s="876"/>
      <c r="D48" s="867"/>
      <c r="E48" s="867"/>
      <c r="F48" s="867"/>
      <c r="G48" s="867"/>
      <c r="H48" s="868">
        <v>15058</v>
      </c>
      <c r="I48" s="868"/>
      <c r="J48" s="868"/>
      <c r="K48" s="868"/>
      <c r="L48" s="866">
        <f>IF(I48=0,0,K48/I48*100)</f>
        <v>0</v>
      </c>
      <c r="M48" s="869">
        <v>20198.333333333332</v>
      </c>
      <c r="N48" s="869">
        <v>20198.333333333332</v>
      </c>
    </row>
    <row r="49" spans="1:17" s="131" customFormat="1" ht="35.25" customHeight="1">
      <c r="A49" s="858"/>
      <c r="B49" s="872" t="s">
        <v>736</v>
      </c>
      <c r="C49" s="876"/>
      <c r="D49" s="867"/>
      <c r="E49" s="867"/>
      <c r="F49" s="867"/>
      <c r="G49" s="867"/>
      <c r="H49" s="868"/>
      <c r="I49" s="868"/>
      <c r="J49" s="868"/>
      <c r="K49" s="868"/>
      <c r="L49" s="866">
        <f t="shared" ref="L49:L57" si="14">IF(I49=0,0,K49/I49*100)</f>
        <v>0</v>
      </c>
      <c r="M49" s="869">
        <v>17325</v>
      </c>
      <c r="N49" s="869">
        <v>17325</v>
      </c>
    </row>
    <row r="50" spans="1:17" s="131" customFormat="1" ht="47.25" customHeight="1">
      <c r="A50" s="875" t="s">
        <v>220</v>
      </c>
      <c r="B50" s="871" t="s">
        <v>737</v>
      </c>
      <c r="C50" s="896"/>
      <c r="D50" s="897"/>
      <c r="E50" s="897"/>
      <c r="F50" s="897">
        <v>4100</v>
      </c>
      <c r="G50" s="897">
        <v>3300</v>
      </c>
      <c r="H50" s="898"/>
      <c r="I50" s="898"/>
      <c r="J50" s="866">
        <v>350</v>
      </c>
      <c r="K50" s="899"/>
      <c r="L50" s="866">
        <f t="shared" si="14"/>
        <v>0</v>
      </c>
      <c r="M50" s="900">
        <v>28590.25</v>
      </c>
      <c r="N50" s="900">
        <v>28590.25</v>
      </c>
    </row>
    <row r="51" spans="1:17" s="131" customFormat="1" ht="51.75" customHeight="1">
      <c r="A51" s="875" t="s">
        <v>220</v>
      </c>
      <c r="B51" s="871" t="s">
        <v>738</v>
      </c>
      <c r="C51" s="896"/>
      <c r="D51" s="896"/>
      <c r="E51" s="896"/>
      <c r="F51" s="896">
        <v>12000</v>
      </c>
      <c r="G51" s="896">
        <v>300</v>
      </c>
      <c r="H51" s="898"/>
      <c r="I51" s="898"/>
      <c r="J51" s="866">
        <v>3000</v>
      </c>
      <c r="K51" s="898"/>
      <c r="L51" s="866">
        <f t="shared" si="14"/>
        <v>0</v>
      </c>
      <c r="M51" s="901">
        <v>18225</v>
      </c>
      <c r="N51" s="901">
        <v>18225</v>
      </c>
    </row>
    <row r="52" spans="1:17" s="131" customFormat="1" ht="36" customHeight="1">
      <c r="A52" s="875" t="s">
        <v>220</v>
      </c>
      <c r="B52" s="871" t="s">
        <v>739</v>
      </c>
      <c r="C52" s="896"/>
      <c r="D52" s="896"/>
      <c r="E52" s="896"/>
      <c r="F52" s="896">
        <v>2700</v>
      </c>
      <c r="G52" s="896">
        <v>2700</v>
      </c>
      <c r="H52" s="898"/>
      <c r="I52" s="898"/>
      <c r="J52" s="866">
        <v>185.18518518518519</v>
      </c>
      <c r="K52" s="898"/>
      <c r="L52" s="866">
        <f t="shared" si="14"/>
        <v>0</v>
      </c>
      <c r="M52" s="901">
        <v>19742.25</v>
      </c>
      <c r="N52" s="901">
        <v>19742.25</v>
      </c>
    </row>
    <row r="53" spans="1:17" s="426" customFormat="1" ht="36" customHeight="1">
      <c r="A53" s="902" t="s">
        <v>759</v>
      </c>
      <c r="B53" s="903" t="s">
        <v>599</v>
      </c>
      <c r="C53" s="904"/>
      <c r="D53" s="904"/>
      <c r="E53" s="904"/>
      <c r="F53" s="904"/>
      <c r="G53" s="904"/>
      <c r="H53" s="901">
        <f t="shared" ref="H53:J53" si="15">SUM(H54:H56)</f>
        <v>7100</v>
      </c>
      <c r="I53" s="895">
        <v>0</v>
      </c>
      <c r="J53" s="901">
        <f t="shared" si="15"/>
        <v>0</v>
      </c>
      <c r="K53" s="901">
        <f>SUM(K54:K56)</f>
        <v>8600</v>
      </c>
      <c r="L53" s="895">
        <f t="shared" si="14"/>
        <v>0</v>
      </c>
      <c r="M53" s="901">
        <f t="shared" ref="M53:N53" si="16">SUM(M54:M56)</f>
        <v>8600</v>
      </c>
      <c r="N53" s="901">
        <f t="shared" si="16"/>
        <v>8600</v>
      </c>
      <c r="P53" s="757"/>
    </row>
    <row r="54" spans="1:17" s="426" customFormat="1" ht="36" customHeight="1">
      <c r="A54" s="902"/>
      <c r="B54" s="905" t="s">
        <v>732</v>
      </c>
      <c r="C54" s="904"/>
      <c r="D54" s="904"/>
      <c r="E54" s="904"/>
      <c r="F54" s="904"/>
      <c r="G54" s="904"/>
      <c r="H54" s="901">
        <v>4260</v>
      </c>
      <c r="I54" s="866">
        <v>0</v>
      </c>
      <c r="J54" s="895"/>
      <c r="K54" s="901">
        <v>2000</v>
      </c>
      <c r="L54" s="866">
        <f t="shared" si="14"/>
        <v>0</v>
      </c>
      <c r="M54" s="869">
        <v>2000</v>
      </c>
      <c r="N54" s="869">
        <v>2000</v>
      </c>
    </row>
    <row r="55" spans="1:17" s="426" customFormat="1" ht="36" customHeight="1">
      <c r="A55" s="902"/>
      <c r="B55" s="905" t="s">
        <v>733</v>
      </c>
      <c r="C55" s="904"/>
      <c r="D55" s="904"/>
      <c r="E55" s="904"/>
      <c r="F55" s="904"/>
      <c r="G55" s="904"/>
      <c r="H55" s="901">
        <v>2840</v>
      </c>
      <c r="I55" s="866">
        <v>0</v>
      </c>
      <c r="J55" s="895"/>
      <c r="K55" s="901">
        <v>1300</v>
      </c>
      <c r="L55" s="866">
        <f t="shared" si="14"/>
        <v>0</v>
      </c>
      <c r="M55" s="869">
        <v>1300</v>
      </c>
      <c r="N55" s="869">
        <v>1300</v>
      </c>
    </row>
    <row r="56" spans="1:17" s="426" customFormat="1" ht="36" customHeight="1">
      <c r="A56" s="902"/>
      <c r="B56" s="905" t="s">
        <v>734</v>
      </c>
      <c r="C56" s="904"/>
      <c r="D56" s="904"/>
      <c r="E56" s="904"/>
      <c r="F56" s="904"/>
      <c r="G56" s="904"/>
      <c r="H56" s="866">
        <v>0</v>
      </c>
      <c r="I56" s="866">
        <v>0</v>
      </c>
      <c r="J56" s="895"/>
      <c r="K56" s="901">
        <v>5300</v>
      </c>
      <c r="L56" s="866">
        <f t="shared" si="14"/>
        <v>0</v>
      </c>
      <c r="M56" s="869">
        <v>5300</v>
      </c>
      <c r="N56" s="869">
        <v>5300</v>
      </c>
    </row>
    <row r="57" spans="1:17" s="131" customFormat="1" ht="38.25" customHeight="1">
      <c r="A57" s="858">
        <v>2</v>
      </c>
      <c r="B57" s="871" t="s">
        <v>217</v>
      </c>
      <c r="C57" s="858"/>
      <c r="D57" s="858"/>
      <c r="E57" s="858"/>
      <c r="F57" s="858"/>
      <c r="G57" s="858"/>
      <c r="H57" s="868">
        <v>0</v>
      </c>
      <c r="I57" s="866">
        <v>0</v>
      </c>
      <c r="J57" s="866"/>
      <c r="K57" s="906">
        <v>0</v>
      </c>
      <c r="L57" s="866">
        <f t="shared" si="14"/>
        <v>0</v>
      </c>
      <c r="M57" s="861"/>
      <c r="N57" s="861"/>
    </row>
    <row r="58" spans="1:17" s="837" customFormat="1">
      <c r="A58" s="856" t="s">
        <v>124</v>
      </c>
      <c r="B58" s="857" t="s">
        <v>169</v>
      </c>
      <c r="C58" s="849">
        <v>138500</v>
      </c>
      <c r="D58" s="849">
        <v>91500</v>
      </c>
      <c r="E58" s="849">
        <v>91500</v>
      </c>
      <c r="F58" s="849">
        <v>71800</v>
      </c>
      <c r="G58" s="849">
        <v>56455</v>
      </c>
      <c r="H58" s="851">
        <f>H60+H61+H70</f>
        <v>123387</v>
      </c>
      <c r="I58" s="851">
        <f>I60+I61+I70</f>
        <v>57643.182380999999</v>
      </c>
      <c r="J58" s="851">
        <f t="shared" ref="J58:N58" si="17">J60+J61+J70</f>
        <v>3593.1086824529448</v>
      </c>
      <c r="K58" s="851">
        <f t="shared" si="17"/>
        <v>106043.18238099999</v>
      </c>
      <c r="L58" s="853">
        <f t="shared" ref="L58:L72" si="18">K58/I58*100</f>
        <v>183.96482983901547</v>
      </c>
      <c r="M58" s="854">
        <f t="shared" si="17"/>
        <v>210124.01571433333</v>
      </c>
      <c r="N58" s="854">
        <f t="shared" si="17"/>
        <v>314204.84904766665</v>
      </c>
      <c r="O58" s="890"/>
      <c r="P58" s="880"/>
      <c r="Q58" s="890"/>
    </row>
    <row r="59" spans="1:17" s="912" customFormat="1" ht="35.25" customHeight="1">
      <c r="A59" s="907"/>
      <c r="B59" s="908" t="s">
        <v>170</v>
      </c>
      <c r="C59" s="907"/>
      <c r="D59" s="909">
        <v>28.633389348379161</v>
      </c>
      <c r="E59" s="909">
        <v>28.633389348379161</v>
      </c>
      <c r="F59" s="909">
        <v>21.217494089834517</v>
      </c>
      <c r="G59" s="909">
        <v>16.682919621749409</v>
      </c>
      <c r="H59" s="909">
        <f>H58/H8*100</f>
        <v>29.445863064697036</v>
      </c>
      <c r="I59" s="909">
        <f>I58/I8*100</f>
        <v>13.095366073197329</v>
      </c>
      <c r="J59" s="909">
        <f>J58/J8*100</f>
        <v>3167.6148819924047</v>
      </c>
      <c r="K59" s="909">
        <f>K58/K8*100</f>
        <v>23.199121063443446</v>
      </c>
      <c r="L59" s="866"/>
      <c r="M59" s="910">
        <f>M58/M8*100</f>
        <v>45.968938025450299</v>
      </c>
      <c r="N59" s="910">
        <f>N58/N8*100</f>
        <v>68.738754987457156</v>
      </c>
      <c r="O59" s="911"/>
    </row>
    <row r="60" spans="1:17" s="131" customFormat="1" ht="22.5" customHeight="1">
      <c r="A60" s="858">
        <v>1</v>
      </c>
      <c r="B60" s="865" t="s">
        <v>166</v>
      </c>
      <c r="C60" s="858"/>
      <c r="D60" s="858"/>
      <c r="E60" s="858"/>
      <c r="F60" s="858"/>
      <c r="G60" s="858"/>
      <c r="H60" s="859"/>
      <c r="I60" s="859"/>
      <c r="J60" s="866"/>
      <c r="K60" s="859"/>
      <c r="L60" s="866"/>
      <c r="M60" s="861"/>
      <c r="N60" s="861"/>
    </row>
    <row r="61" spans="1:17" s="131" customFormat="1" ht="21.75" customHeight="1">
      <c r="A61" s="858">
        <v>2</v>
      </c>
      <c r="B61" s="865" t="s">
        <v>224</v>
      </c>
      <c r="C61" s="913">
        <v>0</v>
      </c>
      <c r="D61" s="913">
        <v>0</v>
      </c>
      <c r="E61" s="913">
        <v>0</v>
      </c>
      <c r="F61" s="867">
        <v>18800</v>
      </c>
      <c r="G61" s="867">
        <v>3455</v>
      </c>
      <c r="H61" s="914">
        <f>SUM(H62:H69)</f>
        <v>123387</v>
      </c>
      <c r="I61" s="914">
        <f t="shared" ref="I61:N61" si="19">SUM(I62:I69)</f>
        <v>57643.182380999999</v>
      </c>
      <c r="J61" s="914">
        <f t="shared" si="19"/>
        <v>3535.1851851851852</v>
      </c>
      <c r="K61" s="914">
        <f t="shared" si="19"/>
        <v>106043.18238099999</v>
      </c>
      <c r="L61" s="866">
        <f t="shared" si="18"/>
        <v>183.96482983901547</v>
      </c>
      <c r="M61" s="915">
        <f>SUM(M62:M69)</f>
        <v>210124.01571433333</v>
      </c>
      <c r="N61" s="915">
        <f t="shared" si="19"/>
        <v>314204.84904766665</v>
      </c>
    </row>
    <row r="62" spans="1:17" s="131" customFormat="1" ht="22.5" customHeight="1">
      <c r="A62" s="858" t="s">
        <v>220</v>
      </c>
      <c r="B62" s="884" t="s">
        <v>732</v>
      </c>
      <c r="C62" s="858"/>
      <c r="D62" s="858"/>
      <c r="E62" s="858"/>
      <c r="F62" s="897">
        <v>4100</v>
      </c>
      <c r="G62" s="897">
        <v>755</v>
      </c>
      <c r="H62" s="916">
        <f>H15-H27+H45</f>
        <v>24212</v>
      </c>
      <c r="I62" s="916">
        <f>I15-I33+I45</f>
        <v>24230.182380999999</v>
      </c>
      <c r="J62" s="916">
        <f t="shared" ref="H62:J69" si="20">J15-J33+J45</f>
        <v>0</v>
      </c>
      <c r="K62" s="916">
        <f>K15-K27+K45+K54</f>
        <v>26480.182380999999</v>
      </c>
      <c r="L62" s="866">
        <f t="shared" si="18"/>
        <v>109.28593918370308</v>
      </c>
      <c r="M62" s="916">
        <f>M15-M27+M45+M54</f>
        <v>26480.182380999999</v>
      </c>
      <c r="N62" s="916">
        <f>N15-N27+N45+N54</f>
        <v>26480.182380999999</v>
      </c>
    </row>
    <row r="63" spans="1:17" s="131" customFormat="1" ht="36" customHeight="1">
      <c r="A63" s="858" t="s">
        <v>220</v>
      </c>
      <c r="B63" s="884" t="s">
        <v>733</v>
      </c>
      <c r="C63" s="858"/>
      <c r="D63" s="858"/>
      <c r="E63" s="858"/>
      <c r="F63" s="896">
        <v>12000</v>
      </c>
      <c r="G63" s="896">
        <v>0</v>
      </c>
      <c r="H63" s="916">
        <f>H16-H28+H46</f>
        <v>14160</v>
      </c>
      <c r="I63" s="916">
        <f t="shared" ref="I63:I64" si="21">I16-I34+I46</f>
        <v>14194</v>
      </c>
      <c r="J63" s="916">
        <f t="shared" si="20"/>
        <v>0</v>
      </c>
      <c r="K63" s="916">
        <f t="shared" ref="K63:K65" si="22">K16-K28+K46+K55</f>
        <v>16065</v>
      </c>
      <c r="L63" s="866">
        <f t="shared" si="18"/>
        <v>113.18162603917148</v>
      </c>
      <c r="M63" s="916">
        <f t="shared" ref="M63:N64" si="23">M16-M28+M46+M55</f>
        <v>16065</v>
      </c>
      <c r="N63" s="916">
        <f t="shared" si="23"/>
        <v>16065</v>
      </c>
    </row>
    <row r="64" spans="1:17" s="131" customFormat="1" ht="38.25" customHeight="1">
      <c r="A64" s="858" t="s">
        <v>220</v>
      </c>
      <c r="B64" s="884" t="s">
        <v>734</v>
      </c>
      <c r="C64" s="858"/>
      <c r="D64" s="858"/>
      <c r="E64" s="858"/>
      <c r="F64" s="897">
        <v>4100</v>
      </c>
      <c r="G64" s="897">
        <v>755</v>
      </c>
      <c r="H64" s="916">
        <f>H17-H29+H47</f>
        <v>69957</v>
      </c>
      <c r="I64" s="916">
        <f t="shared" si="21"/>
        <v>19219</v>
      </c>
      <c r="J64" s="916">
        <f t="shared" si="20"/>
        <v>0</v>
      </c>
      <c r="K64" s="916">
        <f t="shared" si="22"/>
        <v>63498</v>
      </c>
      <c r="L64" s="866">
        <f t="shared" si="18"/>
        <v>330.39179978146626</v>
      </c>
      <c r="M64" s="916">
        <f t="shared" si="23"/>
        <v>63498</v>
      </c>
      <c r="N64" s="916">
        <f t="shared" si="23"/>
        <v>63498</v>
      </c>
    </row>
    <row r="65" spans="1:257" s="131" customFormat="1" ht="34.5" customHeight="1">
      <c r="A65" s="858" t="s">
        <v>220</v>
      </c>
      <c r="B65" s="872" t="s">
        <v>735</v>
      </c>
      <c r="C65" s="858"/>
      <c r="D65" s="858"/>
      <c r="E65" s="858"/>
      <c r="F65" s="896">
        <v>12000</v>
      </c>
      <c r="G65" s="896">
        <v>0</v>
      </c>
      <c r="H65" s="916">
        <f>H18+H48</f>
        <v>15058</v>
      </c>
      <c r="I65" s="917">
        <f>I18-I36+I48</f>
        <v>0</v>
      </c>
      <c r="J65" s="918">
        <f t="shared" si="20"/>
        <v>0</v>
      </c>
      <c r="K65" s="917">
        <f t="shared" si="22"/>
        <v>0</v>
      </c>
      <c r="L65" s="878"/>
      <c r="M65" s="919">
        <f t="shared" ref="M65:N69" si="24">M18-M36+M48</f>
        <v>20198.333333333332</v>
      </c>
      <c r="N65" s="919">
        <f t="shared" si="24"/>
        <v>40396.666666666664</v>
      </c>
    </row>
    <row r="66" spans="1:257" s="131" customFormat="1" ht="42.75" customHeight="1">
      <c r="A66" s="858" t="s">
        <v>220</v>
      </c>
      <c r="B66" s="872" t="s">
        <v>736</v>
      </c>
      <c r="C66" s="858"/>
      <c r="D66" s="858"/>
      <c r="E66" s="858"/>
      <c r="F66" s="896">
        <v>2700</v>
      </c>
      <c r="G66" s="896">
        <v>2700</v>
      </c>
      <c r="H66" s="918">
        <f t="shared" si="20"/>
        <v>0</v>
      </c>
      <c r="I66" s="918">
        <f t="shared" si="20"/>
        <v>0</v>
      </c>
      <c r="J66" s="918">
        <f t="shared" si="20"/>
        <v>0</v>
      </c>
      <c r="K66" s="918">
        <f>K19-K37+K49</f>
        <v>0</v>
      </c>
      <c r="L66" s="878"/>
      <c r="M66" s="919">
        <f t="shared" si="24"/>
        <v>17325</v>
      </c>
      <c r="N66" s="919">
        <f t="shared" si="24"/>
        <v>34650</v>
      </c>
    </row>
    <row r="67" spans="1:257" s="131" customFormat="1" ht="53.25" customHeight="1">
      <c r="A67" s="858" t="s">
        <v>220</v>
      </c>
      <c r="B67" s="871" t="s">
        <v>737</v>
      </c>
      <c r="C67" s="858"/>
      <c r="D67" s="858"/>
      <c r="E67" s="858"/>
      <c r="F67" s="897">
        <v>4100</v>
      </c>
      <c r="G67" s="897">
        <v>755</v>
      </c>
      <c r="H67" s="918">
        <f t="shared" si="20"/>
        <v>0</v>
      </c>
      <c r="I67" s="918">
        <f t="shared" si="20"/>
        <v>0</v>
      </c>
      <c r="J67" s="918">
        <f t="shared" si="20"/>
        <v>350</v>
      </c>
      <c r="K67" s="918">
        <f>K20-K38+K50</f>
        <v>0</v>
      </c>
      <c r="L67" s="878"/>
      <c r="M67" s="919">
        <f t="shared" si="24"/>
        <v>28590.25</v>
      </c>
      <c r="N67" s="919">
        <f t="shared" si="24"/>
        <v>57180.5</v>
      </c>
    </row>
    <row r="68" spans="1:257" s="131" customFormat="1" ht="56.25" customHeight="1">
      <c r="A68" s="858" t="s">
        <v>220</v>
      </c>
      <c r="B68" s="871" t="s">
        <v>738</v>
      </c>
      <c r="C68" s="858"/>
      <c r="D68" s="858"/>
      <c r="E68" s="858"/>
      <c r="F68" s="896">
        <v>12000</v>
      </c>
      <c r="G68" s="896">
        <v>0</v>
      </c>
      <c r="H68" s="918">
        <f t="shared" si="20"/>
        <v>0</v>
      </c>
      <c r="I68" s="918">
        <f t="shared" si="20"/>
        <v>0</v>
      </c>
      <c r="J68" s="918">
        <f t="shared" si="20"/>
        <v>3000</v>
      </c>
      <c r="K68" s="918">
        <f>K21-K39+K51</f>
        <v>0</v>
      </c>
      <c r="L68" s="878"/>
      <c r="M68" s="919">
        <f t="shared" si="24"/>
        <v>18225</v>
      </c>
      <c r="N68" s="919">
        <f t="shared" si="24"/>
        <v>36450</v>
      </c>
    </row>
    <row r="69" spans="1:257" s="131" customFormat="1" ht="37.5" customHeight="1">
      <c r="A69" s="858" t="s">
        <v>220</v>
      </c>
      <c r="B69" s="871" t="s">
        <v>739</v>
      </c>
      <c r="C69" s="858"/>
      <c r="D69" s="858"/>
      <c r="E69" s="858"/>
      <c r="F69" s="896">
        <v>2700</v>
      </c>
      <c r="G69" s="896">
        <v>2700</v>
      </c>
      <c r="H69" s="918">
        <f t="shared" si="20"/>
        <v>0</v>
      </c>
      <c r="I69" s="918">
        <f t="shared" si="20"/>
        <v>0</v>
      </c>
      <c r="J69" s="918">
        <f t="shared" si="20"/>
        <v>185.18518518518519</v>
      </c>
      <c r="K69" s="918">
        <f>K22-K40+K52</f>
        <v>0</v>
      </c>
      <c r="L69" s="878"/>
      <c r="M69" s="919">
        <f t="shared" si="24"/>
        <v>19742.25</v>
      </c>
      <c r="N69" s="919">
        <f t="shared" si="24"/>
        <v>39484.5</v>
      </c>
    </row>
    <row r="70" spans="1:257" s="131" customFormat="1" ht="36" customHeight="1">
      <c r="A70" s="875">
        <v>3</v>
      </c>
      <c r="B70" s="871" t="s">
        <v>225</v>
      </c>
      <c r="C70" s="867">
        <v>138500</v>
      </c>
      <c r="D70" s="867">
        <v>91500</v>
      </c>
      <c r="E70" s="867">
        <v>91500</v>
      </c>
      <c r="F70" s="867">
        <v>53000</v>
      </c>
      <c r="G70" s="867">
        <v>53000</v>
      </c>
      <c r="H70" s="918">
        <f>H23-H41+H57</f>
        <v>0</v>
      </c>
      <c r="I70" s="918">
        <f>I23-I41+I57</f>
        <v>0</v>
      </c>
      <c r="J70" s="918">
        <f>J23-J41+J57</f>
        <v>57.923497267759558</v>
      </c>
      <c r="K70" s="918">
        <f>K23-K41+K57</f>
        <v>0</v>
      </c>
      <c r="L70" s="878">
        <v>0</v>
      </c>
      <c r="M70" s="920">
        <f>M23-M41+M57</f>
        <v>0</v>
      </c>
      <c r="N70" s="920">
        <f>N23-N41+N57</f>
        <v>0</v>
      </c>
    </row>
    <row r="71" spans="1:257" s="131" customFormat="1">
      <c r="A71" s="856" t="s">
        <v>171</v>
      </c>
      <c r="B71" s="857" t="s">
        <v>172</v>
      </c>
      <c r="C71" s="921">
        <v>0</v>
      </c>
      <c r="D71" s="921">
        <v>0</v>
      </c>
      <c r="E71" s="921">
        <v>0</v>
      </c>
      <c r="F71" s="849">
        <v>400</v>
      </c>
      <c r="G71" s="849">
        <v>102</v>
      </c>
      <c r="H71" s="922">
        <f>SUM(H72:H79)</f>
        <v>2000</v>
      </c>
      <c r="I71" s="922">
        <f t="shared" ref="I71:N71" si="25">SUM(I72:I79)</f>
        <v>767.74547849999999</v>
      </c>
      <c r="J71" s="922">
        <f t="shared" si="25"/>
        <v>0</v>
      </c>
      <c r="K71" s="922">
        <f t="shared" si="25"/>
        <v>2200</v>
      </c>
      <c r="L71" s="853">
        <f t="shared" si="18"/>
        <v>286.55329944740276</v>
      </c>
      <c r="M71" s="923">
        <f t="shared" si="25"/>
        <v>5904.2983999999997</v>
      </c>
      <c r="N71" s="923">
        <f t="shared" si="25"/>
        <v>7340.5949999999993</v>
      </c>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c r="BI71" s="837"/>
      <c r="BJ71" s="837"/>
      <c r="BK71" s="837"/>
      <c r="BL71" s="837"/>
      <c r="BM71" s="837"/>
      <c r="BN71" s="837"/>
      <c r="BO71" s="837"/>
      <c r="BP71" s="837"/>
      <c r="BQ71" s="837"/>
      <c r="BR71" s="837"/>
      <c r="BS71" s="837"/>
      <c r="BT71" s="837"/>
      <c r="BU71" s="837"/>
      <c r="BV71" s="837"/>
      <c r="BW71" s="837"/>
      <c r="BX71" s="837"/>
      <c r="BY71" s="837"/>
      <c r="BZ71" s="837"/>
      <c r="CA71" s="837"/>
      <c r="CB71" s="837"/>
      <c r="CC71" s="837"/>
      <c r="CD71" s="837"/>
      <c r="CE71" s="837"/>
      <c r="CF71" s="837"/>
      <c r="CG71" s="837"/>
      <c r="CH71" s="837"/>
      <c r="CI71" s="837"/>
      <c r="CJ71" s="837"/>
      <c r="CK71" s="837"/>
      <c r="CL71" s="837"/>
      <c r="CM71" s="837"/>
      <c r="CN71" s="837"/>
      <c r="CO71" s="837"/>
      <c r="CP71" s="837"/>
      <c r="CQ71" s="837"/>
      <c r="CR71" s="837"/>
      <c r="CS71" s="837"/>
      <c r="CT71" s="837"/>
      <c r="CU71" s="837"/>
      <c r="CV71" s="837"/>
      <c r="CW71" s="837"/>
      <c r="CX71" s="837"/>
      <c r="CY71" s="837"/>
      <c r="CZ71" s="837"/>
      <c r="DA71" s="837"/>
      <c r="DB71" s="837"/>
      <c r="DC71" s="837"/>
      <c r="DD71" s="837"/>
      <c r="DE71" s="837"/>
      <c r="DF71" s="837"/>
      <c r="DG71" s="837"/>
      <c r="DH71" s="837"/>
      <c r="DI71" s="837"/>
      <c r="DJ71" s="837"/>
      <c r="DK71" s="837"/>
      <c r="DL71" s="837"/>
      <c r="DM71" s="837"/>
      <c r="DN71" s="837"/>
      <c r="DO71" s="837"/>
      <c r="DP71" s="837"/>
      <c r="DQ71" s="837"/>
      <c r="DR71" s="837"/>
      <c r="DS71" s="837"/>
      <c r="DT71" s="837"/>
      <c r="DU71" s="837"/>
      <c r="DV71" s="837"/>
      <c r="DW71" s="837"/>
      <c r="DX71" s="837"/>
      <c r="DY71" s="837"/>
      <c r="DZ71" s="837"/>
      <c r="EA71" s="837"/>
      <c r="EB71" s="837"/>
      <c r="EC71" s="837"/>
      <c r="ED71" s="837"/>
      <c r="EE71" s="837"/>
      <c r="EF71" s="837"/>
      <c r="EG71" s="837"/>
      <c r="EH71" s="837"/>
      <c r="EI71" s="837"/>
      <c r="EJ71" s="837"/>
      <c r="EK71" s="837"/>
      <c r="EL71" s="837"/>
      <c r="EM71" s="837"/>
      <c r="EN71" s="837"/>
      <c r="EO71" s="837"/>
      <c r="EP71" s="837"/>
      <c r="EQ71" s="837"/>
      <c r="ER71" s="837"/>
      <c r="ES71" s="837"/>
      <c r="ET71" s="837"/>
      <c r="EU71" s="837"/>
      <c r="EV71" s="837"/>
      <c r="EW71" s="837"/>
      <c r="EX71" s="837"/>
      <c r="EY71" s="837"/>
      <c r="EZ71" s="837"/>
      <c r="FA71" s="837"/>
      <c r="FB71" s="837"/>
      <c r="FC71" s="837"/>
      <c r="FD71" s="837"/>
      <c r="FE71" s="837"/>
      <c r="FF71" s="837"/>
      <c r="FG71" s="837"/>
      <c r="FH71" s="837"/>
      <c r="FI71" s="837"/>
      <c r="FJ71" s="837"/>
      <c r="FK71" s="837"/>
      <c r="FL71" s="837"/>
      <c r="FM71" s="837"/>
      <c r="FN71" s="837"/>
      <c r="FO71" s="837"/>
      <c r="FP71" s="837"/>
      <c r="FQ71" s="837"/>
      <c r="FR71" s="837"/>
      <c r="FS71" s="837"/>
      <c r="FT71" s="837"/>
      <c r="FU71" s="837"/>
      <c r="FV71" s="837"/>
      <c r="FW71" s="837"/>
      <c r="FX71" s="837"/>
      <c r="FY71" s="837"/>
      <c r="FZ71" s="837"/>
      <c r="GA71" s="837"/>
      <c r="GB71" s="837"/>
      <c r="GC71" s="837"/>
      <c r="GD71" s="837"/>
      <c r="GE71" s="837"/>
      <c r="GF71" s="837"/>
      <c r="GG71" s="837"/>
      <c r="GH71" s="837"/>
      <c r="GI71" s="837"/>
      <c r="GJ71" s="837"/>
      <c r="GK71" s="837"/>
      <c r="GL71" s="837"/>
      <c r="GM71" s="837"/>
      <c r="GN71" s="837"/>
      <c r="GO71" s="837"/>
      <c r="GP71" s="837"/>
      <c r="GQ71" s="837"/>
      <c r="GR71" s="837"/>
      <c r="GS71" s="837"/>
      <c r="GT71" s="837"/>
      <c r="GU71" s="837"/>
      <c r="GV71" s="837"/>
      <c r="GW71" s="837"/>
      <c r="GX71" s="837"/>
      <c r="GY71" s="837"/>
      <c r="GZ71" s="837"/>
      <c r="HA71" s="837"/>
      <c r="HB71" s="837"/>
      <c r="HC71" s="837"/>
      <c r="HD71" s="837"/>
      <c r="HE71" s="837"/>
      <c r="HF71" s="837"/>
      <c r="HG71" s="837"/>
      <c r="HH71" s="837"/>
      <c r="HI71" s="837"/>
      <c r="HJ71" s="837"/>
      <c r="HK71" s="837"/>
      <c r="HL71" s="837"/>
      <c r="HM71" s="837"/>
      <c r="HN71" s="837"/>
      <c r="HO71" s="837"/>
      <c r="HP71" s="837"/>
      <c r="HQ71" s="837"/>
      <c r="HR71" s="837"/>
      <c r="HS71" s="837"/>
      <c r="HT71" s="837"/>
      <c r="HU71" s="837"/>
      <c r="HV71" s="837"/>
      <c r="HW71" s="837"/>
      <c r="HX71" s="837"/>
      <c r="HY71" s="837"/>
      <c r="HZ71" s="837"/>
      <c r="IA71" s="837"/>
      <c r="IB71" s="837"/>
      <c r="IC71" s="837"/>
      <c r="ID71" s="837"/>
      <c r="IE71" s="837"/>
      <c r="IF71" s="837"/>
      <c r="IG71" s="837"/>
      <c r="IH71" s="837"/>
      <c r="II71" s="837"/>
      <c r="IJ71" s="837"/>
      <c r="IK71" s="837"/>
      <c r="IL71" s="837"/>
      <c r="IM71" s="837"/>
      <c r="IN71" s="837"/>
      <c r="IO71" s="837"/>
      <c r="IP71" s="837"/>
      <c r="IQ71" s="837"/>
      <c r="IR71" s="837"/>
      <c r="IS71" s="837"/>
      <c r="IT71" s="837"/>
      <c r="IU71" s="837"/>
      <c r="IV71" s="837"/>
      <c r="IW71" s="837"/>
    </row>
    <row r="72" spans="1:257" s="837" customFormat="1" ht="24.75" customHeight="1">
      <c r="A72" s="924" t="s">
        <v>176</v>
      </c>
      <c r="B72" s="884" t="s">
        <v>732</v>
      </c>
      <c r="C72" s="925"/>
      <c r="D72" s="925"/>
      <c r="E72" s="925"/>
      <c r="F72" s="926">
        <v>30</v>
      </c>
      <c r="G72" s="926"/>
      <c r="H72" s="927">
        <v>872</v>
      </c>
      <c r="I72" s="927">
        <v>475.64457850000002</v>
      </c>
      <c r="J72" s="914"/>
      <c r="K72" s="927">
        <v>550</v>
      </c>
      <c r="L72" s="866">
        <f t="shared" si="18"/>
        <v>115.63255944900884</v>
      </c>
      <c r="M72" s="928">
        <v>525</v>
      </c>
      <c r="N72" s="928">
        <v>480</v>
      </c>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c r="IN72" s="131"/>
      <c r="IO72" s="131"/>
      <c r="IP72" s="131"/>
      <c r="IQ72" s="131"/>
      <c r="IR72" s="131"/>
      <c r="IS72" s="131"/>
      <c r="IT72" s="131"/>
      <c r="IU72" s="131"/>
      <c r="IV72" s="131"/>
      <c r="IW72" s="131"/>
    </row>
    <row r="73" spans="1:257" ht="39.75" customHeight="1">
      <c r="A73" s="924" t="s">
        <v>176</v>
      </c>
      <c r="B73" s="884" t="s">
        <v>733</v>
      </c>
      <c r="C73" s="925"/>
      <c r="D73" s="925"/>
      <c r="E73" s="925"/>
      <c r="F73" s="926">
        <v>170</v>
      </c>
      <c r="G73" s="926"/>
      <c r="H73" s="927">
        <v>636</v>
      </c>
      <c r="I73" s="927">
        <v>292.10090000000002</v>
      </c>
      <c r="J73" s="914"/>
      <c r="K73" s="927">
        <v>350</v>
      </c>
      <c r="L73" s="866">
        <f>IF(I73=0,0,K73/I73*100)</f>
        <v>119.8216095876459</v>
      </c>
      <c r="M73" s="928">
        <v>310</v>
      </c>
      <c r="N73" s="928">
        <v>281</v>
      </c>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c r="IS73" s="131"/>
      <c r="IT73" s="131"/>
      <c r="IU73" s="131"/>
      <c r="IV73" s="131"/>
      <c r="IW73" s="131"/>
    </row>
    <row r="74" spans="1:257" ht="35.25" customHeight="1">
      <c r="A74" s="924" t="s">
        <v>176</v>
      </c>
      <c r="B74" s="884" t="s">
        <v>734</v>
      </c>
      <c r="C74" s="925"/>
      <c r="D74" s="925"/>
      <c r="E74" s="925"/>
      <c r="F74" s="930">
        <v>170.26</v>
      </c>
      <c r="G74" s="930"/>
      <c r="H74" s="927">
        <v>492</v>
      </c>
      <c r="I74" s="931">
        <v>0</v>
      </c>
      <c r="J74" s="914"/>
      <c r="K74" s="927">
        <v>1300</v>
      </c>
      <c r="L74" s="866">
        <f t="shared" ref="L74:L79" si="26">IF(I74=0,0,K74/I74*100)</f>
        <v>0</v>
      </c>
      <c r="M74" s="928">
        <v>1748.5150666666666</v>
      </c>
      <c r="N74" s="928">
        <v>1749</v>
      </c>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c r="IS74" s="131"/>
      <c r="IT74" s="131"/>
      <c r="IU74" s="131"/>
      <c r="IV74" s="131"/>
      <c r="IW74" s="131"/>
    </row>
    <row r="75" spans="1:257" ht="40.5" customHeight="1">
      <c r="A75" s="924" t="s">
        <v>176</v>
      </c>
      <c r="B75" s="872" t="s">
        <v>735</v>
      </c>
      <c r="C75" s="925"/>
      <c r="D75" s="925"/>
      <c r="E75" s="925"/>
      <c r="F75" s="926">
        <v>170</v>
      </c>
      <c r="G75" s="926"/>
      <c r="H75" s="927"/>
      <c r="I75" s="927"/>
      <c r="J75" s="914"/>
      <c r="K75" s="927"/>
      <c r="L75" s="866">
        <f t="shared" si="26"/>
        <v>0</v>
      </c>
      <c r="M75" s="928">
        <v>1109.0933333333332</v>
      </c>
      <c r="N75" s="928">
        <v>1513.0599999999997</v>
      </c>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131"/>
      <c r="GB75" s="131"/>
      <c r="GC75" s="131"/>
      <c r="GD75" s="131"/>
      <c r="GE75" s="131"/>
      <c r="GF75" s="131"/>
      <c r="GG75" s="131"/>
      <c r="GH75" s="131"/>
      <c r="GI75" s="131"/>
      <c r="GJ75" s="131"/>
      <c r="GK75" s="131"/>
      <c r="GL75" s="131"/>
      <c r="GM75" s="131"/>
      <c r="GN75" s="131"/>
      <c r="GO75" s="131"/>
      <c r="GP75" s="131"/>
      <c r="GQ75" s="131"/>
      <c r="GR75" s="131"/>
      <c r="GS75" s="131"/>
      <c r="GT75" s="131"/>
      <c r="GU75" s="131"/>
      <c r="GV75" s="131"/>
      <c r="GW75" s="131"/>
      <c r="GX75" s="131"/>
      <c r="GY75" s="131"/>
      <c r="GZ75" s="131"/>
      <c r="HA75" s="131"/>
      <c r="HB75" s="131"/>
      <c r="HC75" s="131"/>
      <c r="HD75" s="131"/>
      <c r="HE75" s="131"/>
      <c r="HF75" s="131"/>
      <c r="HG75" s="131"/>
      <c r="HH75" s="131"/>
      <c r="HI75" s="131"/>
      <c r="HJ75" s="131"/>
      <c r="HK75" s="131"/>
      <c r="HL75" s="131"/>
      <c r="HM75" s="131"/>
      <c r="HN75" s="131"/>
      <c r="HO75" s="131"/>
      <c r="HP75" s="131"/>
      <c r="HQ75" s="131"/>
      <c r="HR75" s="131"/>
      <c r="HS75" s="131"/>
      <c r="HT75" s="131"/>
      <c r="HU75" s="131"/>
      <c r="HV75" s="131"/>
      <c r="HW75" s="131"/>
      <c r="HX75" s="131"/>
      <c r="HY75" s="131"/>
      <c r="HZ75" s="131"/>
      <c r="IA75" s="131"/>
      <c r="IB75" s="131"/>
      <c r="IC75" s="131"/>
      <c r="ID75" s="131"/>
      <c r="IE75" s="131"/>
      <c r="IF75" s="131"/>
      <c r="IG75" s="131"/>
      <c r="IH75" s="131"/>
      <c r="II75" s="131"/>
      <c r="IJ75" s="131"/>
      <c r="IK75" s="131"/>
      <c r="IL75" s="131"/>
      <c r="IM75" s="131"/>
      <c r="IN75" s="131"/>
      <c r="IO75" s="131"/>
      <c r="IP75" s="131"/>
      <c r="IQ75" s="131"/>
      <c r="IR75" s="131"/>
      <c r="IS75" s="131"/>
      <c r="IT75" s="131"/>
      <c r="IU75" s="131"/>
      <c r="IV75" s="131"/>
      <c r="IW75" s="131"/>
    </row>
    <row r="76" spans="1:257" ht="42" customHeight="1">
      <c r="A76" s="924" t="s">
        <v>176</v>
      </c>
      <c r="B76" s="872" t="s">
        <v>736</v>
      </c>
      <c r="C76" s="925"/>
      <c r="D76" s="925"/>
      <c r="E76" s="925"/>
      <c r="F76" s="930">
        <v>170.26</v>
      </c>
      <c r="G76" s="930"/>
      <c r="H76" s="927"/>
      <c r="I76" s="927"/>
      <c r="J76" s="914"/>
      <c r="K76" s="927"/>
      <c r="L76" s="866">
        <f t="shared" si="26"/>
        <v>0</v>
      </c>
      <c r="M76" s="928">
        <v>693</v>
      </c>
      <c r="N76" s="928">
        <v>1039.5</v>
      </c>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c r="IW76" s="131"/>
    </row>
    <row r="77" spans="1:257" s="837" customFormat="1" ht="57.75" customHeight="1">
      <c r="A77" s="924" t="s">
        <v>176</v>
      </c>
      <c r="B77" s="871" t="s">
        <v>737</v>
      </c>
      <c r="C77" s="925"/>
      <c r="D77" s="925"/>
      <c r="E77" s="925"/>
      <c r="F77" s="926">
        <v>30</v>
      </c>
      <c r="G77" s="926"/>
      <c r="H77" s="927"/>
      <c r="I77" s="927"/>
      <c r="J77" s="914"/>
      <c r="K77" s="927"/>
      <c r="L77" s="866">
        <f t="shared" si="26"/>
        <v>0</v>
      </c>
      <c r="M77" s="928"/>
      <c r="N77" s="928"/>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c r="IU77" s="131"/>
      <c r="IV77" s="131"/>
      <c r="IW77" s="131"/>
    </row>
    <row r="78" spans="1:257" ht="51.75" customHeight="1">
      <c r="A78" s="924" t="s">
        <v>176</v>
      </c>
      <c r="B78" s="871" t="s">
        <v>738</v>
      </c>
      <c r="C78" s="925"/>
      <c r="D78" s="925"/>
      <c r="E78" s="925"/>
      <c r="F78" s="926">
        <v>170</v>
      </c>
      <c r="G78" s="926"/>
      <c r="H78" s="927"/>
      <c r="I78" s="927"/>
      <c r="J78" s="914"/>
      <c r="K78" s="927"/>
      <c r="L78" s="866">
        <f t="shared" si="26"/>
        <v>0</v>
      </c>
      <c r="M78" s="928">
        <v>729</v>
      </c>
      <c r="N78" s="928">
        <v>1093.5</v>
      </c>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c r="IS78" s="131"/>
      <c r="IT78" s="131"/>
      <c r="IU78" s="131"/>
      <c r="IV78" s="131"/>
      <c r="IW78" s="131"/>
    </row>
    <row r="79" spans="1:257" ht="35.25" customHeight="1">
      <c r="A79" s="924" t="s">
        <v>176</v>
      </c>
      <c r="B79" s="871" t="s">
        <v>739</v>
      </c>
      <c r="C79" s="925"/>
      <c r="D79" s="925"/>
      <c r="E79" s="925"/>
      <c r="F79" s="930">
        <v>170.26</v>
      </c>
      <c r="G79" s="930"/>
      <c r="H79" s="927"/>
      <c r="I79" s="927"/>
      <c r="J79" s="914"/>
      <c r="K79" s="927"/>
      <c r="L79" s="866">
        <f t="shared" si="26"/>
        <v>0</v>
      </c>
      <c r="M79" s="928">
        <v>789.69</v>
      </c>
      <c r="N79" s="928">
        <v>1184.5350000000001</v>
      </c>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c r="HL79" s="131"/>
      <c r="HM79" s="131"/>
      <c r="HN79" s="131"/>
      <c r="HO79" s="131"/>
      <c r="HP79" s="131"/>
      <c r="HQ79" s="131"/>
      <c r="HR79" s="131"/>
      <c r="HS79" s="131"/>
      <c r="HT79" s="131"/>
      <c r="HU79" s="131"/>
      <c r="HV79" s="131"/>
      <c r="HW79" s="131"/>
      <c r="HX79" s="131"/>
      <c r="HY79" s="131"/>
      <c r="HZ79" s="131"/>
      <c r="IA79" s="131"/>
      <c r="IB79" s="131"/>
      <c r="IC79" s="131"/>
      <c r="ID79" s="131"/>
      <c r="IE79" s="131"/>
      <c r="IF79" s="131"/>
      <c r="IG79" s="131"/>
      <c r="IH79" s="131"/>
      <c r="II79" s="131"/>
      <c r="IJ79" s="131"/>
      <c r="IK79" s="131"/>
      <c r="IL79" s="131"/>
      <c r="IM79" s="131"/>
      <c r="IN79" s="131"/>
      <c r="IO79" s="131"/>
      <c r="IP79" s="131"/>
      <c r="IQ79" s="131"/>
      <c r="IR79" s="131"/>
      <c r="IS79" s="131"/>
      <c r="IT79" s="131"/>
      <c r="IU79" s="131"/>
      <c r="IV79" s="131"/>
      <c r="IW79" s="131"/>
    </row>
    <row r="80" spans="1:257" ht="14.25" customHeight="1">
      <c r="A80" s="932"/>
      <c r="B80" s="933"/>
      <c r="C80" s="932"/>
      <c r="D80" s="932"/>
      <c r="E80" s="932"/>
      <c r="F80" s="932"/>
      <c r="G80" s="932"/>
      <c r="H80" s="934"/>
      <c r="I80" s="934"/>
      <c r="J80" s="935"/>
      <c r="K80" s="934"/>
      <c r="L80" s="934"/>
      <c r="M80" s="936"/>
      <c r="N80" s="936"/>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c r="FW80" s="131"/>
      <c r="FX80" s="131"/>
      <c r="FY80" s="131"/>
      <c r="FZ80" s="131"/>
      <c r="GA80" s="131"/>
      <c r="GB80" s="131"/>
      <c r="GC80" s="131"/>
      <c r="GD80" s="131"/>
      <c r="GE80" s="131"/>
      <c r="GF80" s="131"/>
      <c r="GG80" s="131"/>
      <c r="GH80" s="131"/>
      <c r="GI80" s="131"/>
      <c r="GJ80" s="131"/>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c r="IN80" s="131"/>
      <c r="IO80" s="131"/>
      <c r="IP80" s="131"/>
      <c r="IQ80" s="131"/>
      <c r="IR80" s="131"/>
      <c r="IS80" s="131"/>
      <c r="IT80" s="131"/>
      <c r="IU80" s="131"/>
      <c r="IV80" s="131"/>
      <c r="IW80" s="131"/>
    </row>
    <row r="81" spans="1:257" ht="15" customHeight="1">
      <c r="A81" s="98"/>
      <c r="B81" s="937"/>
      <c r="C81" s="937"/>
      <c r="D81" s="937"/>
      <c r="E81" s="937"/>
      <c r="F81" s="937"/>
      <c r="G81" s="937"/>
      <c r="H81" s="938"/>
      <c r="I81" s="938"/>
      <c r="J81" s="938"/>
      <c r="K81" s="938"/>
      <c r="L81" s="938"/>
      <c r="M81" s="436"/>
      <c r="N81" s="436"/>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c r="FQ81" s="131"/>
      <c r="FR81" s="131"/>
      <c r="FS81" s="131"/>
      <c r="FT81" s="131"/>
      <c r="FU81" s="131"/>
      <c r="FV81" s="131"/>
      <c r="FW81" s="131"/>
      <c r="FX81" s="131"/>
      <c r="FY81" s="131"/>
      <c r="FZ81" s="131"/>
      <c r="GA81" s="131"/>
      <c r="GB81" s="131"/>
      <c r="GC81" s="131"/>
      <c r="GD81" s="131"/>
      <c r="GE81" s="131"/>
      <c r="GF81" s="131"/>
      <c r="GG81" s="131"/>
      <c r="GH81" s="131"/>
      <c r="GI81" s="131"/>
      <c r="GJ81" s="131"/>
      <c r="GK81" s="131"/>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c r="IN81" s="131"/>
      <c r="IO81" s="131"/>
      <c r="IP81" s="131"/>
      <c r="IQ81" s="131"/>
      <c r="IR81" s="131"/>
      <c r="IS81" s="131"/>
      <c r="IT81" s="131"/>
      <c r="IU81" s="131"/>
      <c r="IV81" s="131"/>
      <c r="IW81" s="131"/>
    </row>
    <row r="82" spans="1:257" s="940" customFormat="1" ht="37.5" customHeight="1">
      <c r="A82" s="1004"/>
      <c r="B82" s="1004"/>
      <c r="C82" s="1004"/>
      <c r="D82" s="1004"/>
      <c r="E82" s="1004"/>
      <c r="F82" s="1004"/>
      <c r="G82" s="1004"/>
      <c r="H82" s="1004"/>
      <c r="I82" s="1004"/>
      <c r="J82" s="1004"/>
      <c r="K82" s="1004"/>
      <c r="L82" s="1004"/>
      <c r="M82" s="1004"/>
      <c r="N82" s="1004"/>
      <c r="O82" s="939"/>
      <c r="P82" s="939"/>
      <c r="Q82" s="939"/>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39"/>
      <c r="BA82" s="939"/>
      <c r="BB82" s="939"/>
      <c r="BC82" s="939"/>
      <c r="BD82" s="939"/>
      <c r="BE82" s="939"/>
      <c r="BF82" s="939"/>
      <c r="BG82" s="939"/>
      <c r="BH82" s="939"/>
      <c r="BI82" s="939"/>
      <c r="BJ82" s="939"/>
      <c r="BK82" s="939"/>
      <c r="BL82" s="939"/>
      <c r="BM82" s="939"/>
      <c r="BN82" s="939"/>
      <c r="BO82" s="939"/>
      <c r="BP82" s="939"/>
      <c r="BQ82" s="939"/>
      <c r="BR82" s="939"/>
      <c r="BS82" s="939"/>
      <c r="BT82" s="939"/>
      <c r="BU82" s="939"/>
      <c r="BV82" s="939"/>
      <c r="BW82" s="939"/>
      <c r="BX82" s="939"/>
      <c r="BY82" s="939"/>
      <c r="BZ82" s="939"/>
      <c r="CA82" s="939"/>
      <c r="CB82" s="939"/>
      <c r="CC82" s="939"/>
      <c r="CD82" s="939"/>
      <c r="CE82" s="939"/>
      <c r="CF82" s="939"/>
      <c r="CG82" s="939"/>
      <c r="CH82" s="939"/>
      <c r="CI82" s="939"/>
      <c r="CJ82" s="939"/>
      <c r="CK82" s="939"/>
      <c r="CL82" s="939"/>
      <c r="CM82" s="939"/>
      <c r="CN82" s="939"/>
      <c r="CO82" s="939"/>
      <c r="CP82" s="939"/>
      <c r="CQ82" s="939"/>
      <c r="CR82" s="939"/>
      <c r="CS82" s="939"/>
      <c r="CT82" s="939"/>
      <c r="CU82" s="939"/>
      <c r="CV82" s="939"/>
      <c r="CW82" s="939"/>
      <c r="CX82" s="939"/>
      <c r="CY82" s="939"/>
      <c r="CZ82" s="939"/>
      <c r="DA82" s="939"/>
      <c r="DB82" s="939"/>
      <c r="DC82" s="939"/>
      <c r="DD82" s="939"/>
      <c r="DE82" s="939"/>
      <c r="DF82" s="939"/>
      <c r="DG82" s="939"/>
      <c r="DH82" s="939"/>
      <c r="DI82" s="939"/>
      <c r="DJ82" s="939"/>
      <c r="DK82" s="939"/>
      <c r="DL82" s="939"/>
      <c r="DM82" s="939"/>
      <c r="DN82" s="939"/>
      <c r="DO82" s="939"/>
      <c r="DP82" s="939"/>
      <c r="DQ82" s="939"/>
      <c r="DR82" s="939"/>
      <c r="DS82" s="939"/>
      <c r="DT82" s="939"/>
      <c r="DU82" s="939"/>
      <c r="DV82" s="939"/>
      <c r="DW82" s="939"/>
      <c r="DX82" s="939"/>
      <c r="DY82" s="939"/>
      <c r="DZ82" s="939"/>
      <c r="EA82" s="939"/>
      <c r="EB82" s="939"/>
      <c r="EC82" s="939"/>
      <c r="ED82" s="939"/>
      <c r="EE82" s="939"/>
      <c r="EF82" s="939"/>
      <c r="EG82" s="939"/>
      <c r="EH82" s="939"/>
      <c r="EI82" s="939"/>
      <c r="EJ82" s="939"/>
      <c r="EK82" s="939"/>
      <c r="EL82" s="939"/>
      <c r="EM82" s="939"/>
      <c r="EN82" s="939"/>
      <c r="EO82" s="939"/>
      <c r="EP82" s="939"/>
      <c r="EQ82" s="939"/>
      <c r="ER82" s="939"/>
      <c r="ES82" s="939"/>
      <c r="ET82" s="939"/>
      <c r="EU82" s="939"/>
      <c r="EV82" s="939"/>
      <c r="EW82" s="939"/>
      <c r="EX82" s="939"/>
      <c r="EY82" s="939"/>
      <c r="EZ82" s="939"/>
      <c r="FA82" s="939"/>
      <c r="FB82" s="939"/>
      <c r="FC82" s="939"/>
      <c r="FD82" s="939"/>
      <c r="FE82" s="939"/>
      <c r="FF82" s="939"/>
      <c r="FG82" s="939"/>
      <c r="FH82" s="939"/>
      <c r="FI82" s="939"/>
      <c r="FJ82" s="939"/>
      <c r="FK82" s="939"/>
      <c r="FL82" s="939"/>
      <c r="FM82" s="939"/>
      <c r="FN82" s="939"/>
      <c r="FO82" s="939"/>
      <c r="FP82" s="939"/>
      <c r="FQ82" s="939"/>
      <c r="FR82" s="939"/>
      <c r="FS82" s="939"/>
      <c r="FT82" s="939"/>
      <c r="FU82" s="939"/>
      <c r="FV82" s="939"/>
      <c r="FW82" s="939"/>
      <c r="FX82" s="939"/>
      <c r="FY82" s="939"/>
      <c r="FZ82" s="939"/>
      <c r="GA82" s="939"/>
      <c r="GB82" s="939"/>
      <c r="GC82" s="939"/>
      <c r="GD82" s="939"/>
      <c r="GE82" s="939"/>
      <c r="GF82" s="939"/>
      <c r="GG82" s="939"/>
      <c r="GH82" s="939"/>
      <c r="GI82" s="939"/>
      <c r="GJ82" s="939"/>
      <c r="GK82" s="939"/>
      <c r="GL82" s="939"/>
      <c r="GM82" s="939"/>
      <c r="GN82" s="939"/>
      <c r="GO82" s="939"/>
      <c r="GP82" s="939"/>
      <c r="GQ82" s="939"/>
      <c r="GR82" s="939"/>
      <c r="GS82" s="939"/>
      <c r="GT82" s="939"/>
      <c r="GU82" s="939"/>
      <c r="GV82" s="939"/>
      <c r="GW82" s="939"/>
      <c r="GX82" s="939"/>
      <c r="GY82" s="939"/>
      <c r="GZ82" s="939"/>
      <c r="HA82" s="939"/>
      <c r="HB82" s="939"/>
      <c r="HC82" s="939"/>
      <c r="HD82" s="939"/>
      <c r="HE82" s="939"/>
      <c r="HF82" s="939"/>
      <c r="HG82" s="939"/>
      <c r="HH82" s="939"/>
      <c r="HI82" s="939"/>
      <c r="HJ82" s="939"/>
      <c r="HK82" s="939"/>
      <c r="HL82" s="939"/>
      <c r="HM82" s="939"/>
      <c r="HN82" s="939"/>
      <c r="HO82" s="939"/>
      <c r="HP82" s="939"/>
      <c r="HQ82" s="939"/>
      <c r="HR82" s="939"/>
      <c r="HS82" s="939"/>
      <c r="HT82" s="939"/>
      <c r="HU82" s="939"/>
      <c r="HV82" s="939"/>
      <c r="HW82" s="939"/>
      <c r="HX82" s="939"/>
      <c r="HY82" s="939"/>
      <c r="HZ82" s="939"/>
      <c r="IA82" s="939"/>
      <c r="IB82" s="939"/>
      <c r="IC82" s="939"/>
      <c r="ID82" s="939"/>
      <c r="IE82" s="939"/>
      <c r="IF82" s="939"/>
      <c r="IG82" s="939"/>
      <c r="IH82" s="939"/>
      <c r="II82" s="939"/>
      <c r="IJ82" s="939"/>
      <c r="IK82" s="939"/>
      <c r="IL82" s="939"/>
      <c r="IM82" s="939"/>
      <c r="IN82" s="939"/>
      <c r="IO82" s="939"/>
      <c r="IP82" s="939"/>
      <c r="IQ82" s="939"/>
      <c r="IR82" s="939"/>
      <c r="IS82" s="939"/>
      <c r="IT82" s="939"/>
      <c r="IU82" s="939"/>
      <c r="IV82" s="939"/>
      <c r="IW82" s="939"/>
    </row>
    <row r="83" spans="1:257" ht="18" customHeight="1">
      <c r="A83" s="1005"/>
      <c r="B83" s="1005"/>
      <c r="C83" s="1005"/>
      <c r="D83" s="1005"/>
      <c r="E83" s="1005"/>
      <c r="F83" s="1005"/>
      <c r="G83" s="1005"/>
      <c r="H83" s="1005"/>
      <c r="I83" s="1005"/>
      <c r="J83" s="1005"/>
      <c r="K83" s="1005"/>
      <c r="L83" s="1005"/>
      <c r="M83" s="1005"/>
      <c r="N83" s="1005"/>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c r="HK83" s="131"/>
      <c r="HL83" s="131"/>
      <c r="HM83" s="131"/>
      <c r="HN83" s="131"/>
      <c r="HO83" s="131"/>
      <c r="HP83" s="131"/>
      <c r="HQ83" s="131"/>
      <c r="HR83" s="131"/>
      <c r="HS83" s="131"/>
      <c r="HT83" s="131"/>
      <c r="HU83" s="131"/>
      <c r="HV83" s="131"/>
      <c r="HW83" s="131"/>
      <c r="HX83" s="131"/>
      <c r="HY83" s="131"/>
      <c r="HZ83" s="131"/>
      <c r="IA83" s="131"/>
      <c r="IB83" s="131"/>
      <c r="IC83" s="131"/>
      <c r="ID83" s="131"/>
      <c r="IE83" s="131"/>
      <c r="IF83" s="131"/>
      <c r="IG83" s="131"/>
      <c r="IH83" s="131"/>
      <c r="II83" s="131"/>
      <c r="IJ83" s="131"/>
      <c r="IK83" s="131"/>
      <c r="IL83" s="131"/>
      <c r="IM83" s="131"/>
      <c r="IN83" s="131"/>
      <c r="IO83" s="131"/>
      <c r="IP83" s="131"/>
      <c r="IQ83" s="131"/>
      <c r="IR83" s="131"/>
      <c r="IS83" s="131"/>
      <c r="IT83" s="131"/>
      <c r="IU83" s="131"/>
      <c r="IV83" s="131"/>
      <c r="IW83" s="131"/>
    </row>
    <row r="84" spans="1:257" ht="16.5" customHeight="1">
      <c r="A84" s="1006"/>
      <c r="B84" s="1006"/>
      <c r="C84" s="1006"/>
      <c r="D84" s="1006"/>
      <c r="E84" s="1006"/>
      <c r="F84" s="1006"/>
      <c r="G84" s="1006"/>
      <c r="H84" s="1006"/>
      <c r="I84" s="1006"/>
      <c r="J84" s="1006"/>
      <c r="K84" s="1006"/>
      <c r="L84" s="1006"/>
      <c r="M84" s="1006"/>
      <c r="N84" s="436"/>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c r="FQ84" s="131"/>
      <c r="FR84" s="131"/>
      <c r="FS84" s="131"/>
      <c r="FT84" s="131"/>
      <c r="FU84" s="131"/>
      <c r="FV84" s="131"/>
      <c r="FW84" s="131"/>
      <c r="FX84" s="131"/>
      <c r="FY84" s="131"/>
      <c r="FZ84" s="131"/>
      <c r="GA84" s="131"/>
      <c r="GB84" s="131"/>
      <c r="GC84" s="131"/>
      <c r="GD84" s="131"/>
      <c r="GE84" s="131"/>
      <c r="GF84" s="131"/>
      <c r="GG84" s="131"/>
      <c r="GH84" s="131"/>
      <c r="GI84" s="131"/>
      <c r="GJ84" s="131"/>
      <c r="GK84" s="131"/>
      <c r="GL84" s="131"/>
      <c r="GM84" s="131"/>
      <c r="GN84" s="131"/>
      <c r="GO84" s="131"/>
      <c r="GP84" s="131"/>
      <c r="GQ84" s="131"/>
      <c r="GR84" s="131"/>
      <c r="GS84" s="131"/>
      <c r="GT84" s="131"/>
      <c r="GU84" s="131"/>
      <c r="GV84" s="131"/>
      <c r="GW84" s="131"/>
      <c r="GX84" s="131"/>
      <c r="GY84" s="131"/>
      <c r="GZ84" s="131"/>
      <c r="HA84" s="131"/>
      <c r="HB84" s="131"/>
      <c r="HC84" s="131"/>
      <c r="HD84" s="131"/>
      <c r="HE84" s="131"/>
      <c r="HF84" s="131"/>
      <c r="HG84" s="131"/>
      <c r="HH84" s="131"/>
      <c r="HI84" s="131"/>
      <c r="HJ84" s="131"/>
      <c r="HK84" s="131"/>
      <c r="HL84" s="131"/>
      <c r="HM84" s="131"/>
      <c r="HN84" s="131"/>
      <c r="HO84" s="131"/>
      <c r="HP84" s="131"/>
      <c r="HQ84" s="131"/>
      <c r="HR84" s="131"/>
      <c r="HS84" s="131"/>
      <c r="HT84" s="131"/>
      <c r="HU84" s="131"/>
      <c r="HV84" s="131"/>
      <c r="HW84" s="131"/>
      <c r="HX84" s="131"/>
      <c r="HY84" s="131"/>
      <c r="HZ84" s="131"/>
      <c r="IA84" s="131"/>
      <c r="IB84" s="131"/>
      <c r="IC84" s="131"/>
      <c r="ID84" s="131"/>
      <c r="IE84" s="131"/>
      <c r="IF84" s="131"/>
      <c r="IG84" s="131"/>
      <c r="IH84" s="131"/>
      <c r="II84" s="131"/>
      <c r="IJ84" s="131"/>
      <c r="IK84" s="131"/>
      <c r="IL84" s="131"/>
      <c r="IM84" s="131"/>
      <c r="IN84" s="131"/>
      <c r="IO84" s="131"/>
      <c r="IP84" s="131"/>
      <c r="IQ84" s="131"/>
      <c r="IR84" s="131"/>
      <c r="IS84" s="131"/>
      <c r="IT84" s="131"/>
      <c r="IU84" s="131"/>
      <c r="IV84" s="131"/>
      <c r="IW84" s="131"/>
    </row>
    <row r="85" spans="1:257" ht="16.5" customHeight="1">
      <c r="A85" s="1007"/>
      <c r="B85" s="1007"/>
      <c r="C85" s="1007"/>
      <c r="D85" s="1007"/>
      <c r="E85" s="1007"/>
      <c r="F85" s="1007"/>
      <c r="G85" s="1007"/>
      <c r="H85" s="1007"/>
      <c r="I85" s="1007"/>
      <c r="J85" s="1007"/>
      <c r="K85" s="1007"/>
      <c r="L85" s="941"/>
      <c r="M85" s="436"/>
      <c r="N85" s="436"/>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c r="IS85" s="131"/>
      <c r="IT85" s="131"/>
      <c r="IU85" s="131"/>
      <c r="IV85" s="131"/>
      <c r="IW85" s="131"/>
    </row>
    <row r="86" spans="1:257" ht="18">
      <c r="A86" s="942"/>
      <c r="B86" s="937"/>
      <c r="C86" s="943"/>
      <c r="D86" s="943"/>
      <c r="E86" s="943"/>
      <c r="F86" s="803"/>
      <c r="G86" s="803"/>
      <c r="H86" s="596"/>
      <c r="I86" s="596"/>
      <c r="J86" s="596"/>
      <c r="K86" s="596"/>
      <c r="L86" s="596"/>
      <c r="M86" s="944"/>
      <c r="N86" s="944"/>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c r="FW86" s="131"/>
      <c r="FX86" s="131"/>
      <c r="FY86" s="131"/>
      <c r="FZ86" s="131"/>
      <c r="GA86" s="131"/>
      <c r="GB86" s="131"/>
      <c r="GC86" s="131"/>
      <c r="GD86" s="131"/>
      <c r="GE86" s="131"/>
      <c r="GF86" s="131"/>
      <c r="GG86" s="131"/>
      <c r="GH86" s="131"/>
      <c r="GI86" s="131"/>
      <c r="GJ86" s="131"/>
      <c r="GK86" s="131"/>
      <c r="GL86" s="131"/>
      <c r="GM86" s="131"/>
      <c r="GN86" s="131"/>
      <c r="GO86" s="131"/>
      <c r="GP86" s="131"/>
      <c r="GQ86" s="131"/>
      <c r="GR86" s="131"/>
      <c r="GS86" s="131"/>
      <c r="GT86" s="131"/>
      <c r="GU86" s="131"/>
      <c r="GV86" s="131"/>
      <c r="GW86" s="131"/>
      <c r="GX86" s="131"/>
      <c r="GY86" s="131"/>
      <c r="GZ86" s="131"/>
      <c r="HA86" s="131"/>
      <c r="HB86" s="131"/>
      <c r="HC86" s="131"/>
      <c r="HD86" s="131"/>
      <c r="HE86" s="131"/>
      <c r="HF86" s="131"/>
      <c r="HG86" s="131"/>
      <c r="HH86" s="131"/>
      <c r="HI86" s="131"/>
      <c r="HJ86" s="131"/>
      <c r="HK86" s="131"/>
      <c r="HL86" s="131"/>
      <c r="HM86" s="131"/>
      <c r="HN86" s="131"/>
      <c r="HO86" s="131"/>
      <c r="HP86" s="131"/>
      <c r="HQ86" s="131"/>
      <c r="HR86" s="131"/>
      <c r="HS86" s="131"/>
      <c r="HT86" s="131"/>
      <c r="HU86" s="131"/>
      <c r="HV86" s="131"/>
      <c r="HW86" s="131"/>
      <c r="HX86" s="131"/>
      <c r="HY86" s="131"/>
      <c r="HZ86" s="131"/>
      <c r="IA86" s="131"/>
      <c r="IB86" s="131"/>
      <c r="IC86" s="131"/>
      <c r="ID86" s="131"/>
      <c r="IE86" s="131"/>
      <c r="IF86" s="131"/>
      <c r="IG86" s="131"/>
      <c r="IH86" s="131"/>
      <c r="II86" s="131"/>
      <c r="IJ86" s="131"/>
      <c r="IK86" s="131"/>
      <c r="IL86" s="131"/>
      <c r="IM86" s="131"/>
      <c r="IN86" s="131"/>
      <c r="IO86" s="131"/>
      <c r="IP86" s="131"/>
      <c r="IQ86" s="131"/>
      <c r="IR86" s="131"/>
      <c r="IS86" s="131"/>
      <c r="IT86" s="131"/>
      <c r="IU86" s="131"/>
      <c r="IV86" s="131"/>
      <c r="IW86" s="131"/>
    </row>
    <row r="87" spans="1:257" ht="18.75">
      <c r="A87" s="942"/>
      <c r="B87" s="945"/>
      <c r="C87" s="937"/>
      <c r="D87" s="937"/>
      <c r="E87" s="937"/>
      <c r="F87" s="803"/>
      <c r="G87" s="803"/>
      <c r="H87" s="596"/>
      <c r="I87" s="596"/>
      <c r="J87" s="596"/>
      <c r="K87" s="596"/>
      <c r="L87" s="596"/>
      <c r="M87" s="944"/>
      <c r="N87" s="944"/>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c r="FW87" s="131"/>
      <c r="FX87" s="131"/>
      <c r="FY87" s="131"/>
      <c r="FZ87" s="131"/>
      <c r="GA87" s="131"/>
      <c r="GB87" s="131"/>
      <c r="GC87" s="131"/>
      <c r="GD87" s="131"/>
      <c r="GE87" s="131"/>
      <c r="GF87" s="131"/>
      <c r="GG87" s="131"/>
      <c r="GH87" s="131"/>
      <c r="GI87" s="131"/>
      <c r="GJ87" s="131"/>
      <c r="GK87" s="131"/>
      <c r="GL87" s="131"/>
      <c r="GM87" s="131"/>
      <c r="GN87" s="131"/>
      <c r="GO87" s="131"/>
      <c r="GP87" s="131"/>
      <c r="GQ87" s="131"/>
      <c r="GR87" s="131"/>
      <c r="GS87" s="131"/>
      <c r="GT87" s="131"/>
      <c r="GU87" s="131"/>
      <c r="GV87" s="131"/>
      <c r="GW87" s="131"/>
      <c r="GX87" s="131"/>
      <c r="GY87" s="131"/>
      <c r="GZ87" s="131"/>
      <c r="HA87" s="131"/>
      <c r="HB87" s="131"/>
      <c r="HC87" s="131"/>
      <c r="HD87" s="131"/>
      <c r="HE87" s="131"/>
      <c r="HF87" s="131"/>
      <c r="HG87" s="131"/>
      <c r="HH87" s="131"/>
      <c r="HI87" s="131"/>
      <c r="HJ87" s="131"/>
      <c r="HK87" s="131"/>
      <c r="HL87" s="131"/>
      <c r="HM87" s="131"/>
      <c r="HN87" s="131"/>
      <c r="HO87" s="131"/>
      <c r="HP87" s="131"/>
      <c r="HQ87" s="131"/>
      <c r="HR87" s="131"/>
      <c r="HS87" s="131"/>
      <c r="HT87" s="131"/>
      <c r="HU87" s="131"/>
      <c r="HV87" s="131"/>
      <c r="HW87" s="131"/>
      <c r="HX87" s="131"/>
      <c r="HY87" s="131"/>
      <c r="HZ87" s="131"/>
      <c r="IA87" s="131"/>
      <c r="IB87" s="131"/>
      <c r="IC87" s="131"/>
      <c r="ID87" s="131"/>
      <c r="IE87" s="131"/>
      <c r="IF87" s="131"/>
      <c r="IG87" s="131"/>
      <c r="IH87" s="131"/>
      <c r="II87" s="131"/>
      <c r="IJ87" s="131"/>
      <c r="IK87" s="131"/>
      <c r="IL87" s="131"/>
      <c r="IM87" s="131"/>
      <c r="IN87" s="131"/>
      <c r="IO87" s="131"/>
      <c r="IP87" s="131"/>
      <c r="IQ87" s="131"/>
      <c r="IR87" s="131"/>
      <c r="IS87" s="131"/>
      <c r="IT87" s="131"/>
      <c r="IU87" s="131"/>
      <c r="IV87" s="131"/>
      <c r="IW87" s="131"/>
    </row>
    <row r="88" spans="1:257">
      <c r="A88" s="942"/>
      <c r="B88" s="937"/>
      <c r="C88" s="937"/>
      <c r="D88" s="937"/>
      <c r="E88" s="937"/>
      <c r="F88" s="803"/>
      <c r="G88" s="803"/>
      <c r="H88" s="596"/>
      <c r="I88" s="596"/>
      <c r="J88" s="596"/>
      <c r="K88" s="596"/>
      <c r="L88" s="596"/>
      <c r="M88" s="944"/>
      <c r="N88" s="944"/>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c r="FW88" s="131"/>
      <c r="FX88" s="131"/>
      <c r="FY88" s="131"/>
      <c r="FZ88" s="131"/>
      <c r="GA88" s="131"/>
      <c r="GB88" s="131"/>
      <c r="GC88" s="131"/>
      <c r="GD88" s="131"/>
      <c r="GE88" s="131"/>
      <c r="GF88" s="131"/>
      <c r="GG88" s="131"/>
      <c r="GH88" s="131"/>
      <c r="GI88" s="131"/>
      <c r="GJ88" s="131"/>
      <c r="GK88" s="131"/>
      <c r="GL88" s="131"/>
      <c r="GM88" s="131"/>
      <c r="GN88" s="131"/>
      <c r="GO88" s="131"/>
      <c r="GP88" s="131"/>
      <c r="GQ88" s="131"/>
      <c r="GR88" s="131"/>
      <c r="GS88" s="131"/>
      <c r="GT88" s="131"/>
      <c r="GU88" s="131"/>
      <c r="GV88" s="131"/>
      <c r="GW88" s="131"/>
      <c r="GX88" s="131"/>
      <c r="GY88" s="131"/>
      <c r="GZ88" s="131"/>
      <c r="HA88" s="131"/>
      <c r="HB88" s="131"/>
      <c r="HC88" s="131"/>
      <c r="HD88" s="131"/>
      <c r="HE88" s="131"/>
      <c r="HF88" s="131"/>
      <c r="HG88" s="131"/>
      <c r="HH88" s="131"/>
      <c r="HI88" s="131"/>
      <c r="HJ88" s="131"/>
      <c r="HK88" s="131"/>
      <c r="HL88" s="131"/>
      <c r="HM88" s="131"/>
      <c r="HN88" s="131"/>
      <c r="HO88" s="131"/>
      <c r="HP88" s="131"/>
      <c r="HQ88" s="131"/>
      <c r="HR88" s="131"/>
      <c r="HS88" s="131"/>
      <c r="HT88" s="131"/>
      <c r="HU88" s="131"/>
      <c r="HV88" s="131"/>
      <c r="HW88" s="131"/>
      <c r="HX88" s="131"/>
      <c r="HY88" s="131"/>
      <c r="HZ88" s="131"/>
      <c r="IA88" s="131"/>
      <c r="IB88" s="131"/>
      <c r="IC88" s="131"/>
      <c r="ID88" s="131"/>
      <c r="IE88" s="131"/>
      <c r="IF88" s="131"/>
      <c r="IG88" s="131"/>
      <c r="IH88" s="131"/>
      <c r="II88" s="131"/>
      <c r="IJ88" s="131"/>
      <c r="IK88" s="131"/>
      <c r="IL88" s="131"/>
      <c r="IM88" s="131"/>
      <c r="IN88" s="131"/>
      <c r="IO88" s="131"/>
      <c r="IP88" s="131"/>
      <c r="IQ88" s="131"/>
      <c r="IR88" s="131"/>
      <c r="IS88" s="131"/>
      <c r="IT88" s="131"/>
      <c r="IU88" s="131"/>
      <c r="IV88" s="131"/>
      <c r="IW88" s="131"/>
    </row>
    <row r="89" spans="1:257">
      <c r="A89" s="942"/>
      <c r="F89" s="803"/>
      <c r="G89" s="803"/>
      <c r="H89" s="596"/>
      <c r="I89" s="596"/>
      <c r="J89" s="596"/>
      <c r="K89" s="596"/>
      <c r="L89" s="596"/>
      <c r="M89" s="944"/>
      <c r="N89" s="944"/>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c r="FW89" s="131"/>
      <c r="FX89" s="131"/>
      <c r="FY89" s="131"/>
      <c r="FZ89" s="131"/>
      <c r="GA89" s="131"/>
      <c r="GB89" s="131"/>
      <c r="GC89" s="131"/>
      <c r="GD89" s="131"/>
      <c r="GE89" s="131"/>
      <c r="GF89" s="131"/>
      <c r="GG89" s="131"/>
      <c r="GH89" s="131"/>
      <c r="GI89" s="131"/>
      <c r="GJ89" s="131"/>
      <c r="GK89" s="131"/>
      <c r="GL89" s="131"/>
      <c r="GM89" s="131"/>
      <c r="GN89" s="131"/>
      <c r="GO89" s="131"/>
      <c r="GP89" s="131"/>
      <c r="GQ89" s="131"/>
      <c r="GR89" s="131"/>
      <c r="GS89" s="131"/>
      <c r="GT89" s="131"/>
      <c r="GU89" s="131"/>
      <c r="GV89" s="131"/>
      <c r="GW89" s="131"/>
      <c r="GX89" s="131"/>
      <c r="GY89" s="131"/>
      <c r="GZ89" s="131"/>
      <c r="HA89" s="131"/>
      <c r="HB89" s="131"/>
      <c r="HC89" s="131"/>
      <c r="HD89" s="131"/>
      <c r="HE89" s="131"/>
      <c r="HF89" s="131"/>
      <c r="HG89" s="131"/>
      <c r="HH89" s="131"/>
      <c r="HI89" s="131"/>
      <c r="HJ89" s="131"/>
      <c r="HK89" s="131"/>
      <c r="HL89" s="131"/>
      <c r="HM89" s="131"/>
      <c r="HN89" s="131"/>
      <c r="HO89" s="131"/>
      <c r="HP89" s="131"/>
      <c r="HQ89" s="131"/>
      <c r="HR89" s="131"/>
      <c r="HS89" s="131"/>
      <c r="HT89" s="131"/>
      <c r="HU89" s="131"/>
      <c r="HV89" s="131"/>
      <c r="HW89" s="131"/>
      <c r="HX89" s="131"/>
      <c r="HY89" s="131"/>
      <c r="HZ89" s="131"/>
      <c r="IA89" s="131"/>
      <c r="IB89" s="131"/>
      <c r="IC89" s="131"/>
      <c r="ID89" s="131"/>
      <c r="IE89" s="131"/>
      <c r="IF89" s="131"/>
      <c r="IG89" s="131"/>
      <c r="IH89" s="131"/>
      <c r="II89" s="131"/>
      <c r="IJ89" s="131"/>
      <c r="IK89" s="131"/>
      <c r="IL89" s="131"/>
      <c r="IM89" s="131"/>
      <c r="IN89" s="131"/>
      <c r="IO89" s="131"/>
      <c r="IP89" s="131"/>
      <c r="IQ89" s="131"/>
      <c r="IR89" s="131"/>
      <c r="IS89" s="131"/>
      <c r="IT89" s="131"/>
      <c r="IU89" s="131"/>
      <c r="IV89" s="131"/>
      <c r="IW89" s="131"/>
    </row>
  </sheetData>
  <mergeCells count="23">
    <mergeCell ref="O5:U5"/>
    <mergeCell ref="A82:N82"/>
    <mergeCell ref="A83:N83"/>
    <mergeCell ref="A84:M84"/>
    <mergeCell ref="A85:K85"/>
    <mergeCell ref="A5:A6"/>
    <mergeCell ref="B5:B6"/>
    <mergeCell ref="C5:C6"/>
    <mergeCell ref="D5:E5"/>
    <mergeCell ref="F5:G5"/>
    <mergeCell ref="H5:I5"/>
    <mergeCell ref="N5:N6"/>
    <mergeCell ref="L5:L6"/>
    <mergeCell ref="J5:J6"/>
    <mergeCell ref="K5:K6"/>
    <mergeCell ref="M5:M6"/>
    <mergeCell ref="H4:K4"/>
    <mergeCell ref="A1:B1"/>
    <mergeCell ref="E1:F1"/>
    <mergeCell ref="H1:M1"/>
    <mergeCell ref="A2:B2"/>
    <mergeCell ref="A3:N3"/>
    <mergeCell ref="L4:N4"/>
  </mergeCells>
  <printOptions horizontalCentered="1"/>
  <pageMargins left="0.55118110236220474" right="0.15748031496062992" top="0.82677165354330717" bottom="0.62992125984251968" header="0.19685039370078741" footer="0.15748031496062992"/>
  <pageSetup paperSize="9" scale="77" orientation="portrait" r:id="rId1"/>
  <headerFooter alignWithMargins="0">
    <oddHeader xml:space="preserve">&amp;C                                                                                                                                  </oddHeader>
    <oddFooter>&amp;C&amp;".VnTime,Italic"&amp;8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B27"/>
  <sheetViews>
    <sheetView zoomScale="96" zoomScaleNormal="96" workbookViewId="0">
      <pane xSplit="1" ySplit="7" topLeftCell="B8" activePane="bottomRight" state="frozen"/>
      <selection activeCell="M54" sqref="M54"/>
      <selection pane="topRight" activeCell="M54" sqref="M54"/>
      <selection pane="bottomLeft" activeCell="M54" sqref="M54"/>
      <selection pane="bottomRight" activeCell="P18" sqref="P18"/>
    </sheetView>
  </sheetViews>
  <sheetFormatPr defaultRowHeight="15.75" outlineLevelCol="1"/>
  <cols>
    <col min="1" max="1" width="5.75" style="429" customWidth="1"/>
    <col min="2" max="2" width="51.625" style="429" customWidth="1"/>
    <col min="3" max="3" width="11.625" style="429" hidden="1" customWidth="1" outlineLevel="1"/>
    <col min="4" max="4" width="12.625" style="429" hidden="1" customWidth="1" outlineLevel="1"/>
    <col min="5" max="5" width="12" style="429" hidden="1" customWidth="1" outlineLevel="1"/>
    <col min="6" max="8" width="11.375" style="429" hidden="1" customWidth="1" outlineLevel="1"/>
    <col min="9" max="9" width="11.625" style="429" hidden="1" customWidth="1" outlineLevel="1"/>
    <col min="10" max="10" width="12.125" style="429" hidden="1" customWidth="1" outlineLevel="1"/>
    <col min="11" max="11" width="11" style="429" hidden="1" customWidth="1" outlineLevel="1"/>
    <col min="12" max="12" width="11.375" style="429" customWidth="1" collapsed="1"/>
    <col min="13" max="13" width="11.375" style="429" customWidth="1"/>
    <col min="14" max="14" width="11.25" style="429" customWidth="1"/>
    <col min="15" max="15" width="13" style="429" customWidth="1"/>
    <col min="16" max="16" width="13.875" style="429" customWidth="1"/>
    <col min="17" max="17" width="12.75" style="429" customWidth="1"/>
    <col min="18" max="18" width="9.125" style="429"/>
    <col min="19" max="28" width="9.125" style="670"/>
    <col min="29" max="257" width="9.125" style="429"/>
    <col min="258" max="258" width="5.125" style="429" customWidth="1"/>
    <col min="259" max="259" width="76.75" style="429" customWidth="1"/>
    <col min="260" max="266" width="16.625" style="429" customWidth="1"/>
    <col min="267" max="513" width="9.125" style="429"/>
    <col min="514" max="514" width="5.125" style="429" customWidth="1"/>
    <col min="515" max="515" width="76.75" style="429" customWidth="1"/>
    <col min="516" max="522" width="16.625" style="429" customWidth="1"/>
    <col min="523" max="769" width="9.125" style="429"/>
    <col min="770" max="770" width="5.125" style="429" customWidth="1"/>
    <col min="771" max="771" width="76.75" style="429" customWidth="1"/>
    <col min="772" max="778" width="16.625" style="429" customWidth="1"/>
    <col min="779" max="1025" width="9.125" style="429"/>
    <col min="1026" max="1026" width="5.125" style="429" customWidth="1"/>
    <col min="1027" max="1027" width="76.75" style="429" customWidth="1"/>
    <col min="1028" max="1034" width="16.625" style="429" customWidth="1"/>
    <col min="1035" max="1281" width="9.125" style="429"/>
    <col min="1282" max="1282" width="5.125" style="429" customWidth="1"/>
    <col min="1283" max="1283" width="76.75" style="429" customWidth="1"/>
    <col min="1284" max="1290" width="16.625" style="429" customWidth="1"/>
    <col min="1291" max="1537" width="9.125" style="429"/>
    <col min="1538" max="1538" width="5.125" style="429" customWidth="1"/>
    <col min="1539" max="1539" width="76.75" style="429" customWidth="1"/>
    <col min="1540" max="1546" width="16.625" style="429" customWidth="1"/>
    <col min="1547" max="1793" width="9.125" style="429"/>
    <col min="1794" max="1794" width="5.125" style="429" customWidth="1"/>
    <col min="1795" max="1795" width="76.75" style="429" customWidth="1"/>
    <col min="1796" max="1802" width="16.625" style="429" customWidth="1"/>
    <col min="1803" max="2049" width="9.125" style="429"/>
    <col min="2050" max="2050" width="5.125" style="429" customWidth="1"/>
    <col min="2051" max="2051" width="76.75" style="429" customWidth="1"/>
    <col min="2052" max="2058" width="16.625" style="429" customWidth="1"/>
    <col min="2059" max="2305" width="9.125" style="429"/>
    <col min="2306" max="2306" width="5.125" style="429" customWidth="1"/>
    <col min="2307" max="2307" width="76.75" style="429" customWidth="1"/>
    <col min="2308" max="2314" width="16.625" style="429" customWidth="1"/>
    <col min="2315" max="2561" width="9.125" style="429"/>
    <col min="2562" max="2562" width="5.125" style="429" customWidth="1"/>
    <col min="2563" max="2563" width="76.75" style="429" customWidth="1"/>
    <col min="2564" max="2570" width="16.625" style="429" customWidth="1"/>
    <col min="2571" max="2817" width="9.125" style="429"/>
    <col min="2818" max="2818" width="5.125" style="429" customWidth="1"/>
    <col min="2819" max="2819" width="76.75" style="429" customWidth="1"/>
    <col min="2820" max="2826" width="16.625" style="429" customWidth="1"/>
    <col min="2827" max="3073" width="9.125" style="429"/>
    <col min="3074" max="3074" width="5.125" style="429" customWidth="1"/>
    <col min="3075" max="3075" width="76.75" style="429" customWidth="1"/>
    <col min="3076" max="3082" width="16.625" style="429" customWidth="1"/>
    <col min="3083" max="3329" width="9.125" style="429"/>
    <col min="3330" max="3330" width="5.125" style="429" customWidth="1"/>
    <col min="3331" max="3331" width="76.75" style="429" customWidth="1"/>
    <col min="3332" max="3338" width="16.625" style="429" customWidth="1"/>
    <col min="3339" max="3585" width="9.125" style="429"/>
    <col min="3586" max="3586" width="5.125" style="429" customWidth="1"/>
    <col min="3587" max="3587" width="76.75" style="429" customWidth="1"/>
    <col min="3588" max="3594" width="16.625" style="429" customWidth="1"/>
    <col min="3595" max="3841" width="9.125" style="429"/>
    <col min="3842" max="3842" width="5.125" style="429" customWidth="1"/>
    <col min="3843" max="3843" width="76.75" style="429" customWidth="1"/>
    <col min="3844" max="3850" width="16.625" style="429" customWidth="1"/>
    <col min="3851" max="4097" width="9.125" style="429"/>
    <col min="4098" max="4098" width="5.125" style="429" customWidth="1"/>
    <col min="4099" max="4099" width="76.75" style="429" customWidth="1"/>
    <col min="4100" max="4106" width="16.625" style="429" customWidth="1"/>
    <col min="4107" max="4353" width="9.125" style="429"/>
    <col min="4354" max="4354" width="5.125" style="429" customWidth="1"/>
    <col min="4355" max="4355" width="76.75" style="429" customWidth="1"/>
    <col min="4356" max="4362" width="16.625" style="429" customWidth="1"/>
    <col min="4363" max="4609" width="9.125" style="429"/>
    <col min="4610" max="4610" width="5.125" style="429" customWidth="1"/>
    <col min="4611" max="4611" width="76.75" style="429" customWidth="1"/>
    <col min="4612" max="4618" width="16.625" style="429" customWidth="1"/>
    <col min="4619" max="4865" width="9.125" style="429"/>
    <col min="4866" max="4866" width="5.125" style="429" customWidth="1"/>
    <col min="4867" max="4867" width="76.75" style="429" customWidth="1"/>
    <col min="4868" max="4874" width="16.625" style="429" customWidth="1"/>
    <col min="4875" max="5121" width="9.125" style="429"/>
    <col min="5122" max="5122" width="5.125" style="429" customWidth="1"/>
    <col min="5123" max="5123" width="76.75" style="429" customWidth="1"/>
    <col min="5124" max="5130" width="16.625" style="429" customWidth="1"/>
    <col min="5131" max="5377" width="9.125" style="429"/>
    <col min="5378" max="5378" width="5.125" style="429" customWidth="1"/>
    <col min="5379" max="5379" width="76.75" style="429" customWidth="1"/>
    <col min="5380" max="5386" width="16.625" style="429" customWidth="1"/>
    <col min="5387" max="5633" width="9.125" style="429"/>
    <col min="5634" max="5634" width="5.125" style="429" customWidth="1"/>
    <col min="5635" max="5635" width="76.75" style="429" customWidth="1"/>
    <col min="5636" max="5642" width="16.625" style="429" customWidth="1"/>
    <col min="5643" max="5889" width="9.125" style="429"/>
    <col min="5890" max="5890" width="5.125" style="429" customWidth="1"/>
    <col min="5891" max="5891" width="76.75" style="429" customWidth="1"/>
    <col min="5892" max="5898" width="16.625" style="429" customWidth="1"/>
    <col min="5899" max="6145" width="9.125" style="429"/>
    <col min="6146" max="6146" width="5.125" style="429" customWidth="1"/>
    <col min="6147" max="6147" width="76.75" style="429" customWidth="1"/>
    <col min="6148" max="6154" width="16.625" style="429" customWidth="1"/>
    <col min="6155" max="6401" width="9.125" style="429"/>
    <col min="6402" max="6402" width="5.125" style="429" customWidth="1"/>
    <col min="6403" max="6403" width="76.75" style="429" customWidth="1"/>
    <col min="6404" max="6410" width="16.625" style="429" customWidth="1"/>
    <col min="6411" max="6657" width="9.125" style="429"/>
    <col min="6658" max="6658" width="5.125" style="429" customWidth="1"/>
    <col min="6659" max="6659" width="76.75" style="429" customWidth="1"/>
    <col min="6660" max="6666" width="16.625" style="429" customWidth="1"/>
    <col min="6667" max="6913" width="9.125" style="429"/>
    <col min="6914" max="6914" width="5.125" style="429" customWidth="1"/>
    <col min="6915" max="6915" width="76.75" style="429" customWidth="1"/>
    <col min="6916" max="6922" width="16.625" style="429" customWidth="1"/>
    <col min="6923" max="7169" width="9.125" style="429"/>
    <col min="7170" max="7170" width="5.125" style="429" customWidth="1"/>
    <col min="7171" max="7171" width="76.75" style="429" customWidth="1"/>
    <col min="7172" max="7178" width="16.625" style="429" customWidth="1"/>
    <col min="7179" max="7425" width="9.125" style="429"/>
    <col min="7426" max="7426" width="5.125" style="429" customWidth="1"/>
    <col min="7427" max="7427" width="76.75" style="429" customWidth="1"/>
    <col min="7428" max="7434" width="16.625" style="429" customWidth="1"/>
    <col min="7435" max="7681" width="9.125" style="429"/>
    <col min="7682" max="7682" width="5.125" style="429" customWidth="1"/>
    <col min="7683" max="7683" width="76.75" style="429" customWidth="1"/>
    <col min="7684" max="7690" width="16.625" style="429" customWidth="1"/>
    <col min="7691" max="7937" width="9.125" style="429"/>
    <col min="7938" max="7938" width="5.125" style="429" customWidth="1"/>
    <col min="7939" max="7939" width="76.75" style="429" customWidth="1"/>
    <col min="7940" max="7946" width="16.625" style="429" customWidth="1"/>
    <col min="7947" max="8193" width="9.125" style="429"/>
    <col min="8194" max="8194" width="5.125" style="429" customWidth="1"/>
    <col min="8195" max="8195" width="76.75" style="429" customWidth="1"/>
    <col min="8196" max="8202" width="16.625" style="429" customWidth="1"/>
    <col min="8203" max="8449" width="9.125" style="429"/>
    <col min="8450" max="8450" width="5.125" style="429" customWidth="1"/>
    <col min="8451" max="8451" width="76.75" style="429" customWidth="1"/>
    <col min="8452" max="8458" width="16.625" style="429" customWidth="1"/>
    <col min="8459" max="8705" width="9.125" style="429"/>
    <col min="8706" max="8706" width="5.125" style="429" customWidth="1"/>
    <col min="8707" max="8707" width="76.75" style="429" customWidth="1"/>
    <col min="8708" max="8714" width="16.625" style="429" customWidth="1"/>
    <col min="8715" max="8961" width="9.125" style="429"/>
    <col min="8962" max="8962" width="5.125" style="429" customWidth="1"/>
    <col min="8963" max="8963" width="76.75" style="429" customWidth="1"/>
    <col min="8964" max="8970" width="16.625" style="429" customWidth="1"/>
    <col min="8971" max="9217" width="9.125" style="429"/>
    <col min="9218" max="9218" width="5.125" style="429" customWidth="1"/>
    <col min="9219" max="9219" width="76.75" style="429" customWidth="1"/>
    <col min="9220" max="9226" width="16.625" style="429" customWidth="1"/>
    <col min="9227" max="9473" width="9.125" style="429"/>
    <col min="9474" max="9474" width="5.125" style="429" customWidth="1"/>
    <col min="9475" max="9475" width="76.75" style="429" customWidth="1"/>
    <col min="9476" max="9482" width="16.625" style="429" customWidth="1"/>
    <col min="9483" max="9729" width="9.125" style="429"/>
    <col min="9730" max="9730" width="5.125" style="429" customWidth="1"/>
    <col min="9731" max="9731" width="76.75" style="429" customWidth="1"/>
    <col min="9732" max="9738" width="16.625" style="429" customWidth="1"/>
    <col min="9739" max="9985" width="9.125" style="429"/>
    <col min="9986" max="9986" width="5.125" style="429" customWidth="1"/>
    <col min="9987" max="9987" width="76.75" style="429" customWidth="1"/>
    <col min="9988" max="9994" width="16.625" style="429" customWidth="1"/>
    <col min="9995" max="10241" width="9.125" style="429"/>
    <col min="10242" max="10242" width="5.125" style="429" customWidth="1"/>
    <col min="10243" max="10243" width="76.75" style="429" customWidth="1"/>
    <col min="10244" max="10250" width="16.625" style="429" customWidth="1"/>
    <col min="10251" max="10497" width="9.125" style="429"/>
    <col min="10498" max="10498" width="5.125" style="429" customWidth="1"/>
    <col min="10499" max="10499" width="76.75" style="429" customWidth="1"/>
    <col min="10500" max="10506" width="16.625" style="429" customWidth="1"/>
    <col min="10507" max="10753" width="9.125" style="429"/>
    <col min="10754" max="10754" width="5.125" style="429" customWidth="1"/>
    <col min="10755" max="10755" width="76.75" style="429" customWidth="1"/>
    <col min="10756" max="10762" width="16.625" style="429" customWidth="1"/>
    <col min="10763" max="11009" width="9.125" style="429"/>
    <col min="11010" max="11010" width="5.125" style="429" customWidth="1"/>
    <col min="11011" max="11011" width="76.75" style="429" customWidth="1"/>
    <col min="11012" max="11018" width="16.625" style="429" customWidth="1"/>
    <col min="11019" max="11265" width="9.125" style="429"/>
    <col min="11266" max="11266" width="5.125" style="429" customWidth="1"/>
    <col min="11267" max="11267" width="76.75" style="429" customWidth="1"/>
    <col min="11268" max="11274" width="16.625" style="429" customWidth="1"/>
    <col min="11275" max="11521" width="9.125" style="429"/>
    <col min="11522" max="11522" width="5.125" style="429" customWidth="1"/>
    <col min="11523" max="11523" width="76.75" style="429" customWidth="1"/>
    <col min="11524" max="11530" width="16.625" style="429" customWidth="1"/>
    <col min="11531" max="11777" width="9.125" style="429"/>
    <col min="11778" max="11778" width="5.125" style="429" customWidth="1"/>
    <col min="11779" max="11779" width="76.75" style="429" customWidth="1"/>
    <col min="11780" max="11786" width="16.625" style="429" customWidth="1"/>
    <col min="11787" max="12033" width="9.125" style="429"/>
    <col min="12034" max="12034" width="5.125" style="429" customWidth="1"/>
    <col min="12035" max="12035" width="76.75" style="429" customWidth="1"/>
    <col min="12036" max="12042" width="16.625" style="429" customWidth="1"/>
    <col min="12043" max="12289" width="9.125" style="429"/>
    <col min="12290" max="12290" width="5.125" style="429" customWidth="1"/>
    <col min="12291" max="12291" width="76.75" style="429" customWidth="1"/>
    <col min="12292" max="12298" width="16.625" style="429" customWidth="1"/>
    <col min="12299" max="12545" width="9.125" style="429"/>
    <col min="12546" max="12546" width="5.125" style="429" customWidth="1"/>
    <col min="12547" max="12547" width="76.75" style="429" customWidth="1"/>
    <col min="12548" max="12554" width="16.625" style="429" customWidth="1"/>
    <col min="12555" max="12801" width="9.125" style="429"/>
    <col min="12802" max="12802" width="5.125" style="429" customWidth="1"/>
    <col min="12803" max="12803" width="76.75" style="429" customWidth="1"/>
    <col min="12804" max="12810" width="16.625" style="429" customWidth="1"/>
    <col min="12811" max="13057" width="9.125" style="429"/>
    <col min="13058" max="13058" width="5.125" style="429" customWidth="1"/>
    <col min="13059" max="13059" width="76.75" style="429" customWidth="1"/>
    <col min="13060" max="13066" width="16.625" style="429" customWidth="1"/>
    <col min="13067" max="13313" width="9.125" style="429"/>
    <col min="13314" max="13314" width="5.125" style="429" customWidth="1"/>
    <col min="13315" max="13315" width="76.75" style="429" customWidth="1"/>
    <col min="13316" max="13322" width="16.625" style="429" customWidth="1"/>
    <col min="13323" max="13569" width="9.125" style="429"/>
    <col min="13570" max="13570" width="5.125" style="429" customWidth="1"/>
    <col min="13571" max="13571" width="76.75" style="429" customWidth="1"/>
    <col min="13572" max="13578" width="16.625" style="429" customWidth="1"/>
    <col min="13579" max="13825" width="9.125" style="429"/>
    <col min="13826" max="13826" width="5.125" style="429" customWidth="1"/>
    <col min="13827" max="13827" width="76.75" style="429" customWidth="1"/>
    <col min="13828" max="13834" width="16.625" style="429" customWidth="1"/>
    <col min="13835" max="14081" width="9.125" style="429"/>
    <col min="14082" max="14082" width="5.125" style="429" customWidth="1"/>
    <col min="14083" max="14083" width="76.75" style="429" customWidth="1"/>
    <col min="14084" max="14090" width="16.625" style="429" customWidth="1"/>
    <col min="14091" max="14337" width="9.125" style="429"/>
    <col min="14338" max="14338" width="5.125" style="429" customWidth="1"/>
    <col min="14339" max="14339" width="76.75" style="429" customWidth="1"/>
    <col min="14340" max="14346" width="16.625" style="429" customWidth="1"/>
    <col min="14347" max="14593" width="9.125" style="429"/>
    <col min="14594" max="14594" width="5.125" style="429" customWidth="1"/>
    <col min="14595" max="14595" width="76.75" style="429" customWidth="1"/>
    <col min="14596" max="14602" width="16.625" style="429" customWidth="1"/>
    <col min="14603" max="14849" width="9.125" style="429"/>
    <col min="14850" max="14850" width="5.125" style="429" customWidth="1"/>
    <col min="14851" max="14851" width="76.75" style="429" customWidth="1"/>
    <col min="14852" max="14858" width="16.625" style="429" customWidth="1"/>
    <col min="14859" max="15105" width="9.125" style="429"/>
    <col min="15106" max="15106" width="5.125" style="429" customWidth="1"/>
    <col min="15107" max="15107" width="76.75" style="429" customWidth="1"/>
    <col min="15108" max="15114" width="16.625" style="429" customWidth="1"/>
    <col min="15115" max="15361" width="9.125" style="429"/>
    <col min="15362" max="15362" width="5.125" style="429" customWidth="1"/>
    <col min="15363" max="15363" width="76.75" style="429" customWidth="1"/>
    <col min="15364" max="15370" width="16.625" style="429" customWidth="1"/>
    <col min="15371" max="15617" width="9.125" style="429"/>
    <col min="15618" max="15618" width="5.125" style="429" customWidth="1"/>
    <col min="15619" max="15619" width="76.75" style="429" customWidth="1"/>
    <col min="15620" max="15626" width="16.625" style="429" customWidth="1"/>
    <col min="15627" max="15873" width="9.125" style="429"/>
    <col min="15874" max="15874" width="5.125" style="429" customWidth="1"/>
    <col min="15875" max="15875" width="76.75" style="429" customWidth="1"/>
    <col min="15876" max="15882" width="16.625" style="429" customWidth="1"/>
    <col min="15883" max="16129" width="9.125" style="429"/>
    <col min="16130" max="16130" width="5.125" style="429" customWidth="1"/>
    <col min="16131" max="16131" width="76.75" style="429" customWidth="1"/>
    <col min="16132" max="16138" width="16.625" style="429" customWidth="1"/>
    <col min="16139" max="16384" width="9.125" style="429"/>
  </cols>
  <sheetData>
    <row r="1" spans="1:28">
      <c r="A1" s="1021" t="s">
        <v>233</v>
      </c>
      <c r="B1" s="1021"/>
      <c r="C1" s="428"/>
      <c r="F1" s="1027" t="s">
        <v>317</v>
      </c>
      <c r="G1" s="1027"/>
      <c r="H1" s="1027"/>
      <c r="I1" s="1027"/>
      <c r="J1" s="1027"/>
      <c r="Q1" s="430" t="s">
        <v>317</v>
      </c>
    </row>
    <row r="2" spans="1:28">
      <c r="A2" s="1024" t="s">
        <v>173</v>
      </c>
      <c r="B2" s="1024"/>
      <c r="C2" s="1024"/>
      <c r="D2" s="1024"/>
      <c r="E2" s="1024"/>
      <c r="F2" s="1024"/>
      <c r="G2" s="1024"/>
      <c r="H2" s="1024"/>
      <c r="I2" s="1024"/>
      <c r="J2" s="1024"/>
      <c r="K2" s="1024"/>
      <c r="L2" s="1024"/>
      <c r="M2" s="1024"/>
      <c r="N2" s="1024"/>
      <c r="O2" s="1024"/>
      <c r="P2" s="1024"/>
      <c r="Q2" s="1024"/>
    </row>
    <row r="3" spans="1:28">
      <c r="A3" s="431"/>
      <c r="B3" s="431"/>
      <c r="I3" s="432"/>
      <c r="J3" s="433" t="s">
        <v>54</v>
      </c>
      <c r="O3" s="1016" t="s">
        <v>54</v>
      </c>
      <c r="P3" s="1016"/>
      <c r="Q3" s="1016"/>
    </row>
    <row r="4" spans="1:28" ht="21.75" customHeight="1">
      <c r="A4" s="1026" t="s">
        <v>0</v>
      </c>
      <c r="B4" s="1026" t="s">
        <v>1</v>
      </c>
      <c r="C4" s="1018" t="s">
        <v>182</v>
      </c>
      <c r="D4" s="1019"/>
      <c r="E4" s="1020"/>
      <c r="F4" s="1018" t="s">
        <v>183</v>
      </c>
      <c r="G4" s="1019"/>
      <c r="H4" s="1020"/>
      <c r="I4" s="1028" t="s">
        <v>56</v>
      </c>
      <c r="J4" s="1029"/>
      <c r="K4" s="1030"/>
      <c r="L4" s="1018" t="s">
        <v>572</v>
      </c>
      <c r="M4" s="1019"/>
      <c r="N4" s="1020"/>
      <c r="O4" s="1025" t="s">
        <v>56</v>
      </c>
      <c r="P4" s="1025"/>
      <c r="Q4" s="1025"/>
    </row>
    <row r="5" spans="1:28" ht="15.75" customHeight="1">
      <c r="A5" s="1026"/>
      <c r="B5" s="1026"/>
      <c r="C5" s="1022" t="s">
        <v>57</v>
      </c>
      <c r="D5" s="1022" t="s">
        <v>59</v>
      </c>
      <c r="E5" s="1022" t="s">
        <v>174</v>
      </c>
      <c r="F5" s="1022" t="s">
        <v>57</v>
      </c>
      <c r="G5" s="1022" t="s">
        <v>59</v>
      </c>
      <c r="H5" s="1022" t="s">
        <v>174</v>
      </c>
      <c r="I5" s="1022" t="s">
        <v>184</v>
      </c>
      <c r="J5" s="1022" t="s">
        <v>185</v>
      </c>
      <c r="K5" s="1022" t="s">
        <v>572</v>
      </c>
      <c r="L5" s="1026" t="s">
        <v>57</v>
      </c>
      <c r="M5" s="1026" t="s">
        <v>59</v>
      </c>
      <c r="N5" s="1026" t="s">
        <v>174</v>
      </c>
      <c r="O5" s="1022" t="s">
        <v>582</v>
      </c>
      <c r="P5" s="1022" t="s">
        <v>609</v>
      </c>
      <c r="Q5" s="1026" t="s">
        <v>704</v>
      </c>
    </row>
    <row r="6" spans="1:28" ht="41.25" customHeight="1">
      <c r="A6" s="1026"/>
      <c r="B6" s="1026"/>
      <c r="C6" s="1023"/>
      <c r="D6" s="1023"/>
      <c r="E6" s="1023"/>
      <c r="F6" s="1023"/>
      <c r="G6" s="1023"/>
      <c r="H6" s="1023"/>
      <c r="I6" s="1023"/>
      <c r="J6" s="1023"/>
      <c r="K6" s="1023"/>
      <c r="L6" s="1026"/>
      <c r="M6" s="1026"/>
      <c r="N6" s="1026"/>
      <c r="O6" s="1023"/>
      <c r="P6" s="1023"/>
      <c r="Q6" s="1026"/>
    </row>
    <row r="7" spans="1:28" s="671" customFormat="1">
      <c r="A7" s="651" t="s">
        <v>158</v>
      </c>
      <c r="B7" s="651" t="s">
        <v>160</v>
      </c>
      <c r="C7" s="651">
        <v>1</v>
      </c>
      <c r="D7" s="651">
        <v>2</v>
      </c>
      <c r="E7" s="651" t="s">
        <v>175</v>
      </c>
      <c r="F7" s="434" t="s">
        <v>186</v>
      </c>
      <c r="G7" s="434" t="s">
        <v>187</v>
      </c>
      <c r="H7" s="434" t="s">
        <v>188</v>
      </c>
      <c r="I7" s="434" t="s">
        <v>189</v>
      </c>
      <c r="J7" s="434" t="s">
        <v>190</v>
      </c>
      <c r="K7" s="434" t="s">
        <v>573</v>
      </c>
      <c r="L7" s="434" t="s">
        <v>186</v>
      </c>
      <c r="M7" s="434" t="s">
        <v>187</v>
      </c>
      <c r="N7" s="434" t="s">
        <v>188</v>
      </c>
      <c r="O7" s="434" t="s">
        <v>189</v>
      </c>
      <c r="P7" s="434" t="s">
        <v>190</v>
      </c>
      <c r="Q7" s="434" t="s">
        <v>573</v>
      </c>
      <c r="S7" s="672"/>
      <c r="T7" s="672"/>
      <c r="U7" s="672"/>
      <c r="V7" s="672"/>
      <c r="W7" s="672"/>
      <c r="X7" s="672"/>
      <c r="Y7" s="672"/>
      <c r="Z7" s="672"/>
      <c r="AA7" s="672"/>
      <c r="AB7" s="672"/>
    </row>
    <row r="8" spans="1:28">
      <c r="A8" s="653" t="s">
        <v>60</v>
      </c>
      <c r="B8" s="654" t="s">
        <v>361</v>
      </c>
      <c r="C8" s="655">
        <f>C10+C13</f>
        <v>2171610</v>
      </c>
      <c r="D8" s="655">
        <f t="shared" ref="D8:K8" si="0">D10+D13</f>
        <v>2257098</v>
      </c>
      <c r="E8" s="655">
        <f t="shared" si="0"/>
        <v>85488</v>
      </c>
      <c r="F8" s="655">
        <f t="shared" si="0"/>
        <v>2394094.2000000002</v>
      </c>
      <c r="G8" s="655">
        <v>2394094.2000000002</v>
      </c>
      <c r="H8" s="655">
        <v>2394094.2000000002</v>
      </c>
      <c r="I8" s="655">
        <f t="shared" si="0"/>
        <v>2441976.0840000003</v>
      </c>
      <c r="J8" s="655">
        <f t="shared" si="0"/>
        <v>2490815.6056800005</v>
      </c>
      <c r="K8" s="655">
        <f t="shared" si="0"/>
        <v>2540631.9177936004</v>
      </c>
      <c r="L8" s="655">
        <f>L10+L13</f>
        <v>2746984</v>
      </c>
      <c r="M8" s="655">
        <f t="shared" ref="M8:Q8" si="1">M10+M13</f>
        <v>2919072</v>
      </c>
      <c r="N8" s="655">
        <f t="shared" si="1"/>
        <v>0</v>
      </c>
      <c r="O8" s="655">
        <f t="shared" si="1"/>
        <v>2977453.44</v>
      </c>
      <c r="P8" s="655">
        <f t="shared" si="1"/>
        <v>3156100.6464000004</v>
      </c>
      <c r="Q8" s="655">
        <f t="shared" si="1"/>
        <v>3313744.4718000004</v>
      </c>
      <c r="R8" s="673"/>
      <c r="S8" s="674"/>
    </row>
    <row r="9" spans="1:28">
      <c r="A9" s="656"/>
      <c r="B9" s="657" t="s">
        <v>39</v>
      </c>
      <c r="C9" s="658"/>
      <c r="D9" s="658"/>
      <c r="E9" s="658"/>
      <c r="F9" s="658"/>
      <c r="G9" s="658"/>
      <c r="H9" s="658"/>
      <c r="I9" s="658"/>
      <c r="J9" s="658"/>
      <c r="K9" s="658"/>
      <c r="L9" s="658"/>
      <c r="M9" s="658"/>
      <c r="N9" s="658"/>
      <c r="O9" s="658"/>
      <c r="P9" s="659"/>
      <c r="Q9" s="659"/>
      <c r="R9" s="673"/>
    </row>
    <row r="10" spans="1:28" ht="31.5">
      <c r="A10" s="660" t="s">
        <v>186</v>
      </c>
      <c r="B10" s="657" t="s">
        <v>210</v>
      </c>
      <c r="C10" s="658">
        <f>C11+C12</f>
        <v>2171610</v>
      </c>
      <c r="D10" s="658">
        <f t="shared" ref="D10:K10" si="2">D11+D12</f>
        <v>2171610</v>
      </c>
      <c r="E10" s="658">
        <f t="shared" si="2"/>
        <v>0</v>
      </c>
      <c r="F10" s="658">
        <f>F11+F12</f>
        <v>2215042.2000000002</v>
      </c>
      <c r="G10" s="658">
        <v>2215042.2000000002</v>
      </c>
      <c r="H10" s="658">
        <v>2215042.2000000002</v>
      </c>
      <c r="I10" s="658">
        <f t="shared" si="2"/>
        <v>2259343.0440000002</v>
      </c>
      <c r="J10" s="658">
        <f t="shared" si="2"/>
        <v>2304529.9048800003</v>
      </c>
      <c r="K10" s="658">
        <f t="shared" si="2"/>
        <v>2350620.5029776003</v>
      </c>
      <c r="L10" s="658">
        <f>L11</f>
        <v>2304530</v>
      </c>
      <c r="M10" s="658">
        <f t="shared" ref="M10:Q10" si="3">M11</f>
        <v>2430075</v>
      </c>
      <c r="N10" s="658">
        <f t="shared" si="3"/>
        <v>0</v>
      </c>
      <c r="O10" s="658">
        <f t="shared" si="3"/>
        <v>2478676.5</v>
      </c>
      <c r="P10" s="658">
        <f t="shared" si="3"/>
        <v>2627397.0900000003</v>
      </c>
      <c r="Q10" s="658">
        <f t="shared" si="3"/>
        <v>2785040.9154000003</v>
      </c>
      <c r="R10" s="675"/>
    </row>
    <row r="11" spans="1:28">
      <c r="A11" s="656" t="s">
        <v>176</v>
      </c>
      <c r="B11" s="657" t="s">
        <v>177</v>
      </c>
      <c r="C11" s="658">
        <v>2171610</v>
      </c>
      <c r="D11" s="658">
        <f>C11</f>
        <v>2171610</v>
      </c>
      <c r="E11" s="658">
        <f>D11-C11</f>
        <v>0</v>
      </c>
      <c r="F11" s="658">
        <f>D11*1.02</f>
        <v>2215042.2000000002</v>
      </c>
      <c r="G11" s="658">
        <v>2215042.2000000002</v>
      </c>
      <c r="H11" s="658">
        <v>2215042.2000000002</v>
      </c>
      <c r="I11" s="658">
        <f>F11*1.02</f>
        <v>2259343.0440000002</v>
      </c>
      <c r="J11" s="658">
        <f>I11*1.02</f>
        <v>2304529.9048800003</v>
      </c>
      <c r="K11" s="658">
        <f>J11*1.02</f>
        <v>2350620.5029776003</v>
      </c>
      <c r="L11" s="658">
        <v>2304530</v>
      </c>
      <c r="M11" s="658">
        <v>2430075</v>
      </c>
      <c r="N11" s="658"/>
      <c r="O11" s="658">
        <f>M11*1.02</f>
        <v>2478676.5</v>
      </c>
      <c r="P11" s="658">
        <f>O11*1.06</f>
        <v>2627397.0900000003</v>
      </c>
      <c r="Q11" s="658">
        <f>P11*1.06</f>
        <v>2785040.9154000003</v>
      </c>
    </row>
    <row r="12" spans="1:28">
      <c r="A12" s="656" t="s">
        <v>176</v>
      </c>
      <c r="B12" s="657" t="s">
        <v>362</v>
      </c>
      <c r="C12" s="658"/>
      <c r="D12" s="658"/>
      <c r="E12" s="658"/>
      <c r="F12" s="658"/>
      <c r="G12" s="658"/>
      <c r="H12" s="658"/>
      <c r="I12" s="658"/>
      <c r="J12" s="658"/>
      <c r="K12" s="658"/>
      <c r="L12" s="658"/>
      <c r="M12" s="658"/>
      <c r="N12" s="658"/>
      <c r="O12" s="658"/>
      <c r="P12" s="658"/>
      <c r="Q12" s="658"/>
    </row>
    <row r="13" spans="1:28" ht="43.5" customHeight="1">
      <c r="A13" s="660" t="s">
        <v>187</v>
      </c>
      <c r="B13" s="657" t="s">
        <v>589</v>
      </c>
      <c r="C13" s="658">
        <v>0</v>
      </c>
      <c r="D13" s="658">
        <v>85488</v>
      </c>
      <c r="E13" s="658">
        <v>85488</v>
      </c>
      <c r="F13" s="658">
        <v>179052</v>
      </c>
      <c r="G13" s="658">
        <v>179052</v>
      </c>
      <c r="H13" s="658">
        <v>179052</v>
      </c>
      <c r="I13" s="658">
        <f>F13*1.02</f>
        <v>182633.04</v>
      </c>
      <c r="J13" s="658">
        <f t="shared" ref="J13:K21" si="4">I13*1.02</f>
        <v>186285.70080000002</v>
      </c>
      <c r="K13" s="658">
        <f t="shared" si="4"/>
        <v>190011.41481600003</v>
      </c>
      <c r="L13" s="658">
        <v>442454</v>
      </c>
      <c r="M13" s="658">
        <v>488997</v>
      </c>
      <c r="N13" s="658"/>
      <c r="O13" s="658">
        <f>M13*1.02</f>
        <v>498776.94</v>
      </c>
      <c r="P13" s="658">
        <f>O13*1.06</f>
        <v>528703.5564</v>
      </c>
      <c r="Q13" s="658">
        <f>P13</f>
        <v>528703.5564</v>
      </c>
    </row>
    <row r="14" spans="1:28">
      <c r="A14" s="661" t="s">
        <v>103</v>
      </c>
      <c r="B14" s="662" t="s">
        <v>363</v>
      </c>
      <c r="C14" s="663">
        <f>C15+C16+C19+C20+C21</f>
        <v>82906</v>
      </c>
      <c r="D14" s="663">
        <f>D15+D16+D19+D20+D21</f>
        <v>82906</v>
      </c>
      <c r="E14" s="663">
        <f t="shared" ref="E14" si="5">E15+E16+E19+E20+E21</f>
        <v>0</v>
      </c>
      <c r="F14" s="663">
        <f>F15+F16+F19+F20+F21</f>
        <v>202235</v>
      </c>
      <c r="G14" s="663">
        <v>202235</v>
      </c>
      <c r="H14" s="663">
        <v>202235</v>
      </c>
      <c r="I14" s="663">
        <f t="shared" ref="I14:Q14" si="6">I15+I16+I19+I20+I21</f>
        <v>189698.87999999998</v>
      </c>
      <c r="J14" s="663">
        <f t="shared" si="6"/>
        <v>232356.41459999999</v>
      </c>
      <c r="K14" s="663">
        <f t="shared" si="6"/>
        <v>237003.54289199997</v>
      </c>
      <c r="L14" s="663">
        <f t="shared" si="6"/>
        <v>355074</v>
      </c>
      <c r="M14" s="663">
        <f t="shared" si="6"/>
        <v>416154</v>
      </c>
      <c r="N14" s="663">
        <f t="shared" si="6"/>
        <v>0</v>
      </c>
      <c r="O14" s="663">
        <f t="shared" si="6"/>
        <v>114741.84000000001</v>
      </c>
      <c r="P14" s="663">
        <f t="shared" si="6"/>
        <v>187156.04320000001</v>
      </c>
      <c r="Q14" s="663">
        <f t="shared" si="6"/>
        <v>189890.83506399998</v>
      </c>
    </row>
    <row r="15" spans="1:28" s="670" customFormat="1">
      <c r="A15" s="664" t="s">
        <v>186</v>
      </c>
      <c r="B15" s="665" t="s">
        <v>364</v>
      </c>
      <c r="C15" s="659">
        <v>64546</v>
      </c>
      <c r="D15" s="659">
        <v>64546</v>
      </c>
      <c r="E15" s="659"/>
      <c r="F15" s="659">
        <v>68649</v>
      </c>
      <c r="G15" s="659">
        <v>68649</v>
      </c>
      <c r="H15" s="659">
        <v>68649</v>
      </c>
      <c r="I15" s="659">
        <f>F15*1.02</f>
        <v>70021.98</v>
      </c>
      <c r="J15" s="659">
        <f>I15*1.02</f>
        <v>71422.419599999994</v>
      </c>
      <c r="K15" s="659">
        <f t="shared" si="4"/>
        <v>72850.867992</v>
      </c>
      <c r="L15" s="659">
        <f>63458+18325</f>
        <v>81783</v>
      </c>
      <c r="M15" s="659">
        <f>L15</f>
        <v>81783</v>
      </c>
      <c r="N15" s="659"/>
      <c r="O15" s="659">
        <f>M15*1.02</f>
        <v>83418.66</v>
      </c>
      <c r="P15" s="659">
        <f>O15*1.02</f>
        <v>85087.033200000005</v>
      </c>
      <c r="Q15" s="659">
        <f>P15*1.02</f>
        <v>86788.773864000003</v>
      </c>
    </row>
    <row r="16" spans="1:28" s="670" customFormat="1">
      <c r="A16" s="664" t="s">
        <v>187</v>
      </c>
      <c r="B16" s="665" t="s">
        <v>178</v>
      </c>
      <c r="C16" s="659">
        <f>C17+C18</f>
        <v>0</v>
      </c>
      <c r="D16" s="659">
        <f>D17+D18</f>
        <v>0</v>
      </c>
      <c r="E16" s="659">
        <f t="shared" ref="E16" si="7">E17+E18</f>
        <v>0</v>
      </c>
      <c r="F16" s="659">
        <f>F17+F18</f>
        <v>114308</v>
      </c>
      <c r="G16" s="659">
        <v>114308</v>
      </c>
      <c r="H16" s="659">
        <v>114308</v>
      </c>
      <c r="I16" s="659">
        <f>I17+I18</f>
        <v>99435</v>
      </c>
      <c r="J16" s="659">
        <f>J17+J18</f>
        <v>139680</v>
      </c>
      <c r="K16" s="659">
        <f t="shared" si="4"/>
        <v>142473.60000000001</v>
      </c>
      <c r="L16" s="659">
        <f>L17+L18</f>
        <v>219381</v>
      </c>
      <c r="M16" s="659">
        <f t="shared" ref="M16:Q16" si="8">M17+M18</f>
        <v>303662</v>
      </c>
      <c r="N16" s="659">
        <f t="shared" si="8"/>
        <v>0</v>
      </c>
      <c r="O16" s="659">
        <f t="shared" si="8"/>
        <v>0</v>
      </c>
      <c r="P16" s="659">
        <f t="shared" si="8"/>
        <v>70000</v>
      </c>
      <c r="Q16" s="659">
        <f t="shared" si="8"/>
        <v>70000</v>
      </c>
    </row>
    <row r="17" spans="1:19" s="670" customFormat="1">
      <c r="A17" s="664"/>
      <c r="B17" s="666" t="s">
        <v>179</v>
      </c>
      <c r="C17" s="659">
        <v>0</v>
      </c>
      <c r="D17" s="659">
        <v>0</v>
      </c>
      <c r="E17" s="659"/>
      <c r="F17" s="659">
        <v>48808</v>
      </c>
      <c r="G17" s="659">
        <v>48808</v>
      </c>
      <c r="H17" s="659">
        <v>48808</v>
      </c>
      <c r="I17" s="659">
        <v>34435</v>
      </c>
      <c r="J17" s="659">
        <v>74680</v>
      </c>
      <c r="K17" s="659">
        <f t="shared" si="4"/>
        <v>76173.600000000006</v>
      </c>
      <c r="L17" s="659">
        <f>28398+52765+89410+48808</f>
        <v>219381</v>
      </c>
      <c r="M17" s="659">
        <f>L17</f>
        <v>219381</v>
      </c>
      <c r="N17" s="659"/>
      <c r="O17" s="659">
        <v>0</v>
      </c>
      <c r="P17" s="659">
        <v>70000</v>
      </c>
      <c r="Q17" s="659">
        <v>70000</v>
      </c>
    </row>
    <row r="18" spans="1:19" s="670" customFormat="1" ht="39.75" customHeight="1">
      <c r="A18" s="664"/>
      <c r="B18" s="666" t="s">
        <v>691</v>
      </c>
      <c r="C18" s="659">
        <v>0</v>
      </c>
      <c r="D18" s="659">
        <v>0</v>
      </c>
      <c r="E18" s="659"/>
      <c r="F18" s="659">
        <v>65500</v>
      </c>
      <c r="G18" s="659">
        <v>65500</v>
      </c>
      <c r="H18" s="659">
        <v>65500</v>
      </c>
      <c r="I18" s="659">
        <v>65000</v>
      </c>
      <c r="J18" s="659">
        <v>65000</v>
      </c>
      <c r="K18" s="659">
        <f t="shared" si="4"/>
        <v>66300</v>
      </c>
      <c r="L18" s="659"/>
      <c r="M18" s="659">
        <v>84281</v>
      </c>
      <c r="N18" s="659"/>
      <c r="O18" s="659">
        <v>0</v>
      </c>
      <c r="P18" s="659"/>
      <c r="Q18" s="659"/>
    </row>
    <row r="19" spans="1:19">
      <c r="A19" s="660" t="s">
        <v>188</v>
      </c>
      <c r="B19" s="657" t="s">
        <v>762</v>
      </c>
      <c r="C19" s="658">
        <v>9200</v>
      </c>
      <c r="D19" s="658">
        <v>9200</v>
      </c>
      <c r="E19" s="658"/>
      <c r="F19" s="658">
        <f>D19*1.05</f>
        <v>9660</v>
      </c>
      <c r="G19" s="658">
        <v>9660</v>
      </c>
      <c r="H19" s="658">
        <v>9660</v>
      </c>
      <c r="I19" s="658">
        <f>F19*1.05</f>
        <v>10143</v>
      </c>
      <c r="J19" s="658">
        <f>I19*1.05</f>
        <v>10650.15</v>
      </c>
      <c r="K19" s="658">
        <f t="shared" si="4"/>
        <v>10863.153</v>
      </c>
      <c r="L19" s="658">
        <v>5187</v>
      </c>
      <c r="M19" s="658">
        <f>11425-6238</f>
        <v>5187</v>
      </c>
      <c r="N19" s="658"/>
      <c r="O19" s="658">
        <f>M19*1.02</f>
        <v>5290.74</v>
      </c>
      <c r="P19" s="658">
        <f t="shared" ref="P19:Q21" si="9">O19*1.02</f>
        <v>5396.5547999999999</v>
      </c>
      <c r="Q19" s="658">
        <f t="shared" si="9"/>
        <v>5504.4858960000001</v>
      </c>
      <c r="S19" s="678">
        <f>M19-L19</f>
        <v>0</v>
      </c>
    </row>
    <row r="20" spans="1:19" ht="31.5">
      <c r="A20" s="660" t="s">
        <v>189</v>
      </c>
      <c r="B20" s="657" t="s">
        <v>761</v>
      </c>
      <c r="C20" s="658">
        <v>6160</v>
      </c>
      <c r="D20" s="658">
        <v>6160</v>
      </c>
      <c r="E20" s="658"/>
      <c r="F20" s="658">
        <f t="shared" ref="F20:F21" si="10">D20*1.05</f>
        <v>6468</v>
      </c>
      <c r="G20" s="658">
        <v>6468</v>
      </c>
      <c r="H20" s="658">
        <v>6468</v>
      </c>
      <c r="I20" s="658">
        <f>F20*1.05</f>
        <v>6791.4000000000005</v>
      </c>
      <c r="J20" s="658">
        <f t="shared" ref="J20:J21" si="11">I20*1.05</f>
        <v>7130.9700000000012</v>
      </c>
      <c r="K20" s="658">
        <f t="shared" si="4"/>
        <v>7273.5894000000017</v>
      </c>
      <c r="L20" s="658">
        <v>15908</v>
      </c>
      <c r="M20" s="658">
        <v>12434</v>
      </c>
      <c r="N20" s="658"/>
      <c r="O20" s="658">
        <f t="shared" ref="O20:O21" si="12">M20*1.02</f>
        <v>12682.68</v>
      </c>
      <c r="P20" s="658">
        <f>M20*1.05</f>
        <v>13055.7</v>
      </c>
      <c r="Q20" s="658">
        <f>P20*1.05</f>
        <v>13708.485000000001</v>
      </c>
    </row>
    <row r="21" spans="1:19">
      <c r="A21" s="660" t="s">
        <v>190</v>
      </c>
      <c r="B21" s="657" t="s">
        <v>180</v>
      </c>
      <c r="C21" s="658">
        <v>3000</v>
      </c>
      <c r="D21" s="658">
        <v>3000</v>
      </c>
      <c r="E21" s="658"/>
      <c r="F21" s="658">
        <f t="shared" si="10"/>
        <v>3150</v>
      </c>
      <c r="G21" s="658">
        <v>3150</v>
      </c>
      <c r="H21" s="658">
        <v>3150</v>
      </c>
      <c r="I21" s="658">
        <f>F21*1.05</f>
        <v>3307.5</v>
      </c>
      <c r="J21" s="658">
        <f t="shared" si="11"/>
        <v>3472.875</v>
      </c>
      <c r="K21" s="658">
        <f t="shared" si="4"/>
        <v>3542.3325</v>
      </c>
      <c r="L21" s="658">
        <v>32815</v>
      </c>
      <c r="M21" s="658">
        <f>6850+6238</f>
        <v>13088</v>
      </c>
      <c r="N21" s="658"/>
      <c r="O21" s="658">
        <f t="shared" si="12"/>
        <v>13349.76</v>
      </c>
      <c r="P21" s="658">
        <f t="shared" si="9"/>
        <v>13616.7552</v>
      </c>
      <c r="Q21" s="658">
        <f t="shared" si="9"/>
        <v>13889.090303999999</v>
      </c>
    </row>
    <row r="22" spans="1:19" ht="5.25" customHeight="1">
      <c r="A22" s="667"/>
      <c r="B22" s="668"/>
      <c r="C22" s="669"/>
      <c r="D22" s="669"/>
      <c r="E22" s="669"/>
      <c r="F22" s="669"/>
      <c r="G22" s="669"/>
      <c r="H22" s="669"/>
      <c r="I22" s="669"/>
      <c r="J22" s="669"/>
      <c r="K22" s="669"/>
      <c r="L22" s="669"/>
      <c r="M22" s="669"/>
      <c r="N22" s="669"/>
      <c r="O22" s="669"/>
      <c r="P22" s="669"/>
      <c r="Q22" s="669"/>
    </row>
    <row r="23" spans="1:19" ht="6" customHeight="1">
      <c r="F23" s="1017"/>
      <c r="G23" s="1017"/>
      <c r="H23" s="1017"/>
      <c r="I23" s="1017"/>
      <c r="J23" s="1017"/>
    </row>
    <row r="24" spans="1:19">
      <c r="F24" s="596" t="s">
        <v>234</v>
      </c>
      <c r="G24" s="596"/>
      <c r="H24" s="596"/>
      <c r="I24" s="596"/>
      <c r="J24" s="596"/>
      <c r="K24" s="596"/>
      <c r="L24" s="676"/>
    </row>
    <row r="25" spans="1:19">
      <c r="F25" s="596" t="s">
        <v>235</v>
      </c>
      <c r="G25" s="596"/>
      <c r="H25" s="596"/>
      <c r="I25" s="596"/>
      <c r="J25" s="596"/>
      <c r="K25" s="596"/>
    </row>
    <row r="26" spans="1:19">
      <c r="F26" s="596" t="s">
        <v>236</v>
      </c>
      <c r="G26" s="596"/>
      <c r="H26" s="596"/>
      <c r="I26" s="596"/>
      <c r="J26" s="596"/>
      <c r="K26" s="596"/>
    </row>
    <row r="27" spans="1:19">
      <c r="C27" s="677"/>
    </row>
  </sheetData>
  <mergeCells count="27">
    <mergeCell ref="F5:F6"/>
    <mergeCell ref="P5:P6"/>
    <mergeCell ref="A4:A6"/>
    <mergeCell ref="B4:B6"/>
    <mergeCell ref="C5:C6"/>
    <mergeCell ref="K5:K6"/>
    <mergeCell ref="I4:K4"/>
    <mergeCell ref="I5:I6"/>
    <mergeCell ref="J5:J6"/>
    <mergeCell ref="D5:D6"/>
    <mergeCell ref="E5:E6"/>
    <mergeCell ref="O3:Q3"/>
    <mergeCell ref="F23:J23"/>
    <mergeCell ref="C4:E4"/>
    <mergeCell ref="A1:B1"/>
    <mergeCell ref="F4:H4"/>
    <mergeCell ref="G5:G6"/>
    <mergeCell ref="H5:H6"/>
    <mergeCell ref="A2:Q2"/>
    <mergeCell ref="L4:N4"/>
    <mergeCell ref="O4:Q4"/>
    <mergeCell ref="Q5:Q6"/>
    <mergeCell ref="L5:L6"/>
    <mergeCell ref="M5:M6"/>
    <mergeCell ref="N5:N6"/>
    <mergeCell ref="O5:O6"/>
    <mergeCell ref="F1:J1"/>
  </mergeCells>
  <printOptions horizontalCentered="1"/>
  <pageMargins left="0.35433070866141736" right="0.35433070866141736" top="0.62992125984251968" bottom="0.43307086614173229" header="0.23622047244094491" footer="0.23622047244094491"/>
  <pageSetup paperSize="9" scale="95" fitToHeight="2" orientation="landscape" r:id="rId1"/>
  <headerFooter scaleWithDoc="0" alignWithMargins="0">
    <oddHeader xml:space="preserve">&amp;C                                                                                                                                  </oddHeader>
    <oddFooter>&amp;C&amp;".VnTime,Italic"&amp;8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52"/>
  <sheetViews>
    <sheetView topLeftCell="A3" zoomScale="85" zoomScaleNormal="85" workbookViewId="0">
      <pane xSplit="6" ySplit="6" topLeftCell="K9" activePane="bottomRight" state="frozen"/>
      <selection activeCell="M54" sqref="M54"/>
      <selection pane="topRight" activeCell="M54" sqref="M54"/>
      <selection pane="bottomLeft" activeCell="M54" sqref="M54"/>
      <selection pane="bottomRight" activeCell="L24" sqref="L24"/>
    </sheetView>
  </sheetViews>
  <sheetFormatPr defaultColWidth="9.125" defaultRowHeight="16.5" outlineLevelCol="1"/>
  <cols>
    <col min="1" max="1" width="4.875" style="436" customWidth="1"/>
    <col min="2" max="2" width="39" style="436" customWidth="1"/>
    <col min="3" max="3" width="11.875" style="436" hidden="1" customWidth="1" outlineLevel="1"/>
    <col min="4" max="4" width="11.25" style="436" hidden="1" customWidth="1" outlineLevel="1"/>
    <col min="5" max="5" width="10.25" style="436" hidden="1" customWidth="1" outlineLevel="1"/>
    <col min="6" max="6" width="8.875" style="436" hidden="1" customWidth="1" outlineLevel="1"/>
    <col min="7" max="8" width="11.875" style="436" hidden="1" customWidth="1" outlineLevel="1"/>
    <col min="9" max="9" width="10.75" style="436" hidden="1" customWidth="1" outlineLevel="1"/>
    <col min="10" max="10" width="8.875" style="436" hidden="1" customWidth="1" outlineLevel="1"/>
    <col min="11" max="11" width="11.875" style="436" customWidth="1" collapsed="1"/>
    <col min="12" max="12" width="11.875" style="436" customWidth="1"/>
    <col min="13" max="13" width="10.75" style="436" customWidth="1"/>
    <col min="14" max="14" width="8.875" style="436" customWidth="1"/>
    <col min="15" max="15" width="11.375" style="436" customWidth="1"/>
    <col min="16" max="16" width="11.25" style="436" customWidth="1"/>
    <col min="17" max="17" width="11.875" style="436" customWidth="1"/>
    <col min="18" max="18" width="13.25" style="436" hidden="1" customWidth="1" outlineLevel="1"/>
    <col min="19" max="19" width="12.375" style="436" hidden="1" customWidth="1" outlineLevel="1"/>
    <col min="20" max="20" width="9.125" style="436" hidden="1" customWidth="1" outlineLevel="1"/>
    <col min="21" max="22" width="11.625" style="436" hidden="1" customWidth="1" outlineLevel="1"/>
    <col min="23" max="23" width="12.375" style="436" hidden="1" customWidth="1" outlineLevel="1"/>
    <col min="24" max="24" width="12.125" style="436" customWidth="1" collapsed="1"/>
    <col min="25" max="25" width="10.125" style="436" bestFit="1" customWidth="1"/>
    <col min="26" max="16384" width="9.125" style="436"/>
  </cols>
  <sheetData>
    <row r="1" spans="1:24">
      <c r="A1" s="437"/>
      <c r="G1" s="438"/>
      <c r="H1" s="438"/>
      <c r="I1" s="438"/>
      <c r="J1" s="438"/>
      <c r="K1" s="438"/>
      <c r="L1" s="438"/>
      <c r="M1" s="438"/>
      <c r="N1" s="438"/>
      <c r="O1" s="438"/>
      <c r="P1" s="438"/>
    </row>
    <row r="2" spans="1:24">
      <c r="A2" s="437" t="s">
        <v>233</v>
      </c>
      <c r="G2" s="438"/>
      <c r="H2" s="438"/>
      <c r="I2" s="438"/>
      <c r="J2" s="438"/>
      <c r="K2" s="438"/>
      <c r="L2" s="438"/>
      <c r="M2" s="438"/>
      <c r="N2" s="438"/>
      <c r="O2" s="438"/>
      <c r="P2" s="758" t="s">
        <v>318</v>
      </c>
    </row>
    <row r="3" spans="1:24" ht="9" customHeight="1">
      <c r="R3" s="1034" t="s">
        <v>592</v>
      </c>
      <c r="S3" s="1034"/>
      <c r="T3" s="1034"/>
      <c r="U3" s="1034"/>
      <c r="V3" s="1034"/>
      <c r="W3" s="1034"/>
    </row>
    <row r="4" spans="1:24">
      <c r="A4" s="1038" t="s">
        <v>709</v>
      </c>
      <c r="B4" s="1038"/>
      <c r="C4" s="1038"/>
      <c r="D4" s="1038"/>
      <c r="E4" s="1038"/>
      <c r="F4" s="1038"/>
      <c r="G4" s="1038"/>
      <c r="H4" s="1038"/>
      <c r="I4" s="1038"/>
      <c r="J4" s="1038"/>
      <c r="K4" s="1038"/>
      <c r="L4" s="1038"/>
      <c r="M4" s="1038"/>
      <c r="N4" s="1038"/>
      <c r="O4" s="1038"/>
      <c r="P4" s="1038"/>
      <c r="Q4" s="437" t="s">
        <v>318</v>
      </c>
      <c r="R4" s="1034"/>
      <c r="S4" s="1034"/>
      <c r="T4" s="1034"/>
      <c r="U4" s="1034"/>
      <c r="V4" s="1034"/>
      <c r="W4" s="1034"/>
    </row>
    <row r="5" spans="1:24">
      <c r="D5" s="438"/>
      <c r="E5" s="438"/>
      <c r="H5" s="438">
        <f>H9-H21</f>
        <v>132330</v>
      </c>
      <c r="I5" s="438"/>
      <c r="L5" s="438"/>
      <c r="M5" s="438"/>
      <c r="O5" s="1039" t="s">
        <v>54</v>
      </c>
      <c r="P5" s="1039"/>
      <c r="Q5" s="1039"/>
      <c r="R5" s="759"/>
      <c r="S5" s="759"/>
      <c r="T5" s="759"/>
      <c r="U5" s="759"/>
      <c r="V5" s="759"/>
      <c r="W5" s="759"/>
    </row>
    <row r="6" spans="1:24" ht="16.5" customHeight="1">
      <c r="A6" s="1031" t="s">
        <v>0</v>
      </c>
      <c r="B6" s="1031" t="s">
        <v>213</v>
      </c>
      <c r="C6" s="1031" t="s">
        <v>308</v>
      </c>
      <c r="D6" s="1031" t="s">
        <v>566</v>
      </c>
      <c r="E6" s="1033" t="s">
        <v>238</v>
      </c>
      <c r="F6" s="1033"/>
      <c r="G6" s="1031" t="s">
        <v>309</v>
      </c>
      <c r="H6" s="1031" t="s">
        <v>567</v>
      </c>
      <c r="I6" s="1033" t="s">
        <v>238</v>
      </c>
      <c r="J6" s="1033"/>
      <c r="K6" s="1031" t="s">
        <v>622</v>
      </c>
      <c r="L6" s="1031" t="s">
        <v>712</v>
      </c>
      <c r="M6" s="1033" t="s">
        <v>238</v>
      </c>
      <c r="N6" s="1033"/>
      <c r="O6" s="1031" t="s">
        <v>710</v>
      </c>
      <c r="P6" s="1031" t="s">
        <v>623</v>
      </c>
      <c r="Q6" s="1031" t="s">
        <v>711</v>
      </c>
      <c r="R6" s="759"/>
      <c r="S6" s="759"/>
      <c r="T6" s="759"/>
      <c r="U6" s="759"/>
      <c r="V6" s="759"/>
      <c r="W6" s="759"/>
    </row>
    <row r="7" spans="1:24" ht="37.5" customHeight="1">
      <c r="A7" s="1032"/>
      <c r="B7" s="1032"/>
      <c r="C7" s="1032"/>
      <c r="D7" s="1032"/>
      <c r="E7" s="439" t="s">
        <v>239</v>
      </c>
      <c r="F7" s="439" t="s">
        <v>240</v>
      </c>
      <c r="G7" s="1032"/>
      <c r="H7" s="1032"/>
      <c r="I7" s="439" t="s">
        <v>239</v>
      </c>
      <c r="J7" s="439" t="s">
        <v>240</v>
      </c>
      <c r="K7" s="1032"/>
      <c r="L7" s="1032"/>
      <c r="M7" s="439" t="s">
        <v>239</v>
      </c>
      <c r="N7" s="439" t="s">
        <v>240</v>
      </c>
      <c r="O7" s="1032"/>
      <c r="P7" s="1032"/>
      <c r="Q7" s="1032"/>
      <c r="R7" s="760"/>
      <c r="S7" s="760"/>
      <c r="T7" s="759"/>
      <c r="U7" s="759"/>
      <c r="V7" s="759"/>
      <c r="W7" s="759"/>
    </row>
    <row r="8" spans="1:24">
      <c r="A8" s="439" t="s">
        <v>158</v>
      </c>
      <c r="B8" s="439" t="s">
        <v>160</v>
      </c>
      <c r="C8" s="439">
        <v>1</v>
      </c>
      <c r="D8" s="439">
        <v>2</v>
      </c>
      <c r="E8" s="439" t="s">
        <v>241</v>
      </c>
      <c r="F8" s="439" t="s">
        <v>242</v>
      </c>
      <c r="G8" s="439">
        <v>1</v>
      </c>
      <c r="H8" s="439">
        <v>2</v>
      </c>
      <c r="I8" s="439" t="s">
        <v>241</v>
      </c>
      <c r="J8" s="439" t="s">
        <v>242</v>
      </c>
      <c r="K8" s="439">
        <v>1</v>
      </c>
      <c r="L8" s="439">
        <v>2</v>
      </c>
      <c r="M8" s="439" t="s">
        <v>241</v>
      </c>
      <c r="N8" s="439" t="s">
        <v>242</v>
      </c>
      <c r="O8" s="439">
        <v>5</v>
      </c>
      <c r="P8" s="439">
        <v>6</v>
      </c>
      <c r="Q8" s="439">
        <v>7</v>
      </c>
      <c r="R8" s="759"/>
      <c r="S8" s="759"/>
      <c r="T8" s="759"/>
      <c r="U8" s="759"/>
      <c r="V8" s="759"/>
      <c r="W8" s="759"/>
    </row>
    <row r="9" spans="1:24" s="437" customFormat="1">
      <c r="A9" s="440" t="s">
        <v>158</v>
      </c>
      <c r="B9" s="441" t="s">
        <v>357</v>
      </c>
      <c r="C9" s="442">
        <f>C10+C15+C16+C17+C18+C19</f>
        <v>5318534</v>
      </c>
      <c r="D9" s="442">
        <f>D10+D15+D16+D17+D18+D19</f>
        <v>7318503.4089780003</v>
      </c>
      <c r="E9" s="442">
        <f t="shared" ref="E9:Q9" si="0">E10+E15+E16+E17+E18+E19</f>
        <v>1999969.4089779998</v>
      </c>
      <c r="F9" s="443">
        <f>D9/C9*100</f>
        <v>137.60377218568124</v>
      </c>
      <c r="G9" s="442">
        <f t="shared" si="0"/>
        <v>6801211</v>
      </c>
      <c r="H9" s="442">
        <f t="shared" si="0"/>
        <v>8331227</v>
      </c>
      <c r="I9" s="442">
        <f>I10+I15+I16+I17+I18+I19</f>
        <v>1530016</v>
      </c>
      <c r="J9" s="443">
        <f t="shared" ref="J9:J19" si="1">IF(G9=0,0,H9/G9*100)</f>
        <v>122.49622898039776</v>
      </c>
      <c r="K9" s="442">
        <f t="shared" ref="K9" si="2">K10+K15+K16+K17+K18+K19</f>
        <v>7758365</v>
      </c>
      <c r="L9" s="442">
        <f>L10+L15+L16+L17+L18+L19+L20</f>
        <v>10387240.751854001</v>
      </c>
      <c r="M9" s="442">
        <f>M10+M15+M16+M17+M18+M19+M20</f>
        <v>2628875.7518540006</v>
      </c>
      <c r="N9" s="443">
        <f t="shared" ref="N9:N17" si="3">IF(K9=0,0,L9/K9*100)</f>
        <v>133.8844041477038</v>
      </c>
      <c r="O9" s="442">
        <f>O10+O15+O16+O17+O18+O19</f>
        <v>8148648</v>
      </c>
      <c r="P9" s="442">
        <f t="shared" si="0"/>
        <v>8341000</v>
      </c>
      <c r="Q9" s="442">
        <f t="shared" si="0"/>
        <v>8664000.4699999988</v>
      </c>
      <c r="R9" s="761">
        <v>0.29185932874679565</v>
      </c>
      <c r="S9" s="761">
        <v>-0.35304515715688467</v>
      </c>
      <c r="T9" s="762"/>
      <c r="U9" s="762"/>
      <c r="V9" s="762"/>
      <c r="W9" s="762"/>
      <c r="X9" s="763"/>
    </row>
    <row r="10" spans="1:24" s="437" customFormat="1">
      <c r="A10" s="440" t="s">
        <v>60</v>
      </c>
      <c r="B10" s="441" t="s">
        <v>356</v>
      </c>
      <c r="C10" s="442">
        <f>C11+C12</f>
        <v>4604771</v>
      </c>
      <c r="D10" s="442">
        <f t="shared" ref="D10:Q10" si="4">D11+D12</f>
        <v>4990713</v>
      </c>
      <c r="E10" s="442">
        <f t="shared" si="4"/>
        <v>385942</v>
      </c>
      <c r="F10" s="443">
        <f>D10/C10*100</f>
        <v>108.38135056010385</v>
      </c>
      <c r="G10" s="442">
        <f t="shared" si="4"/>
        <v>4814369</v>
      </c>
      <c r="H10" s="442">
        <f>H11+H12</f>
        <v>4971949</v>
      </c>
      <c r="I10" s="442">
        <f t="shared" ref="I10" si="5">I11+I12</f>
        <v>157580</v>
      </c>
      <c r="J10" s="443">
        <f t="shared" si="1"/>
        <v>103.27311845020604</v>
      </c>
      <c r="K10" s="442">
        <f t="shared" ref="K10" si="6">K11+K12</f>
        <v>6317225</v>
      </c>
      <c r="L10" s="442">
        <f>L11+L12</f>
        <v>6230347</v>
      </c>
      <c r="M10" s="442">
        <f t="shared" ref="M10" si="7">M11+M12</f>
        <v>-86878</v>
      </c>
      <c r="N10" s="443">
        <f t="shared" si="3"/>
        <v>98.624744250837978</v>
      </c>
      <c r="O10" s="442">
        <f t="shared" si="4"/>
        <v>6701917</v>
      </c>
      <c r="P10" s="442">
        <f t="shared" si="4"/>
        <v>6791817</v>
      </c>
      <c r="Q10" s="442">
        <f t="shared" si="4"/>
        <v>7102517.4699999997</v>
      </c>
      <c r="R10" s="761">
        <f>O9+O39</f>
        <v>8148648</v>
      </c>
      <c r="S10" s="764">
        <f>P10/O10</f>
        <v>1.0134140724213685</v>
      </c>
      <c r="T10" s="762">
        <f>Q10/P10</f>
        <v>1.0457462958734018</v>
      </c>
      <c r="U10" s="761">
        <f>O10-'DT thu 69-7'!M56-'DT thu 69-7'!M77-'DT thu 69-7'!M78</f>
        <v>5593917</v>
      </c>
      <c r="V10" s="761">
        <f>P10-'DT thu 69-7'!N56-'DT thu 69-7'!N77-'DT thu 69-7'!N78</f>
        <v>5967517</v>
      </c>
      <c r="W10" s="761">
        <f>Q10-'DT thu 69-7'!O56-'DT thu 69-7'!O77-'DT thu 69-7'!O78</f>
        <v>6199617</v>
      </c>
      <c r="X10" s="763"/>
    </row>
    <row r="11" spans="1:24" s="437" customFormat="1">
      <c r="A11" s="444">
        <v>1</v>
      </c>
      <c r="B11" s="445" t="s">
        <v>229</v>
      </c>
      <c r="C11" s="446">
        <v>1604785</v>
      </c>
      <c r="D11" s="446">
        <v>1990727</v>
      </c>
      <c r="E11" s="446">
        <f>D11-C11</f>
        <v>385942</v>
      </c>
      <c r="F11" s="443">
        <f>D11/C11*100</f>
        <v>124.04945210729164</v>
      </c>
      <c r="G11" s="446">
        <v>1784000</v>
      </c>
      <c r="H11" s="446">
        <v>1941580</v>
      </c>
      <c r="I11" s="446">
        <f>H11-G11</f>
        <v>157580</v>
      </c>
      <c r="J11" s="443">
        <f t="shared" si="1"/>
        <v>108.83295964125561</v>
      </c>
      <c r="K11" s="446">
        <v>3046300</v>
      </c>
      <c r="L11" s="446">
        <v>2959422</v>
      </c>
      <c r="M11" s="446">
        <f>L11-K11</f>
        <v>-86878</v>
      </c>
      <c r="N11" s="443">
        <f t="shared" si="3"/>
        <v>97.14808127892853</v>
      </c>
      <c r="O11" s="446">
        <v>3098400</v>
      </c>
      <c r="P11" s="446">
        <f>'DT thu 69-7'!U13</f>
        <v>3188300</v>
      </c>
      <c r="Q11" s="446">
        <f>'DT thu 69-7'!V13</f>
        <v>3499000.4699999997</v>
      </c>
      <c r="R11" s="761"/>
      <c r="S11" s="761"/>
      <c r="T11" s="762"/>
      <c r="U11" s="762"/>
      <c r="V11" s="762">
        <f>V10/U10</f>
        <v>1.066786832911536</v>
      </c>
      <c r="W11" s="762">
        <f>W10/V10</f>
        <v>1.0388938984170468</v>
      </c>
      <c r="X11" s="765"/>
    </row>
    <row r="12" spans="1:24" s="437" customFormat="1">
      <c r="A12" s="444">
        <v>2</v>
      </c>
      <c r="B12" s="445" t="s">
        <v>230</v>
      </c>
      <c r="C12" s="446">
        <f>C13+C14</f>
        <v>2999986</v>
      </c>
      <c r="D12" s="446">
        <f>D13+D14</f>
        <v>2999986</v>
      </c>
      <c r="E12" s="446">
        <f t="shared" ref="E12:E39" si="8">D12-C12</f>
        <v>0</v>
      </c>
      <c r="F12" s="443">
        <f>IF(C12=0,0,D12/C12*100)</f>
        <v>100</v>
      </c>
      <c r="G12" s="446">
        <f>G13+G14</f>
        <v>3030369</v>
      </c>
      <c r="H12" s="446">
        <f t="shared" ref="H12:I12" si="9">H13+H14</f>
        <v>3030369</v>
      </c>
      <c r="I12" s="446">
        <f t="shared" si="9"/>
        <v>0</v>
      </c>
      <c r="J12" s="443">
        <f t="shared" si="1"/>
        <v>100</v>
      </c>
      <c r="K12" s="446">
        <f>K13+K14</f>
        <v>3270925</v>
      </c>
      <c r="L12" s="446">
        <f t="shared" ref="L12:M12" si="10">L13+L14</f>
        <v>3270925</v>
      </c>
      <c r="M12" s="446">
        <f t="shared" si="10"/>
        <v>0</v>
      </c>
      <c r="N12" s="443">
        <f t="shared" si="3"/>
        <v>100</v>
      </c>
      <c r="O12" s="446">
        <f>O13+O14</f>
        <v>3603517</v>
      </c>
      <c r="P12" s="446">
        <f>P13+P14</f>
        <v>3603517</v>
      </c>
      <c r="Q12" s="446">
        <f>Q13+Q14</f>
        <v>3603517</v>
      </c>
      <c r="R12" s="761"/>
      <c r="S12" s="761"/>
      <c r="T12" s="762"/>
      <c r="U12" s="762"/>
      <c r="V12" s="762"/>
      <c r="W12" s="762"/>
    </row>
    <row r="13" spans="1:24">
      <c r="A13" s="447"/>
      <c r="B13" s="448" t="s">
        <v>354</v>
      </c>
      <c r="C13" s="449">
        <v>2999986</v>
      </c>
      <c r="D13" s="449">
        <v>2999986</v>
      </c>
      <c r="E13" s="449">
        <f t="shared" si="8"/>
        <v>0</v>
      </c>
      <c r="F13" s="450">
        <f t="shared" ref="F13:F39" si="11">IF(C13=0,0,D13/C13*100)</f>
        <v>100</v>
      </c>
      <c r="G13" s="449">
        <v>2999986</v>
      </c>
      <c r="H13" s="449">
        <v>2999986</v>
      </c>
      <c r="I13" s="449">
        <f>H13-G13</f>
        <v>0</v>
      </c>
      <c r="J13" s="450">
        <f t="shared" si="1"/>
        <v>100</v>
      </c>
      <c r="K13" s="449">
        <v>3120986</v>
      </c>
      <c r="L13" s="449">
        <f>K13</f>
        <v>3120986</v>
      </c>
      <c r="M13" s="449">
        <f>L13-K13</f>
        <v>0</v>
      </c>
      <c r="N13" s="450">
        <f t="shared" si="3"/>
        <v>100</v>
      </c>
      <c r="O13" s="449">
        <v>3603517</v>
      </c>
      <c r="P13" s="449">
        <f>O13</f>
        <v>3603517</v>
      </c>
      <c r="Q13" s="449">
        <f>O13</f>
        <v>3603517</v>
      </c>
      <c r="R13" s="438"/>
      <c r="U13" s="438"/>
      <c r="V13" s="766">
        <f>V11*100</f>
        <v>106.6786832911536</v>
      </c>
      <c r="W13" s="438"/>
      <c r="X13" s="438"/>
    </row>
    <row r="14" spans="1:24">
      <c r="A14" s="447"/>
      <c r="B14" s="448" t="s">
        <v>355</v>
      </c>
      <c r="C14" s="449">
        <v>0</v>
      </c>
      <c r="D14" s="449">
        <v>0</v>
      </c>
      <c r="E14" s="449">
        <f t="shared" si="8"/>
        <v>0</v>
      </c>
      <c r="F14" s="450">
        <f t="shared" si="11"/>
        <v>0</v>
      </c>
      <c r="G14" s="449">
        <v>30383</v>
      </c>
      <c r="H14" s="449">
        <v>30383</v>
      </c>
      <c r="I14" s="449">
        <f t="shared" ref="I14:I19" si="12">H14-G14</f>
        <v>0</v>
      </c>
      <c r="J14" s="450">
        <f t="shared" si="1"/>
        <v>100</v>
      </c>
      <c r="K14" s="449">
        <v>149939</v>
      </c>
      <c r="L14" s="449">
        <f>K14</f>
        <v>149939</v>
      </c>
      <c r="M14" s="449">
        <f t="shared" ref="M14:M20" si="13">L14-K14</f>
        <v>0</v>
      </c>
      <c r="N14" s="450">
        <f t="shared" si="3"/>
        <v>100</v>
      </c>
      <c r="O14" s="449"/>
      <c r="P14" s="449">
        <f>O14</f>
        <v>0</v>
      </c>
      <c r="Q14" s="449">
        <f>O14</f>
        <v>0</v>
      </c>
      <c r="V14" s="438"/>
    </row>
    <row r="15" spans="1:24" s="437" customFormat="1" ht="66.75" customHeight="1">
      <c r="A15" s="444" t="s">
        <v>103</v>
      </c>
      <c r="B15" s="445" t="s">
        <v>359</v>
      </c>
      <c r="C15" s="446">
        <f>C34</f>
        <v>682763</v>
      </c>
      <c r="D15" s="446">
        <v>1301891</v>
      </c>
      <c r="E15" s="446">
        <f t="shared" si="8"/>
        <v>619128</v>
      </c>
      <c r="F15" s="443">
        <f t="shared" si="11"/>
        <v>190.67978200341847</v>
      </c>
      <c r="G15" s="446">
        <f>G34</f>
        <v>1966842</v>
      </c>
      <c r="H15" s="446">
        <v>2050083</v>
      </c>
      <c r="I15" s="446">
        <f t="shared" si="12"/>
        <v>83241</v>
      </c>
      <c r="J15" s="443">
        <f t="shared" si="1"/>
        <v>104.23221590753096</v>
      </c>
      <c r="K15" s="446">
        <v>1441140</v>
      </c>
      <c r="L15" s="446">
        <v>1502105</v>
      </c>
      <c r="M15" s="446">
        <f t="shared" si="13"/>
        <v>60965</v>
      </c>
      <c r="N15" s="443">
        <f t="shared" si="3"/>
        <v>104.23033154308395</v>
      </c>
      <c r="O15" s="446">
        <v>1446731</v>
      </c>
      <c r="P15" s="446">
        <f>1362000+192682-5499</f>
        <v>1549183</v>
      </c>
      <c r="Q15" s="446">
        <f>1273000+293982-5499</f>
        <v>1561483</v>
      </c>
      <c r="R15" s="763"/>
      <c r="S15" s="1036"/>
      <c r="T15" s="1037"/>
      <c r="U15" s="1037"/>
      <c r="V15" s="1037"/>
    </row>
    <row r="16" spans="1:24" s="437" customFormat="1">
      <c r="A16" s="444" t="s">
        <v>104</v>
      </c>
      <c r="B16" s="445" t="s">
        <v>245</v>
      </c>
      <c r="C16" s="446">
        <v>0</v>
      </c>
      <c r="D16" s="446"/>
      <c r="E16" s="446">
        <f t="shared" si="8"/>
        <v>0</v>
      </c>
      <c r="F16" s="443">
        <f t="shared" si="11"/>
        <v>0</v>
      </c>
      <c r="G16" s="446"/>
      <c r="H16" s="449">
        <v>0</v>
      </c>
      <c r="I16" s="449">
        <f t="shared" si="12"/>
        <v>0</v>
      </c>
      <c r="J16" s="443">
        <f t="shared" si="1"/>
        <v>0</v>
      </c>
      <c r="K16" s="446"/>
      <c r="L16" s="449">
        <v>0</v>
      </c>
      <c r="M16" s="449">
        <f t="shared" si="13"/>
        <v>0</v>
      </c>
      <c r="N16" s="443">
        <f t="shared" si="3"/>
        <v>0</v>
      </c>
      <c r="O16" s="446"/>
      <c r="P16" s="446"/>
      <c r="Q16" s="446"/>
      <c r="R16" s="763"/>
    </row>
    <row r="17" spans="1:26" s="437" customFormat="1">
      <c r="A17" s="444" t="s">
        <v>124</v>
      </c>
      <c r="B17" s="445" t="s">
        <v>246</v>
      </c>
      <c r="C17" s="446">
        <v>0</v>
      </c>
      <c r="D17" s="446">
        <v>29265.048738000001</v>
      </c>
      <c r="E17" s="446">
        <f>D17-C17</f>
        <v>29265.048738000001</v>
      </c>
      <c r="F17" s="443">
        <f t="shared" si="11"/>
        <v>0</v>
      </c>
      <c r="G17" s="446"/>
      <c r="H17" s="449">
        <v>120558</v>
      </c>
      <c r="I17" s="449">
        <f t="shared" si="12"/>
        <v>120558</v>
      </c>
      <c r="J17" s="443">
        <f t="shared" si="1"/>
        <v>0</v>
      </c>
      <c r="K17" s="446"/>
      <c r="L17" s="446">
        <v>62898.198634000728</v>
      </c>
      <c r="M17" s="446">
        <f t="shared" si="13"/>
        <v>62898.198634000728</v>
      </c>
      <c r="N17" s="443">
        <f t="shared" si="3"/>
        <v>0</v>
      </c>
      <c r="O17" s="446"/>
      <c r="P17" s="446"/>
      <c r="Q17" s="446"/>
    </row>
    <row r="18" spans="1:26" s="437" customFormat="1">
      <c r="A18" s="444" t="s">
        <v>129</v>
      </c>
      <c r="B18" s="445" t="s">
        <v>247</v>
      </c>
      <c r="C18" s="446">
        <v>0</v>
      </c>
      <c r="D18" s="446">
        <v>952700.36023999995</v>
      </c>
      <c r="E18" s="446">
        <f t="shared" si="8"/>
        <v>952700.36023999995</v>
      </c>
      <c r="F18" s="443">
        <f t="shared" si="11"/>
        <v>0</v>
      </c>
      <c r="G18" s="446"/>
      <c r="H18" s="449">
        <v>1170637</v>
      </c>
      <c r="I18" s="449">
        <f t="shared" si="12"/>
        <v>1170637</v>
      </c>
      <c r="J18" s="443">
        <f>IF(G18=0,0,H18/G18*100)</f>
        <v>0</v>
      </c>
      <c r="K18" s="446"/>
      <c r="L18" s="446">
        <v>2591890.5532200001</v>
      </c>
      <c r="M18" s="446">
        <f t="shared" si="13"/>
        <v>2591890.5532200001</v>
      </c>
      <c r="N18" s="443">
        <f>IF(K18=0,0,L18/K18*100)</f>
        <v>0</v>
      </c>
      <c r="O18" s="446"/>
      <c r="P18" s="446"/>
      <c r="Q18" s="446"/>
      <c r="R18" s="763"/>
    </row>
    <row r="19" spans="1:26" s="437" customFormat="1">
      <c r="A19" s="444" t="s">
        <v>342</v>
      </c>
      <c r="B19" s="445" t="s">
        <v>606</v>
      </c>
      <c r="C19" s="446">
        <v>31000</v>
      </c>
      <c r="D19" s="446">
        <v>43934</v>
      </c>
      <c r="E19" s="446">
        <f t="shared" si="8"/>
        <v>12934</v>
      </c>
      <c r="F19" s="443">
        <f t="shared" si="11"/>
        <v>141.72258064516129</v>
      </c>
      <c r="G19" s="446">
        <v>20000</v>
      </c>
      <c r="H19" s="446">
        <v>18000</v>
      </c>
      <c r="I19" s="451">
        <f t="shared" si="12"/>
        <v>-2000</v>
      </c>
      <c r="J19" s="443">
        <f t="shared" si="1"/>
        <v>90</v>
      </c>
      <c r="K19" s="446"/>
      <c r="L19" s="446"/>
      <c r="M19" s="452">
        <f t="shared" si="13"/>
        <v>0</v>
      </c>
      <c r="N19" s="443">
        <f t="shared" ref="N19" si="14">IF(K19=0,0,L19/K19*100)</f>
        <v>0</v>
      </c>
      <c r="O19" s="446">
        <v>0</v>
      </c>
      <c r="P19" s="446">
        <v>0</v>
      </c>
      <c r="Q19" s="446">
        <v>0</v>
      </c>
      <c r="S19" s="763"/>
    </row>
    <row r="20" spans="1:26" s="437" customFormat="1">
      <c r="A20" s="444" t="s">
        <v>502</v>
      </c>
      <c r="B20" s="445" t="s">
        <v>607</v>
      </c>
      <c r="C20" s="446"/>
      <c r="D20" s="446"/>
      <c r="E20" s="446"/>
      <c r="F20" s="443"/>
      <c r="G20" s="446"/>
      <c r="H20" s="446"/>
      <c r="I20" s="451"/>
      <c r="J20" s="443"/>
      <c r="K20" s="446"/>
      <c r="L20" s="446"/>
      <c r="M20" s="452">
        <f t="shared" si="13"/>
        <v>0</v>
      </c>
      <c r="N20" s="443"/>
      <c r="O20" s="446"/>
      <c r="P20" s="446"/>
      <c r="Q20" s="446"/>
      <c r="S20" s="763"/>
    </row>
    <row r="21" spans="1:26" s="437" customFormat="1">
      <c r="A21" s="444" t="s">
        <v>160</v>
      </c>
      <c r="B21" s="445" t="s">
        <v>358</v>
      </c>
      <c r="C21" s="446">
        <f>C23+C34+C38</f>
        <v>5311534</v>
      </c>
      <c r="D21" s="446">
        <f>D23+D34+D38</f>
        <v>6517082</v>
      </c>
      <c r="E21" s="446">
        <f>E23+E34+E38</f>
        <v>1205548</v>
      </c>
      <c r="F21" s="443">
        <f t="shared" si="11"/>
        <v>122.69679531374551</v>
      </c>
      <c r="G21" s="446">
        <f>G23+G34+G38</f>
        <v>6775411</v>
      </c>
      <c r="H21" s="446">
        <f>H23+H34+H37+H38</f>
        <v>8198897</v>
      </c>
      <c r="I21" s="446">
        <f>I23+I34+I38</f>
        <v>243103</v>
      </c>
      <c r="J21" s="443">
        <f>IF(G21=0,0,H21/G21*100)</f>
        <v>121.00958893858984</v>
      </c>
      <c r="K21" s="446">
        <f>K22+K34+K37</f>
        <v>7842265</v>
      </c>
      <c r="L21" s="446">
        <f>L22+L34+L37</f>
        <v>8777601.1914785001</v>
      </c>
      <c r="M21" s="446">
        <f>M22+M34+M37</f>
        <v>974336.19147849968</v>
      </c>
      <c r="N21" s="443">
        <f>IF(K21=0,0,L21/K21*100)</f>
        <v>111.92686285758641</v>
      </c>
      <c r="O21" s="446">
        <f>O22+O34+O37</f>
        <v>8197048</v>
      </c>
      <c r="P21" s="446">
        <f>P22+P34+P37</f>
        <v>8445080.5837975629</v>
      </c>
      <c r="Q21" s="446">
        <f>Q22+Q34+Q37</f>
        <v>8768081.3363381419</v>
      </c>
      <c r="R21" s="763"/>
      <c r="S21" s="763"/>
      <c r="X21" s="763"/>
      <c r="Y21" s="763"/>
      <c r="Z21" s="763"/>
    </row>
    <row r="22" spans="1:26" s="437" customFormat="1" ht="33">
      <c r="A22" s="444" t="s">
        <v>60</v>
      </c>
      <c r="B22" s="445" t="s">
        <v>602</v>
      </c>
      <c r="C22" s="446"/>
      <c r="D22" s="446"/>
      <c r="E22" s="446"/>
      <c r="F22" s="443"/>
      <c r="G22" s="446"/>
      <c r="H22" s="446"/>
      <c r="I22" s="446"/>
      <c r="J22" s="443"/>
      <c r="K22" s="446">
        <f>K23+K33</f>
        <v>6401125</v>
      </c>
      <c r="L22" s="446">
        <f>L23+L33</f>
        <v>6575404.7914785007</v>
      </c>
      <c r="M22" s="446">
        <f>M23+M33</f>
        <v>213279.7914785</v>
      </c>
      <c r="N22" s="443"/>
      <c r="O22" s="446">
        <f>O23+O33</f>
        <v>6750317</v>
      </c>
      <c r="P22" s="446">
        <f t="shared" ref="P22:Q22" si="15">P23+P33</f>
        <v>6895897.5837975629</v>
      </c>
      <c r="Q22" s="446">
        <f t="shared" si="15"/>
        <v>7206598.3363381419</v>
      </c>
      <c r="R22" s="763"/>
      <c r="S22" s="763"/>
      <c r="X22" s="763"/>
    </row>
    <row r="23" spans="1:26" s="437" customFormat="1">
      <c r="A23" s="444" t="s">
        <v>520</v>
      </c>
      <c r="B23" s="445" t="s">
        <v>248</v>
      </c>
      <c r="C23" s="446">
        <f>SUM(C24:C28)</f>
        <v>4597771</v>
      </c>
      <c r="D23" s="446">
        <f>SUM(D24:D28)</f>
        <v>5171257</v>
      </c>
      <c r="E23" s="446">
        <f>SUM(E24:E28)</f>
        <v>573486</v>
      </c>
      <c r="F23" s="443">
        <f t="shared" si="11"/>
        <v>112.47313100195726</v>
      </c>
      <c r="G23" s="446">
        <f>SUM(G24:G28)</f>
        <v>4788569</v>
      </c>
      <c r="H23" s="446">
        <f>SUM(H24:H28)</f>
        <v>4950431</v>
      </c>
      <c r="I23" s="446">
        <f>SUM(I24:I28)</f>
        <v>161862</v>
      </c>
      <c r="J23" s="443">
        <f>IF(G23=0,0,H23/G23*100)</f>
        <v>103.38017474531536</v>
      </c>
      <c r="K23" s="446">
        <f>SUM(K24:K32)</f>
        <v>6317225</v>
      </c>
      <c r="L23" s="446">
        <f t="shared" ref="L23:M23" si="16">SUM(L24:L32)</f>
        <v>6557952.7914785007</v>
      </c>
      <c r="M23" s="446">
        <f t="shared" si="16"/>
        <v>279727.7914785</v>
      </c>
      <c r="N23" s="443">
        <f>IF(K23=0,0,L23/K23*100)</f>
        <v>103.81065723444235</v>
      </c>
      <c r="O23" s="446">
        <f>SUM(O24:O32)-O31</f>
        <v>6701917</v>
      </c>
      <c r="P23" s="446">
        <f t="shared" ref="P23:Q23" si="17">SUM(P24:P32)-P31</f>
        <v>6791816.7504642298</v>
      </c>
      <c r="Q23" s="446">
        <f t="shared" si="17"/>
        <v>7102517.5030048089</v>
      </c>
      <c r="R23" s="767">
        <f>Q23/P23*100</f>
        <v>104.5746339154298</v>
      </c>
    </row>
    <row r="24" spans="1:26">
      <c r="A24" s="447">
        <v>1</v>
      </c>
      <c r="B24" s="448" t="s">
        <v>137</v>
      </c>
      <c r="C24" s="449">
        <v>686220</v>
      </c>
      <c r="D24" s="449">
        <v>945662</v>
      </c>
      <c r="E24" s="449">
        <f t="shared" si="8"/>
        <v>259442</v>
      </c>
      <c r="F24" s="450">
        <f t="shared" si="11"/>
        <v>137.8074087027484</v>
      </c>
      <c r="G24" s="449">
        <v>740920</v>
      </c>
      <c r="H24" s="449">
        <v>854920</v>
      </c>
      <c r="I24" s="449">
        <f>H24-G24</f>
        <v>114000</v>
      </c>
      <c r="J24" s="450">
        <f>IF(G24=0,0,H24/G24*100)</f>
        <v>115.38627652108188</v>
      </c>
      <c r="K24" s="449">
        <v>902220</v>
      </c>
      <c r="L24" s="449">
        <f>'Chi CĐ NSĐP 69-7'!L18</f>
        <v>1409442.746</v>
      </c>
      <c r="M24" s="449">
        <f>L24-K24</f>
        <v>507222.74600000004</v>
      </c>
      <c r="N24" s="450">
        <f>IF(K24=0,0,L24/K24*100)</f>
        <v>156.21940834829644</v>
      </c>
      <c r="O24" s="449">
        <f>'Chi CĐ NSĐP 69-7'!M18</f>
        <v>808020</v>
      </c>
      <c r="P24" s="449">
        <f>'Chi CĐ NSĐP 69-7'!N19</f>
        <v>900128.83055647777</v>
      </c>
      <c r="Q24" s="449">
        <f>'Chi CĐ NSĐP 69-7'!O19</f>
        <v>934728.83055647777</v>
      </c>
    </row>
    <row r="25" spans="1:26">
      <c r="A25" s="447">
        <v>2</v>
      </c>
      <c r="B25" s="448" t="s">
        <v>155</v>
      </c>
      <c r="C25" s="449">
        <v>3818591</v>
      </c>
      <c r="D25" s="449">
        <v>4224595</v>
      </c>
      <c r="E25" s="449">
        <f t="shared" si="8"/>
        <v>406004</v>
      </c>
      <c r="F25" s="450">
        <f t="shared" si="11"/>
        <v>110.63229866723093</v>
      </c>
      <c r="G25" s="449">
        <v>3949511</v>
      </c>
      <c r="H25" s="449">
        <v>4094511</v>
      </c>
      <c r="I25" s="449">
        <f t="shared" ref="I25:I28" si="18">H25-G25</f>
        <v>145000</v>
      </c>
      <c r="J25" s="450">
        <f t="shared" ref="J25:J51" si="19">IF(G25=0,0,H25/G25*100)</f>
        <v>103.67134057861847</v>
      </c>
      <c r="K25" s="449">
        <f>'Chi CĐ NSĐP 69-7'!K40</f>
        <v>4457168</v>
      </c>
      <c r="L25" s="449">
        <f>'Chi CĐ NSĐP 69-7'!L40</f>
        <v>4662907</v>
      </c>
      <c r="M25" s="449">
        <f t="shared" ref="M25:M28" si="20">L25-K25</f>
        <v>205739</v>
      </c>
      <c r="N25" s="450">
        <f t="shared" ref="N25:N50" si="21">IF(K25=0,0,L25/K25*100)</f>
        <v>104.61591306408016</v>
      </c>
      <c r="O25" s="449">
        <f>'Chi CĐ NSĐP 69-7'!M40</f>
        <v>4959919</v>
      </c>
      <c r="P25" s="449">
        <f>'Chi CĐ NSĐP 69-7'!N40</f>
        <v>5287367.2815077528</v>
      </c>
      <c r="Q25" s="449">
        <f>'Chi CĐ NSĐP 69-7'!O40</f>
        <v>5481467.607448332</v>
      </c>
      <c r="R25" s="438"/>
    </row>
    <row r="26" spans="1:26" ht="33">
      <c r="A26" s="447" t="s">
        <v>249</v>
      </c>
      <c r="B26" s="448" t="s">
        <v>250</v>
      </c>
      <c r="C26" s="449">
        <v>0</v>
      </c>
      <c r="D26" s="449">
        <v>0</v>
      </c>
      <c r="E26" s="449">
        <f t="shared" si="8"/>
        <v>0</v>
      </c>
      <c r="F26" s="450">
        <f t="shared" si="11"/>
        <v>0</v>
      </c>
      <c r="G26" s="449">
        <v>400</v>
      </c>
      <c r="H26" s="449">
        <v>0</v>
      </c>
      <c r="I26" s="451">
        <f t="shared" si="18"/>
        <v>-400</v>
      </c>
      <c r="J26" s="450">
        <f t="shared" si="19"/>
        <v>0</v>
      </c>
      <c r="K26" s="449">
        <v>2000</v>
      </c>
      <c r="L26" s="449">
        <f>'Chi CĐ NSĐP 69-7'!L39</f>
        <v>9603.0454785000002</v>
      </c>
      <c r="M26" s="451">
        <f t="shared" si="20"/>
        <v>7603.0454785000002</v>
      </c>
      <c r="N26" s="450">
        <f t="shared" si="21"/>
        <v>480.15227392500003</v>
      </c>
      <c r="O26" s="449">
        <v>2200</v>
      </c>
      <c r="P26" s="449">
        <f>'Chi CĐ NSĐP 69-7'!N39</f>
        <v>5904.2983999999997</v>
      </c>
      <c r="Q26" s="449">
        <f>'Chi CĐ NSĐP 69-7'!O39</f>
        <v>7340.5949999999993</v>
      </c>
    </row>
    <row r="27" spans="1:26">
      <c r="A27" s="447">
        <v>4</v>
      </c>
      <c r="B27" s="448" t="s">
        <v>156</v>
      </c>
      <c r="C27" s="449">
        <v>1000</v>
      </c>
      <c r="D27" s="449">
        <v>1000</v>
      </c>
      <c r="E27" s="449">
        <f t="shared" si="8"/>
        <v>0</v>
      </c>
      <c r="F27" s="450">
        <f t="shared" si="11"/>
        <v>100</v>
      </c>
      <c r="G27" s="449">
        <v>1000</v>
      </c>
      <c r="H27" s="449">
        <v>1000</v>
      </c>
      <c r="I27" s="449">
        <f t="shared" si="18"/>
        <v>0</v>
      </c>
      <c r="J27" s="450">
        <f t="shared" si="19"/>
        <v>100</v>
      </c>
      <c r="K27" s="449">
        <v>1000</v>
      </c>
      <c r="L27" s="449">
        <f>'Chi CĐ NSĐP 69-7'!L54</f>
        <v>1000</v>
      </c>
      <c r="M27" s="449">
        <f t="shared" si="20"/>
        <v>0</v>
      </c>
      <c r="N27" s="450">
        <f t="shared" si="21"/>
        <v>100</v>
      </c>
      <c r="O27" s="449">
        <v>1000</v>
      </c>
      <c r="P27" s="449">
        <v>1000</v>
      </c>
      <c r="Q27" s="449">
        <v>1000</v>
      </c>
    </row>
    <row r="28" spans="1:26">
      <c r="A28" s="447">
        <v>5</v>
      </c>
      <c r="B28" s="448" t="s">
        <v>157</v>
      </c>
      <c r="C28" s="449">
        <v>91960</v>
      </c>
      <c r="D28" s="449">
        <v>0</v>
      </c>
      <c r="E28" s="449">
        <f t="shared" si="8"/>
        <v>-91960</v>
      </c>
      <c r="F28" s="450">
        <f t="shared" si="11"/>
        <v>0</v>
      </c>
      <c r="G28" s="449">
        <v>96738</v>
      </c>
      <c r="H28" s="449">
        <v>0</v>
      </c>
      <c r="I28" s="451">
        <f t="shared" si="18"/>
        <v>-96738</v>
      </c>
      <c r="J28" s="450">
        <f t="shared" si="19"/>
        <v>0</v>
      </c>
      <c r="K28" s="449">
        <v>126345</v>
      </c>
      <c r="L28" s="449">
        <v>0</v>
      </c>
      <c r="M28" s="451">
        <f t="shared" si="20"/>
        <v>-126345</v>
      </c>
      <c r="N28" s="450">
        <f t="shared" si="21"/>
        <v>0</v>
      </c>
      <c r="O28" s="449">
        <f>'Chi CĐ NSĐP 69-7'!M55</f>
        <v>134038</v>
      </c>
      <c r="P28" s="449">
        <f>'Chi CĐ NSĐP 69-7'!N55</f>
        <v>135836.34</v>
      </c>
      <c r="Q28" s="449">
        <f>'Chi CĐ NSĐP 69-7'!O55</f>
        <v>173280.00939999998</v>
      </c>
    </row>
    <row r="29" spans="1:26">
      <c r="A29" s="447">
        <v>6</v>
      </c>
      <c r="B29" s="448" t="s">
        <v>628</v>
      </c>
      <c r="C29" s="449"/>
      <c r="D29" s="449"/>
      <c r="E29" s="449"/>
      <c r="F29" s="450"/>
      <c r="G29" s="449"/>
      <c r="H29" s="449"/>
      <c r="I29" s="451"/>
      <c r="J29" s="450"/>
      <c r="K29" s="449"/>
      <c r="L29" s="449"/>
      <c r="M29" s="451">
        <f t="shared" ref="M29:M30" si="22">L29-K29</f>
        <v>0</v>
      </c>
      <c r="N29" s="450">
        <f t="shared" ref="N29:N30" si="23">IF(K29=0,0,L29/K29*100)</f>
        <v>0</v>
      </c>
      <c r="O29" s="449"/>
      <c r="P29" s="449"/>
      <c r="Q29" s="449"/>
    </row>
    <row r="30" spans="1:26" ht="51">
      <c r="A30" s="447">
        <v>7</v>
      </c>
      <c r="B30" s="453" t="s">
        <v>590</v>
      </c>
      <c r="C30" s="449"/>
      <c r="D30" s="449"/>
      <c r="E30" s="449"/>
      <c r="F30" s="450"/>
      <c r="G30" s="449"/>
      <c r="H30" s="449"/>
      <c r="I30" s="451"/>
      <c r="J30" s="450"/>
      <c r="K30" s="449">
        <v>789492</v>
      </c>
      <c r="L30" s="449">
        <f>'Chi CĐ NSĐP 69-7'!L59</f>
        <v>475000</v>
      </c>
      <c r="M30" s="451">
        <f t="shared" si="22"/>
        <v>-314492</v>
      </c>
      <c r="N30" s="450">
        <f t="shared" si="23"/>
        <v>60.165270832383356</v>
      </c>
      <c r="O30" s="449">
        <f>'Chi CĐ NSĐP 69-7'!M59</f>
        <v>796740</v>
      </c>
      <c r="P30" s="449">
        <f>'Chi CĐ NSĐP 69-7'!N59</f>
        <v>461580</v>
      </c>
      <c r="Q30" s="449">
        <f>'Chi CĐ NSĐP 69-7'!O59</f>
        <v>504700.46059999976</v>
      </c>
    </row>
    <row r="31" spans="1:26" s="772" customFormat="1" ht="47.25">
      <c r="A31" s="768"/>
      <c r="B31" s="769" t="s">
        <v>741</v>
      </c>
      <c r="C31" s="454"/>
      <c r="D31" s="454"/>
      <c r="E31" s="454"/>
      <c r="F31" s="770"/>
      <c r="G31" s="454"/>
      <c r="H31" s="454"/>
      <c r="I31" s="771"/>
      <c r="J31" s="770"/>
      <c r="K31" s="454"/>
      <c r="L31" s="454"/>
      <c r="M31" s="771"/>
      <c r="N31" s="770"/>
      <c r="O31" s="454">
        <f>'Chi CĐ NSĐP 69-7'!M60</f>
        <v>48000</v>
      </c>
      <c r="P31" s="454">
        <f>'Chi CĐ NSĐP 69-7'!N60</f>
        <v>30000</v>
      </c>
      <c r="Q31" s="454">
        <f>'Chi CĐ NSĐP 69-7'!O60</f>
        <v>30000</v>
      </c>
    </row>
    <row r="32" spans="1:26">
      <c r="A32" s="447">
        <v>8</v>
      </c>
      <c r="B32" s="453" t="s">
        <v>707</v>
      </c>
      <c r="C32" s="449"/>
      <c r="D32" s="449"/>
      <c r="E32" s="449"/>
      <c r="F32" s="450"/>
      <c r="G32" s="449"/>
      <c r="H32" s="449"/>
      <c r="I32" s="451"/>
      <c r="J32" s="450"/>
      <c r="K32" s="449">
        <v>39000</v>
      </c>
      <c r="L32" s="449"/>
      <c r="M32" s="451"/>
      <c r="N32" s="450"/>
      <c r="O32" s="449"/>
      <c r="P32" s="449"/>
      <c r="Q32" s="449"/>
    </row>
    <row r="33" spans="1:25" s="437" customFormat="1">
      <c r="A33" s="444" t="s">
        <v>522</v>
      </c>
      <c r="B33" s="455" t="s">
        <v>597</v>
      </c>
      <c r="C33" s="446"/>
      <c r="D33" s="446"/>
      <c r="E33" s="446"/>
      <c r="F33" s="443"/>
      <c r="G33" s="446"/>
      <c r="H33" s="446"/>
      <c r="I33" s="452"/>
      <c r="J33" s="443"/>
      <c r="K33" s="446">
        <v>83900</v>
      </c>
      <c r="L33" s="446">
        <v>17452</v>
      </c>
      <c r="M33" s="452">
        <f t="shared" ref="M33" si="24">L33-K33</f>
        <v>-66448</v>
      </c>
      <c r="N33" s="443">
        <f t="shared" ref="N33" si="25">IF(K33=0,0,L33/K33*100)</f>
        <v>20.800953516090583</v>
      </c>
      <c r="O33" s="446">
        <f>'Chi CĐ NSĐP 69-7'!M62</f>
        <v>48400</v>
      </c>
      <c r="P33" s="446">
        <f>'Chi CĐ NSĐP 69-7'!N62</f>
        <v>104080.83333333333</v>
      </c>
      <c r="Q33" s="446">
        <f>'Chi CĐ NSĐP 69-7'!O62</f>
        <v>104080.83333333333</v>
      </c>
    </row>
    <row r="34" spans="1:25" s="437" customFormat="1">
      <c r="A34" s="444" t="s">
        <v>103</v>
      </c>
      <c r="B34" s="445" t="s">
        <v>251</v>
      </c>
      <c r="C34" s="446">
        <f>C35+C36</f>
        <v>682763</v>
      </c>
      <c r="D34" s="446">
        <f t="shared" ref="D34:Q34" si="26">D35+D36</f>
        <v>1301891</v>
      </c>
      <c r="E34" s="446">
        <f t="shared" si="26"/>
        <v>619128</v>
      </c>
      <c r="F34" s="443">
        <f t="shared" si="11"/>
        <v>190.67978200341847</v>
      </c>
      <c r="G34" s="446">
        <f t="shared" si="26"/>
        <v>1966842</v>
      </c>
      <c r="H34" s="446">
        <f t="shared" si="26"/>
        <v>2050083</v>
      </c>
      <c r="I34" s="446">
        <f t="shared" si="26"/>
        <v>83241</v>
      </c>
      <c r="J34" s="450">
        <f t="shared" si="19"/>
        <v>104.23221590753096</v>
      </c>
      <c r="K34" s="446">
        <f t="shared" ref="K34:M34" si="27">K35+K36</f>
        <v>1441140</v>
      </c>
      <c r="L34" s="446">
        <f t="shared" si="27"/>
        <v>2202196.4</v>
      </c>
      <c r="M34" s="446">
        <f t="shared" si="27"/>
        <v>761056.39999999967</v>
      </c>
      <c r="N34" s="443">
        <f t="shared" si="21"/>
        <v>152.80933150145023</v>
      </c>
      <c r="O34" s="446">
        <f t="shared" si="26"/>
        <v>1446731</v>
      </c>
      <c r="P34" s="446">
        <f t="shared" si="26"/>
        <v>1549183</v>
      </c>
      <c r="Q34" s="446">
        <f t="shared" si="26"/>
        <v>1561483</v>
      </c>
      <c r="S34" s="763"/>
    </row>
    <row r="35" spans="1:25">
      <c r="A35" s="447">
        <v>1</v>
      </c>
      <c r="B35" s="448" t="s">
        <v>252</v>
      </c>
      <c r="C35" s="449">
        <v>333056</v>
      </c>
      <c r="D35" s="449">
        <v>333056</v>
      </c>
      <c r="E35" s="449">
        <f t="shared" si="8"/>
        <v>0</v>
      </c>
      <c r="F35" s="450">
        <f t="shared" si="11"/>
        <v>100</v>
      </c>
      <c r="G35" s="449">
        <v>385707</v>
      </c>
      <c r="H35" s="449">
        <v>385707</v>
      </c>
      <c r="I35" s="449">
        <f>H35-G35</f>
        <v>0</v>
      </c>
      <c r="J35" s="450">
        <f t="shared" si="19"/>
        <v>100</v>
      </c>
      <c r="K35" s="449"/>
      <c r="L35" s="449">
        <v>39765.304516000004</v>
      </c>
      <c r="M35" s="449">
        <f>L35-K35</f>
        <v>39765.304516000004</v>
      </c>
      <c r="N35" s="450">
        <f t="shared" si="21"/>
        <v>0</v>
      </c>
      <c r="O35" s="449"/>
      <c r="P35" s="449"/>
      <c r="Q35" s="449">
        <f>P35*1.02</f>
        <v>0</v>
      </c>
    </row>
    <row r="36" spans="1:25">
      <c r="A36" s="447">
        <v>2</v>
      </c>
      <c r="B36" s="448" t="s">
        <v>253</v>
      </c>
      <c r="C36" s="449">
        <v>349707</v>
      </c>
      <c r="D36" s="449">
        <f>349707+619128</f>
        <v>968835</v>
      </c>
      <c r="E36" s="449">
        <f t="shared" si="8"/>
        <v>619128</v>
      </c>
      <c r="F36" s="450">
        <f t="shared" si="11"/>
        <v>277.04192366752739</v>
      </c>
      <c r="G36" s="449">
        <v>1581135</v>
      </c>
      <c r="H36" s="449">
        <v>1664376</v>
      </c>
      <c r="I36" s="449">
        <f>H36-G36</f>
        <v>83241</v>
      </c>
      <c r="J36" s="450">
        <f t="shared" si="19"/>
        <v>105.26463584703394</v>
      </c>
      <c r="K36" s="449">
        <v>1441140</v>
      </c>
      <c r="L36" s="449">
        <v>2162431.0954839997</v>
      </c>
      <c r="M36" s="449">
        <f>L36-K36</f>
        <v>721291.0954839997</v>
      </c>
      <c r="N36" s="450">
        <f t="shared" si="21"/>
        <v>150.05003646307782</v>
      </c>
      <c r="O36" s="449">
        <f>O15</f>
        <v>1446731</v>
      </c>
      <c r="P36" s="449">
        <f>P15</f>
        <v>1549183</v>
      </c>
      <c r="Q36" s="449">
        <f>Q15</f>
        <v>1561483</v>
      </c>
    </row>
    <row r="37" spans="1:25" s="437" customFormat="1">
      <c r="A37" s="444" t="s">
        <v>104</v>
      </c>
      <c r="B37" s="445" t="s">
        <v>334</v>
      </c>
      <c r="C37" s="446">
        <v>0</v>
      </c>
      <c r="D37" s="446">
        <f>D9-D21</f>
        <v>801421.40897800028</v>
      </c>
      <c r="E37" s="449">
        <f t="shared" si="8"/>
        <v>801421.40897800028</v>
      </c>
      <c r="F37" s="450">
        <f t="shared" si="11"/>
        <v>0</v>
      </c>
      <c r="G37" s="446"/>
      <c r="H37" s="446">
        <f>1150000+30383</f>
        <v>1180383</v>
      </c>
      <c r="I37" s="446">
        <f>H37-G37</f>
        <v>1180383</v>
      </c>
      <c r="J37" s="450">
        <f t="shared" si="19"/>
        <v>0</v>
      </c>
      <c r="K37" s="446"/>
      <c r="L37" s="446"/>
      <c r="M37" s="446">
        <f>L37-K37</f>
        <v>0</v>
      </c>
      <c r="N37" s="450">
        <f t="shared" si="21"/>
        <v>0</v>
      </c>
      <c r="O37" s="446">
        <v>0</v>
      </c>
      <c r="P37" s="446">
        <v>0</v>
      </c>
      <c r="Q37" s="446"/>
      <c r="R37" s="763"/>
      <c r="S37" s="763"/>
    </row>
    <row r="38" spans="1:25" s="437" customFormat="1" ht="33" hidden="1">
      <c r="A38" s="444" t="s">
        <v>124</v>
      </c>
      <c r="B38" s="445" t="s">
        <v>360</v>
      </c>
      <c r="C38" s="446">
        <v>31000</v>
      </c>
      <c r="D38" s="446">
        <v>43934</v>
      </c>
      <c r="E38" s="449">
        <f t="shared" si="8"/>
        <v>12934</v>
      </c>
      <c r="F38" s="450">
        <f t="shared" si="11"/>
        <v>141.72258064516129</v>
      </c>
      <c r="G38" s="446">
        <v>20000</v>
      </c>
      <c r="H38" s="446">
        <f>H19</f>
        <v>18000</v>
      </c>
      <c r="I38" s="452">
        <f t="shared" ref="I38:I51" si="28">H38-G38</f>
        <v>-2000</v>
      </c>
      <c r="J38" s="450">
        <f t="shared" si="19"/>
        <v>90</v>
      </c>
      <c r="K38" s="446"/>
      <c r="L38" s="446">
        <f>L19</f>
        <v>0</v>
      </c>
      <c r="M38" s="452">
        <f t="shared" ref="M38" si="29">L38-K38</f>
        <v>0</v>
      </c>
      <c r="N38" s="450">
        <f t="shared" si="21"/>
        <v>0</v>
      </c>
      <c r="O38" s="446">
        <f>O19</f>
        <v>0</v>
      </c>
      <c r="P38" s="446">
        <f>P19</f>
        <v>0</v>
      </c>
      <c r="Q38" s="446">
        <f>Q19</f>
        <v>0</v>
      </c>
    </row>
    <row r="39" spans="1:25" s="437" customFormat="1">
      <c r="A39" s="444" t="s">
        <v>162</v>
      </c>
      <c r="B39" s="445" t="s">
        <v>161</v>
      </c>
      <c r="C39" s="446">
        <v>0</v>
      </c>
      <c r="D39" s="446"/>
      <c r="E39" s="446">
        <f t="shared" si="8"/>
        <v>0</v>
      </c>
      <c r="F39" s="443">
        <f t="shared" si="11"/>
        <v>0</v>
      </c>
      <c r="G39" s="446">
        <f>G40</f>
        <v>11300</v>
      </c>
      <c r="H39" s="446">
        <f t="shared" ref="H39:I39" si="30">H40</f>
        <v>11300</v>
      </c>
      <c r="I39" s="446">
        <f t="shared" si="30"/>
        <v>0</v>
      </c>
      <c r="J39" s="450">
        <f t="shared" si="19"/>
        <v>100</v>
      </c>
      <c r="K39" s="446">
        <f>K40</f>
        <v>0</v>
      </c>
      <c r="L39" s="446">
        <f t="shared" ref="L39:M39" si="31">L40</f>
        <v>0</v>
      </c>
      <c r="M39" s="446">
        <f t="shared" si="31"/>
        <v>0</v>
      </c>
      <c r="N39" s="450">
        <f t="shared" si="21"/>
        <v>0</v>
      </c>
      <c r="O39" s="446"/>
      <c r="P39" s="446">
        <f t="shared" ref="P39:Q39" si="32">P40</f>
        <v>0</v>
      </c>
      <c r="Q39" s="449">
        <f t="shared" si="32"/>
        <v>0</v>
      </c>
    </row>
    <row r="40" spans="1:25" s="773" customFormat="1" ht="31.5" hidden="1">
      <c r="A40" s="456"/>
      <c r="B40" s="457" t="s">
        <v>594</v>
      </c>
      <c r="C40" s="458"/>
      <c r="D40" s="458"/>
      <c r="E40" s="458"/>
      <c r="F40" s="459"/>
      <c r="G40" s="454">
        <v>11300</v>
      </c>
      <c r="H40" s="454">
        <v>11300</v>
      </c>
      <c r="I40" s="446">
        <f t="shared" si="28"/>
        <v>0</v>
      </c>
      <c r="J40" s="450">
        <f t="shared" si="19"/>
        <v>100</v>
      </c>
      <c r="K40" s="454"/>
      <c r="L40" s="454"/>
      <c r="M40" s="446">
        <f t="shared" ref="M40:M51" si="33">L40-K40</f>
        <v>0</v>
      </c>
      <c r="N40" s="450">
        <f t="shared" si="21"/>
        <v>0</v>
      </c>
      <c r="O40" s="454">
        <v>16100</v>
      </c>
      <c r="P40" s="454"/>
      <c r="Q40" s="449">
        <v>0</v>
      </c>
    </row>
    <row r="41" spans="1:25">
      <c r="A41" s="444" t="s">
        <v>171</v>
      </c>
      <c r="B41" s="445" t="s">
        <v>255</v>
      </c>
      <c r="C41" s="449"/>
      <c r="D41" s="449"/>
      <c r="E41" s="449">
        <f t="shared" ref="E41:E51" si="34">D41-C41</f>
        <v>0</v>
      </c>
      <c r="F41" s="450">
        <f t="shared" ref="F41:F51" si="35">IF(C41=0,0,D41/C41*100)</f>
        <v>0</v>
      </c>
      <c r="G41" s="449">
        <v>0</v>
      </c>
      <c r="H41" s="449"/>
      <c r="I41" s="446">
        <f t="shared" si="28"/>
        <v>0</v>
      </c>
      <c r="J41" s="450">
        <f t="shared" si="19"/>
        <v>0</v>
      </c>
      <c r="K41" s="449">
        <v>0</v>
      </c>
      <c r="L41" s="449"/>
      <c r="M41" s="446">
        <f t="shared" si="33"/>
        <v>0</v>
      </c>
      <c r="N41" s="450">
        <f t="shared" si="21"/>
        <v>0</v>
      </c>
      <c r="O41" s="446">
        <v>0</v>
      </c>
      <c r="P41" s="446">
        <v>0</v>
      </c>
      <c r="Q41" s="446"/>
      <c r="R41" s="437"/>
    </row>
    <row r="42" spans="1:25" s="774" customFormat="1">
      <c r="A42" s="601" t="s">
        <v>60</v>
      </c>
      <c r="B42" s="602" t="s">
        <v>256</v>
      </c>
      <c r="C42" s="603">
        <v>319557</v>
      </c>
      <c r="D42" s="603">
        <v>319557</v>
      </c>
      <c r="E42" s="603">
        <f t="shared" si="34"/>
        <v>0</v>
      </c>
      <c r="F42" s="604">
        <f t="shared" si="35"/>
        <v>100</v>
      </c>
      <c r="G42" s="603">
        <v>338400</v>
      </c>
      <c r="H42" s="603">
        <v>338400</v>
      </c>
      <c r="I42" s="603">
        <f t="shared" si="28"/>
        <v>0</v>
      </c>
      <c r="J42" s="605">
        <f t="shared" si="19"/>
        <v>100</v>
      </c>
      <c r="K42" s="603">
        <f>'vay, trả nợ 20-7'!H8</f>
        <v>419030</v>
      </c>
      <c r="L42" s="603">
        <f>'vay, trả nợ 20-7'!I8</f>
        <v>440180</v>
      </c>
      <c r="M42" s="603">
        <f t="shared" si="33"/>
        <v>21150</v>
      </c>
      <c r="N42" s="605">
        <f t="shared" si="21"/>
        <v>105.04737130993007</v>
      </c>
      <c r="O42" s="603">
        <f>'vay, trả nợ 20-7'!K8</f>
        <v>457100</v>
      </c>
      <c r="P42" s="603">
        <f>'vay, trả nợ 20-7'!M8</f>
        <v>457100</v>
      </c>
      <c r="Q42" s="603">
        <f>'vay, trả nợ 20-7'!N8</f>
        <v>457100</v>
      </c>
    </row>
    <row r="43" spans="1:25" s="774" customFormat="1">
      <c r="A43" s="601" t="s">
        <v>103</v>
      </c>
      <c r="B43" s="602" t="s">
        <v>257</v>
      </c>
      <c r="C43" s="603">
        <v>138500</v>
      </c>
      <c r="D43" s="603">
        <v>138500</v>
      </c>
      <c r="E43" s="603">
        <f t="shared" si="34"/>
        <v>0</v>
      </c>
      <c r="F43" s="604">
        <f t="shared" si="35"/>
        <v>100</v>
      </c>
      <c r="G43" s="603">
        <v>91500</v>
      </c>
      <c r="H43" s="603">
        <v>91500</v>
      </c>
      <c r="I43" s="603">
        <f t="shared" si="28"/>
        <v>0</v>
      </c>
      <c r="J43" s="605">
        <f t="shared" si="19"/>
        <v>100</v>
      </c>
      <c r="K43" s="603">
        <f>'vay, trả nợ 20-7'!H11</f>
        <v>52587</v>
      </c>
      <c r="L43" s="603">
        <f>'vay, trả nợ 20-7'!I11</f>
        <v>49026.182380999999</v>
      </c>
      <c r="M43" s="609">
        <f t="shared" si="33"/>
        <v>-3560.8176190000013</v>
      </c>
      <c r="N43" s="605">
        <f t="shared" si="21"/>
        <v>93.228711242322248</v>
      </c>
      <c r="O43" s="603">
        <f>L51</f>
        <v>57643.182380999999</v>
      </c>
      <c r="P43" s="603">
        <f>O51</f>
        <v>106043.18238099999</v>
      </c>
      <c r="Q43" s="603">
        <f>P51</f>
        <v>210124.01571433333</v>
      </c>
    </row>
    <row r="44" spans="1:25" s="774" customFormat="1" ht="15.75" customHeight="1">
      <c r="A44" s="601" t="s">
        <v>104</v>
      </c>
      <c r="B44" s="602" t="s">
        <v>258</v>
      </c>
      <c r="C44" s="603">
        <f>C45+C46</f>
        <v>0</v>
      </c>
      <c r="D44" s="603">
        <f>D45+D46</f>
        <v>47000</v>
      </c>
      <c r="E44" s="603">
        <f t="shared" si="34"/>
        <v>47000</v>
      </c>
      <c r="F44" s="604">
        <f t="shared" si="35"/>
        <v>0</v>
      </c>
      <c r="G44" s="603">
        <f>G45+G46+G47</f>
        <v>38500</v>
      </c>
      <c r="H44" s="603">
        <f t="shared" ref="H44" si="36">H45+H46+H47</f>
        <v>38500</v>
      </c>
      <c r="I44" s="603">
        <f t="shared" si="28"/>
        <v>0</v>
      </c>
      <c r="J44" s="605">
        <f t="shared" si="19"/>
        <v>100</v>
      </c>
      <c r="K44" s="603">
        <f>K45+K46+K47</f>
        <v>13100</v>
      </c>
      <c r="L44" s="603">
        <f t="shared" ref="L44" si="37">L45+L46+L47</f>
        <v>8835</v>
      </c>
      <c r="M44" s="609">
        <f t="shared" si="33"/>
        <v>-4265</v>
      </c>
      <c r="N44" s="605">
        <f t="shared" si="21"/>
        <v>67.44274809160305</v>
      </c>
      <c r="O44" s="603">
        <f t="shared" ref="O44:Q44" si="38">O45+O46+O47</f>
        <v>8600</v>
      </c>
      <c r="P44" s="603">
        <f t="shared" si="38"/>
        <v>8600</v>
      </c>
      <c r="Q44" s="603">
        <f t="shared" si="38"/>
        <v>8600</v>
      </c>
    </row>
    <row r="45" spans="1:25" s="426" customFormat="1">
      <c r="A45" s="606">
        <v>1</v>
      </c>
      <c r="B45" s="607" t="s">
        <v>259</v>
      </c>
      <c r="C45" s="608">
        <v>0</v>
      </c>
      <c r="D45" s="608">
        <v>47000</v>
      </c>
      <c r="E45" s="608">
        <f t="shared" si="34"/>
        <v>47000</v>
      </c>
      <c r="F45" s="605">
        <f t="shared" si="35"/>
        <v>0</v>
      </c>
      <c r="G45" s="608">
        <v>0</v>
      </c>
      <c r="H45" s="608"/>
      <c r="I45" s="603">
        <f t="shared" si="28"/>
        <v>0</v>
      </c>
      <c r="J45" s="605">
        <f t="shared" si="19"/>
        <v>0</v>
      </c>
      <c r="K45" s="608">
        <v>7100</v>
      </c>
      <c r="L45" s="608">
        <v>0</v>
      </c>
      <c r="M45" s="609">
        <f t="shared" si="33"/>
        <v>-7100</v>
      </c>
      <c r="N45" s="605">
        <f t="shared" si="21"/>
        <v>0</v>
      </c>
      <c r="O45" s="608">
        <f>'vay, trả nợ 20-7'!K53</f>
        <v>8600</v>
      </c>
      <c r="P45" s="608">
        <f>'vay, trả nợ 20-7'!M53</f>
        <v>8600</v>
      </c>
      <c r="Q45" s="608">
        <f>'vay, trả nợ 20-7'!N53</f>
        <v>8600</v>
      </c>
      <c r="R45" s="608">
        <f>'vay, trả nợ 20-7'!O53</f>
        <v>0</v>
      </c>
      <c r="S45" s="608">
        <f>'vay, trả nợ 20-7'!P53</f>
        <v>0</v>
      </c>
      <c r="T45" s="608">
        <f>'vay, trả nợ 20-7'!Q53</f>
        <v>0</v>
      </c>
      <c r="U45" s="608">
        <f>'vay, trả nợ 20-7'!R53</f>
        <v>0</v>
      </c>
      <c r="V45" s="608">
        <f>'vay, trả nợ 20-7'!S53</f>
        <v>0</v>
      </c>
      <c r="W45" s="608">
        <f>'vay, trả nợ 20-7'!T53</f>
        <v>0</v>
      </c>
      <c r="Y45" s="757"/>
    </row>
    <row r="46" spans="1:25" s="426" customFormat="1">
      <c r="A46" s="606">
        <v>2</v>
      </c>
      <c r="B46" s="607" t="s">
        <v>351</v>
      </c>
      <c r="C46" s="608">
        <v>0</v>
      </c>
      <c r="D46" s="608">
        <v>0</v>
      </c>
      <c r="E46" s="608">
        <f t="shared" si="34"/>
        <v>0</v>
      </c>
      <c r="F46" s="605">
        <f t="shared" si="35"/>
        <v>0</v>
      </c>
      <c r="G46" s="608">
        <v>27200</v>
      </c>
      <c r="H46" s="608">
        <v>27200</v>
      </c>
      <c r="I46" s="603">
        <f t="shared" si="28"/>
        <v>0</v>
      </c>
      <c r="J46" s="605">
        <f t="shared" si="19"/>
        <v>100</v>
      </c>
      <c r="K46" s="608">
        <v>0</v>
      </c>
      <c r="L46" s="608">
        <v>0</v>
      </c>
      <c r="M46" s="603">
        <f t="shared" si="33"/>
        <v>0</v>
      </c>
      <c r="N46" s="605">
        <f t="shared" si="21"/>
        <v>0</v>
      </c>
      <c r="O46" s="608">
        <v>0</v>
      </c>
      <c r="P46" s="608">
        <v>0</v>
      </c>
      <c r="Q46" s="608">
        <v>0</v>
      </c>
    </row>
    <row r="47" spans="1:25" s="802" customFormat="1" ht="33">
      <c r="A47" s="794">
        <v>3</v>
      </c>
      <c r="B47" s="799" t="s">
        <v>260</v>
      </c>
      <c r="C47" s="800"/>
      <c r="D47" s="800"/>
      <c r="E47" s="800"/>
      <c r="F47" s="801"/>
      <c r="G47" s="796">
        <v>11300</v>
      </c>
      <c r="H47" s="796">
        <v>11300</v>
      </c>
      <c r="I47" s="796">
        <f t="shared" si="28"/>
        <v>0</v>
      </c>
      <c r="J47" s="797">
        <f t="shared" si="19"/>
        <v>100</v>
      </c>
      <c r="K47" s="796">
        <v>6000</v>
      </c>
      <c r="L47" s="796">
        <v>8835</v>
      </c>
      <c r="M47" s="796">
        <f t="shared" si="33"/>
        <v>2835</v>
      </c>
      <c r="N47" s="797">
        <f>IF(K47=0,0,L47/K47*100)</f>
        <v>147.25</v>
      </c>
      <c r="O47" s="796">
        <f>'vay, trả nợ 20-7'!K32</f>
        <v>0</v>
      </c>
      <c r="P47" s="796">
        <v>0</v>
      </c>
      <c r="Q47" s="796">
        <v>0</v>
      </c>
    </row>
    <row r="48" spans="1:25" s="774" customFormat="1" ht="21.75" customHeight="1">
      <c r="A48" s="601" t="s">
        <v>124</v>
      </c>
      <c r="B48" s="602" t="s">
        <v>261</v>
      </c>
      <c r="C48" s="603">
        <f>C50+C49</f>
        <v>0</v>
      </c>
      <c r="D48" s="603">
        <f>D50+D49</f>
        <v>0</v>
      </c>
      <c r="E48" s="603">
        <f t="shared" si="34"/>
        <v>0</v>
      </c>
      <c r="F48" s="604">
        <f t="shared" si="35"/>
        <v>0</v>
      </c>
      <c r="G48" s="603">
        <f>G50+G49</f>
        <v>18800</v>
      </c>
      <c r="H48" s="603">
        <f>H50+H49</f>
        <v>300</v>
      </c>
      <c r="I48" s="609">
        <f t="shared" si="28"/>
        <v>-18500</v>
      </c>
      <c r="J48" s="605">
        <f t="shared" si="19"/>
        <v>1.5957446808510638</v>
      </c>
      <c r="K48" s="603">
        <f>K50+K49</f>
        <v>91000</v>
      </c>
      <c r="L48" s="603">
        <f>L50+L49</f>
        <v>17452</v>
      </c>
      <c r="M48" s="609">
        <f t="shared" si="33"/>
        <v>-73548</v>
      </c>
      <c r="N48" s="605">
        <f t="shared" si="21"/>
        <v>19.178021978021977</v>
      </c>
      <c r="O48" s="603">
        <f>O50+O49</f>
        <v>57000</v>
      </c>
      <c r="P48" s="603">
        <f t="shared" ref="P48:Q48" si="39">P50+P49</f>
        <v>112680.83333333333</v>
      </c>
      <c r="Q48" s="603">
        <f t="shared" si="39"/>
        <v>112680.83333333333</v>
      </c>
      <c r="Y48" s="775"/>
    </row>
    <row r="49" spans="1:17" s="131" customFormat="1" ht="16.5" customHeight="1">
      <c r="A49" s="794">
        <v>1</v>
      </c>
      <c r="B49" s="795" t="s">
        <v>262</v>
      </c>
      <c r="C49" s="796">
        <v>0</v>
      </c>
      <c r="D49" s="796">
        <v>0</v>
      </c>
      <c r="E49" s="796">
        <f>D49-C49</f>
        <v>0</v>
      </c>
      <c r="F49" s="797">
        <f>IF(C49=0,0,D49/C49*100)</f>
        <v>0</v>
      </c>
      <c r="G49" s="796">
        <v>18800</v>
      </c>
      <c r="H49" s="796">
        <v>300</v>
      </c>
      <c r="I49" s="798">
        <f>H49-G49</f>
        <v>-18500</v>
      </c>
      <c r="J49" s="797">
        <f>IF(G49=0,0,H49/G49*100)</f>
        <v>1.5957446808510638</v>
      </c>
      <c r="K49" s="796">
        <v>83900</v>
      </c>
      <c r="L49" s="796">
        <f>L33</f>
        <v>17452</v>
      </c>
      <c r="M49" s="798">
        <f>L49-K49</f>
        <v>-66448</v>
      </c>
      <c r="N49" s="797">
        <f>IF(K49=0,0,L49/K49*100)</f>
        <v>20.800953516090583</v>
      </c>
      <c r="O49" s="796">
        <f>'vay, trả nợ 20-7'!K44</f>
        <v>48400</v>
      </c>
      <c r="P49" s="796">
        <f>'vay, trả nợ 20-7'!M44</f>
        <v>104080.83333333333</v>
      </c>
      <c r="Q49" s="796">
        <f>'vay, trả nợ 20-7'!N44</f>
        <v>104080.83333333333</v>
      </c>
    </row>
    <row r="50" spans="1:17" s="131" customFormat="1">
      <c r="A50" s="794">
        <v>2</v>
      </c>
      <c r="B50" s="795" t="s">
        <v>219</v>
      </c>
      <c r="C50" s="796">
        <v>0</v>
      </c>
      <c r="D50" s="796">
        <v>0</v>
      </c>
      <c r="E50" s="796">
        <f t="shared" si="34"/>
        <v>0</v>
      </c>
      <c r="F50" s="797">
        <f t="shared" si="35"/>
        <v>0</v>
      </c>
      <c r="G50" s="796">
        <v>0</v>
      </c>
      <c r="H50" s="796"/>
      <c r="I50" s="798">
        <f t="shared" si="28"/>
        <v>0</v>
      </c>
      <c r="J50" s="797">
        <f t="shared" si="19"/>
        <v>0</v>
      </c>
      <c r="K50" s="796">
        <v>7100</v>
      </c>
      <c r="L50" s="796">
        <v>0</v>
      </c>
      <c r="M50" s="798">
        <f t="shared" si="33"/>
        <v>-7100</v>
      </c>
      <c r="N50" s="797">
        <f t="shared" si="21"/>
        <v>0</v>
      </c>
      <c r="O50" s="796">
        <f>'vay, trả nợ 20-7'!K53</f>
        <v>8600</v>
      </c>
      <c r="P50" s="796">
        <f>'vay, trả nợ 20-7'!M53</f>
        <v>8600</v>
      </c>
      <c r="Q50" s="796">
        <f>'vay, trả nợ 20-7'!N53</f>
        <v>8600</v>
      </c>
    </row>
    <row r="51" spans="1:17" s="426" customFormat="1">
      <c r="A51" s="610" t="s">
        <v>129</v>
      </c>
      <c r="B51" s="611" t="s">
        <v>263</v>
      </c>
      <c r="C51" s="612">
        <v>0</v>
      </c>
      <c r="D51" s="612">
        <v>0</v>
      </c>
      <c r="E51" s="613">
        <f t="shared" si="34"/>
        <v>0</v>
      </c>
      <c r="F51" s="614">
        <f t="shared" si="35"/>
        <v>0</v>
      </c>
      <c r="G51" s="612">
        <f>G43-G44+G48</f>
        <v>71800</v>
      </c>
      <c r="H51" s="612">
        <f t="shared" ref="H51" si="40">H43-H44+H48</f>
        <v>53300</v>
      </c>
      <c r="I51" s="615">
        <f t="shared" si="28"/>
        <v>-18500</v>
      </c>
      <c r="J51" s="616">
        <f t="shared" si="19"/>
        <v>74.233983286908085</v>
      </c>
      <c r="K51" s="612">
        <f>K43-K44+K48</f>
        <v>130487</v>
      </c>
      <c r="L51" s="612">
        <f>L43-L44+L48</f>
        <v>57643.182380999999</v>
      </c>
      <c r="M51" s="615">
        <f t="shared" si="33"/>
        <v>-72843.817619000009</v>
      </c>
      <c r="N51" s="616">
        <f>IF(K51=0,0,L51/K51*100)</f>
        <v>44.175421598320135</v>
      </c>
      <c r="O51" s="612">
        <f>O43-O44+O48</f>
        <v>106043.18238099999</v>
      </c>
      <c r="P51" s="612">
        <f>P43-P44+P48</f>
        <v>210124.01571433333</v>
      </c>
      <c r="Q51" s="612">
        <f t="shared" ref="Q51" si="41">Q43-Q44+Q48</f>
        <v>314204.84904766665</v>
      </c>
    </row>
    <row r="52" spans="1:17" ht="37.5" customHeight="1">
      <c r="A52" s="1035" t="s">
        <v>588</v>
      </c>
      <c r="B52" s="1035"/>
      <c r="C52" s="1035"/>
      <c r="D52" s="1035"/>
      <c r="E52" s="1035"/>
      <c r="F52" s="1035"/>
      <c r="G52" s="1035"/>
      <c r="H52" s="1035"/>
      <c r="I52" s="1035"/>
      <c r="J52" s="1035"/>
      <c r="K52" s="1035"/>
      <c r="L52" s="1035"/>
      <c r="M52" s="1035"/>
      <c r="N52" s="1035"/>
      <c r="O52" s="1035"/>
      <c r="P52" s="1035"/>
      <c r="Q52" s="1035"/>
    </row>
  </sheetData>
  <mergeCells count="19">
    <mergeCell ref="R3:W4"/>
    <mergeCell ref="A52:Q52"/>
    <mergeCell ref="S15:V15"/>
    <mergeCell ref="A4:P4"/>
    <mergeCell ref="A6:A7"/>
    <mergeCell ref="B6:B7"/>
    <mergeCell ref="C6:C7"/>
    <mergeCell ref="D6:D7"/>
    <mergeCell ref="E6:F6"/>
    <mergeCell ref="H6:H7"/>
    <mergeCell ref="I6:J6"/>
    <mergeCell ref="O5:Q5"/>
    <mergeCell ref="Q6:Q7"/>
    <mergeCell ref="G6:G7"/>
    <mergeCell ref="O6:O7"/>
    <mergeCell ref="P6:P7"/>
    <mergeCell ref="K6:K7"/>
    <mergeCell ref="L6:L7"/>
    <mergeCell ref="M6:N6"/>
  </mergeCells>
  <dataValidations disablePrompts="1" count="1">
    <dataValidation allowBlank="1" showInputMessage="1" showErrorMessage="1" prompt="CN chi TX đã trình chuyển khoảng 497.118 trđ, số còn lại dự kiến của ĐTPT" sqref="D37" xr:uid="{00000000-0002-0000-0600-000000000000}"/>
  </dataValidations>
  <printOptions horizontalCentered="1"/>
  <pageMargins left="0.27559055118110237" right="0.19685039370078741" top="0.43307086614173229" bottom="0.3937007874015748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37"/>
  <sheetViews>
    <sheetView zoomScale="87" zoomScaleNormal="87" workbookViewId="0">
      <pane xSplit="2" ySplit="5" topLeftCell="C6" activePane="bottomRight" state="frozen"/>
      <selection activeCell="M54" sqref="M54"/>
      <selection pane="topRight" activeCell="M54" sqref="M54"/>
      <selection pane="bottomLeft" activeCell="M54" sqref="M54"/>
      <selection pane="bottomRight" activeCell="J32" sqref="J32"/>
    </sheetView>
  </sheetViews>
  <sheetFormatPr defaultColWidth="9.125" defaultRowHeight="16.5" outlineLevelRow="1"/>
  <cols>
    <col min="1" max="1" width="5.75" style="13" customWidth="1"/>
    <col min="2" max="2" width="33.375" style="13" customWidth="1"/>
    <col min="3" max="4" width="11.625" style="13" customWidth="1"/>
    <col min="5" max="5" width="9.25" style="13" customWidth="1"/>
    <col min="6" max="6" width="11.625" style="13" customWidth="1"/>
    <col min="7" max="7" width="10.75" style="13" customWidth="1"/>
    <col min="8" max="8" width="9.125" style="13"/>
    <col min="9" max="9" width="15.625" style="13" bestFit="1" customWidth="1"/>
    <col min="10" max="10" width="10.375" style="13" bestFit="1" customWidth="1"/>
    <col min="11" max="16384" width="9.125" style="13"/>
  </cols>
  <sheetData>
    <row r="1" spans="1:10">
      <c r="A1" s="131"/>
      <c r="B1" s="131"/>
      <c r="C1" s="131"/>
      <c r="D1" s="131"/>
      <c r="E1" s="131"/>
      <c r="F1" s="132" t="s">
        <v>321</v>
      </c>
      <c r="G1" s="131"/>
    </row>
    <row r="2" spans="1:10">
      <c r="A2" s="1040" t="s">
        <v>816</v>
      </c>
      <c r="B2" s="1040"/>
      <c r="C2" s="1040"/>
      <c r="D2" s="1040"/>
      <c r="E2" s="1040"/>
      <c r="F2" s="1040"/>
      <c r="G2" s="131"/>
    </row>
    <row r="3" spans="1:10">
      <c r="A3" s="131"/>
      <c r="B3" s="131"/>
      <c r="C3" s="131"/>
      <c r="D3" s="131"/>
      <c r="E3" s="131"/>
      <c r="F3" s="133" t="s">
        <v>54</v>
      </c>
      <c r="G3" s="131"/>
    </row>
    <row r="4" spans="1:10" ht="50.25" customHeight="1">
      <c r="A4" s="134" t="s">
        <v>0</v>
      </c>
      <c r="B4" s="134" t="s">
        <v>213</v>
      </c>
      <c r="C4" s="134" t="s">
        <v>712</v>
      </c>
      <c r="D4" s="134" t="s">
        <v>710</v>
      </c>
      <c r="E4" s="134" t="s">
        <v>238</v>
      </c>
      <c r="F4" s="134" t="s">
        <v>623</v>
      </c>
      <c r="G4" s="134" t="s">
        <v>711</v>
      </c>
      <c r="H4" s="242"/>
    </row>
    <row r="5" spans="1:10">
      <c r="A5" s="135" t="s">
        <v>158</v>
      </c>
      <c r="B5" s="135" t="s">
        <v>160</v>
      </c>
      <c r="C5" s="136" t="s">
        <v>186</v>
      </c>
      <c r="D5" s="136">
        <v>2</v>
      </c>
      <c r="E5" s="136" t="s">
        <v>264</v>
      </c>
      <c r="F5" s="136">
        <v>4</v>
      </c>
      <c r="G5" s="136">
        <v>5</v>
      </c>
    </row>
    <row r="6" spans="1:10" s="14" customFormat="1">
      <c r="A6" s="137"/>
      <c r="B6" s="138" t="s">
        <v>265</v>
      </c>
      <c r="C6" s="139">
        <f>C9+C27+C30</f>
        <v>3500000</v>
      </c>
      <c r="D6" s="139">
        <f>D9+D27+D30</f>
        <v>3600000</v>
      </c>
      <c r="E6" s="140">
        <f>IF(OR(C6=0,D6=0),"",D6/C6)</f>
        <v>1.0285714285714285</v>
      </c>
      <c r="F6" s="139">
        <f t="shared" ref="F6:G6" si="0">F9+F27+F30</f>
        <v>3772000</v>
      </c>
      <c r="G6" s="139">
        <f t="shared" si="0"/>
        <v>4128000</v>
      </c>
    </row>
    <row r="7" spans="1:10">
      <c r="A7" s="141"/>
      <c r="B7" s="142" t="s">
        <v>320</v>
      </c>
      <c r="C7" s="143">
        <f>(C6/1000)/'KTXH 69-7'!I8</f>
        <v>0.13214029523917392</v>
      </c>
      <c r="D7" s="143">
        <f>(D6/1000)/'KTXH 69-7'!J8</f>
        <v>0.12080536912751678</v>
      </c>
      <c r="E7" s="144"/>
      <c r="F7" s="143">
        <f>(F6/1000)/'KTXH 69-7'!K8</f>
        <v>0.11100647439670394</v>
      </c>
      <c r="G7" s="143">
        <f>(G6/1000)/'KTXH 69-7'!L8</f>
        <v>0.10736020806241872</v>
      </c>
      <c r="H7" s="14"/>
    </row>
    <row r="8" spans="1:10">
      <c r="A8" s="141"/>
      <c r="B8" s="142" t="s">
        <v>266</v>
      </c>
      <c r="C8" s="143">
        <f>(('SẮC THUẾ 69-7'!H10+'SẮC THUẾ 69-7'!H19)/1000)/'KTXH 69-7'!I8</f>
        <v>8.7904179408766575E-2</v>
      </c>
      <c r="D8" s="143">
        <f>(('SẮC THUẾ 69-7'!I10+'SẮC THUẾ 69-7'!I19)/1000)/'KTXH 69-7'!J8</f>
        <v>7.7315436241610733E-2</v>
      </c>
      <c r="E8" s="144"/>
      <c r="F8" s="143">
        <f>(('SẮC THUẾ 69-7'!J10+'SẮC THUẾ 69-7'!J19)/1000)/'KTXH 69-7'!K8</f>
        <v>8.0382577987051215E-2</v>
      </c>
      <c r="G8" s="143">
        <f>(('SẮC THUẾ 69-7'!K10+'SẮC THUẾ 69-7'!K19)/1000)/'KTXH 69-7'!L8</f>
        <v>7.7836138621586476E-2</v>
      </c>
    </row>
    <row r="9" spans="1:10" s="14" customFormat="1">
      <c r="A9" s="145" t="s">
        <v>60</v>
      </c>
      <c r="B9" s="146" t="s">
        <v>267</v>
      </c>
      <c r="C9" s="147">
        <f>'DT thu 69-7'!L12</f>
        <v>3231000</v>
      </c>
      <c r="D9" s="147">
        <f>'DT thu 69-7'!M12</f>
        <v>3330000</v>
      </c>
      <c r="E9" s="140">
        <f>IF(OR(C9=0,D9=0),"",D9/C9)</f>
        <v>1.0306406685236769</v>
      </c>
      <c r="F9" s="147">
        <f>'DT thu 69-7'!N12</f>
        <v>3441000</v>
      </c>
      <c r="G9" s="147">
        <f>'DT thu 69-7'!O12</f>
        <v>3774000.4699999997</v>
      </c>
    </row>
    <row r="10" spans="1:10">
      <c r="A10" s="141"/>
      <c r="B10" s="142" t="s">
        <v>268</v>
      </c>
      <c r="C10" s="143">
        <f>C9/'DT thu 69-7'!K12</f>
        <v>0.99317594983400959</v>
      </c>
      <c r="D10" s="143">
        <f>D9/'DT thu 69-7'!L12</f>
        <v>1.0306406685236769</v>
      </c>
      <c r="E10" s="144"/>
      <c r="F10" s="143">
        <f>F9/'DT thu 69-7'!M12</f>
        <v>1.0333333333333334</v>
      </c>
      <c r="G10" s="143">
        <f>G9/'DT thu 69-7'!N12</f>
        <v>1.0967743301365882</v>
      </c>
      <c r="I10" s="15"/>
    </row>
    <row r="11" spans="1:10">
      <c r="A11" s="141"/>
      <c r="B11" s="142" t="s">
        <v>269</v>
      </c>
      <c r="C11" s="143">
        <f>C9/C6</f>
        <v>0.92314285714285715</v>
      </c>
      <c r="D11" s="143">
        <f>D9/D6</f>
        <v>0.92500000000000004</v>
      </c>
      <c r="E11" s="144"/>
      <c r="F11" s="143">
        <f t="shared" ref="F11:G11" si="1">F9/F6</f>
        <v>0.91224814422057265</v>
      </c>
      <c r="G11" s="143">
        <f t="shared" si="1"/>
        <v>0.91424429990310074</v>
      </c>
      <c r="I11" s="15"/>
      <c r="J11" s="16"/>
    </row>
    <row r="12" spans="1:10">
      <c r="A12" s="141"/>
      <c r="B12" s="142" t="s">
        <v>39</v>
      </c>
      <c r="C12" s="148"/>
      <c r="D12" s="148"/>
      <c r="E12" s="144" t="str">
        <f t="shared" ref="E12:E27" si="2">IF(OR(C12=0,D12=0),"",D12/C12)</f>
        <v/>
      </c>
      <c r="F12" s="148"/>
      <c r="G12" s="148"/>
      <c r="J12" s="16"/>
    </row>
    <row r="13" spans="1:10" ht="25.5">
      <c r="A13" s="141">
        <v>1</v>
      </c>
      <c r="B13" s="149" t="s">
        <v>270</v>
      </c>
      <c r="C13" s="148">
        <f>'DT thu 69-7'!L13</f>
        <v>675272</v>
      </c>
      <c r="D13" s="148">
        <f>'DT thu 69-7'!M13</f>
        <v>661000</v>
      </c>
      <c r="E13" s="144">
        <f t="shared" si="2"/>
        <v>0.97886481299387507</v>
      </c>
      <c r="F13" s="148">
        <f>'DT thu 69-7'!N13</f>
        <v>765300</v>
      </c>
      <c r="G13" s="148">
        <f>'DT thu 69-7'!O13</f>
        <v>840000</v>
      </c>
    </row>
    <row r="14" spans="1:10" ht="25.5">
      <c r="A14" s="141">
        <v>2</v>
      </c>
      <c r="B14" s="149" t="s">
        <v>271</v>
      </c>
      <c r="C14" s="148">
        <f>'DT thu 69-7'!I21</f>
        <v>28000</v>
      </c>
      <c r="D14" s="148">
        <f>'DT thu 69-7'!M21</f>
        <v>45000</v>
      </c>
      <c r="E14" s="144">
        <f t="shared" si="2"/>
        <v>1.6071428571428572</v>
      </c>
      <c r="F14" s="148">
        <f>'DT thu 69-7'!N21</f>
        <v>53900</v>
      </c>
      <c r="G14" s="148">
        <f>'DT thu 69-7'!O21</f>
        <v>59100</v>
      </c>
    </row>
    <row r="15" spans="1:10" ht="25.5">
      <c r="A15" s="141">
        <v>3</v>
      </c>
      <c r="B15" s="149" t="s">
        <v>272</v>
      </c>
      <c r="C15" s="148">
        <f>'DT thu 69-7'!L27</f>
        <v>4500</v>
      </c>
      <c r="D15" s="148">
        <f>'DT thu 69-7'!M27</f>
        <v>8000</v>
      </c>
      <c r="E15" s="144">
        <f t="shared" si="2"/>
        <v>1.7777777777777777</v>
      </c>
      <c r="F15" s="148">
        <f>'DT thu 69-7'!N27</f>
        <v>10800</v>
      </c>
      <c r="G15" s="148">
        <f>'DT thu 69-7'!O27</f>
        <v>11800</v>
      </c>
    </row>
    <row r="16" spans="1:10">
      <c r="A16" s="141">
        <v>4</v>
      </c>
      <c r="B16" s="149" t="s">
        <v>273</v>
      </c>
      <c r="C16" s="148">
        <f>'DT thu 69-7'!L39</f>
        <v>790000</v>
      </c>
      <c r="D16" s="148">
        <f>'DT thu 69-7'!M39</f>
        <v>790000</v>
      </c>
      <c r="E16" s="144">
        <f t="shared" si="2"/>
        <v>1</v>
      </c>
      <c r="F16" s="148">
        <f>'DT thu 69-7'!N39</f>
        <v>948300</v>
      </c>
      <c r="G16" s="148">
        <f>'DT thu 69-7'!O39</f>
        <v>1045500</v>
      </c>
    </row>
    <row r="17" spans="1:8">
      <c r="A17" s="141">
        <v>5</v>
      </c>
      <c r="B17" s="149" t="s">
        <v>78</v>
      </c>
      <c r="C17" s="148">
        <f>'DT thu 69-7'!L48</f>
        <v>105680</v>
      </c>
      <c r="D17" s="148">
        <f>'DT thu 69-7'!M48</f>
        <v>95000</v>
      </c>
      <c r="E17" s="144">
        <f t="shared" si="2"/>
        <v>0.89894019682059045</v>
      </c>
      <c r="F17" s="148">
        <f>'DT thu 69-7'!N48</f>
        <v>124000</v>
      </c>
      <c r="G17" s="148">
        <f>'DT thu 69-7'!O48</f>
        <v>136000</v>
      </c>
    </row>
    <row r="18" spans="1:8">
      <c r="A18" s="141">
        <v>6</v>
      </c>
      <c r="B18" s="149" t="s">
        <v>79</v>
      </c>
      <c r="C18" s="148">
        <f>'DT thu 69-7'!L49</f>
        <v>280000</v>
      </c>
      <c r="D18" s="148">
        <f>'DT thu 69-7'!M49</f>
        <v>280000</v>
      </c>
      <c r="E18" s="144">
        <f t="shared" si="2"/>
        <v>1</v>
      </c>
      <c r="F18" s="148">
        <f>'DT thu 69-7'!N49</f>
        <v>309400</v>
      </c>
      <c r="G18" s="148">
        <f>'DT thu 69-7'!O49</f>
        <v>339400</v>
      </c>
    </row>
    <row r="19" spans="1:8">
      <c r="A19" s="141">
        <v>7</v>
      </c>
      <c r="B19" s="149" t="s">
        <v>119</v>
      </c>
      <c r="C19" s="148">
        <f>'DT thu 69-7'!L45</f>
        <v>100000</v>
      </c>
      <c r="D19" s="148">
        <f>'DT thu 69-7'!M45</f>
        <v>100000</v>
      </c>
      <c r="E19" s="144">
        <f t="shared" si="2"/>
        <v>1</v>
      </c>
      <c r="F19" s="148">
        <f>'DT thu 69-7'!N45</f>
        <v>124000</v>
      </c>
      <c r="G19" s="148">
        <f>'DT thu 69-7'!O45</f>
        <v>136000</v>
      </c>
    </row>
    <row r="20" spans="1:8">
      <c r="A20" s="141">
        <v>8</v>
      </c>
      <c r="B20" s="149" t="s">
        <v>127</v>
      </c>
      <c r="C20" s="148">
        <f>'DT thu 69-7'!L56</f>
        <v>317950</v>
      </c>
      <c r="D20" s="148">
        <f>'DT thu 69-7'!M56</f>
        <v>235000</v>
      </c>
      <c r="E20" s="144">
        <f t="shared" si="2"/>
        <v>0.73910992294385913</v>
      </c>
      <c r="F20" s="148">
        <f>'DT thu 69-7'!N56</f>
        <v>253300</v>
      </c>
      <c r="G20" s="148">
        <f>'DT thu 69-7'!O56</f>
        <v>277900</v>
      </c>
      <c r="H20" s="242"/>
    </row>
    <row r="21" spans="1:8">
      <c r="A21" s="141">
        <v>9</v>
      </c>
      <c r="B21" s="149" t="s">
        <v>274</v>
      </c>
      <c r="C21" s="148">
        <f>'DT thu 69-7'!L77</f>
        <v>95000</v>
      </c>
      <c r="D21" s="148">
        <f>'DT thu 69-7'!M77</f>
        <v>60000</v>
      </c>
      <c r="E21" s="144">
        <f t="shared" si="2"/>
        <v>0.63157894736842102</v>
      </c>
      <c r="F21" s="148">
        <f>'DT thu 69-7'!N77</f>
        <v>100000</v>
      </c>
      <c r="G21" s="148">
        <f>'DT thu 69-7'!O77</f>
        <v>110000</v>
      </c>
    </row>
    <row r="22" spans="1:8">
      <c r="A22" s="141">
        <v>10</v>
      </c>
      <c r="B22" s="149" t="s">
        <v>365</v>
      </c>
      <c r="C22" s="148">
        <f>'DT thu 69-7'!L76</f>
        <v>2000</v>
      </c>
      <c r="D22" s="148">
        <f>'DT thu 69-7'!M76</f>
        <v>2000</v>
      </c>
      <c r="E22" s="144">
        <f t="shared" si="2"/>
        <v>1</v>
      </c>
      <c r="F22" s="148">
        <f>'DT thu 69-7'!N76</f>
        <v>2000</v>
      </c>
      <c r="G22" s="148">
        <f>'DT thu 69-7'!O76</f>
        <v>2000</v>
      </c>
    </row>
    <row r="23" spans="1:8" ht="57" customHeight="1">
      <c r="A23" s="141">
        <v>11</v>
      </c>
      <c r="B23" s="149" t="s">
        <v>603</v>
      </c>
      <c r="C23" s="148"/>
      <c r="D23" s="148">
        <f>'DT thu 69-7'!M78</f>
        <v>813000</v>
      </c>
      <c r="E23" s="144"/>
      <c r="F23" s="148">
        <f>'DT thu 69-7'!N78</f>
        <v>471000</v>
      </c>
      <c r="G23" s="148">
        <f>'DT thu 69-7'!O78</f>
        <v>515000.46999999974</v>
      </c>
    </row>
    <row r="24" spans="1:8" hidden="1" outlineLevel="1">
      <c r="A24" s="145" t="s">
        <v>103</v>
      </c>
      <c r="B24" s="146" t="s">
        <v>275</v>
      </c>
      <c r="C24" s="148"/>
      <c r="D24" s="148"/>
      <c r="E24" s="144" t="str">
        <f t="shared" si="2"/>
        <v/>
      </c>
      <c r="F24" s="148"/>
      <c r="G24" s="148"/>
    </row>
    <row r="25" spans="1:8" hidden="1" outlineLevel="1">
      <c r="A25" s="141"/>
      <c r="B25" s="142" t="s">
        <v>268</v>
      </c>
      <c r="C25" s="148"/>
      <c r="D25" s="148"/>
      <c r="E25" s="144" t="str">
        <f t="shared" si="2"/>
        <v/>
      </c>
      <c r="F25" s="148"/>
      <c r="G25" s="148"/>
    </row>
    <row r="26" spans="1:8" hidden="1" outlineLevel="1">
      <c r="A26" s="141"/>
      <c r="B26" s="142" t="s">
        <v>269</v>
      </c>
      <c r="C26" s="148"/>
      <c r="D26" s="148"/>
      <c r="E26" s="144" t="str">
        <f t="shared" si="2"/>
        <v/>
      </c>
      <c r="F26" s="148"/>
      <c r="G26" s="148"/>
    </row>
    <row r="27" spans="1:8" s="14" customFormat="1" collapsed="1">
      <c r="A27" s="145" t="s">
        <v>103</v>
      </c>
      <c r="B27" s="146" t="s">
        <v>276</v>
      </c>
      <c r="C27" s="147">
        <f>'DT thu 69-7'!L81</f>
        <v>269000</v>
      </c>
      <c r="D27" s="147">
        <f>'DT thu 69-7'!M81</f>
        <v>270000</v>
      </c>
      <c r="E27" s="140">
        <f t="shared" si="2"/>
        <v>1.003717472118959</v>
      </c>
      <c r="F27" s="147">
        <f>'DT thu 69-7'!N81</f>
        <v>331000</v>
      </c>
      <c r="G27" s="147">
        <f>'DT thu 69-7'!O81</f>
        <v>353999.53</v>
      </c>
    </row>
    <row r="28" spans="1:8">
      <c r="A28" s="141"/>
      <c r="B28" s="142" t="s">
        <v>268</v>
      </c>
      <c r="C28" s="143">
        <f>C27/'DT thu 69-7'!K81</f>
        <v>1.0899513776337115</v>
      </c>
      <c r="D28" s="143">
        <f>D27/'DT thu 69-7'!L81</f>
        <v>1.003717472118959</v>
      </c>
      <c r="E28" s="144"/>
      <c r="F28" s="143">
        <f>F27/'DT thu 69-7'!M81</f>
        <v>1.2259259259259259</v>
      </c>
      <c r="G28" s="143">
        <f>G27/'DT thu 69-7'!N81</f>
        <v>1.0694849848942598</v>
      </c>
    </row>
    <row r="29" spans="1:8">
      <c r="A29" s="141"/>
      <c r="B29" s="142" t="s">
        <v>269</v>
      </c>
      <c r="C29" s="143">
        <f>C27/C6</f>
        <v>7.685714285714286E-2</v>
      </c>
      <c r="D29" s="143">
        <f>D27/D6</f>
        <v>7.4999999999999997E-2</v>
      </c>
      <c r="E29" s="144"/>
      <c r="F29" s="143">
        <f t="shared" ref="F29:G29" si="3">F27/F6</f>
        <v>8.775185577942736E-2</v>
      </c>
      <c r="G29" s="143">
        <f t="shared" si="3"/>
        <v>8.5755700096899229E-2</v>
      </c>
    </row>
    <row r="30" spans="1:8" s="14" customFormat="1">
      <c r="A30" s="145" t="s">
        <v>104</v>
      </c>
      <c r="B30" s="146" t="s">
        <v>366</v>
      </c>
      <c r="C30" s="147">
        <f>'DT thu 69-7'!L89</f>
        <v>0</v>
      </c>
      <c r="D30" s="147">
        <f>'DT thu 69-7'!M89</f>
        <v>0</v>
      </c>
      <c r="E30" s="144"/>
      <c r="F30" s="147">
        <f>'DT thu 69-7'!N89</f>
        <v>0</v>
      </c>
      <c r="G30" s="147">
        <f>'DT thu 69-7'!O89</f>
        <v>0</v>
      </c>
    </row>
    <row r="31" spans="1:8">
      <c r="A31" s="141"/>
      <c r="B31" s="142" t="s">
        <v>268</v>
      </c>
      <c r="C31" s="150"/>
      <c r="D31" s="143">
        <f>D30/'DT thu 69-7'!I89</f>
        <v>0</v>
      </c>
      <c r="E31" s="144"/>
      <c r="F31" s="143">
        <v>0</v>
      </c>
      <c r="G31" s="143">
        <v>0</v>
      </c>
    </row>
    <row r="32" spans="1:8">
      <c r="A32" s="151"/>
      <c r="B32" s="152" t="s">
        <v>269</v>
      </c>
      <c r="C32" s="153">
        <f>C30/C6</f>
        <v>0</v>
      </c>
      <c r="D32" s="153">
        <f>D30/D6</f>
        <v>0</v>
      </c>
      <c r="E32" s="154"/>
      <c r="F32" s="153">
        <f t="shared" ref="F32:G32" si="4">F30/F6</f>
        <v>0</v>
      </c>
      <c r="G32" s="153">
        <f t="shared" si="4"/>
        <v>0</v>
      </c>
    </row>
    <row r="33" spans="1:7">
      <c r="A33" s="155" t="s">
        <v>226</v>
      </c>
      <c r="B33" s="131"/>
      <c r="C33" s="131"/>
      <c r="D33" s="131"/>
      <c r="E33" s="131"/>
      <c r="F33" s="131"/>
      <c r="G33" s="131"/>
    </row>
    <row r="34" spans="1:7" ht="34.5" customHeight="1">
      <c r="A34" s="1041" t="s">
        <v>277</v>
      </c>
      <c r="B34" s="1041"/>
      <c r="C34" s="1041"/>
      <c r="D34" s="1041"/>
      <c r="E34" s="1041"/>
      <c r="F34" s="1041"/>
      <c r="G34" s="1041"/>
    </row>
    <row r="35" spans="1:7" ht="33.75" customHeight="1">
      <c r="A35" s="1041" t="s">
        <v>278</v>
      </c>
      <c r="B35" s="1041"/>
      <c r="C35" s="1041"/>
      <c r="D35" s="1041"/>
      <c r="E35" s="1041"/>
      <c r="F35" s="1041"/>
      <c r="G35" s="1041"/>
    </row>
    <row r="36" spans="1:7" ht="28.5" customHeight="1">
      <c r="A36" s="1041" t="s">
        <v>279</v>
      </c>
      <c r="B36" s="1041"/>
      <c r="C36" s="1041"/>
      <c r="D36" s="1041"/>
      <c r="E36" s="1041"/>
      <c r="F36" s="1041"/>
      <c r="G36" s="1041"/>
    </row>
    <row r="37" spans="1:7" ht="31.5" customHeight="1">
      <c r="A37" s="1041" t="s">
        <v>280</v>
      </c>
      <c r="B37" s="1041"/>
      <c r="C37" s="1041"/>
      <c r="D37" s="1041"/>
      <c r="E37" s="1041"/>
      <c r="F37" s="1041"/>
      <c r="G37" s="1041"/>
    </row>
  </sheetData>
  <mergeCells count="5">
    <mergeCell ref="A2:F2"/>
    <mergeCell ref="A34:G34"/>
    <mergeCell ref="A35:G35"/>
    <mergeCell ref="A36:G36"/>
    <mergeCell ref="A37:G37"/>
  </mergeCells>
  <printOptions horizontalCentered="1"/>
  <pageMargins left="0.70866141732283472" right="0.31496062992125984"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S39"/>
  <sheetViews>
    <sheetView zoomScale="85" zoomScaleNormal="85" workbookViewId="0">
      <pane xSplit="2" ySplit="7" topLeftCell="G8" activePane="bottomRight" state="frozen"/>
      <selection activeCell="M54" sqref="M54"/>
      <selection pane="topRight" activeCell="M54" sqref="M54"/>
      <selection pane="bottomLeft" activeCell="M54" sqref="M54"/>
      <selection pane="bottomRight" activeCell="I29" sqref="I29"/>
    </sheetView>
  </sheetViews>
  <sheetFormatPr defaultColWidth="9.125" defaultRowHeight="15.75" outlineLevelRow="1" outlineLevelCol="1"/>
  <cols>
    <col min="1" max="1" width="6.125" style="156" customWidth="1"/>
    <col min="2" max="2" width="30.125" style="156" customWidth="1"/>
    <col min="3" max="3" width="15.25" style="156" hidden="1" customWidth="1" outlineLevel="1"/>
    <col min="4" max="6" width="15.25" style="157" hidden="1" customWidth="1" outlineLevel="1"/>
    <col min="7" max="7" width="13" style="157" customWidth="1" collapsed="1"/>
    <col min="8" max="8" width="13.125" style="157" customWidth="1"/>
    <col min="9" max="9" width="13.75" style="156" customWidth="1"/>
    <col min="10" max="10" width="12.25" style="156" customWidth="1"/>
    <col min="11" max="11" width="12.875" style="156" customWidth="1"/>
    <col min="12" max="14" width="12.25" style="156" bestFit="1" customWidth="1"/>
    <col min="15" max="15" width="24.375" style="156" hidden="1" customWidth="1" outlineLevel="1"/>
    <col min="16" max="16" width="12.25" style="156" hidden="1" customWidth="1" outlineLevel="1"/>
    <col min="17" max="17" width="13.125" style="156" hidden="1" customWidth="1" outlineLevel="1"/>
    <col min="18" max="18" width="17" style="156" hidden="1" customWidth="1" outlineLevel="1"/>
    <col min="19" max="19" width="17" style="156" customWidth="1" collapsed="1"/>
    <col min="20" max="16384" width="9.125" style="156"/>
  </cols>
  <sheetData>
    <row r="1" spans="1:18">
      <c r="G1" s="158"/>
      <c r="H1" s="158"/>
      <c r="I1" s="159"/>
      <c r="J1" s="159"/>
      <c r="O1" s="304">
        <f>G18-G13</f>
        <v>2984947</v>
      </c>
      <c r="P1" s="159">
        <f>I18-I13</f>
        <v>2924276</v>
      </c>
      <c r="Q1" s="159">
        <f t="shared" ref="Q1:R1" si="0">J18-J13</f>
        <v>2949296</v>
      </c>
      <c r="R1" s="159">
        <f t="shared" si="0"/>
        <v>3139347.4699999997</v>
      </c>
    </row>
    <row r="2" spans="1:18">
      <c r="G2" s="158"/>
      <c r="H2" s="158"/>
      <c r="I2" s="158"/>
      <c r="O2" s="303"/>
      <c r="P2" s="156">
        <f>P1/O1</f>
        <v>0.97967434597666225</v>
      </c>
      <c r="Q2" s="156">
        <f>Q1/P1</f>
        <v>1.0085559639377404</v>
      </c>
      <c r="R2" s="156">
        <f t="shared" ref="R2" si="1">R1/Q1</f>
        <v>1.0644396052481677</v>
      </c>
    </row>
    <row r="3" spans="1:18" s="161" customFormat="1" ht="27.75" customHeight="1">
      <c r="A3" s="160" t="s">
        <v>233</v>
      </c>
      <c r="C3" s="162"/>
      <c r="D3" s="163"/>
      <c r="E3" s="163"/>
      <c r="F3" s="163"/>
      <c r="G3" s="163"/>
      <c r="H3" s="163"/>
      <c r="I3" s="163"/>
      <c r="J3" s="163"/>
      <c r="K3" s="164" t="s">
        <v>352</v>
      </c>
    </row>
    <row r="4" spans="1:18" ht="39" customHeight="1">
      <c r="A4" s="1043" t="s">
        <v>713</v>
      </c>
      <c r="B4" s="1043"/>
      <c r="C4" s="1043"/>
      <c r="D4" s="1043"/>
      <c r="E4" s="1043"/>
      <c r="F4" s="1043"/>
      <c r="G4" s="1043"/>
      <c r="H4" s="1043"/>
      <c r="I4" s="1043"/>
      <c r="J4" s="1043"/>
      <c r="K4" s="1043"/>
    </row>
    <row r="5" spans="1:18">
      <c r="J5" s="1044" t="s">
        <v>54</v>
      </c>
      <c r="K5" s="1044"/>
    </row>
    <row r="6" spans="1:18" ht="47.25">
      <c r="A6" s="211" t="s">
        <v>0</v>
      </c>
      <c r="B6" s="211" t="s">
        <v>213</v>
      </c>
      <c r="C6" s="211" t="s">
        <v>308</v>
      </c>
      <c r="D6" s="222" t="s">
        <v>566</v>
      </c>
      <c r="E6" s="222" t="s">
        <v>309</v>
      </c>
      <c r="F6" s="222" t="s">
        <v>577</v>
      </c>
      <c r="G6" s="222" t="s">
        <v>622</v>
      </c>
      <c r="H6" s="222" t="s">
        <v>714</v>
      </c>
      <c r="I6" s="211" t="s">
        <v>710</v>
      </c>
      <c r="J6" s="211" t="s">
        <v>623</v>
      </c>
      <c r="K6" s="211" t="s">
        <v>711</v>
      </c>
    </row>
    <row r="7" spans="1:18">
      <c r="A7" s="223" t="s">
        <v>158</v>
      </c>
      <c r="B7" s="223" t="s">
        <v>160</v>
      </c>
      <c r="C7" s="223">
        <v>1</v>
      </c>
      <c r="D7" s="224">
        <v>2</v>
      </c>
      <c r="E7" s="165" t="s">
        <v>186</v>
      </c>
      <c r="F7" s="165" t="s">
        <v>187</v>
      </c>
      <c r="G7" s="165" t="s">
        <v>186</v>
      </c>
      <c r="H7" s="165" t="s">
        <v>187</v>
      </c>
      <c r="I7" s="165" t="s">
        <v>188</v>
      </c>
      <c r="J7" s="165" t="s">
        <v>189</v>
      </c>
      <c r="K7" s="165" t="s">
        <v>190</v>
      </c>
    </row>
    <row r="8" spans="1:18">
      <c r="A8" s="166" t="s">
        <v>158</v>
      </c>
      <c r="B8" s="167" t="s">
        <v>281</v>
      </c>
      <c r="C8" s="168"/>
      <c r="D8" s="169"/>
      <c r="E8" s="169"/>
      <c r="F8" s="169"/>
      <c r="G8" s="169"/>
      <c r="H8" s="169"/>
      <c r="I8" s="168"/>
      <c r="J8" s="168"/>
      <c r="K8" s="168"/>
    </row>
    <row r="9" spans="1:18" s="173" customFormat="1">
      <c r="A9" s="170" t="s">
        <v>60</v>
      </c>
      <c r="B9" s="171" t="s">
        <v>353</v>
      </c>
      <c r="C9" s="172">
        <f>C10+C11+C14+C15+C16</f>
        <v>4566632</v>
      </c>
      <c r="D9" s="172">
        <f t="shared" ref="D9:K9" si="2">D10+D11+D14+D15+D16</f>
        <v>6275525.6080999989</v>
      </c>
      <c r="E9" s="172">
        <v>6074715</v>
      </c>
      <c r="F9" s="172">
        <v>6245400</v>
      </c>
      <c r="G9" s="172">
        <f t="shared" si="2"/>
        <v>6792702</v>
      </c>
      <c r="H9" s="172">
        <f t="shared" si="2"/>
        <v>8398951.8440450002</v>
      </c>
      <c r="I9" s="172">
        <f t="shared" si="2"/>
        <v>6983397</v>
      </c>
      <c r="J9" s="172">
        <f t="shared" si="2"/>
        <v>7110869</v>
      </c>
      <c r="K9" s="172">
        <f t="shared" si="2"/>
        <v>7313220.4699999997</v>
      </c>
      <c r="M9" s="174"/>
      <c r="N9" s="174"/>
      <c r="O9" s="174"/>
      <c r="P9" s="174"/>
    </row>
    <row r="10" spans="1:18" ht="31.5">
      <c r="A10" s="121">
        <v>1</v>
      </c>
      <c r="B10" s="122" t="s">
        <v>283</v>
      </c>
      <c r="C10" s="175">
        <v>883883</v>
      </c>
      <c r="D10" s="176">
        <v>1241039.4060170001</v>
      </c>
      <c r="E10" s="176">
        <v>1077504</v>
      </c>
      <c r="F10" s="176">
        <v>1164948</v>
      </c>
      <c r="G10" s="176">
        <v>2080637</v>
      </c>
      <c r="H10" s="176">
        <v>1738223</v>
      </c>
      <c r="I10" s="176">
        <f>3098400-I27</f>
        <v>1933149</v>
      </c>
      <c r="J10" s="176">
        <f>(('DT thu 69-7'!U13-'DT thu 69-7'!N78-'DT thu 69-7'!N77)*0.53)+'DT thu 69-7'!N77+'DT thu 69-7'!N78</f>
        <v>1958169</v>
      </c>
      <c r="K10" s="176">
        <f>(('DT thu 69-7'!V13-'DT thu 69-7'!O78-'DT thu 69-7'!O77)*0.53)+'DT thu 69-7'!O77+'DT thu 69-7'!O78</f>
        <v>2148220.4699999997</v>
      </c>
      <c r="M10" s="159"/>
      <c r="N10" s="159"/>
      <c r="O10" s="159"/>
      <c r="P10" s="159"/>
    </row>
    <row r="11" spans="1:18">
      <c r="A11" s="121">
        <v>2</v>
      </c>
      <c r="B11" s="122" t="s">
        <v>230</v>
      </c>
      <c r="C11" s="175">
        <f>C12+C13</f>
        <v>3682749</v>
      </c>
      <c r="D11" s="176">
        <f t="shared" ref="D11:K11" si="3">D12+D13</f>
        <v>4301877</v>
      </c>
      <c r="E11" s="176">
        <v>4997211</v>
      </c>
      <c r="F11" s="176">
        <v>5080452</v>
      </c>
      <c r="G11" s="176">
        <f t="shared" si="3"/>
        <v>4712065</v>
      </c>
      <c r="H11" s="176">
        <f t="shared" si="3"/>
        <v>4773030</v>
      </c>
      <c r="I11" s="176">
        <f t="shared" si="3"/>
        <v>5050248</v>
      </c>
      <c r="J11" s="176">
        <f t="shared" si="3"/>
        <v>5152700</v>
      </c>
      <c r="K11" s="176">
        <f t="shared" si="3"/>
        <v>5165000</v>
      </c>
      <c r="M11" s="575"/>
      <c r="N11" s="159"/>
      <c r="O11" s="159"/>
      <c r="P11" s="159"/>
    </row>
    <row r="12" spans="1:18">
      <c r="A12" s="121" t="s">
        <v>176</v>
      </c>
      <c r="B12" s="122" t="s">
        <v>243</v>
      </c>
      <c r="C12" s="175">
        <v>2999986</v>
      </c>
      <c r="D12" s="176">
        <f>'Bieu 07-31'!D13+'Bieu 07-31'!D14</f>
        <v>2999986</v>
      </c>
      <c r="E12" s="176">
        <v>3030369</v>
      </c>
      <c r="F12" s="176">
        <v>3030369</v>
      </c>
      <c r="G12" s="176">
        <f>'Bieu 07-31'!K13+'Bieu 07-31'!K14</f>
        <v>3270925</v>
      </c>
      <c r="H12" s="176">
        <f>'Bieu 07-31'!L13+'Bieu 07-31'!L14</f>
        <v>3270925</v>
      </c>
      <c r="I12" s="176">
        <f>'Bieu 07-31'!O13+'Bieu 07-31'!O14</f>
        <v>3603517</v>
      </c>
      <c r="J12" s="176">
        <f>'Bieu 07-31'!P13+'Bieu 07-31'!P14</f>
        <v>3603517</v>
      </c>
      <c r="K12" s="176">
        <f>'Bieu 07-31'!Q13+'Bieu 07-31'!Q14</f>
        <v>3603517</v>
      </c>
      <c r="M12" s="575"/>
      <c r="N12" s="462"/>
      <c r="O12" s="159"/>
      <c r="P12" s="159"/>
    </row>
    <row r="13" spans="1:18" s="157" customFormat="1">
      <c r="A13" s="117" t="s">
        <v>176</v>
      </c>
      <c r="B13" s="118" t="s">
        <v>244</v>
      </c>
      <c r="C13" s="176">
        <v>682763</v>
      </c>
      <c r="D13" s="176">
        <f>'Bieu 07-31'!D15</f>
        <v>1301891</v>
      </c>
      <c r="E13" s="176">
        <v>1966842</v>
      </c>
      <c r="F13" s="176">
        <v>2050083</v>
      </c>
      <c r="G13" s="176">
        <f>'Bieu 07-31'!K15</f>
        <v>1441140</v>
      </c>
      <c r="H13" s="176">
        <f>'Bieu 07-31'!L15</f>
        <v>1502105</v>
      </c>
      <c r="I13" s="176">
        <f>'Bieu 07-31'!O15</f>
        <v>1446731</v>
      </c>
      <c r="J13" s="176">
        <f>'Bieu 07-31'!P15</f>
        <v>1549183</v>
      </c>
      <c r="K13" s="176">
        <f>'Bieu 07-31'!Q15</f>
        <v>1561483</v>
      </c>
      <c r="M13" s="158"/>
      <c r="N13" s="158"/>
      <c r="O13" s="159"/>
      <c r="P13" s="159"/>
    </row>
    <row r="14" spans="1:18">
      <c r="A14" s="121">
        <v>3</v>
      </c>
      <c r="B14" s="122" t="s">
        <v>245</v>
      </c>
      <c r="C14" s="175"/>
      <c r="D14" s="176">
        <v>0</v>
      </c>
      <c r="E14" s="176"/>
      <c r="F14" s="176"/>
      <c r="G14" s="176"/>
      <c r="H14" s="176"/>
      <c r="I14" s="175"/>
      <c r="J14" s="175"/>
      <c r="K14" s="175"/>
      <c r="M14" s="460"/>
      <c r="N14" s="462"/>
      <c r="O14" s="159"/>
      <c r="P14" s="159"/>
    </row>
    <row r="15" spans="1:18">
      <c r="A15" s="121">
        <v>4</v>
      </c>
      <c r="B15" s="122" t="s">
        <v>246</v>
      </c>
      <c r="C15" s="175"/>
      <c r="D15" s="176">
        <v>3662.589011</v>
      </c>
      <c r="E15" s="176"/>
      <c r="F15" s="176"/>
      <c r="G15" s="176"/>
      <c r="H15" s="176">
        <v>28286.844045000151</v>
      </c>
      <c r="I15" s="175"/>
      <c r="J15" s="175"/>
      <c r="K15" s="175"/>
      <c r="N15" s="159"/>
      <c r="O15" s="159"/>
      <c r="P15" s="159"/>
    </row>
    <row r="16" spans="1:18" ht="31.5">
      <c r="A16" s="121">
        <v>5</v>
      </c>
      <c r="B16" s="122" t="s">
        <v>284</v>
      </c>
      <c r="C16" s="175">
        <v>0</v>
      </c>
      <c r="D16" s="176">
        <v>728946.61307199998</v>
      </c>
      <c r="E16" s="176"/>
      <c r="F16" s="176"/>
      <c r="G16" s="176"/>
      <c r="H16" s="176">
        <v>1859412</v>
      </c>
      <c r="I16" s="175"/>
      <c r="J16" s="175"/>
      <c r="K16" s="175"/>
      <c r="M16" s="159"/>
      <c r="N16" s="159"/>
      <c r="O16" s="159"/>
      <c r="P16" s="159"/>
    </row>
    <row r="17" spans="1:16" s="178" customFormat="1">
      <c r="A17" s="119" t="s">
        <v>103</v>
      </c>
      <c r="B17" s="120" t="s">
        <v>285</v>
      </c>
      <c r="C17" s="177">
        <f>C18+C19+C22</f>
        <v>4566632</v>
      </c>
      <c r="D17" s="172">
        <f t="shared" ref="D17" si="4">D18+D19+D22</f>
        <v>6275525.6080999989</v>
      </c>
      <c r="E17" s="172">
        <v>6063415</v>
      </c>
      <c r="F17" s="172">
        <v>6234100</v>
      </c>
      <c r="G17" s="172">
        <f>G18+G19+G22+G23</f>
        <v>6876602</v>
      </c>
      <c r="H17" s="172">
        <f>H18+H19+H22+H23</f>
        <v>7521317.3017802788</v>
      </c>
      <c r="I17" s="172">
        <f>I18+I19+I22+I23</f>
        <v>7031797</v>
      </c>
      <c r="J17" s="172">
        <f>J18+J19+J22+J23</f>
        <v>7214949.833333333</v>
      </c>
      <c r="K17" s="172">
        <f>K18+K19+K22+K23</f>
        <v>7417301.3033333328</v>
      </c>
      <c r="L17" s="179"/>
      <c r="M17" s="179"/>
      <c r="N17" s="179"/>
      <c r="O17" s="179"/>
      <c r="P17" s="179"/>
    </row>
    <row r="18" spans="1:16" ht="31.5">
      <c r="A18" s="121">
        <v>1</v>
      </c>
      <c r="B18" s="122" t="s">
        <v>286</v>
      </c>
      <c r="C18" s="175">
        <f>C9-C19-C22</f>
        <v>2570368</v>
      </c>
      <c r="D18" s="176">
        <f t="shared" ref="D18" si="5">D9-D19-D22</f>
        <v>3016146.1991219986</v>
      </c>
      <c r="E18" s="176">
        <v>4011319</v>
      </c>
      <c r="F18" s="176">
        <v>4140962.08</v>
      </c>
      <c r="G18" s="176">
        <f>G9-G19-G22</f>
        <v>4426087</v>
      </c>
      <c r="H18" s="176">
        <v>5132321.3017802788</v>
      </c>
      <c r="I18" s="176">
        <f>I9-I19-I22</f>
        <v>4371007</v>
      </c>
      <c r="J18" s="176">
        <f>J9-J19-J22</f>
        <v>4498479</v>
      </c>
      <c r="K18" s="176">
        <f>K9-K19-K22</f>
        <v>4700830.47</v>
      </c>
      <c r="L18" s="159"/>
      <c r="M18" s="159"/>
      <c r="N18" s="159"/>
      <c r="O18" s="159"/>
    </row>
    <row r="19" spans="1:16">
      <c r="A19" s="121">
        <v>2</v>
      </c>
      <c r="B19" s="122" t="s">
        <v>287</v>
      </c>
      <c r="C19" s="175">
        <f>C20+C21</f>
        <v>1996264</v>
      </c>
      <c r="D19" s="176">
        <f t="shared" ref="D19:H19" si="6">D20+D21</f>
        <v>2457958</v>
      </c>
      <c r="E19" s="176">
        <v>2052096</v>
      </c>
      <c r="F19" s="176">
        <v>2093137.9199999999</v>
      </c>
      <c r="G19" s="176">
        <f t="shared" si="6"/>
        <v>2366615</v>
      </c>
      <c r="H19" s="176">
        <f t="shared" si="6"/>
        <v>2371544</v>
      </c>
      <c r="I19" s="176">
        <f t="shared" ref="I19:K19" si="7">I20+I21</f>
        <v>2612390</v>
      </c>
      <c r="J19" s="176">
        <f t="shared" si="7"/>
        <v>2612390</v>
      </c>
      <c r="K19" s="176">
        <f t="shared" si="7"/>
        <v>2612390</v>
      </c>
      <c r="N19" s="205"/>
      <c r="O19" s="158"/>
    </row>
    <row r="20" spans="1:16">
      <c r="A20" s="121" t="s">
        <v>176</v>
      </c>
      <c r="B20" s="122" t="s">
        <v>288</v>
      </c>
      <c r="C20" s="175">
        <v>1778544</v>
      </c>
      <c r="D20" s="176">
        <v>1761652</v>
      </c>
      <c r="E20" s="176">
        <v>1870876</v>
      </c>
      <c r="F20" s="176">
        <v>1908293.52</v>
      </c>
      <c r="G20" s="176">
        <v>2007071</v>
      </c>
      <c r="H20" s="176">
        <f>G20</f>
        <v>2007071</v>
      </c>
      <c r="I20" s="176">
        <v>2425182</v>
      </c>
      <c r="J20" s="176">
        <f>I20</f>
        <v>2425182</v>
      </c>
      <c r="K20" s="176">
        <f>J20</f>
        <v>2425182</v>
      </c>
    </row>
    <row r="21" spans="1:16">
      <c r="A21" s="121" t="s">
        <v>176</v>
      </c>
      <c r="B21" s="122" t="s">
        <v>289</v>
      </c>
      <c r="C21" s="175">
        <v>217720</v>
      </c>
      <c r="D21" s="176">
        <v>696306</v>
      </c>
      <c r="E21" s="176">
        <v>181220</v>
      </c>
      <c r="F21" s="176">
        <v>184844.4</v>
      </c>
      <c r="G21" s="176">
        <f>295974+63570</f>
        <v>359544</v>
      </c>
      <c r="H21" s="176">
        <v>364473</v>
      </c>
      <c r="I21" s="176">
        <f>Sheet2!G11</f>
        <v>187208</v>
      </c>
      <c r="J21" s="176">
        <f>I21</f>
        <v>187208</v>
      </c>
      <c r="K21" s="176">
        <f>J21</f>
        <v>187208</v>
      </c>
      <c r="O21" s="159"/>
    </row>
    <row r="22" spans="1:16">
      <c r="A22" s="121">
        <v>3</v>
      </c>
      <c r="B22" s="122" t="s">
        <v>254</v>
      </c>
      <c r="C22" s="175">
        <v>0</v>
      </c>
      <c r="D22" s="176">
        <f>'Bieu 07-31'!D37</f>
        <v>801421.40897800028</v>
      </c>
      <c r="E22" s="176">
        <v>0</v>
      </c>
      <c r="F22" s="176"/>
      <c r="G22" s="176">
        <v>0</v>
      </c>
      <c r="H22" s="176"/>
      <c r="I22" s="176">
        <v>0</v>
      </c>
      <c r="J22" s="176">
        <v>0</v>
      </c>
      <c r="K22" s="176">
        <v>0</v>
      </c>
      <c r="O22" s="159"/>
    </row>
    <row r="23" spans="1:16">
      <c r="A23" s="121">
        <v>4</v>
      </c>
      <c r="B23" s="122" t="s">
        <v>600</v>
      </c>
      <c r="C23" s="175">
        <v>0</v>
      </c>
      <c r="D23" s="176">
        <v>0</v>
      </c>
      <c r="E23" s="176">
        <v>11300</v>
      </c>
      <c r="F23" s="176">
        <v>11300</v>
      </c>
      <c r="G23" s="176">
        <v>83900</v>
      </c>
      <c r="H23" s="176">
        <f>'Chi CĐ NSĐP 69-7'!L62</f>
        <v>17452</v>
      </c>
      <c r="I23" s="176">
        <f>'Chi CĐ NSĐP 69-7'!M62</f>
        <v>48400</v>
      </c>
      <c r="J23" s="176">
        <f>'Chi CĐ NSĐP 69-7'!N62</f>
        <v>104080.83333333333</v>
      </c>
      <c r="K23" s="176">
        <f>'Chi CĐ NSĐP 69-7'!O62</f>
        <v>104080.83333333333</v>
      </c>
      <c r="O23" s="159"/>
    </row>
    <row r="24" spans="1:16" s="182" customFormat="1" hidden="1" outlineLevel="1">
      <c r="A24" s="123"/>
      <c r="B24" s="124"/>
      <c r="C24" s="180"/>
      <c r="D24" s="181"/>
      <c r="E24" s="181"/>
      <c r="F24" s="181"/>
      <c r="G24" s="181"/>
      <c r="H24" s="181"/>
      <c r="I24" s="181"/>
      <c r="J24" s="181"/>
      <c r="K24" s="181"/>
      <c r="O24" s="183"/>
    </row>
    <row r="25" spans="1:16" collapsed="1">
      <c r="A25" s="119" t="s">
        <v>160</v>
      </c>
      <c r="B25" s="120" t="s">
        <v>290</v>
      </c>
      <c r="C25" s="175"/>
      <c r="D25" s="176"/>
      <c r="E25" s="176"/>
      <c r="F25" s="176"/>
      <c r="G25" s="176"/>
      <c r="H25" s="176"/>
      <c r="I25" s="176"/>
      <c r="J25" s="176"/>
      <c r="K25" s="176"/>
    </row>
    <row r="26" spans="1:16" s="178" customFormat="1">
      <c r="A26" s="119" t="s">
        <v>60</v>
      </c>
      <c r="B26" s="120" t="s">
        <v>282</v>
      </c>
      <c r="C26" s="177">
        <f>C27+C28+C31+C32</f>
        <v>2717166</v>
      </c>
      <c r="D26" s="172">
        <f t="shared" ref="D26:K26" si="8">D27+D28+D31+D32</f>
        <v>3457001.8661019998</v>
      </c>
      <c r="E26" s="172">
        <v>2758592</v>
      </c>
      <c r="F26" s="172">
        <v>2869769.92</v>
      </c>
      <c r="G26" s="172">
        <f t="shared" si="8"/>
        <v>3332278</v>
      </c>
      <c r="H26" s="172">
        <f t="shared" si="8"/>
        <v>4359833</v>
      </c>
      <c r="I26" s="172">
        <f t="shared" si="8"/>
        <v>3777641</v>
      </c>
      <c r="J26" s="172">
        <f t="shared" si="8"/>
        <v>3842521</v>
      </c>
      <c r="K26" s="172">
        <f t="shared" si="8"/>
        <v>3963170</v>
      </c>
      <c r="M26" s="179"/>
      <c r="O26" s="179"/>
    </row>
    <row r="27" spans="1:16" ht="31.5">
      <c r="A27" s="121">
        <v>1</v>
      </c>
      <c r="B27" s="122" t="s">
        <v>283</v>
      </c>
      <c r="C27" s="175">
        <v>720902</v>
      </c>
      <c r="D27" s="176">
        <v>749687.65920700005</v>
      </c>
      <c r="E27" s="176">
        <v>706496</v>
      </c>
      <c r="F27" s="176">
        <v>776632</v>
      </c>
      <c r="G27" s="176">
        <f>'Bieu 07-31'!K11-'Bieu 09-31'!G10</f>
        <v>965663</v>
      </c>
      <c r="H27" s="176">
        <f>'Bieu 07-31'!L11-'Bieu 09-31'!H10</f>
        <v>1221199</v>
      </c>
      <c r="I27" s="176">
        <v>1165251</v>
      </c>
      <c r="J27" s="176">
        <f>'Bieu 07-31'!P11-'Bieu 09-31'!J10</f>
        <v>1230131</v>
      </c>
      <c r="K27" s="176">
        <f>'Bieu 07-31'!Q11-'Bieu 09-31'!K10</f>
        <v>1350780</v>
      </c>
      <c r="O27" s="197"/>
    </row>
    <row r="28" spans="1:16" ht="15.75" customHeight="1">
      <c r="A28" s="121">
        <v>2</v>
      </c>
      <c r="B28" s="122" t="s">
        <v>230</v>
      </c>
      <c r="C28" s="175">
        <f>C29+C30</f>
        <v>1996264</v>
      </c>
      <c r="D28" s="176">
        <f t="shared" ref="D28:K28" si="9">D29+D30</f>
        <v>2457958</v>
      </c>
      <c r="E28" s="176">
        <v>2052096</v>
      </c>
      <c r="F28" s="176">
        <v>2093137.9199999999</v>
      </c>
      <c r="G28" s="176">
        <f t="shared" si="9"/>
        <v>2366615</v>
      </c>
      <c r="H28" s="176">
        <f t="shared" si="9"/>
        <v>2371544</v>
      </c>
      <c r="I28" s="176">
        <f t="shared" si="9"/>
        <v>2612390</v>
      </c>
      <c r="J28" s="176">
        <f t="shared" si="9"/>
        <v>2612390</v>
      </c>
      <c r="K28" s="176">
        <f t="shared" si="9"/>
        <v>2612390</v>
      </c>
    </row>
    <row r="29" spans="1:16" ht="15.75" customHeight="1">
      <c r="A29" s="121" t="s">
        <v>176</v>
      </c>
      <c r="B29" s="122" t="s">
        <v>243</v>
      </c>
      <c r="C29" s="175">
        <f t="shared" ref="C29:G30" si="10">C20</f>
        <v>1778544</v>
      </c>
      <c r="D29" s="176">
        <f>D20</f>
        <v>1761652</v>
      </c>
      <c r="E29" s="176">
        <v>1870876</v>
      </c>
      <c r="F29" s="176">
        <v>1908293.52</v>
      </c>
      <c r="G29" s="176">
        <f t="shared" si="10"/>
        <v>2007071</v>
      </c>
      <c r="H29" s="176">
        <f t="shared" ref="H29:K29" si="11">H20</f>
        <v>2007071</v>
      </c>
      <c r="I29" s="176">
        <f>I20</f>
        <v>2425182</v>
      </c>
      <c r="J29" s="176">
        <f>J20</f>
        <v>2425182</v>
      </c>
      <c r="K29" s="176">
        <f t="shared" si="11"/>
        <v>2425182</v>
      </c>
      <c r="M29" s="159"/>
    </row>
    <row r="30" spans="1:16">
      <c r="A30" s="121" t="s">
        <v>176</v>
      </c>
      <c r="B30" s="122" t="s">
        <v>244</v>
      </c>
      <c r="C30" s="175">
        <f t="shared" si="10"/>
        <v>217720</v>
      </c>
      <c r="D30" s="176">
        <f>D21</f>
        <v>696306</v>
      </c>
      <c r="E30" s="176">
        <v>181220</v>
      </c>
      <c r="F30" s="176">
        <v>184844.4</v>
      </c>
      <c r="G30" s="176">
        <f t="shared" si="10"/>
        <v>359544</v>
      </c>
      <c r="H30" s="176">
        <f t="shared" ref="H30:K30" si="12">H21</f>
        <v>364473</v>
      </c>
      <c r="I30" s="176">
        <f>I21</f>
        <v>187208</v>
      </c>
      <c r="J30" s="176">
        <f>J21</f>
        <v>187208</v>
      </c>
      <c r="K30" s="176">
        <f t="shared" si="12"/>
        <v>187208</v>
      </c>
      <c r="M30" s="159"/>
    </row>
    <row r="31" spans="1:16">
      <c r="A31" s="121">
        <v>3</v>
      </c>
      <c r="B31" s="122" t="s">
        <v>246</v>
      </c>
      <c r="C31" s="175"/>
      <c r="D31" s="176">
        <v>25602.459727000001</v>
      </c>
      <c r="E31" s="176"/>
      <c r="F31" s="176"/>
      <c r="G31" s="176"/>
      <c r="H31" s="176">
        <v>34611</v>
      </c>
      <c r="I31" s="176"/>
      <c r="J31" s="176"/>
      <c r="K31" s="176"/>
      <c r="O31" s="159"/>
    </row>
    <row r="32" spans="1:16" ht="31.5">
      <c r="A32" s="121">
        <v>4</v>
      </c>
      <c r="B32" s="122" t="s">
        <v>284</v>
      </c>
      <c r="C32" s="175"/>
      <c r="D32" s="176">
        <v>223753.747168</v>
      </c>
      <c r="E32" s="176"/>
      <c r="F32" s="176"/>
      <c r="G32" s="176"/>
      <c r="H32" s="176">
        <v>732479</v>
      </c>
      <c r="I32" s="175"/>
      <c r="J32" s="175"/>
      <c r="K32" s="175"/>
    </row>
    <row r="33" spans="1:11" s="178" customFormat="1">
      <c r="A33" s="119" t="s">
        <v>103</v>
      </c>
      <c r="B33" s="120" t="s">
        <v>285</v>
      </c>
      <c r="C33" s="177">
        <f>C34+C35+C38</f>
        <v>2717166</v>
      </c>
      <c r="D33" s="172">
        <f>D34+D35+D38</f>
        <v>3457001.8661019998</v>
      </c>
      <c r="E33" s="172">
        <v>2758592</v>
      </c>
      <c r="F33" s="172">
        <v>2869769.92</v>
      </c>
      <c r="G33" s="172">
        <f t="shared" ref="G33:J33" si="13">G34+G35+G38</f>
        <v>3332278</v>
      </c>
      <c r="H33" s="172">
        <f t="shared" ref="H33" si="14">H34+H35+H38</f>
        <v>3627828.1599999997</v>
      </c>
      <c r="I33" s="177">
        <f t="shared" si="13"/>
        <v>3777641</v>
      </c>
      <c r="J33" s="177">
        <f t="shared" si="13"/>
        <v>3842521</v>
      </c>
      <c r="K33" s="177">
        <f t="shared" ref="K33" si="15">K34+K35+K38</f>
        <v>3963170</v>
      </c>
    </row>
    <row r="34" spans="1:11" ht="31.5">
      <c r="A34" s="121">
        <v>1</v>
      </c>
      <c r="B34" s="122" t="s">
        <v>291</v>
      </c>
      <c r="C34" s="175">
        <f>C26</f>
        <v>2717166</v>
      </c>
      <c r="D34" s="176">
        <f>D26-D35-D38</f>
        <v>3028650.8661019998</v>
      </c>
      <c r="E34" s="176">
        <v>2400963.3229999999</v>
      </c>
      <c r="F34" s="176">
        <v>2511068.3569689998</v>
      </c>
      <c r="G34" s="176">
        <f t="shared" ref="G34:J34" si="16">G26-G35-G38</f>
        <v>3332278</v>
      </c>
      <c r="H34" s="176">
        <v>3627828.1599999997</v>
      </c>
      <c r="I34" s="175">
        <f t="shared" si="16"/>
        <v>3777641</v>
      </c>
      <c r="J34" s="175">
        <f t="shared" si="16"/>
        <v>3842521</v>
      </c>
      <c r="K34" s="175">
        <f t="shared" ref="K34" si="17">K26-K35-K38</f>
        <v>3963170</v>
      </c>
    </row>
    <row r="35" spans="1:11">
      <c r="A35" s="121">
        <v>2</v>
      </c>
      <c r="B35" s="122" t="s">
        <v>287</v>
      </c>
      <c r="C35" s="175">
        <f>C36+C37</f>
        <v>0</v>
      </c>
      <c r="D35" s="176">
        <f t="shared" ref="D35:J35" si="18">D36+D37</f>
        <v>428351</v>
      </c>
      <c r="E35" s="176">
        <v>357628.67700000003</v>
      </c>
      <c r="F35" s="176">
        <v>358701.56303100003</v>
      </c>
      <c r="G35" s="504">
        <f t="shared" si="18"/>
        <v>0</v>
      </c>
      <c r="H35" s="176">
        <f t="shared" ref="H35" si="19">H36+H37</f>
        <v>0</v>
      </c>
      <c r="I35" s="175">
        <f t="shared" si="18"/>
        <v>0</v>
      </c>
      <c r="J35" s="175">
        <f t="shared" si="18"/>
        <v>0</v>
      </c>
      <c r="K35" s="175">
        <f t="shared" ref="K35" si="20">K36+K37</f>
        <v>0</v>
      </c>
    </row>
    <row r="36" spans="1:11">
      <c r="A36" s="121" t="s">
        <v>176</v>
      </c>
      <c r="B36" s="122" t="s">
        <v>288</v>
      </c>
      <c r="C36" s="175">
        <v>0</v>
      </c>
      <c r="D36" s="176">
        <v>356559</v>
      </c>
      <c r="E36" s="176">
        <v>357628.67700000003</v>
      </c>
      <c r="F36" s="176">
        <v>358701.56303100003</v>
      </c>
      <c r="G36" s="504"/>
      <c r="H36" s="176"/>
      <c r="I36" s="175">
        <f>G36*0.4%+G36</f>
        <v>0</v>
      </c>
      <c r="J36" s="175">
        <f>I36*0.5%+I36</f>
        <v>0</v>
      </c>
      <c r="K36" s="175">
        <f>J36*0.5%+J36</f>
        <v>0</v>
      </c>
    </row>
    <row r="37" spans="1:11" outlineLevel="1">
      <c r="A37" s="121" t="s">
        <v>176</v>
      </c>
      <c r="B37" s="122" t="s">
        <v>289</v>
      </c>
      <c r="C37" s="175"/>
      <c r="D37" s="176">
        <v>71792</v>
      </c>
      <c r="E37" s="176">
        <v>0</v>
      </c>
      <c r="F37" s="176"/>
      <c r="G37" s="176">
        <v>0</v>
      </c>
      <c r="H37" s="176"/>
      <c r="I37" s="175">
        <v>0</v>
      </c>
      <c r="J37" s="175">
        <v>0</v>
      </c>
      <c r="K37" s="175">
        <v>0</v>
      </c>
    </row>
    <row r="38" spans="1:11" outlineLevel="1">
      <c r="A38" s="184">
        <v>3</v>
      </c>
      <c r="B38" s="185" t="s">
        <v>254</v>
      </c>
      <c r="C38" s="186"/>
      <c r="D38" s="187">
        <v>0</v>
      </c>
      <c r="E38" s="187">
        <v>0</v>
      </c>
      <c r="F38" s="187"/>
      <c r="G38" s="187">
        <v>0</v>
      </c>
      <c r="H38" s="187"/>
      <c r="I38" s="186">
        <v>0</v>
      </c>
      <c r="J38" s="186">
        <v>0</v>
      </c>
      <c r="K38" s="186">
        <v>0</v>
      </c>
    </row>
    <row r="39" spans="1:11" ht="15.75" customHeight="1">
      <c r="A39" s="1042" t="s">
        <v>292</v>
      </c>
      <c r="B39" s="1042"/>
      <c r="C39" s="1042"/>
      <c r="D39" s="1042"/>
      <c r="E39" s="1042"/>
      <c r="F39" s="1042"/>
      <c r="G39" s="1042"/>
      <c r="H39" s="1042"/>
      <c r="I39" s="1042"/>
      <c r="J39" s="1042"/>
    </row>
  </sheetData>
  <mergeCells count="3">
    <mergeCell ref="A39:J39"/>
    <mergeCell ref="A4:K4"/>
    <mergeCell ref="J5:K5"/>
  </mergeCells>
  <printOptions horizontalCentered="1"/>
  <pageMargins left="0.70866141732283472" right="0" top="0.74803149606299213" bottom="0.15748031496062992"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KTXH 69-7</vt:lpstr>
      <vt:lpstr>DT thu 69-7</vt:lpstr>
      <vt:lpstr>SẮC THUẾ 69-7</vt:lpstr>
      <vt:lpstr>Chi CĐ NSĐP 69-7</vt:lpstr>
      <vt:lpstr>vay, trả nợ 20-7</vt:lpstr>
      <vt:lpstr>CCTL 20-7</vt:lpstr>
      <vt:lpstr>Bieu 07-31</vt:lpstr>
      <vt:lpstr>Bieu 08-31</vt:lpstr>
      <vt:lpstr>Bieu 09-31</vt:lpstr>
      <vt:lpstr>Bieu 10-31</vt:lpstr>
      <vt:lpstr>Bieu 11-31</vt:lpstr>
      <vt:lpstr>Sheet2</vt:lpstr>
      <vt:lpstr>Bieu 32 Chi</vt:lpstr>
      <vt:lpstr>PL15 ND 31</vt:lpstr>
      <vt:lpstr>Sheet1</vt:lpstr>
      <vt:lpstr>'Bieu 10-31'!chuong_phuluc_10_name</vt:lpstr>
      <vt:lpstr>'Bieu 11-31'!chuong_phuluc_11</vt:lpstr>
      <vt:lpstr>'Bieu 11-31'!chuong_phuluc_11_name</vt:lpstr>
      <vt:lpstr>'Bieu 07-31'!chuong_phuluc_7</vt:lpstr>
      <vt:lpstr>'Bieu 07-31'!chuong_phuluc_7_name</vt:lpstr>
      <vt:lpstr>'Bieu 08-31'!chuong_phuluc_8</vt:lpstr>
      <vt:lpstr>'Bieu 08-31'!chuong_phuluc_8_name</vt:lpstr>
      <vt:lpstr>'Bieu 09-31'!chuong_phuluc_9</vt:lpstr>
      <vt:lpstr>'Bieu 09-31'!chuong_phuluc_9_name</vt:lpstr>
      <vt:lpstr>'Bieu 32 Chi'!Print_Titles</vt:lpstr>
      <vt:lpstr>'Chi CĐ NSĐP 69-7'!Print_Titles</vt:lpstr>
      <vt:lpstr>'DT thu 69-7'!Print_Titles</vt:lpstr>
      <vt:lpstr>'KTXH 69-7'!Print_Titles</vt:lpstr>
      <vt:lpstr>'PL15 ND 31'!Print_Titles</vt:lpstr>
      <vt:lpstr>'SẮC THUẾ 69-7'!Print_Titles</vt:lpstr>
      <vt:lpstr>'vay, trả nợ 20-7'!Print_Titles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Tran V Khiem</cp:lastModifiedBy>
  <cp:lastPrinted>2021-11-17T02:48:08Z</cp:lastPrinted>
  <dcterms:created xsi:type="dcterms:W3CDTF">2017-09-08T08:28:08Z</dcterms:created>
  <dcterms:modified xsi:type="dcterms:W3CDTF">2021-11-17T09:28:16Z</dcterms:modified>
</cp:coreProperties>
</file>