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AppData\Local\Temp\VNPT Plugin\39218a30-3847-4024-97c6-3cbd1aa868db\"/>
    </mc:Choice>
  </mc:AlternateContent>
  <bookViews>
    <workbookView xWindow="240" yWindow="90" windowWidth="20115" windowHeight="7425"/>
  </bookViews>
  <sheets>
    <sheet name="du tru 2" sheetId="3" r:id="rId1"/>
    <sheet name="thuyet minh du tru 2" sheetId="2" r:id="rId2"/>
  </sheets>
  <calcPr calcId="162913"/>
</workbook>
</file>

<file path=xl/calcChain.xml><?xml version="1.0" encoding="utf-8"?>
<calcChain xmlns="http://schemas.openxmlformats.org/spreadsheetml/2006/main">
  <c r="B11" i="3" l="1"/>
  <c r="B13" i="3"/>
  <c r="B14" i="3"/>
  <c r="B15" i="3"/>
  <c r="B16" i="3"/>
  <c r="B17" i="3"/>
  <c r="B18" i="3"/>
  <c r="B19" i="3"/>
  <c r="B20" i="3"/>
  <c r="B21" i="3"/>
  <c r="B22" i="3"/>
  <c r="I30" i="2" l="1"/>
  <c r="I28" i="2"/>
  <c r="I103" i="2"/>
  <c r="I22" i="3" l="1"/>
  <c r="I33" i="2"/>
  <c r="I158" i="2"/>
  <c r="I93" i="2"/>
  <c r="I72" i="2"/>
  <c r="I51" i="2"/>
  <c r="I71" i="2" l="1"/>
  <c r="I69" i="2"/>
  <c r="I67" i="2"/>
  <c r="I65" i="2"/>
  <c r="I63" i="2"/>
  <c r="I58" i="2"/>
  <c r="I57" i="2"/>
  <c r="I59" i="2"/>
  <c r="I26" i="2"/>
  <c r="I157" i="2" l="1"/>
  <c r="I156" i="2"/>
  <c r="I154" i="2"/>
  <c r="I153" i="2"/>
  <c r="I150" i="2"/>
  <c r="I151" i="2"/>
  <c r="I148" i="2"/>
  <c r="I147" i="2"/>
  <c r="I17" i="2"/>
  <c r="I152" i="2" l="1"/>
  <c r="I102" i="2"/>
  <c r="I101" i="2"/>
  <c r="I100" i="2"/>
  <c r="I61" i="2"/>
  <c r="I56" i="2" s="1"/>
  <c r="I37" i="2"/>
  <c r="I36" i="2"/>
  <c r="I92" i="2"/>
  <c r="I91" i="2"/>
  <c r="I89" i="2"/>
  <c r="I88" i="2"/>
  <c r="I81" i="2"/>
  <c r="I38" i="2"/>
  <c r="I50" i="2"/>
  <c r="I48" i="2"/>
  <c r="I46" i="2"/>
  <c r="I44" i="2"/>
  <c r="I42" i="2"/>
  <c r="I40" i="2"/>
  <c r="I99" i="2" l="1"/>
  <c r="I98" i="2" s="1"/>
  <c r="I87" i="2"/>
  <c r="I86" i="2" s="1"/>
  <c r="I35" i="2"/>
  <c r="I165" i="2"/>
  <c r="I21" i="3" s="1"/>
  <c r="I163" i="2"/>
  <c r="I20" i="3" s="1"/>
  <c r="I143" i="2"/>
  <c r="I144" i="2" s="1"/>
  <c r="I141" i="2"/>
  <c r="I139" i="2"/>
  <c r="I135" i="2"/>
  <c r="I133" i="2"/>
  <c r="I130" i="2"/>
  <c r="I126" i="2" s="1"/>
  <c r="I17" i="3" s="1"/>
  <c r="I125" i="2"/>
  <c r="I123" i="2" s="1"/>
  <c r="I16" i="3" s="1"/>
  <c r="I122" i="2"/>
  <c r="I121" i="2"/>
  <c r="I120" i="2"/>
  <c r="I78" i="2"/>
  <c r="I77" i="2" s="1"/>
  <c r="I118" i="2"/>
  <c r="I117" i="2"/>
  <c r="I115" i="2"/>
  <c r="I111" i="2"/>
  <c r="I31" i="2"/>
  <c r="I22" i="2"/>
  <c r="I21" i="2"/>
  <c r="I19" i="2"/>
  <c r="I15" i="2"/>
  <c r="I14" i="2"/>
  <c r="I12" i="2"/>
  <c r="I34" i="2" l="1"/>
  <c r="I13" i="3" s="1"/>
  <c r="I146" i="2"/>
  <c r="I145" i="2" s="1"/>
  <c r="I19" i="3" s="1"/>
  <c r="I24" i="2"/>
  <c r="I12" i="3" s="1"/>
  <c r="I131" i="2"/>
  <c r="I18" i="3" s="1"/>
  <c r="I10" i="2"/>
  <c r="I119" i="2"/>
  <c r="I15" i="3" s="1"/>
  <c r="I108" i="2"/>
  <c r="I14" i="3" s="1"/>
  <c r="I170" i="2" l="1"/>
  <c r="I11" i="3"/>
  <c r="I23" i="3" s="1"/>
</calcChain>
</file>

<file path=xl/sharedStrings.xml><?xml version="1.0" encoding="utf-8"?>
<sst xmlns="http://schemas.openxmlformats.org/spreadsheetml/2006/main" count="227" uniqueCount="194">
  <si>
    <t xml:space="preserve"> CỘNG HÒA XÃ HỘI CHỦ NGHĨA VIỆT NAM</t>
  </si>
  <si>
    <t>DỰ TRÙ</t>
  </si>
  <si>
    <t>- Chi phí phục vụ trước, trong, sau kỳ họp:</t>
  </si>
  <si>
    <t>- Chi giải khát giữa giờ:</t>
  </si>
  <si>
    <t>- Chi phí hỗ trợ truyền hình trực tiếp kỳ họp</t>
  </si>
  <si>
    <t>- Chi phi hỗ trợ Ban CSSKCB phục vụ kỳ họp</t>
  </si>
  <si>
    <t xml:space="preserve">- Chi in ấn phát hành Nghị quyết: </t>
  </si>
  <si>
    <t>- Chi khoán cho đại biểu và tổ đại biểu HĐND tỉnh tại các huyện, tp</t>
  </si>
  <si>
    <t>- Chi bồi dưỡng đại biểu tiếp xúc cử tri trước và sau kỳ họp:</t>
  </si>
  <si>
    <t xml:space="preserve">                  500.000đ/lần  x 4 lần  x 102 xã </t>
  </si>
  <si>
    <t>- Chi bồi dưỡng công chức, nhân viên:</t>
  </si>
  <si>
    <t>20 người   x  2 lần  x  2 kỳ  x 50.000đ  x  6 buổi</t>
  </si>
  <si>
    <t>- Chi viết báo cáo tiếp xúc cử tri:</t>
  </si>
  <si>
    <t xml:space="preserve">500.000đ/ báo cáo  x 2 lần x 2 kỳ </t>
  </si>
  <si>
    <t>+ Chi bỗi dưỡng các thành viên tham gia đoàn khảo sát:</t>
  </si>
  <si>
    <t>Thành viên chính thức:</t>
  </si>
  <si>
    <t>Cán bộ, công chức, nhân viên phục vụ đoàn:</t>
  </si>
  <si>
    <t>+ Chi xây dựng quyết định, kế hoạch khảo sát:</t>
  </si>
  <si>
    <t>+ Chi phí in ấn tài liệu phục vụ cho khảo sát:</t>
  </si>
  <si>
    <t>+ Chi xây dựng quyết định, kế hoạch giám sát:</t>
  </si>
  <si>
    <t>+ Chi xây dựng báo cáo tổng hợp kết quả giám sát:</t>
  </si>
  <si>
    <t>+ Chi phí in ấn tài liệu phục vụ cho giám sát:</t>
  </si>
  <si>
    <t>- Chi công tác phí : 02 người  x  200.000đ/người  x 10 ngày x 2kỳ</t>
  </si>
  <si>
    <t>- Chi mua vé máy bay, chi phí khác : 02 vé x 5.000.000đ/vé x  2 kỳ</t>
  </si>
  <si>
    <t>- Chi phí nhuận bút, biên tập và chi phí khác :</t>
  </si>
  <si>
    <t xml:space="preserve">            6 số   x   15.000.000đ</t>
  </si>
  <si>
    <t xml:space="preserve">           55 tờ báo x 6.000đ x 92 số/quý x 4 quý </t>
  </si>
  <si>
    <t>- Chi khoán phí khai thác internet:</t>
  </si>
  <si>
    <t>- Chi cho đại biểu không hưởng lương từ ngân sách:</t>
  </si>
  <si>
    <r>
      <t xml:space="preserve">Chi tiền công: </t>
    </r>
    <r>
      <rPr>
        <i/>
        <sz val="14"/>
        <rFont val="Times New Roman"/>
        <family val="1"/>
        <charset val="163"/>
      </rPr>
      <t>(theo Nghị quyết số 1206/2016/NQ-UBTVQH13 ngày 13/5/2016)</t>
    </r>
  </si>
  <si>
    <t>+ Dự các kỳ họp HĐND tỉnh:</t>
  </si>
  <si>
    <t>+ Chi tiếp xúc cử tri:</t>
  </si>
  <si>
    <t>- Chi hỗ trợ đối với đại biểu HĐND tỉnh:</t>
  </si>
  <si>
    <t>- Chi thăm hỏi, động viên một số thôn làng, gia đình chính sách,</t>
  </si>
  <si>
    <t xml:space="preserve">   đại biểu HĐND tỉnh,...</t>
  </si>
  <si>
    <t>- Chi phí khác</t>
  </si>
  <si>
    <t xml:space="preserve"> Tổng cộng:  </t>
  </si>
  <si>
    <t>Kinh phí hoạt động Hội đồng nhân dân tỉnh năm 2022</t>
  </si>
  <si>
    <t xml:space="preserve">+ Kỳ họp chuyên đề: 51 đb  x  200.000đồng/đại biểu/kỳ  x 04 kỳ </t>
  </si>
  <si>
    <t xml:space="preserve">+ Chi văn phòng phẩm : 51 người  x  20.000đ  x 6 kỳ </t>
  </si>
  <si>
    <t>(,02 kỳ họp thường lệ và dự kiến 04 kỳ họp Chuyên đề)</t>
  </si>
  <si>
    <t>+ Chi phụ cấp làm thêm giờ: 20.000.000đ/kỳ họp  x 6 kỳ</t>
  </si>
  <si>
    <t xml:space="preserve">          100 người  x  40.000đ  x  3 ngày x 6kỳ </t>
  </si>
  <si>
    <t>+  4.000.000đồng/kỳ    x   2kỳ</t>
  </si>
  <si>
    <t>+ 500.000đồng/kỳ     x   2kỳ</t>
  </si>
  <si>
    <t xml:space="preserve">- Chi trang trí hội trường : 5.000.000đ  x 6kỳ </t>
  </si>
  <si>
    <t xml:space="preserve">         51 đại biểu x 4.000.000đồng/ năm</t>
  </si>
  <si>
    <t>300.000đ/ báo cáo  x 2 lần x 2 kỳ x 10 tổ</t>
  </si>
  <si>
    <t xml:space="preserve">           51 đại biểu   x   1.000.000đ/năm</t>
  </si>
  <si>
    <t xml:space="preserve">              51 đại biểu  x 0,5 x 1.490.000đ x 12 tháng </t>
  </si>
  <si>
    <t xml:space="preserve">           51 đại biểu   x   250.000đ/tháng x 12 tháng</t>
  </si>
  <si>
    <r>
      <t>+</t>
    </r>
    <r>
      <rPr>
        <b/>
        <i/>
        <sz val="14"/>
        <rFont val="Times New Roman"/>
        <family val="1"/>
        <charset val="163"/>
      </rPr>
      <t xml:space="preserve"> </t>
    </r>
    <r>
      <rPr>
        <sz val="14"/>
        <rFont val="Times New Roman"/>
        <family val="1"/>
        <charset val="163"/>
      </rPr>
      <t>Chi hỗ trợ nghiên cứu tài liệu kỳ họp: 51 đb x 2.000.000đ/đb/năm</t>
    </r>
  </si>
  <si>
    <t>+ Chi hỗ trợ khám sức khỏe định kỳ: 51 đb x 2.000.000đ/đb/năm</t>
  </si>
  <si>
    <t>Độc lập - Tự do - Hạnh phúc</t>
  </si>
  <si>
    <t>- Chi ăn cho đại biểu HĐND và đại biểu mời;</t>
  </si>
  <si>
    <t>-  in ấn tài liệu và văn phòng phẩm  :</t>
  </si>
  <si>
    <t>- Chi phòng ngủ cho các đại biểu ngoài biên chế và đại biểu mời huyện:</t>
  </si>
  <si>
    <t xml:space="preserve">-Tổ đại biểu HĐND tỉnh 10 tổ </t>
  </si>
  <si>
    <t>+ Mỗi tổ đại biểu tại các huyện 10.000.000đ x 9 tổ</t>
  </si>
  <si>
    <t>+Tổ đại biểu HĐND tỉnh tại thành phố 20.000.000đ x 1 tổ</t>
  </si>
  <si>
    <t>- Chi thuê trang trí hội trường :  5.000.000đ  x  2 kỳ</t>
  </si>
  <si>
    <t>- Chi thuê phòng ngủ : 02 người  x  1.000.000đ  x  9 ngày x 2 kỳ</t>
  </si>
  <si>
    <t xml:space="preserve">     06 đại biểu   x  0,1 x 1.490.000đ/ngày  x 6 kỳ x 3 ngày </t>
  </si>
  <si>
    <t xml:space="preserve">     06 người   x  0,1 x 1.490.000đ/ngày  x  4 đợt  x 05 ngày </t>
  </si>
  <si>
    <t xml:space="preserve">Trưởng đoàn : 01 người  x 300.000đồng x 5 ngày x  2 đợt </t>
  </si>
  <si>
    <t xml:space="preserve">9 người x  5 ngày x 200.000đ x  2 đợt  </t>
  </si>
  <si>
    <t xml:space="preserve">5 người x 5 ngày x 160.000đ x 2 đợt </t>
  </si>
  <si>
    <t xml:space="preserve">2.000.000đồng/báo cáo   x   2 đợt </t>
  </si>
  <si>
    <t xml:space="preserve">1.200.000đồng/báo cáo   x  2 đợt </t>
  </si>
  <si>
    <t xml:space="preserve">10 người   x  60.000đồng/tập x   2 đợt </t>
  </si>
  <si>
    <t xml:space="preserve">+ Phụ cấp công tác phí : 10 người  x 5 ngày x 200.000đ x  2 đợt </t>
  </si>
  <si>
    <t>+ Chi xăng xe : 50 lít/huyện x 22.000đ  x   2đợt  x 2 xe  x 4 huyện</t>
  </si>
  <si>
    <t xml:space="preserve">+ Phụ cấp công tác:  2 đoàn  x 10 người  x  12 ngày  x 200.000đ </t>
  </si>
  <si>
    <t xml:space="preserve">+ Chi phòng ngủ : 2 đoàn x 10 người  x  11 ngày  x 450.000đ </t>
  </si>
  <si>
    <t>+ Chi xăng xe :  500 lít  x 22.000đ  x  2 đoàn x 2 xe</t>
  </si>
  <si>
    <t xml:space="preserve">+ Chi phí quà tặng:    2 đoàn  x  2.000.000đ x  5 tỉnh </t>
  </si>
  <si>
    <t xml:space="preserve">+ Chi phi khác :   2 đoàn x  2.000.000đ  </t>
  </si>
  <si>
    <t xml:space="preserve">+ Chi phòng ngủ : 10 người  x 4 ngày x 300.000đ x  2 đợt </t>
  </si>
  <si>
    <t>+ Phụ cấp công tác: 2 người x 10 ngày x 100.000đ</t>
  </si>
  <si>
    <t>+ Chi phòng ngủ: 2 người x 9 ngày x 300.000đ</t>
  </si>
  <si>
    <t>+ Chi xăng xe: 50 lít/huyện x 22.000đ x 1 xe x 10 lượt</t>
  </si>
  <si>
    <t>+ Chi xây dựng báo cáo tổng hợp kết quả khảo sát:</t>
  </si>
  <si>
    <t>+ Chi ăn : 10 người  x  4 uỷ ban  x  3 ngày  x  500.000đ</t>
  </si>
  <si>
    <t>+ Chi phòng ngủ : 10 người  x  4uỷ ban  x  2 ngày  x 350.000đ</t>
  </si>
  <si>
    <t xml:space="preserve">           4 lần  x  60 lít  x 22.000đ  x 01 xe</t>
  </si>
  <si>
    <t xml:space="preserve">+ Chi phí khác :  4 lần x 2.000.000đ </t>
  </si>
  <si>
    <t>+ Chi phòng ngủ : 4 đoàn  x 10 người x 1 ngày x  350.000đ</t>
  </si>
  <si>
    <t xml:space="preserve">          4 lần  x  60 lít  x 22.000đ  x 01 xe</t>
  </si>
  <si>
    <t>+ Chi phi khác : 4 đoàn x 2.000.000đ</t>
  </si>
  <si>
    <t>Bằng chữ:(Năm tỷ chín trăm triệu đồng chẵn)</t>
  </si>
  <si>
    <t xml:space="preserve">                136 người  x  150.000đ   x  2 ngày x  2 kỳ</t>
  </si>
  <si>
    <t xml:space="preserve">3.1. Chi khảo sát cơ sở  09 huyện và 1 thành phố của Thường trực: </t>
  </si>
  <si>
    <t xml:space="preserve">+ Phụ cấp công tác phí : 20 người  x 5 ngày x 200.000đ x 2 đợt </t>
  </si>
  <si>
    <t xml:space="preserve">+ Chi phòng ngủ : 20 người  x 4 ngày x 300.000đ x 2 đợt </t>
  </si>
  <si>
    <t>+ Chi xăng xe : 50 lít/huyện x 22.000đ  x  2 đợt  x 4 xe x 4 huyện</t>
  </si>
  <si>
    <t xml:space="preserve">Trưởng đoàn: 01 người  x 300.000đồng x 5 ngày x 2đợt </t>
  </si>
  <si>
    <t xml:space="preserve">12 người x 5 ngày x 200.000đ x 2đợt  </t>
  </si>
  <si>
    <t xml:space="preserve">08 người x 5 ngày x 160.000đ x 2đợt </t>
  </si>
  <si>
    <t xml:space="preserve">2.000.000đông/báo cáo   x   2đợt </t>
  </si>
  <si>
    <t xml:space="preserve">20 người   x  100.000đồng/tập x  2đợt </t>
  </si>
  <si>
    <t xml:space="preserve">2.500.000đông/báo cáo   x   2đợt </t>
  </si>
  <si>
    <t xml:space="preserve">                136 người  x  40.000đ  x  2 ngày x 2 kỳ </t>
  </si>
  <si>
    <t xml:space="preserve">                116 đại biểu x 02 ngày x 300.000đ x 2 kỳ</t>
  </si>
  <si>
    <t xml:space="preserve">                126 tập  x  30.000đ  x 2 kỳ</t>
  </si>
  <si>
    <r>
      <t xml:space="preserve">+ Chi  ăn : 4 đoàn  x  10 người  x 2 ngày  x 500.000đ </t>
    </r>
    <r>
      <rPr>
        <i/>
        <sz val="12"/>
        <rFont val="Times New Roman"/>
        <family val="1"/>
      </rPr>
      <t xml:space="preserve">(Trưa 200.000đ, chiều 300.000đ) </t>
    </r>
  </si>
  <si>
    <t>Ghi chú: Dự toán kinh phí 2022. Trong đó tích họp Giám sát của HĐND và Thường trực HĐND; Các Ban không tích hợp</t>
  </si>
  <si>
    <t xml:space="preserve">Đơn vị tính: đồng </t>
  </si>
  <si>
    <t>STT</t>
  </si>
  <si>
    <t>Nội dung</t>
  </si>
  <si>
    <t>Số tiền</t>
  </si>
  <si>
    <t>Chi hội nghị giao ban Thường trực HĐND tỉnh và các huyện, thành phố định kỳ</t>
  </si>
  <si>
    <t xml:space="preserve">Nội dung </t>
  </si>
  <si>
    <t>3.1</t>
  </si>
  <si>
    <t>3.2</t>
  </si>
  <si>
    <t>3.2.1</t>
  </si>
  <si>
    <t>3.2.2</t>
  </si>
  <si>
    <t>3.2.3</t>
  </si>
  <si>
    <t>3.2.4</t>
  </si>
  <si>
    <t>3.3</t>
  </si>
  <si>
    <t>3.4</t>
  </si>
  <si>
    <t>3.4.1</t>
  </si>
  <si>
    <t>3.4.2</t>
  </si>
  <si>
    <t>3.4.3</t>
  </si>
  <si>
    <t>3.4.4</t>
  </si>
  <si>
    <t>3.5</t>
  </si>
  <si>
    <t>3.6</t>
  </si>
  <si>
    <t>3.6.1</t>
  </si>
  <si>
    <t>3.6.2</t>
  </si>
  <si>
    <t>3.6.3</t>
  </si>
  <si>
    <t>3.6.4</t>
  </si>
  <si>
    <t>3.7</t>
  </si>
  <si>
    <t>3.7.1</t>
  </si>
  <si>
    <t>3.7.2</t>
  </si>
  <si>
    <t>3.7.2.1</t>
  </si>
  <si>
    <t>3.7.2.2</t>
  </si>
  <si>
    <t>3.7.2.3</t>
  </si>
  <si>
    <t>3.7.2.4</t>
  </si>
  <si>
    <t>3.8</t>
  </si>
  <si>
    <t>3.8.1</t>
  </si>
  <si>
    <t>3.8.2</t>
  </si>
  <si>
    <t>3.8.2.1</t>
  </si>
  <si>
    <t>3.8.2.2</t>
  </si>
  <si>
    <t>3.8.2.3</t>
  </si>
  <si>
    <t>3.8.2.4</t>
  </si>
  <si>
    <t>9.1</t>
  </si>
  <si>
    <t>9.2</t>
  </si>
  <si>
    <t>9.3</t>
  </si>
  <si>
    <t>9.3.1</t>
  </si>
  <si>
    <t>9.3.2</t>
  </si>
  <si>
    <t>9.3.3</t>
  </si>
  <si>
    <t>9.3.4</t>
  </si>
  <si>
    <t>Dự phòng:</t>
  </si>
  <si>
    <t>Chi cho các kỳ họp HĐND:</t>
  </si>
  <si>
    <r>
      <t xml:space="preserve">Chi hội nghị giao ban Thường trực HĐND tỉnh và các huyện, thành phố định kỳ : </t>
    </r>
    <r>
      <rPr>
        <b/>
        <i/>
        <sz val="14"/>
        <color rgb="FFFF0000"/>
        <rFont val="Times New Roman"/>
        <family val="1"/>
      </rPr>
      <t>(1 năm 2 lần )</t>
    </r>
  </si>
  <si>
    <t xml:space="preserve">Chi hoạt động Thường trực HĐND, các Ban HĐND và tổ đại biểu 
HĐND tỉnh: </t>
  </si>
  <si>
    <t xml:space="preserve">Chi hoạt động khảo sát của các ban (có dự toán kèm theo): </t>
  </si>
  <si>
    <t>Ban Pháp chế</t>
  </si>
  <si>
    <t>Ban Kinh tế - Ngân sách</t>
  </si>
  <si>
    <t xml:space="preserve">Ban Văn hóa - Xã hội </t>
  </si>
  <si>
    <t>Ban Dân tộc</t>
  </si>
  <si>
    <t>Chi phí hoạt động giám sát tích hợp của HĐND và Thường trực HĐND</t>
  </si>
  <si>
    <r>
      <t xml:space="preserve">Chi phí hoạt động giám sát của các Ban HĐND tỉnh </t>
    </r>
    <r>
      <rPr>
        <i/>
        <sz val="14"/>
        <color rgb="FF0070C0"/>
        <rFont val="Times New Roman"/>
        <family val="1"/>
      </rPr>
      <t>(có dự toán kèm theo)</t>
    </r>
  </si>
  <si>
    <t>Khoán chi kinh phí hoạt động giám sát cho tổ đại biểu HĐND tỉnh.</t>
  </si>
  <si>
    <r>
      <t xml:space="preserve">Chi cho công tác thẩm tra </t>
    </r>
    <r>
      <rPr>
        <i/>
        <sz val="14"/>
        <color rgb="FF0070C0"/>
        <rFont val="Times New Roman"/>
        <family val="1"/>
      </rPr>
      <t>(có dự toán kèm theo)</t>
    </r>
  </si>
  <si>
    <t>HĐND và Thường trực HĐND.</t>
  </si>
  <si>
    <t>Các Ban (Có dự toán kèm theo)</t>
  </si>
  <si>
    <t>Tham gia đoàn công tác của trung ương, các cơ quan Tỉnh ủy, HĐND nơi đại biểu chuyên trách ứng cử, các buổi lễ do UBND tỉnh tổ chức tại các huyện, thành phố</t>
  </si>
  <si>
    <t>HĐND và thường trực HĐND</t>
  </si>
  <si>
    <r>
      <t xml:space="preserve">Các Ban </t>
    </r>
    <r>
      <rPr>
        <i/>
        <sz val="14"/>
        <color rgb="FF005EA4"/>
        <rFont val="Times New Roman"/>
        <family val="1"/>
      </rPr>
      <t>(Có dự toán kèm theo)</t>
    </r>
  </si>
  <si>
    <t>Chi phí  tiếp xúc cử tri, thảo luận tổ đại biểu:</t>
  </si>
  <si>
    <t>Chi dự 02 kỳ họp ở Quốc hội :</t>
  </si>
  <si>
    <t>Mua tạp chí và tài  liệu :</t>
  </si>
  <si>
    <t>Chi chế độ đối với đại biểu HĐND tỉnh:</t>
  </si>
  <si>
    <t xml:space="preserve">Chi lễ tân và khánh tiết : </t>
  </si>
  <si>
    <t xml:space="preserve">Chi tiếp và làm việc với Quốc hội, UBTVQH và các cơ quan của 
Quốc hội: </t>
  </si>
  <si>
    <r>
      <t xml:space="preserve">Chi tễ tân và khánh tiết của các ban </t>
    </r>
    <r>
      <rPr>
        <i/>
        <sz val="14"/>
        <color rgb="FF005EA4"/>
        <rFont val="Times New Roman"/>
        <family val="1"/>
      </rPr>
      <t>(có dự toán kèm theo)</t>
    </r>
  </si>
  <si>
    <t xml:space="preserve"> Ban Pháp chế</t>
  </si>
  <si>
    <t>Chi rà soát văn bản QPPL:</t>
  </si>
  <si>
    <t xml:space="preserve">- Chi rà soát văn bản: ước thực hiện </t>
  </si>
  <si>
    <t>THƯỜNG TRỰC HĐND</t>
  </si>
  <si>
    <t>HĐND TỈNH KON TUM</t>
  </si>
  <si>
    <t>(Bằng chữ: Năm tỷ chín trăm triệu đồng chẵn).</t>
  </si>
  <si>
    <t>Chi thăm hỏi, động viên một số thôn, làng, chi khác:</t>
  </si>
  <si>
    <t>+ Chi xăng dầu phục vụ đoàn đi thăm cơ sở:</t>
  </si>
  <si>
    <t>Chi đón tiếp các tỉnh bạn đến làm việc:</t>
  </si>
  <si>
    <t xml:space="preserve">- Chi phụ cấp hoạt động phí cho các đại biểu: </t>
  </si>
  <si>
    <t>- Các loại tạp chí và tài liệu khác cho đại biểu HĐND tỉnh:</t>
  </si>
  <si>
    <t>- Mua báo người đại biểu nhân dân cho đại biểu HĐND tỉnh:</t>
  </si>
  <si>
    <t>Hoạt động trang thông tin đại biểu dân cử tỉnh Kon Tum:</t>
  </si>
  <si>
    <t>- Chi hỗ trợ cho xã nơi tổ chức tiếp xúc tri:</t>
  </si>
  <si>
    <t xml:space="preserve">Chi tham dự hội thảo, hội nghị và trao đổi kinh nghiệm ngoài tỉnh: </t>
  </si>
  <si>
    <t>+ Chi bỗi dưỡng các thành viên tham gia đoàn giám sát:</t>
  </si>
  <si>
    <t>(Kèm theo Tờ trình số     /TTr-TTHĐND ngày     12/2021 của Thường trực 
Hội đồng nhân dân tỉnh)</t>
  </si>
  <si>
    <t>(Kèm theo Tờ trình số: 14 /TTr-TTHĐND ngày  01 /12/2021 của Thường trực Hội đồng nhân dân tỉnh)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</si>
</sst>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00\ _₫_-;\-* #,##0.00\ _₫_-;_-* &quot;-&quot;??\ _₫_-;_-@_-"/>
    <numFmt numFmtId="165" formatCode="#,##0;[Red]#,##0"/>
    <numFmt numFmtId="166" formatCode="_(* #,##0_);_(* \(#,##0\);_(* &quot;-&quot;??_);_(@_)"/>
  </numFmts>
  <fonts count="47" x14ac:knownFonts="1">
    <font>
      <sz val="11"/>
      <color theme="1"/>
      <name val="Calibri"/>
      <family val="2"/>
      <scheme val="minor"/>
    </font>
    <font>
      <sz val="11"/>
      <color theme="1"/>
      <name val="Calibri"/>
      <family val="2"/>
      <scheme val="minor"/>
    </font>
    <font>
      <b/>
      <sz val="14"/>
      <name val="Times New Roman"/>
      <family val="1"/>
      <charset val="163"/>
    </font>
    <font>
      <sz val="14"/>
      <name val="Times New Roman"/>
      <family val="1"/>
      <charset val="163"/>
    </font>
    <font>
      <b/>
      <sz val="18"/>
      <name val="Times New Roman"/>
      <family val="1"/>
      <charset val="163"/>
    </font>
    <font>
      <i/>
      <sz val="14"/>
      <name val="Times New Roman"/>
      <family val="1"/>
      <charset val="163"/>
    </font>
    <font>
      <b/>
      <sz val="14"/>
      <color indexed="10"/>
      <name val="Times New Roman"/>
      <family val="1"/>
      <charset val="163"/>
    </font>
    <font>
      <b/>
      <sz val="13"/>
      <color indexed="10"/>
      <name val="Times New Roman"/>
      <family val="1"/>
      <charset val="163"/>
    </font>
    <font>
      <b/>
      <sz val="14"/>
      <color indexed="10"/>
      <name val="Times New Roman"/>
      <family val="1"/>
    </font>
    <font>
      <b/>
      <i/>
      <sz val="14"/>
      <name val="Times New Roman"/>
      <family val="1"/>
      <charset val="163"/>
    </font>
    <font>
      <b/>
      <i/>
      <sz val="14"/>
      <name val="Times New Roman"/>
      <family val="1"/>
    </font>
    <font>
      <b/>
      <i/>
      <sz val="14"/>
      <color indexed="10"/>
      <name val="Times New Roman"/>
      <family val="1"/>
      <charset val="163"/>
    </font>
    <font>
      <sz val="14"/>
      <name val="Times New Roman"/>
      <family val="1"/>
    </font>
    <font>
      <b/>
      <i/>
      <sz val="14"/>
      <color rgb="FF0070C0"/>
      <name val="Times New Roman"/>
      <family val="1"/>
    </font>
    <font>
      <sz val="13"/>
      <name val="Times New Roman"/>
      <family val="1"/>
    </font>
    <font>
      <sz val="10"/>
      <name val="Arial"/>
      <family val="2"/>
    </font>
    <font>
      <b/>
      <i/>
      <sz val="14"/>
      <color rgb="FFFF0000"/>
      <name val="Times New Roman"/>
      <family val="1"/>
    </font>
    <font>
      <sz val="11"/>
      <color rgb="FFFF0000"/>
      <name val="Calibri"/>
      <family val="2"/>
      <scheme val="minor"/>
    </font>
    <font>
      <b/>
      <sz val="14"/>
      <color rgb="FFFF0000"/>
      <name val="Times New Roman"/>
      <family val="1"/>
      <charset val="163"/>
    </font>
    <font>
      <b/>
      <sz val="14"/>
      <color rgb="FFFF0000"/>
      <name val="Times New Roman"/>
      <family val="1"/>
    </font>
    <font>
      <b/>
      <sz val="14"/>
      <name val="Times New Roman"/>
      <family val="1"/>
    </font>
    <font>
      <b/>
      <i/>
      <sz val="14"/>
      <color rgb="FF005EA4"/>
      <name val="Times New Roman"/>
      <family val="1"/>
    </font>
    <font>
      <sz val="10"/>
      <name val="Times New Roman"/>
      <family val="1"/>
      <charset val="163"/>
    </font>
    <font>
      <b/>
      <i/>
      <sz val="14"/>
      <color rgb="FF0070C0"/>
      <name val="Times New Roman"/>
      <family val="1"/>
      <charset val="163"/>
    </font>
    <font>
      <i/>
      <sz val="14"/>
      <color rgb="FF0070C0"/>
      <name val="Times New Roman"/>
      <family val="1"/>
    </font>
    <font>
      <b/>
      <sz val="14"/>
      <color rgb="FF0070C0"/>
      <name val="Times New Roman"/>
      <family val="1"/>
      <charset val="163"/>
    </font>
    <font>
      <i/>
      <sz val="14"/>
      <color rgb="FF005EA4"/>
      <name val="Times New Roman"/>
      <family val="1"/>
    </font>
    <font>
      <b/>
      <i/>
      <sz val="13"/>
      <color rgb="FF005EA4"/>
      <name val="Times New Roman"/>
      <family val="1"/>
    </font>
    <font>
      <i/>
      <sz val="12"/>
      <name val="Times New Roman"/>
      <family val="1"/>
    </font>
    <font>
      <b/>
      <sz val="16"/>
      <color indexed="10"/>
      <name val="Times New Roman"/>
      <family val="1"/>
      <charset val="163"/>
    </font>
    <font>
      <sz val="16"/>
      <name val="Times New Roman"/>
      <family val="1"/>
      <charset val="163"/>
    </font>
    <font>
      <sz val="16"/>
      <color rgb="FFFF0000"/>
      <name val="Calibri"/>
      <family val="2"/>
      <scheme val="minor"/>
    </font>
    <font>
      <sz val="16"/>
      <color theme="1"/>
      <name val="Calibri"/>
      <family val="2"/>
      <scheme val="minor"/>
    </font>
    <font>
      <b/>
      <i/>
      <sz val="16"/>
      <color rgb="FF005EA4"/>
      <name val="Times New Roman"/>
      <family val="1"/>
    </font>
    <font>
      <b/>
      <i/>
      <sz val="16"/>
      <color rgb="FF0070C0"/>
      <name val="Times New Roman"/>
      <family val="1"/>
    </font>
    <font>
      <b/>
      <sz val="16"/>
      <name val="Times New Roman"/>
      <family val="1"/>
    </font>
    <font>
      <sz val="16"/>
      <name val="Times New Roman"/>
      <family val="1"/>
    </font>
    <font>
      <b/>
      <sz val="16"/>
      <color rgb="FF0070C0"/>
      <name val="Times New Roman"/>
      <family val="1"/>
      <charset val="163"/>
    </font>
    <font>
      <b/>
      <sz val="16"/>
      <color indexed="10"/>
      <name val="Times New Roman"/>
      <family val="1"/>
    </font>
    <font>
      <b/>
      <i/>
      <sz val="16"/>
      <color indexed="10"/>
      <name val="Times New Roman"/>
      <family val="1"/>
      <charset val="163"/>
    </font>
    <font>
      <b/>
      <sz val="16"/>
      <color rgb="FFFF0000"/>
      <name val="Times New Roman"/>
      <family val="1"/>
      <charset val="163"/>
    </font>
    <font>
      <b/>
      <sz val="13"/>
      <name val="Times New Roman"/>
      <family val="1"/>
      <charset val="163"/>
    </font>
    <font>
      <sz val="13"/>
      <name val="Times New Roman"/>
      <family val="1"/>
      <charset val="163"/>
    </font>
    <font>
      <i/>
      <sz val="12"/>
      <name val="Times New Roman"/>
      <family val="1"/>
      <charset val="163"/>
    </font>
    <font>
      <b/>
      <sz val="14"/>
      <color rgb="FFFF0000"/>
      <name val="Cambria"/>
      <family val="1"/>
      <charset val="163"/>
      <scheme val="major"/>
    </font>
    <font>
      <sz val="18"/>
      <name val="Times New Roman"/>
      <family val="1"/>
    </font>
    <font>
      <sz val="14"/>
      <name val="Calibri"/>
      <family val="2"/>
      <scheme val="minor"/>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15" fillId="0" borderId="0"/>
    <xf numFmtId="43" fontId="15" fillId="0" borderId="0" applyFont="0" applyFill="0" applyBorder="0" applyAlignment="0" applyProtection="0"/>
  </cellStyleXfs>
  <cellXfs count="229">
    <xf numFmtId="0" fontId="0" fillId="0" borderId="0" xfId="0"/>
    <xf numFmtId="0" fontId="3" fillId="0" borderId="0" xfId="0" applyFont="1"/>
    <xf numFmtId="165" fontId="3" fillId="0" borderId="0" xfId="0" applyNumberFormat="1" applyFont="1"/>
    <xf numFmtId="0" fontId="2" fillId="0" borderId="0" xfId="0" applyFont="1"/>
    <xf numFmtId="166" fontId="3" fillId="0" borderId="0" xfId="1" applyNumberFormat="1" applyFont="1" applyAlignment="1">
      <alignment horizontal="right"/>
    </xf>
    <xf numFmtId="165" fontId="2" fillId="0" borderId="0" xfId="0" applyNumberFormat="1" applyFont="1" applyAlignment="1">
      <alignment horizontal="center"/>
    </xf>
    <xf numFmtId="0" fontId="6" fillId="0" borderId="0" xfId="0" applyFont="1"/>
    <xf numFmtId="165" fontId="6" fillId="0" borderId="0" xfId="0" applyNumberFormat="1" applyFont="1"/>
    <xf numFmtId="0" fontId="3" fillId="0" borderId="0" xfId="0" applyFont="1" applyFill="1"/>
    <xf numFmtId="165" fontId="3" fillId="0" borderId="0" xfId="0" applyNumberFormat="1" applyFont="1" applyFill="1"/>
    <xf numFmtId="166" fontId="3" fillId="0" borderId="0" xfId="0" applyNumberFormat="1" applyFont="1" applyFill="1"/>
    <xf numFmtId="0" fontId="8" fillId="0" borderId="0" xfId="0" applyFont="1"/>
    <xf numFmtId="165" fontId="8" fillId="0" borderId="0" xfId="0" applyNumberFormat="1" applyFont="1"/>
    <xf numFmtId="0" fontId="11" fillId="0" borderId="0" xfId="0" applyFont="1"/>
    <xf numFmtId="165" fontId="11" fillId="0" borderId="0" xfId="0" applyNumberFormat="1" applyFont="1"/>
    <xf numFmtId="165" fontId="2" fillId="0" borderId="0" xfId="0" applyNumberFormat="1" applyFont="1"/>
    <xf numFmtId="0" fontId="13" fillId="0" borderId="0" xfId="0" applyFont="1" applyFill="1"/>
    <xf numFmtId="165" fontId="13" fillId="0" borderId="0" xfId="0" applyNumberFormat="1" applyFont="1" applyFill="1"/>
    <xf numFmtId="0" fontId="12" fillId="0" borderId="0" xfId="0" applyFont="1" applyFill="1"/>
    <xf numFmtId="0" fontId="15" fillId="0" borderId="0" xfId="2"/>
    <xf numFmtId="0" fontId="3" fillId="0" borderId="0" xfId="2" applyFont="1"/>
    <xf numFmtId="165" fontId="12" fillId="0" borderId="0" xfId="0" applyNumberFormat="1" applyFont="1" applyFill="1"/>
    <xf numFmtId="0" fontId="2" fillId="0" borderId="0" xfId="0" applyFont="1" applyAlignment="1">
      <alignment horizontal="center"/>
    </xf>
    <xf numFmtId="0" fontId="20" fillId="0" borderId="0" xfId="0" applyFont="1" applyFill="1"/>
    <xf numFmtId="165" fontId="20" fillId="0" borderId="0" xfId="0" applyNumberFormat="1" applyFont="1" applyFill="1"/>
    <xf numFmtId="0" fontId="21" fillId="0" borderId="0" xfId="0" applyFont="1" applyFill="1"/>
    <xf numFmtId="165" fontId="21" fillId="0" borderId="0" xfId="0" applyNumberFormat="1" applyFont="1" applyFill="1"/>
    <xf numFmtId="0" fontId="22" fillId="0" borderId="0" xfId="0" applyFont="1"/>
    <xf numFmtId="0" fontId="6" fillId="2" borderId="0" xfId="0" applyFont="1" applyFill="1"/>
    <xf numFmtId="165" fontId="6" fillId="2" borderId="0" xfId="0" applyNumberFormat="1" applyFont="1" applyFill="1"/>
    <xf numFmtId="0" fontId="18" fillId="2" borderId="0" xfId="2" applyFont="1" applyFill="1" applyAlignment="1">
      <alignment vertical="center"/>
    </xf>
    <xf numFmtId="0" fontId="17" fillId="2" borderId="0" xfId="0" applyFont="1" applyFill="1"/>
    <xf numFmtId="0" fontId="8" fillId="2" borderId="0" xfId="0" applyFont="1" applyFill="1"/>
    <xf numFmtId="165" fontId="8" fillId="2" borderId="0" xfId="0" applyNumberFormat="1" applyFont="1" applyFill="1"/>
    <xf numFmtId="0" fontId="21" fillId="0" borderId="0" xfId="0" applyFont="1" applyFill="1" applyAlignment="1">
      <alignment vertical="center"/>
    </xf>
    <xf numFmtId="0" fontId="25" fillId="0" borderId="0" xfId="0" applyFont="1" applyFill="1"/>
    <xf numFmtId="165" fontId="25" fillId="0" borderId="0" xfId="0" applyNumberFormat="1" applyFont="1" applyFill="1"/>
    <xf numFmtId="0" fontId="13" fillId="0" borderId="0" xfId="0" applyFont="1" applyFill="1" applyAlignment="1">
      <alignment vertical="center"/>
    </xf>
    <xf numFmtId="165" fontId="13" fillId="0" borderId="0" xfId="0" applyNumberFormat="1" applyFont="1" applyFill="1" applyAlignment="1">
      <alignment vertical="center"/>
    </xf>
    <xf numFmtId="0" fontId="21" fillId="0" borderId="0" xfId="0" applyFont="1"/>
    <xf numFmtId="165" fontId="21" fillId="0" borderId="0" xfId="0" applyNumberFormat="1" applyFont="1"/>
    <xf numFmtId="164" fontId="21" fillId="0" borderId="0" xfId="0" applyNumberFormat="1" applyFont="1" applyFill="1"/>
    <xf numFmtId="0" fontId="21" fillId="0" borderId="0" xfId="0" applyFont="1" applyAlignment="1">
      <alignment vertical="center"/>
    </xf>
    <xf numFmtId="0" fontId="21" fillId="2" borderId="0" xfId="0" applyFont="1" applyFill="1"/>
    <xf numFmtId="165" fontId="21" fillId="2" borderId="0" xfId="0" applyNumberFormat="1" applyFont="1" applyFill="1"/>
    <xf numFmtId="0" fontId="29" fillId="2" borderId="0" xfId="0" applyFont="1" applyFill="1"/>
    <xf numFmtId="0" fontId="30" fillId="0" borderId="0" xfId="0" applyFont="1"/>
    <xf numFmtId="0" fontId="31" fillId="2" borderId="0" xfId="0" applyFont="1" applyFill="1"/>
    <xf numFmtId="0" fontId="32" fillId="0" borderId="0" xfId="0" applyFont="1"/>
    <xf numFmtId="166" fontId="33" fillId="0" borderId="0" xfId="0" applyNumberFormat="1" applyFont="1" applyFill="1"/>
    <xf numFmtId="166" fontId="30" fillId="0" borderId="0" xfId="0" applyNumberFormat="1" applyFont="1" applyFill="1"/>
    <xf numFmtId="0" fontId="30" fillId="0" borderId="0" xfId="0" applyFont="1" applyFill="1"/>
    <xf numFmtId="0" fontId="34" fillId="0" borderId="0" xfId="0" applyFont="1" applyFill="1"/>
    <xf numFmtId="0" fontId="35" fillId="0" borderId="0" xfId="0" applyFont="1" applyFill="1"/>
    <xf numFmtId="0" fontId="34" fillId="0" borderId="0" xfId="0" applyFont="1" applyFill="1" applyAlignment="1">
      <alignment vertical="center"/>
    </xf>
    <xf numFmtId="0" fontId="33" fillId="2" borderId="0" xfId="0" applyFont="1" applyFill="1"/>
    <xf numFmtId="0" fontId="36" fillId="0" borderId="0" xfId="0" applyFont="1" applyFill="1"/>
    <xf numFmtId="166" fontId="35" fillId="0" borderId="0" xfId="0" applyNumberFormat="1" applyFont="1" applyFill="1"/>
    <xf numFmtId="0" fontId="33" fillId="0" borderId="0" xfId="0" applyFont="1" applyFill="1"/>
    <xf numFmtId="0" fontId="37" fillId="0" borderId="0" xfId="0" applyFont="1" applyFill="1"/>
    <xf numFmtId="0" fontId="38" fillId="2" borderId="0" xfId="0" applyFont="1" applyFill="1"/>
    <xf numFmtId="166" fontId="30" fillId="0" borderId="0" xfId="0" applyNumberFormat="1" applyFont="1"/>
    <xf numFmtId="166" fontId="38" fillId="2" borderId="0" xfId="0" applyNumberFormat="1" applyFont="1" applyFill="1"/>
    <xf numFmtId="0" fontId="29" fillId="0" borderId="0" xfId="0" applyFont="1"/>
    <xf numFmtId="0" fontId="38" fillId="0" borderId="0" xfId="0" applyFont="1"/>
    <xf numFmtId="0" fontId="33" fillId="0" borderId="0" xfId="0" applyFont="1"/>
    <xf numFmtId="0" fontId="39" fillId="0" borderId="0" xfId="0" applyFont="1"/>
    <xf numFmtId="3" fontId="40" fillId="0" borderId="0" xfId="0" applyNumberFormat="1" applyFont="1"/>
    <xf numFmtId="0" fontId="6" fillId="2" borderId="0" xfId="0" applyFont="1" applyFill="1" applyAlignment="1">
      <alignment vertical="center"/>
    </xf>
    <xf numFmtId="0" fontId="29" fillId="2" borderId="0" xfId="0" applyFont="1" applyFill="1" applyAlignment="1">
      <alignment vertical="center"/>
    </xf>
    <xf numFmtId="165" fontId="6" fillId="2" borderId="0" xfId="0" applyNumberFormat="1" applyFont="1" applyFill="1" applyAlignment="1">
      <alignment vertical="center"/>
    </xf>
    <xf numFmtId="0" fontId="42" fillId="0" borderId="0" xfId="0" applyFont="1"/>
    <xf numFmtId="0" fontId="41" fillId="0" borderId="0" xfId="0" applyFont="1" applyAlignment="1">
      <alignment horizontal="center"/>
    </xf>
    <xf numFmtId="0" fontId="41" fillId="0" borderId="0" xfId="0" applyFont="1"/>
    <xf numFmtId="0" fontId="14" fillId="0" borderId="0" xfId="0" applyFont="1"/>
    <xf numFmtId="0" fontId="14" fillId="0" borderId="0" xfId="0" applyFont="1" applyFill="1" applyAlignment="1">
      <alignment horizontal="left"/>
    </xf>
    <xf numFmtId="0" fontId="36" fillId="0" borderId="0" xfId="0" applyFont="1"/>
    <xf numFmtId="0" fontId="41" fillId="0" borderId="0" xfId="0" applyFont="1" applyAlignment="1">
      <alignment horizontal="center" vertical="center"/>
    </xf>
    <xf numFmtId="166" fontId="3" fillId="0" borderId="1" xfId="1" applyNumberFormat="1" applyFont="1" applyBorder="1" applyAlignment="1">
      <alignment horizontal="right"/>
    </xf>
    <xf numFmtId="166" fontId="3" fillId="0" borderId="1" xfId="3" applyNumberFormat="1" applyFont="1" applyBorder="1" applyAlignment="1">
      <alignment horizontal="right"/>
    </xf>
    <xf numFmtId="166" fontId="21" fillId="0" borderId="1" xfId="1" applyNumberFormat="1" applyFont="1" applyFill="1" applyBorder="1" applyAlignment="1">
      <alignment horizontal="right"/>
    </xf>
    <xf numFmtId="166" fontId="3" fillId="0" borderId="1" xfId="1" applyNumberFormat="1" applyFont="1" applyFill="1" applyBorder="1" applyAlignment="1">
      <alignment horizontal="right"/>
    </xf>
    <xf numFmtId="166" fontId="13" fillId="0" borderId="1" xfId="1" applyNumberFormat="1" applyFont="1" applyFill="1" applyBorder="1" applyAlignment="1">
      <alignment horizontal="right"/>
    </xf>
    <xf numFmtId="166" fontId="20" fillId="0" borderId="1" xfId="1" applyNumberFormat="1" applyFont="1" applyFill="1" applyBorder="1" applyAlignment="1">
      <alignment horizontal="right"/>
    </xf>
    <xf numFmtId="166" fontId="27" fillId="0" borderId="1" xfId="1" applyNumberFormat="1" applyFont="1" applyFill="1" applyBorder="1" applyAlignment="1">
      <alignment horizontal="right"/>
    </xf>
    <xf numFmtId="166" fontId="13" fillId="0" borderId="1" xfId="1" applyNumberFormat="1" applyFont="1" applyFill="1" applyBorder="1" applyAlignment="1">
      <alignment horizontal="right" vertical="center"/>
    </xf>
    <xf numFmtId="166" fontId="21" fillId="2" borderId="1" xfId="1" applyNumberFormat="1" applyFont="1" applyFill="1" applyBorder="1" applyAlignment="1">
      <alignment horizontal="right"/>
    </xf>
    <xf numFmtId="166" fontId="12" fillId="0" borderId="1" xfId="1" applyNumberFormat="1" applyFont="1" applyFill="1" applyBorder="1" applyAlignment="1">
      <alignment horizontal="right"/>
    </xf>
    <xf numFmtId="166" fontId="21" fillId="0" borderId="1" xfId="1" applyNumberFormat="1" applyFont="1" applyFill="1" applyBorder="1" applyAlignment="1">
      <alignment horizontal="right" vertical="center"/>
    </xf>
    <xf numFmtId="166" fontId="23" fillId="0" borderId="1" xfId="1" applyNumberFormat="1" applyFont="1" applyFill="1" applyBorder="1" applyAlignment="1">
      <alignment horizontal="right" vertical="center"/>
    </xf>
    <xf numFmtId="166" fontId="6" fillId="2" borderId="1" xfId="1" applyNumberFormat="1" applyFont="1" applyFill="1" applyBorder="1" applyAlignment="1">
      <alignment horizontal="right"/>
    </xf>
    <xf numFmtId="166" fontId="8" fillId="2" borderId="1" xfId="1" applyNumberFormat="1" applyFont="1" applyFill="1" applyBorder="1" applyAlignment="1">
      <alignment horizontal="right"/>
    </xf>
    <xf numFmtId="166" fontId="8" fillId="0" borderId="1" xfId="1" applyNumberFormat="1" applyFont="1" applyBorder="1" applyAlignment="1">
      <alignment horizontal="right"/>
    </xf>
    <xf numFmtId="166" fontId="21" fillId="0" borderId="1" xfId="1" applyNumberFormat="1" applyFont="1" applyBorder="1" applyAlignment="1">
      <alignment horizontal="right" vertical="center"/>
    </xf>
    <xf numFmtId="166" fontId="5" fillId="0" borderId="1" xfId="1" applyNumberFormat="1" applyFont="1" applyBorder="1" applyAlignment="1">
      <alignment horizontal="right"/>
    </xf>
    <xf numFmtId="166" fontId="21" fillId="0" borderId="1" xfId="1" applyNumberFormat="1" applyFont="1" applyBorder="1" applyAlignment="1">
      <alignment horizontal="right"/>
    </xf>
    <xf numFmtId="0" fontId="2" fillId="0" borderId="0" xfId="0" applyFont="1" applyAlignment="1">
      <alignment horizontal="center" vertical="center"/>
    </xf>
    <xf numFmtId="165" fontId="2" fillId="0" borderId="0" xfId="0" applyNumberFormat="1" applyFont="1" applyAlignment="1">
      <alignment horizontal="center" vertical="center"/>
    </xf>
    <xf numFmtId="0" fontId="2" fillId="0" borderId="1" xfId="0" applyFont="1" applyBorder="1" applyAlignment="1">
      <alignment horizontal="center" vertical="center"/>
    </xf>
    <xf numFmtId="166" fontId="2" fillId="0" borderId="1" xfId="1" applyNumberFormat="1" applyFont="1" applyBorder="1" applyAlignment="1">
      <alignment horizontal="center" vertical="center"/>
    </xf>
    <xf numFmtId="166" fontId="43" fillId="0" borderId="0" xfId="1" applyNumberFormat="1" applyFont="1" applyAlignment="1">
      <alignment horizontal="right"/>
    </xf>
    <xf numFmtId="0" fontId="6" fillId="2" borderId="1" xfId="0" applyFont="1" applyFill="1" applyBorder="1" applyAlignment="1">
      <alignment horizontal="center" vertical="center"/>
    </xf>
    <xf numFmtId="0" fontId="13" fillId="0"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21"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20" fillId="0" borderId="1" xfId="0" applyFont="1" applyFill="1" applyBorder="1" applyAlignment="1">
      <alignment horizontal="center" vertical="center"/>
    </xf>
    <xf numFmtId="0" fontId="21" fillId="2" borderId="1" xfId="0" applyFont="1" applyFill="1" applyBorder="1" applyAlignment="1">
      <alignment horizontal="center" vertical="center"/>
    </xf>
    <xf numFmtId="0" fontId="12" fillId="0" borderId="1" xfId="0" applyFont="1" applyFill="1" applyBorder="1" applyAlignment="1">
      <alignment horizontal="center" vertical="center"/>
    </xf>
    <xf numFmtId="0" fontId="25" fillId="0" borderId="1" xfId="0" applyFont="1" applyFill="1" applyBorder="1" applyAlignment="1">
      <alignment horizontal="center" vertical="center"/>
    </xf>
    <xf numFmtId="0" fontId="8" fillId="2" borderId="1" xfId="0" applyFont="1" applyFill="1" applyBorder="1" applyAlignment="1">
      <alignment horizontal="center" vertical="center"/>
    </xf>
    <xf numFmtId="0" fontId="6" fillId="0" borderId="1" xfId="0" applyFont="1" applyBorder="1" applyAlignment="1">
      <alignment horizontal="center" vertical="center"/>
    </xf>
    <xf numFmtId="0" fontId="8" fillId="0" borderId="1" xfId="0" applyFont="1" applyBorder="1" applyAlignment="1">
      <alignment horizontal="center" vertical="center"/>
    </xf>
    <xf numFmtId="0" fontId="21" fillId="0" borderId="1" xfId="0" applyFont="1" applyBorder="1" applyAlignment="1">
      <alignment horizontal="center" vertical="center"/>
    </xf>
    <xf numFmtId="0" fontId="11" fillId="0" borderId="1" xfId="0" applyFont="1" applyBorder="1" applyAlignment="1">
      <alignment horizontal="center" vertical="center"/>
    </xf>
    <xf numFmtId="0" fontId="13" fillId="0" borderId="1" xfId="0" quotePrefix="1" applyFont="1" applyFill="1" applyBorder="1" applyAlignment="1"/>
    <xf numFmtId="0" fontId="13" fillId="0" borderId="1" xfId="0" applyFont="1" applyFill="1" applyBorder="1" applyAlignment="1"/>
    <xf numFmtId="166" fontId="6" fillId="2" borderId="5" xfId="1" applyNumberFormat="1" applyFont="1" applyFill="1" applyBorder="1" applyAlignment="1">
      <alignment horizontal="right"/>
    </xf>
    <xf numFmtId="166" fontId="18" fillId="2" borderId="1" xfId="3" applyNumberFormat="1" applyFont="1" applyFill="1" applyBorder="1" applyAlignment="1">
      <alignment horizontal="right" vertical="center"/>
    </xf>
    <xf numFmtId="0" fontId="15" fillId="0" borderId="1" xfId="2" applyBorder="1" applyAlignment="1">
      <alignment horizontal="right"/>
    </xf>
    <xf numFmtId="166" fontId="7" fillId="2" borderId="1" xfId="1" applyNumberFormat="1" applyFont="1" applyFill="1" applyBorder="1" applyAlignment="1">
      <alignment horizontal="right" vertical="center"/>
    </xf>
    <xf numFmtId="166" fontId="6" fillId="0" borderId="1" xfId="1" applyNumberFormat="1" applyFont="1" applyBorder="1" applyAlignment="1">
      <alignment horizontal="right"/>
    </xf>
    <xf numFmtId="3" fontId="2" fillId="0" borderId="1" xfId="0" applyNumberFormat="1" applyFont="1" applyBorder="1" applyAlignment="1">
      <alignment horizontal="right"/>
    </xf>
    <xf numFmtId="0" fontId="4" fillId="0" borderId="0" xfId="0" applyFont="1" applyAlignment="1"/>
    <xf numFmtId="0" fontId="2" fillId="0" borderId="0" xfId="0" applyFont="1" applyAlignment="1"/>
    <xf numFmtId="0" fontId="3" fillId="0" borderId="0" xfId="0" applyFont="1" applyAlignment="1"/>
    <xf numFmtId="0" fontId="44" fillId="2" borderId="1" xfId="0" applyFont="1" applyFill="1" applyBorder="1" applyAlignment="1">
      <alignment horizontal="center" vertical="center"/>
    </xf>
    <xf numFmtId="0" fontId="5" fillId="0" borderId="0" xfId="0" applyFont="1" applyAlignment="1">
      <alignment horizontal="center" vertical="center" wrapText="1"/>
    </xf>
    <xf numFmtId="0" fontId="2" fillId="0" borderId="1" xfId="0" applyFont="1" applyBorder="1" applyAlignment="1">
      <alignment horizontal="center" vertical="center"/>
    </xf>
    <xf numFmtId="0" fontId="45" fillId="0" borderId="0" xfId="0" applyFont="1"/>
    <xf numFmtId="0" fontId="45" fillId="0" borderId="0" xfId="0" applyFont="1" applyFill="1" applyAlignment="1">
      <alignment horizontal="left"/>
    </xf>
    <xf numFmtId="166" fontId="5" fillId="0" borderId="0" xfId="1" applyNumberFormat="1" applyFont="1" applyAlignment="1">
      <alignment horizontal="right"/>
    </xf>
    <xf numFmtId="0" fontId="12" fillId="0" borderId="1" xfId="0" applyFont="1" applyBorder="1" applyAlignment="1">
      <alignment horizontal="center"/>
    </xf>
    <xf numFmtId="166" fontId="12" fillId="0" borderId="5" xfId="1" applyNumberFormat="1" applyFont="1" applyBorder="1"/>
    <xf numFmtId="166" fontId="12" fillId="0" borderId="1" xfId="1" applyNumberFormat="1" applyFont="1" applyBorder="1" applyAlignment="1">
      <alignment horizontal="right"/>
    </xf>
    <xf numFmtId="0" fontId="3" fillId="0" borderId="1" xfId="0" applyFont="1" applyFill="1" applyBorder="1" applyAlignment="1"/>
    <xf numFmtId="0" fontId="12" fillId="0" borderId="1" xfId="0" applyFont="1" applyFill="1" applyBorder="1" applyAlignment="1"/>
    <xf numFmtId="166" fontId="12" fillId="0" borderId="1" xfId="1" applyNumberFormat="1" applyFont="1" applyFill="1" applyBorder="1" applyAlignment="1">
      <alignment horizontal="left"/>
    </xf>
    <xf numFmtId="166" fontId="12" fillId="0" borderId="1" xfId="1" applyNumberFormat="1" applyFont="1" applyBorder="1"/>
    <xf numFmtId="3" fontId="2" fillId="0" borderId="1" xfId="0" applyNumberFormat="1" applyFont="1" applyBorder="1" applyAlignment="1"/>
    <xf numFmtId="0" fontId="5" fillId="0" borderId="0" xfId="0" applyFont="1" applyAlignment="1">
      <alignment horizontal="center" vertical="center" wrapText="1"/>
    </xf>
    <xf numFmtId="0" fontId="2" fillId="0" borderId="0" xfId="0" applyFont="1" applyAlignment="1">
      <alignment horizontal="center"/>
    </xf>
    <xf numFmtId="0" fontId="12" fillId="0" borderId="0" xfId="0" applyFont="1" applyAlignment="1">
      <alignment horizontal="center"/>
    </xf>
    <xf numFmtId="0" fontId="3" fillId="0" borderId="0" xfId="0" applyFont="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xf>
    <xf numFmtId="0" fontId="5" fillId="0" borderId="0" xfId="0" applyFont="1" applyAlignment="1">
      <alignment horizontal="left"/>
    </xf>
    <xf numFmtId="0" fontId="12" fillId="0" borderId="1" xfId="2" quotePrefix="1" applyFont="1" applyBorder="1" applyAlignment="1">
      <alignment vertical="center" wrapText="1"/>
    </xf>
    <xf numFmtId="0" fontId="46" fillId="0" borderId="1" xfId="0" applyFont="1" applyBorder="1" applyAlignment="1">
      <alignment vertical="center" wrapText="1"/>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xf numFmtId="0" fontId="3" fillId="0" borderId="3" xfId="0" applyFont="1" applyBorder="1" applyAlignment="1"/>
    <xf numFmtId="0" fontId="3" fillId="0" borderId="4" xfId="0" applyFont="1" applyBorder="1" applyAlignment="1"/>
    <xf numFmtId="0" fontId="12" fillId="0" borderId="2" xfId="0" applyFont="1" applyBorder="1" applyAlignment="1"/>
    <xf numFmtId="0" fontId="12" fillId="0" borderId="3" xfId="0" applyFont="1" applyBorder="1" applyAlignment="1"/>
    <xf numFmtId="0" fontId="12" fillId="0" borderId="4" xfId="0" applyFont="1" applyBorder="1" applyAlignment="1"/>
    <xf numFmtId="0" fontId="19" fillId="2" borderId="1" xfId="2" quotePrefix="1" applyFont="1" applyFill="1" applyBorder="1" applyAlignment="1">
      <alignment vertical="center" wrapText="1"/>
    </xf>
    <xf numFmtId="0" fontId="0" fillId="2" borderId="1" xfId="0" applyFill="1" applyBorder="1" applyAlignment="1">
      <alignment vertical="center" wrapText="1"/>
    </xf>
    <xf numFmtId="0" fontId="21" fillId="0" borderId="1" xfId="0" quotePrefix="1" applyFont="1" applyBorder="1" applyAlignment="1">
      <alignment vertical="center" wrapText="1"/>
    </xf>
    <xf numFmtId="0" fontId="21" fillId="0" borderId="1" xfId="0" applyFont="1" applyBorder="1" applyAlignment="1">
      <alignment vertical="center" wrapText="1"/>
    </xf>
    <xf numFmtId="0" fontId="21" fillId="0" borderId="1" xfId="0" quotePrefix="1" applyFont="1" applyFill="1" applyBorder="1" applyAlignment="1">
      <alignment vertical="center" wrapText="1"/>
    </xf>
    <xf numFmtId="0" fontId="23" fillId="0" borderId="1" xfId="0" quotePrefix="1" applyFont="1" applyBorder="1" applyAlignment="1">
      <alignment vertical="center" wrapText="1"/>
    </xf>
    <xf numFmtId="0" fontId="13" fillId="0" borderId="1" xfId="0" quotePrefix="1" applyFont="1" applyBorder="1" applyAlignment="1">
      <alignment vertical="center" wrapText="1"/>
    </xf>
    <xf numFmtId="0" fontId="13" fillId="0" borderId="1" xfId="0" applyFont="1" applyBorder="1" applyAlignment="1">
      <alignment vertical="center" wrapText="1"/>
    </xf>
    <xf numFmtId="0" fontId="13" fillId="0" borderId="1" xfId="0" quotePrefix="1" applyFont="1" applyFill="1" applyBorder="1" applyAlignment="1">
      <alignment vertical="center" wrapText="1"/>
    </xf>
    <xf numFmtId="0" fontId="21" fillId="0" borderId="1" xfId="0" quotePrefix="1" applyFont="1" applyBorder="1" applyAlignment="1">
      <alignment wrapText="1"/>
    </xf>
    <xf numFmtId="0" fontId="6" fillId="2" borderId="1" xfId="0" applyFont="1" applyFill="1" applyBorder="1" applyAlignment="1">
      <alignment vertical="center" wrapText="1"/>
    </xf>
    <xf numFmtId="0" fontId="2" fillId="0" borderId="1" xfId="0" applyFont="1" applyBorder="1" applyAlignment="1">
      <alignment horizontal="center" vertical="center"/>
    </xf>
    <xf numFmtId="0" fontId="6" fillId="2" borderId="2" xfId="0" applyFont="1" applyFill="1" applyBorder="1" applyAlignment="1"/>
    <xf numFmtId="0" fontId="6" fillId="2" borderId="3" xfId="0" applyFont="1" applyFill="1" applyBorder="1" applyAlignment="1"/>
    <xf numFmtId="0" fontId="6" fillId="2" borderId="4" xfId="0" applyFont="1" applyFill="1" applyBorder="1" applyAlignment="1"/>
    <xf numFmtId="0" fontId="5" fillId="0" borderId="2" xfId="0" applyFont="1" applyBorder="1" applyAlignment="1"/>
    <xf numFmtId="0" fontId="5" fillId="0" borderId="3" xfId="0" applyFont="1" applyBorder="1" applyAlignment="1"/>
    <xf numFmtId="0" fontId="5" fillId="0" borderId="4" xfId="0" applyFont="1" applyBorder="1" applyAlignment="1"/>
    <xf numFmtId="0" fontId="3" fillId="0" borderId="2" xfId="0" quotePrefix="1" applyFont="1" applyBorder="1" applyAlignment="1"/>
    <xf numFmtId="0" fontId="3" fillId="0" borderId="3" xfId="0" quotePrefix="1" applyFont="1" applyBorder="1" applyAlignment="1"/>
    <xf numFmtId="0" fontId="3" fillId="0" borderId="4" xfId="0" quotePrefix="1" applyFont="1" applyBorder="1" applyAlignment="1"/>
    <xf numFmtId="0" fontId="3" fillId="0" borderId="2" xfId="2" applyFont="1" applyBorder="1" applyAlignment="1"/>
    <xf numFmtId="0" fontId="3" fillId="0" borderId="3" xfId="2" applyFont="1" applyBorder="1" applyAlignment="1"/>
    <xf numFmtId="0" fontId="3" fillId="0" borderId="4" xfId="2" applyFont="1" applyBorder="1" applyAlignment="1"/>
    <xf numFmtId="0" fontId="3" fillId="0" borderId="2" xfId="2" quotePrefix="1" applyFont="1" applyBorder="1" applyAlignment="1"/>
    <xf numFmtId="0" fontId="3" fillId="0" borderId="3" xfId="2" quotePrefix="1" applyFont="1" applyBorder="1" applyAlignment="1"/>
    <xf numFmtId="0" fontId="3" fillId="0" borderId="4" xfId="2" quotePrefix="1" applyFont="1" applyBorder="1" applyAlignment="1"/>
    <xf numFmtId="0" fontId="4" fillId="0" borderId="0" xfId="0" applyFont="1" applyAlignment="1">
      <alignment horizontal="center"/>
    </xf>
    <xf numFmtId="0" fontId="3" fillId="0" borderId="2" xfId="0" quotePrefix="1" applyFont="1" applyFill="1" applyBorder="1" applyAlignment="1"/>
    <xf numFmtId="0" fontId="3" fillId="0" borderId="3" xfId="0" quotePrefix="1" applyFont="1" applyFill="1" applyBorder="1" applyAlignment="1"/>
    <xf numFmtId="0" fontId="3" fillId="0" borderId="4" xfId="0" quotePrefix="1" applyFont="1" applyFill="1" applyBorder="1" applyAlignment="1"/>
    <xf numFmtId="0" fontId="3" fillId="0" borderId="2" xfId="0" applyFont="1" applyFill="1" applyBorder="1" applyAlignment="1"/>
    <xf numFmtId="0" fontId="3" fillId="0" borderId="3" xfId="0" applyFont="1" applyFill="1" applyBorder="1" applyAlignment="1"/>
    <xf numFmtId="0" fontId="3" fillId="0" borderId="4" xfId="0" applyFont="1" applyFill="1" applyBorder="1" applyAlignment="1"/>
    <xf numFmtId="0" fontId="21" fillId="0" borderId="2" xfId="0" quotePrefix="1" applyFont="1" applyFill="1" applyBorder="1" applyAlignment="1"/>
    <xf numFmtId="0" fontId="21" fillId="0" borderId="3" xfId="0" quotePrefix="1" applyFont="1" applyFill="1" applyBorder="1" applyAlignment="1"/>
    <xf numFmtId="0" fontId="21" fillId="0" borderId="4" xfId="0" quotePrefix="1" applyFont="1" applyFill="1" applyBorder="1" applyAlignment="1"/>
    <xf numFmtId="0" fontId="20" fillId="0" borderId="2" xfId="0" quotePrefix="1" applyFont="1" applyFill="1" applyBorder="1" applyAlignment="1"/>
    <xf numFmtId="0" fontId="20" fillId="0" borderId="3" xfId="0" quotePrefix="1" applyFont="1" applyFill="1" applyBorder="1" applyAlignment="1"/>
    <xf numFmtId="0" fontId="20" fillId="0" borderId="4" xfId="0" quotePrefix="1" applyFont="1" applyFill="1" applyBorder="1" applyAlignment="1"/>
    <xf numFmtId="0" fontId="21" fillId="2" borderId="2" xfId="0" quotePrefix="1" applyFont="1" applyFill="1" applyBorder="1" applyAlignment="1"/>
    <xf numFmtId="0" fontId="21" fillId="2" borderId="3" xfId="0" quotePrefix="1" applyFont="1" applyFill="1" applyBorder="1" applyAlignment="1"/>
    <xf numFmtId="0" fontId="21" fillId="2" borderId="4" xfId="0" quotePrefix="1" applyFont="1" applyFill="1" applyBorder="1" applyAlignment="1"/>
    <xf numFmtId="0" fontId="12" fillId="0" borderId="2" xfId="0" quotePrefix="1" applyFont="1" applyFill="1" applyBorder="1" applyAlignment="1"/>
    <xf numFmtId="0" fontId="12" fillId="0" borderId="3" xfId="0" quotePrefix="1" applyFont="1" applyFill="1" applyBorder="1" applyAlignment="1"/>
    <xf numFmtId="0" fontId="12" fillId="0" borderId="4" xfId="0" quotePrefix="1" applyFont="1" applyFill="1" applyBorder="1" applyAlignment="1"/>
    <xf numFmtId="0" fontId="13" fillId="0" borderId="2" xfId="0" quotePrefix="1" applyFont="1" applyFill="1" applyBorder="1" applyAlignment="1"/>
    <xf numFmtId="0" fontId="13" fillId="0" borderId="3" xfId="0" quotePrefix="1" applyFont="1" applyFill="1" applyBorder="1" applyAlignment="1"/>
    <xf numFmtId="0" fontId="13" fillId="0" borderId="4" xfId="0" quotePrefix="1" applyFont="1" applyFill="1" applyBorder="1" applyAlignment="1"/>
    <xf numFmtId="0" fontId="20" fillId="0" borderId="2" xfId="0" quotePrefix="1" applyFont="1" applyFill="1" applyBorder="1" applyAlignment="1">
      <alignment horizontal="left"/>
    </xf>
    <xf numFmtId="0" fontId="20" fillId="0" borderId="3" xfId="0" quotePrefix="1" applyFont="1" applyFill="1" applyBorder="1" applyAlignment="1">
      <alignment horizontal="left"/>
    </xf>
    <xf numFmtId="0" fontId="20" fillId="0" borderId="4" xfId="0" quotePrefix="1" applyFont="1" applyFill="1" applyBorder="1" applyAlignment="1">
      <alignment horizontal="left"/>
    </xf>
    <xf numFmtId="0" fontId="8" fillId="2" borderId="2" xfId="0" applyFont="1" applyFill="1" applyBorder="1" applyAlignment="1"/>
    <xf numFmtId="0" fontId="8" fillId="2" borderId="3" xfId="0" applyFont="1" applyFill="1" applyBorder="1" applyAlignment="1"/>
    <xf numFmtId="0" fontId="8" fillId="2" borderId="4" xfId="0" applyFont="1" applyFill="1" applyBorder="1" applyAlignment="1"/>
    <xf numFmtId="0" fontId="9" fillId="0" borderId="2" xfId="0" quotePrefix="1" applyFont="1" applyBorder="1" applyAlignment="1"/>
    <xf numFmtId="0" fontId="9" fillId="0" borderId="3" xfId="0" quotePrefix="1" applyFont="1" applyBorder="1" applyAlignment="1"/>
    <xf numFmtId="0" fontId="9" fillId="0" borderId="4" xfId="0" quotePrefix="1" applyFont="1" applyBorder="1" applyAlignment="1"/>
    <xf numFmtId="0" fontId="10" fillId="0" borderId="2" xfId="0" quotePrefix="1" applyFont="1" applyBorder="1" applyAlignment="1"/>
    <xf numFmtId="0" fontId="10" fillId="0" borderId="3" xfId="0" quotePrefix="1" applyFont="1" applyBorder="1" applyAlignment="1"/>
    <xf numFmtId="0" fontId="10" fillId="0" borderId="4" xfId="0" quotePrefix="1" applyFont="1" applyBorder="1" applyAlignment="1"/>
    <xf numFmtId="0" fontId="21" fillId="0" borderId="2" xfId="0" quotePrefix="1" applyFont="1" applyBorder="1" applyAlignment="1"/>
    <xf numFmtId="0" fontId="21" fillId="0" borderId="3" xfId="0" quotePrefix="1" applyFont="1" applyBorder="1" applyAlignment="1"/>
    <xf numFmtId="0" fontId="21" fillId="0" borderId="4" xfId="0" quotePrefix="1" applyFont="1" applyBorder="1" applyAlignment="1"/>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cellXfs>
  <cellStyles count="4">
    <cellStyle name="Comma" xfId="1" builtinId="3"/>
    <cellStyle name="Comma 2" xfId="3"/>
    <cellStyle name="Normal" xfId="0" builtinId="0"/>
    <cellStyle name="Normal 2" xfId="2"/>
  </cellStyles>
  <dxfs count="0"/>
  <tableStyles count="0" defaultTableStyle="TableStyleMedium2" defaultPivotStyle="PivotStyleLight16"/>
  <colors>
    <mruColors>
      <color rgb="FF005E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104775</xdr:colOff>
      <xdr:row>2</xdr:row>
      <xdr:rowOff>19050</xdr:rowOff>
    </xdr:from>
    <xdr:to>
      <xdr:col>3</xdr:col>
      <xdr:colOff>447675</xdr:colOff>
      <xdr:row>2</xdr:row>
      <xdr:rowOff>19050</xdr:rowOff>
    </xdr:to>
    <xdr:sp macro="" textlink="">
      <xdr:nvSpPr>
        <xdr:cNvPr id="2" name="Line 9"/>
        <xdr:cNvSpPr>
          <a:spLocks noChangeShapeType="1"/>
        </xdr:cNvSpPr>
      </xdr:nvSpPr>
      <xdr:spPr bwMode="auto">
        <a:xfrm>
          <a:off x="1038225" y="495300"/>
          <a:ext cx="952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552450</xdr:colOff>
      <xdr:row>2</xdr:row>
      <xdr:rowOff>28574</xdr:rowOff>
    </xdr:from>
    <xdr:to>
      <xdr:col>8</xdr:col>
      <xdr:colOff>142875</xdr:colOff>
      <xdr:row>2</xdr:row>
      <xdr:rowOff>28575</xdr:rowOff>
    </xdr:to>
    <xdr:sp macro="" textlink="">
      <xdr:nvSpPr>
        <xdr:cNvPr id="4" name="Line 5"/>
        <xdr:cNvSpPr>
          <a:spLocks noChangeShapeType="1"/>
        </xdr:cNvSpPr>
      </xdr:nvSpPr>
      <xdr:spPr bwMode="auto">
        <a:xfrm flipV="1">
          <a:off x="4324350" y="504824"/>
          <a:ext cx="1962150"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247650</xdr:colOff>
      <xdr:row>7</xdr:row>
      <xdr:rowOff>28575</xdr:rowOff>
    </xdr:from>
    <xdr:to>
      <xdr:col>7</xdr:col>
      <xdr:colOff>523875</xdr:colOff>
      <xdr:row>7</xdr:row>
      <xdr:rowOff>28575</xdr:rowOff>
    </xdr:to>
    <xdr:sp macro="" textlink="">
      <xdr:nvSpPr>
        <xdr:cNvPr id="6" name="Line 9"/>
        <xdr:cNvSpPr>
          <a:spLocks noChangeShapeType="1"/>
        </xdr:cNvSpPr>
      </xdr:nvSpPr>
      <xdr:spPr bwMode="auto">
        <a:xfrm>
          <a:off x="3400425" y="1657350"/>
          <a:ext cx="1428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276225</xdr:colOff>
      <xdr:row>2</xdr:row>
      <xdr:rowOff>12698</xdr:rowOff>
    </xdr:from>
    <xdr:to>
      <xdr:col>2</xdr:col>
      <xdr:colOff>415924</xdr:colOff>
      <xdr:row>2</xdr:row>
      <xdr:rowOff>12699</xdr:rowOff>
    </xdr:to>
    <xdr:sp macro="" textlink="">
      <xdr:nvSpPr>
        <xdr:cNvPr id="2" name="Line 9"/>
        <xdr:cNvSpPr>
          <a:spLocks noChangeShapeType="1"/>
        </xdr:cNvSpPr>
      </xdr:nvSpPr>
      <xdr:spPr bwMode="auto">
        <a:xfrm flipV="1">
          <a:off x="885825" y="488948"/>
          <a:ext cx="835024"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447674</xdr:colOff>
      <xdr:row>7</xdr:row>
      <xdr:rowOff>47625</xdr:rowOff>
    </xdr:from>
    <xdr:to>
      <xdr:col>7</xdr:col>
      <xdr:colOff>47624</xdr:colOff>
      <xdr:row>7</xdr:row>
      <xdr:rowOff>47625</xdr:rowOff>
    </xdr:to>
    <xdr:sp macro="" textlink="">
      <xdr:nvSpPr>
        <xdr:cNvPr id="3" name="Line 10"/>
        <xdr:cNvSpPr>
          <a:spLocks noChangeShapeType="1"/>
        </xdr:cNvSpPr>
      </xdr:nvSpPr>
      <xdr:spPr bwMode="auto">
        <a:xfrm flipV="1">
          <a:off x="3143249" y="2009775"/>
          <a:ext cx="1447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180975</xdr:colOff>
      <xdr:row>2</xdr:row>
      <xdr:rowOff>9525</xdr:rowOff>
    </xdr:from>
    <xdr:to>
      <xdr:col>8</xdr:col>
      <xdr:colOff>190500</xdr:colOff>
      <xdr:row>2</xdr:row>
      <xdr:rowOff>9525</xdr:rowOff>
    </xdr:to>
    <xdr:sp macro="" textlink="">
      <xdr:nvSpPr>
        <xdr:cNvPr id="4" name="Line 36"/>
        <xdr:cNvSpPr>
          <a:spLocks noChangeShapeType="1"/>
        </xdr:cNvSpPr>
      </xdr:nvSpPr>
      <xdr:spPr bwMode="auto">
        <a:xfrm>
          <a:off x="4219575" y="485775"/>
          <a:ext cx="2105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25"/>
  <sheetViews>
    <sheetView tabSelected="1" workbookViewId="0">
      <selection activeCell="A7" sqref="A7:I7"/>
    </sheetView>
  </sheetViews>
  <sheetFormatPr defaultRowHeight="18.75" x14ac:dyDescent="0.3"/>
  <cols>
    <col min="1" max="1" width="4.85546875" style="1" customWidth="1"/>
    <col min="2" max="6" width="9.140625" style="1"/>
    <col min="7" max="7" width="6" style="1" customWidth="1"/>
    <col min="8" max="8" width="35.5703125" style="1" customWidth="1"/>
    <col min="9" max="9" width="25.140625" style="4" customWidth="1"/>
    <col min="10" max="10" width="18.5703125" style="1" customWidth="1"/>
    <col min="11" max="11" width="17.85546875" style="1" customWidth="1"/>
    <col min="12" max="261" width="9.140625" style="1"/>
    <col min="262" max="262" width="6" style="1" customWidth="1"/>
    <col min="263" max="263" width="23.85546875" style="1" customWidth="1"/>
    <col min="264" max="264" width="18.140625" style="1" customWidth="1"/>
    <col min="265" max="265" width="3.140625" style="1" customWidth="1"/>
    <col min="266" max="266" width="18.5703125" style="1" customWidth="1"/>
    <col min="267" max="267" width="17.85546875" style="1" customWidth="1"/>
    <col min="268" max="517" width="9.140625" style="1"/>
    <col min="518" max="518" width="6" style="1" customWidth="1"/>
    <col min="519" max="519" width="23.85546875" style="1" customWidth="1"/>
    <col min="520" max="520" width="18.140625" style="1" customWidth="1"/>
    <col min="521" max="521" width="3.140625" style="1" customWidth="1"/>
    <col min="522" max="522" width="18.5703125" style="1" customWidth="1"/>
    <col min="523" max="523" width="17.85546875" style="1" customWidth="1"/>
    <col min="524" max="773" width="9.140625" style="1"/>
    <col min="774" max="774" width="6" style="1" customWidth="1"/>
    <col min="775" max="775" width="23.85546875" style="1" customWidth="1"/>
    <col min="776" max="776" width="18.140625" style="1" customWidth="1"/>
    <col min="777" max="777" width="3.140625" style="1" customWidth="1"/>
    <col min="778" max="778" width="18.5703125" style="1" customWidth="1"/>
    <col min="779" max="779" width="17.85546875" style="1" customWidth="1"/>
    <col min="780" max="1029" width="9.140625" style="1"/>
    <col min="1030" max="1030" width="6" style="1" customWidth="1"/>
    <col min="1031" max="1031" width="23.85546875" style="1" customWidth="1"/>
    <col min="1032" max="1032" width="18.140625" style="1" customWidth="1"/>
    <col min="1033" max="1033" width="3.140625" style="1" customWidth="1"/>
    <col min="1034" max="1034" width="18.5703125" style="1" customWidth="1"/>
    <col min="1035" max="1035" width="17.85546875" style="1" customWidth="1"/>
    <col min="1036" max="1285" width="9.140625" style="1"/>
    <col min="1286" max="1286" width="6" style="1" customWidth="1"/>
    <col min="1287" max="1287" width="23.85546875" style="1" customWidth="1"/>
    <col min="1288" max="1288" width="18.140625" style="1" customWidth="1"/>
    <col min="1289" max="1289" width="3.140625" style="1" customWidth="1"/>
    <col min="1290" max="1290" width="18.5703125" style="1" customWidth="1"/>
    <col min="1291" max="1291" width="17.85546875" style="1" customWidth="1"/>
    <col min="1292" max="1541" width="9.140625" style="1"/>
    <col min="1542" max="1542" width="6" style="1" customWidth="1"/>
    <col min="1543" max="1543" width="23.85546875" style="1" customWidth="1"/>
    <col min="1544" max="1544" width="18.140625" style="1" customWidth="1"/>
    <col min="1545" max="1545" width="3.140625" style="1" customWidth="1"/>
    <col min="1546" max="1546" width="18.5703125" style="1" customWidth="1"/>
    <col min="1547" max="1547" width="17.85546875" style="1" customWidth="1"/>
    <col min="1548" max="1797" width="9.140625" style="1"/>
    <col min="1798" max="1798" width="6" style="1" customWidth="1"/>
    <col min="1799" max="1799" width="23.85546875" style="1" customWidth="1"/>
    <col min="1800" max="1800" width="18.140625" style="1" customWidth="1"/>
    <col min="1801" max="1801" width="3.140625" style="1" customWidth="1"/>
    <col min="1802" max="1802" width="18.5703125" style="1" customWidth="1"/>
    <col min="1803" max="1803" width="17.85546875" style="1" customWidth="1"/>
    <col min="1804" max="2053" width="9.140625" style="1"/>
    <col min="2054" max="2054" width="6" style="1" customWidth="1"/>
    <col min="2055" max="2055" width="23.85546875" style="1" customWidth="1"/>
    <col min="2056" max="2056" width="18.140625" style="1" customWidth="1"/>
    <col min="2057" max="2057" width="3.140625" style="1" customWidth="1"/>
    <col min="2058" max="2058" width="18.5703125" style="1" customWidth="1"/>
    <col min="2059" max="2059" width="17.85546875" style="1" customWidth="1"/>
    <col min="2060" max="2309" width="9.140625" style="1"/>
    <col min="2310" max="2310" width="6" style="1" customWidth="1"/>
    <col min="2311" max="2311" width="23.85546875" style="1" customWidth="1"/>
    <col min="2312" max="2312" width="18.140625" style="1" customWidth="1"/>
    <col min="2313" max="2313" width="3.140625" style="1" customWidth="1"/>
    <col min="2314" max="2314" width="18.5703125" style="1" customWidth="1"/>
    <col min="2315" max="2315" width="17.85546875" style="1" customWidth="1"/>
    <col min="2316" max="2565" width="9.140625" style="1"/>
    <col min="2566" max="2566" width="6" style="1" customWidth="1"/>
    <col min="2567" max="2567" width="23.85546875" style="1" customWidth="1"/>
    <col min="2568" max="2568" width="18.140625" style="1" customWidth="1"/>
    <col min="2569" max="2569" width="3.140625" style="1" customWidth="1"/>
    <col min="2570" max="2570" width="18.5703125" style="1" customWidth="1"/>
    <col min="2571" max="2571" width="17.85546875" style="1" customWidth="1"/>
    <col min="2572" max="2821" width="9.140625" style="1"/>
    <col min="2822" max="2822" width="6" style="1" customWidth="1"/>
    <col min="2823" max="2823" width="23.85546875" style="1" customWidth="1"/>
    <col min="2824" max="2824" width="18.140625" style="1" customWidth="1"/>
    <col min="2825" max="2825" width="3.140625" style="1" customWidth="1"/>
    <col min="2826" max="2826" width="18.5703125" style="1" customWidth="1"/>
    <col min="2827" max="2827" width="17.85546875" style="1" customWidth="1"/>
    <col min="2828" max="3077" width="9.140625" style="1"/>
    <col min="3078" max="3078" width="6" style="1" customWidth="1"/>
    <col min="3079" max="3079" width="23.85546875" style="1" customWidth="1"/>
    <col min="3080" max="3080" width="18.140625" style="1" customWidth="1"/>
    <col min="3081" max="3081" width="3.140625" style="1" customWidth="1"/>
    <col min="3082" max="3082" width="18.5703125" style="1" customWidth="1"/>
    <col min="3083" max="3083" width="17.85546875" style="1" customWidth="1"/>
    <col min="3084" max="3333" width="9.140625" style="1"/>
    <col min="3334" max="3334" width="6" style="1" customWidth="1"/>
    <col min="3335" max="3335" width="23.85546875" style="1" customWidth="1"/>
    <col min="3336" max="3336" width="18.140625" style="1" customWidth="1"/>
    <col min="3337" max="3337" width="3.140625" style="1" customWidth="1"/>
    <col min="3338" max="3338" width="18.5703125" style="1" customWidth="1"/>
    <col min="3339" max="3339" width="17.85546875" style="1" customWidth="1"/>
    <col min="3340" max="3589" width="9.140625" style="1"/>
    <col min="3590" max="3590" width="6" style="1" customWidth="1"/>
    <col min="3591" max="3591" width="23.85546875" style="1" customWidth="1"/>
    <col min="3592" max="3592" width="18.140625" style="1" customWidth="1"/>
    <col min="3593" max="3593" width="3.140625" style="1" customWidth="1"/>
    <col min="3594" max="3594" width="18.5703125" style="1" customWidth="1"/>
    <col min="3595" max="3595" width="17.85546875" style="1" customWidth="1"/>
    <col min="3596" max="3845" width="9.140625" style="1"/>
    <col min="3846" max="3846" width="6" style="1" customWidth="1"/>
    <col min="3847" max="3847" width="23.85546875" style="1" customWidth="1"/>
    <col min="3848" max="3848" width="18.140625" style="1" customWidth="1"/>
    <col min="3849" max="3849" width="3.140625" style="1" customWidth="1"/>
    <col min="3850" max="3850" width="18.5703125" style="1" customWidth="1"/>
    <col min="3851" max="3851" width="17.85546875" style="1" customWidth="1"/>
    <col min="3852" max="4101" width="9.140625" style="1"/>
    <col min="4102" max="4102" width="6" style="1" customWidth="1"/>
    <col min="4103" max="4103" width="23.85546875" style="1" customWidth="1"/>
    <col min="4104" max="4104" width="18.140625" style="1" customWidth="1"/>
    <col min="4105" max="4105" width="3.140625" style="1" customWidth="1"/>
    <col min="4106" max="4106" width="18.5703125" style="1" customWidth="1"/>
    <col min="4107" max="4107" width="17.85546875" style="1" customWidth="1"/>
    <col min="4108" max="4357" width="9.140625" style="1"/>
    <col min="4358" max="4358" width="6" style="1" customWidth="1"/>
    <col min="4359" max="4359" width="23.85546875" style="1" customWidth="1"/>
    <col min="4360" max="4360" width="18.140625" style="1" customWidth="1"/>
    <col min="4361" max="4361" width="3.140625" style="1" customWidth="1"/>
    <col min="4362" max="4362" width="18.5703125" style="1" customWidth="1"/>
    <col min="4363" max="4363" width="17.85546875" style="1" customWidth="1"/>
    <col min="4364" max="4613" width="9.140625" style="1"/>
    <col min="4614" max="4614" width="6" style="1" customWidth="1"/>
    <col min="4615" max="4615" width="23.85546875" style="1" customWidth="1"/>
    <col min="4616" max="4616" width="18.140625" style="1" customWidth="1"/>
    <col min="4617" max="4617" width="3.140625" style="1" customWidth="1"/>
    <col min="4618" max="4618" width="18.5703125" style="1" customWidth="1"/>
    <col min="4619" max="4619" width="17.85546875" style="1" customWidth="1"/>
    <col min="4620" max="4869" width="9.140625" style="1"/>
    <col min="4870" max="4870" width="6" style="1" customWidth="1"/>
    <col min="4871" max="4871" width="23.85546875" style="1" customWidth="1"/>
    <col min="4872" max="4872" width="18.140625" style="1" customWidth="1"/>
    <col min="4873" max="4873" width="3.140625" style="1" customWidth="1"/>
    <col min="4874" max="4874" width="18.5703125" style="1" customWidth="1"/>
    <col min="4875" max="4875" width="17.85546875" style="1" customWidth="1"/>
    <col min="4876" max="5125" width="9.140625" style="1"/>
    <col min="5126" max="5126" width="6" style="1" customWidth="1"/>
    <col min="5127" max="5127" width="23.85546875" style="1" customWidth="1"/>
    <col min="5128" max="5128" width="18.140625" style="1" customWidth="1"/>
    <col min="5129" max="5129" width="3.140625" style="1" customWidth="1"/>
    <col min="5130" max="5130" width="18.5703125" style="1" customWidth="1"/>
    <col min="5131" max="5131" width="17.85546875" style="1" customWidth="1"/>
    <col min="5132" max="5381" width="9.140625" style="1"/>
    <col min="5382" max="5382" width="6" style="1" customWidth="1"/>
    <col min="5383" max="5383" width="23.85546875" style="1" customWidth="1"/>
    <col min="5384" max="5384" width="18.140625" style="1" customWidth="1"/>
    <col min="5385" max="5385" width="3.140625" style="1" customWidth="1"/>
    <col min="5386" max="5386" width="18.5703125" style="1" customWidth="1"/>
    <col min="5387" max="5387" width="17.85546875" style="1" customWidth="1"/>
    <col min="5388" max="5637" width="9.140625" style="1"/>
    <col min="5638" max="5638" width="6" style="1" customWidth="1"/>
    <col min="5639" max="5639" width="23.85546875" style="1" customWidth="1"/>
    <col min="5640" max="5640" width="18.140625" style="1" customWidth="1"/>
    <col min="5641" max="5641" width="3.140625" style="1" customWidth="1"/>
    <col min="5642" max="5642" width="18.5703125" style="1" customWidth="1"/>
    <col min="5643" max="5643" width="17.85546875" style="1" customWidth="1"/>
    <col min="5644" max="5893" width="9.140625" style="1"/>
    <col min="5894" max="5894" width="6" style="1" customWidth="1"/>
    <col min="5895" max="5895" width="23.85546875" style="1" customWidth="1"/>
    <col min="5896" max="5896" width="18.140625" style="1" customWidth="1"/>
    <col min="5897" max="5897" width="3.140625" style="1" customWidth="1"/>
    <col min="5898" max="5898" width="18.5703125" style="1" customWidth="1"/>
    <col min="5899" max="5899" width="17.85546875" style="1" customWidth="1"/>
    <col min="5900" max="6149" width="9.140625" style="1"/>
    <col min="6150" max="6150" width="6" style="1" customWidth="1"/>
    <col min="6151" max="6151" width="23.85546875" style="1" customWidth="1"/>
    <col min="6152" max="6152" width="18.140625" style="1" customWidth="1"/>
    <col min="6153" max="6153" width="3.140625" style="1" customWidth="1"/>
    <col min="6154" max="6154" width="18.5703125" style="1" customWidth="1"/>
    <col min="6155" max="6155" width="17.85546875" style="1" customWidth="1"/>
    <col min="6156" max="6405" width="9.140625" style="1"/>
    <col min="6406" max="6406" width="6" style="1" customWidth="1"/>
    <col min="6407" max="6407" width="23.85546875" style="1" customWidth="1"/>
    <col min="6408" max="6408" width="18.140625" style="1" customWidth="1"/>
    <col min="6409" max="6409" width="3.140625" style="1" customWidth="1"/>
    <col min="6410" max="6410" width="18.5703125" style="1" customWidth="1"/>
    <col min="6411" max="6411" width="17.85546875" style="1" customWidth="1"/>
    <col min="6412" max="6661" width="9.140625" style="1"/>
    <col min="6662" max="6662" width="6" style="1" customWidth="1"/>
    <col min="6663" max="6663" width="23.85546875" style="1" customWidth="1"/>
    <col min="6664" max="6664" width="18.140625" style="1" customWidth="1"/>
    <col min="6665" max="6665" width="3.140625" style="1" customWidth="1"/>
    <col min="6666" max="6666" width="18.5703125" style="1" customWidth="1"/>
    <col min="6667" max="6667" width="17.85546875" style="1" customWidth="1"/>
    <col min="6668" max="6917" width="9.140625" style="1"/>
    <col min="6918" max="6918" width="6" style="1" customWidth="1"/>
    <col min="6919" max="6919" width="23.85546875" style="1" customWidth="1"/>
    <col min="6920" max="6920" width="18.140625" style="1" customWidth="1"/>
    <col min="6921" max="6921" width="3.140625" style="1" customWidth="1"/>
    <col min="6922" max="6922" width="18.5703125" style="1" customWidth="1"/>
    <col min="6923" max="6923" width="17.85546875" style="1" customWidth="1"/>
    <col min="6924" max="7173" width="9.140625" style="1"/>
    <col min="7174" max="7174" width="6" style="1" customWidth="1"/>
    <col min="7175" max="7175" width="23.85546875" style="1" customWidth="1"/>
    <col min="7176" max="7176" width="18.140625" style="1" customWidth="1"/>
    <col min="7177" max="7177" width="3.140625" style="1" customWidth="1"/>
    <col min="7178" max="7178" width="18.5703125" style="1" customWidth="1"/>
    <col min="7179" max="7179" width="17.85546875" style="1" customWidth="1"/>
    <col min="7180" max="7429" width="9.140625" style="1"/>
    <col min="7430" max="7430" width="6" style="1" customWidth="1"/>
    <col min="7431" max="7431" width="23.85546875" style="1" customWidth="1"/>
    <col min="7432" max="7432" width="18.140625" style="1" customWidth="1"/>
    <col min="7433" max="7433" width="3.140625" style="1" customWidth="1"/>
    <col min="7434" max="7434" width="18.5703125" style="1" customWidth="1"/>
    <col min="7435" max="7435" width="17.85546875" style="1" customWidth="1"/>
    <col min="7436" max="7685" width="9.140625" style="1"/>
    <col min="7686" max="7686" width="6" style="1" customWidth="1"/>
    <col min="7687" max="7687" width="23.85546875" style="1" customWidth="1"/>
    <col min="7688" max="7688" width="18.140625" style="1" customWidth="1"/>
    <col min="7689" max="7689" width="3.140625" style="1" customWidth="1"/>
    <col min="7690" max="7690" width="18.5703125" style="1" customWidth="1"/>
    <col min="7691" max="7691" width="17.85546875" style="1" customWidth="1"/>
    <col min="7692" max="7941" width="9.140625" style="1"/>
    <col min="7942" max="7942" width="6" style="1" customWidth="1"/>
    <col min="7943" max="7943" width="23.85546875" style="1" customWidth="1"/>
    <col min="7944" max="7944" width="18.140625" style="1" customWidth="1"/>
    <col min="7945" max="7945" width="3.140625" style="1" customWidth="1"/>
    <col min="7946" max="7946" width="18.5703125" style="1" customWidth="1"/>
    <col min="7947" max="7947" width="17.85546875" style="1" customWidth="1"/>
    <col min="7948" max="8197" width="9.140625" style="1"/>
    <col min="8198" max="8198" width="6" style="1" customWidth="1"/>
    <col min="8199" max="8199" width="23.85546875" style="1" customWidth="1"/>
    <col min="8200" max="8200" width="18.140625" style="1" customWidth="1"/>
    <col min="8201" max="8201" width="3.140625" style="1" customWidth="1"/>
    <col min="8202" max="8202" width="18.5703125" style="1" customWidth="1"/>
    <col min="8203" max="8203" width="17.85546875" style="1" customWidth="1"/>
    <col min="8204" max="8453" width="9.140625" style="1"/>
    <col min="8454" max="8454" width="6" style="1" customWidth="1"/>
    <col min="8455" max="8455" width="23.85546875" style="1" customWidth="1"/>
    <col min="8456" max="8456" width="18.140625" style="1" customWidth="1"/>
    <col min="8457" max="8457" width="3.140625" style="1" customWidth="1"/>
    <col min="8458" max="8458" width="18.5703125" style="1" customWidth="1"/>
    <col min="8459" max="8459" width="17.85546875" style="1" customWidth="1"/>
    <col min="8460" max="8709" width="9.140625" style="1"/>
    <col min="8710" max="8710" width="6" style="1" customWidth="1"/>
    <col min="8711" max="8711" width="23.85546875" style="1" customWidth="1"/>
    <col min="8712" max="8712" width="18.140625" style="1" customWidth="1"/>
    <col min="8713" max="8713" width="3.140625" style="1" customWidth="1"/>
    <col min="8714" max="8714" width="18.5703125" style="1" customWidth="1"/>
    <col min="8715" max="8715" width="17.85546875" style="1" customWidth="1"/>
    <col min="8716" max="8965" width="9.140625" style="1"/>
    <col min="8966" max="8966" width="6" style="1" customWidth="1"/>
    <col min="8967" max="8967" width="23.85546875" style="1" customWidth="1"/>
    <col min="8968" max="8968" width="18.140625" style="1" customWidth="1"/>
    <col min="8969" max="8969" width="3.140625" style="1" customWidth="1"/>
    <col min="8970" max="8970" width="18.5703125" style="1" customWidth="1"/>
    <col min="8971" max="8971" width="17.85546875" style="1" customWidth="1"/>
    <col min="8972" max="9221" width="9.140625" style="1"/>
    <col min="9222" max="9222" width="6" style="1" customWidth="1"/>
    <col min="9223" max="9223" width="23.85546875" style="1" customWidth="1"/>
    <col min="9224" max="9224" width="18.140625" style="1" customWidth="1"/>
    <col min="9225" max="9225" width="3.140625" style="1" customWidth="1"/>
    <col min="9226" max="9226" width="18.5703125" style="1" customWidth="1"/>
    <col min="9227" max="9227" width="17.85546875" style="1" customWidth="1"/>
    <col min="9228" max="9477" width="9.140625" style="1"/>
    <col min="9478" max="9478" width="6" style="1" customWidth="1"/>
    <col min="9479" max="9479" width="23.85546875" style="1" customWidth="1"/>
    <col min="9480" max="9480" width="18.140625" style="1" customWidth="1"/>
    <col min="9481" max="9481" width="3.140625" style="1" customWidth="1"/>
    <col min="9482" max="9482" width="18.5703125" style="1" customWidth="1"/>
    <col min="9483" max="9483" width="17.85546875" style="1" customWidth="1"/>
    <col min="9484" max="9733" width="9.140625" style="1"/>
    <col min="9734" max="9734" width="6" style="1" customWidth="1"/>
    <col min="9735" max="9735" width="23.85546875" style="1" customWidth="1"/>
    <col min="9736" max="9736" width="18.140625" style="1" customWidth="1"/>
    <col min="9737" max="9737" width="3.140625" style="1" customWidth="1"/>
    <col min="9738" max="9738" width="18.5703125" style="1" customWidth="1"/>
    <col min="9739" max="9739" width="17.85546875" style="1" customWidth="1"/>
    <col min="9740" max="9989" width="9.140625" style="1"/>
    <col min="9990" max="9990" width="6" style="1" customWidth="1"/>
    <col min="9991" max="9991" width="23.85546875" style="1" customWidth="1"/>
    <col min="9992" max="9992" width="18.140625" style="1" customWidth="1"/>
    <col min="9993" max="9993" width="3.140625" style="1" customWidth="1"/>
    <col min="9994" max="9994" width="18.5703125" style="1" customWidth="1"/>
    <col min="9995" max="9995" width="17.85546875" style="1" customWidth="1"/>
    <col min="9996" max="10245" width="9.140625" style="1"/>
    <col min="10246" max="10246" width="6" style="1" customWidth="1"/>
    <col min="10247" max="10247" width="23.85546875" style="1" customWidth="1"/>
    <col min="10248" max="10248" width="18.140625" style="1" customWidth="1"/>
    <col min="10249" max="10249" width="3.140625" style="1" customWidth="1"/>
    <col min="10250" max="10250" width="18.5703125" style="1" customWidth="1"/>
    <col min="10251" max="10251" width="17.85546875" style="1" customWidth="1"/>
    <col min="10252" max="10501" width="9.140625" style="1"/>
    <col min="10502" max="10502" width="6" style="1" customWidth="1"/>
    <col min="10503" max="10503" width="23.85546875" style="1" customWidth="1"/>
    <col min="10504" max="10504" width="18.140625" style="1" customWidth="1"/>
    <col min="10505" max="10505" width="3.140625" style="1" customWidth="1"/>
    <col min="10506" max="10506" width="18.5703125" style="1" customWidth="1"/>
    <col min="10507" max="10507" width="17.85546875" style="1" customWidth="1"/>
    <col min="10508" max="10757" width="9.140625" style="1"/>
    <col min="10758" max="10758" width="6" style="1" customWidth="1"/>
    <col min="10759" max="10759" width="23.85546875" style="1" customWidth="1"/>
    <col min="10760" max="10760" width="18.140625" style="1" customWidth="1"/>
    <col min="10761" max="10761" width="3.140625" style="1" customWidth="1"/>
    <col min="10762" max="10762" width="18.5703125" style="1" customWidth="1"/>
    <col min="10763" max="10763" width="17.85546875" style="1" customWidth="1"/>
    <col min="10764" max="11013" width="9.140625" style="1"/>
    <col min="11014" max="11014" width="6" style="1" customWidth="1"/>
    <col min="11015" max="11015" width="23.85546875" style="1" customWidth="1"/>
    <col min="11016" max="11016" width="18.140625" style="1" customWidth="1"/>
    <col min="11017" max="11017" width="3.140625" style="1" customWidth="1"/>
    <col min="11018" max="11018" width="18.5703125" style="1" customWidth="1"/>
    <col min="11019" max="11019" width="17.85546875" style="1" customWidth="1"/>
    <col min="11020" max="11269" width="9.140625" style="1"/>
    <col min="11270" max="11270" width="6" style="1" customWidth="1"/>
    <col min="11271" max="11271" width="23.85546875" style="1" customWidth="1"/>
    <col min="11272" max="11272" width="18.140625" style="1" customWidth="1"/>
    <col min="11273" max="11273" width="3.140625" style="1" customWidth="1"/>
    <col min="11274" max="11274" width="18.5703125" style="1" customWidth="1"/>
    <col min="11275" max="11275" width="17.85546875" style="1" customWidth="1"/>
    <col min="11276" max="11525" width="9.140625" style="1"/>
    <col min="11526" max="11526" width="6" style="1" customWidth="1"/>
    <col min="11527" max="11527" width="23.85546875" style="1" customWidth="1"/>
    <col min="11528" max="11528" width="18.140625" style="1" customWidth="1"/>
    <col min="11529" max="11529" width="3.140625" style="1" customWidth="1"/>
    <col min="11530" max="11530" width="18.5703125" style="1" customWidth="1"/>
    <col min="11531" max="11531" width="17.85546875" style="1" customWidth="1"/>
    <col min="11532" max="11781" width="9.140625" style="1"/>
    <col min="11782" max="11782" width="6" style="1" customWidth="1"/>
    <col min="11783" max="11783" width="23.85546875" style="1" customWidth="1"/>
    <col min="11784" max="11784" width="18.140625" style="1" customWidth="1"/>
    <col min="11785" max="11785" width="3.140625" style="1" customWidth="1"/>
    <col min="11786" max="11786" width="18.5703125" style="1" customWidth="1"/>
    <col min="11787" max="11787" width="17.85546875" style="1" customWidth="1"/>
    <col min="11788" max="12037" width="9.140625" style="1"/>
    <col min="12038" max="12038" width="6" style="1" customWidth="1"/>
    <col min="12039" max="12039" width="23.85546875" style="1" customWidth="1"/>
    <col min="12040" max="12040" width="18.140625" style="1" customWidth="1"/>
    <col min="12041" max="12041" width="3.140625" style="1" customWidth="1"/>
    <col min="12042" max="12042" width="18.5703125" style="1" customWidth="1"/>
    <col min="12043" max="12043" width="17.85546875" style="1" customWidth="1"/>
    <col min="12044" max="12293" width="9.140625" style="1"/>
    <col min="12294" max="12294" width="6" style="1" customWidth="1"/>
    <col min="12295" max="12295" width="23.85546875" style="1" customWidth="1"/>
    <col min="12296" max="12296" width="18.140625" style="1" customWidth="1"/>
    <col min="12297" max="12297" width="3.140625" style="1" customWidth="1"/>
    <col min="12298" max="12298" width="18.5703125" style="1" customWidth="1"/>
    <col min="12299" max="12299" width="17.85546875" style="1" customWidth="1"/>
    <col min="12300" max="12549" width="9.140625" style="1"/>
    <col min="12550" max="12550" width="6" style="1" customWidth="1"/>
    <col min="12551" max="12551" width="23.85546875" style="1" customWidth="1"/>
    <col min="12552" max="12552" width="18.140625" style="1" customWidth="1"/>
    <col min="12553" max="12553" width="3.140625" style="1" customWidth="1"/>
    <col min="12554" max="12554" width="18.5703125" style="1" customWidth="1"/>
    <col min="12555" max="12555" width="17.85546875" style="1" customWidth="1"/>
    <col min="12556" max="12805" width="9.140625" style="1"/>
    <col min="12806" max="12806" width="6" style="1" customWidth="1"/>
    <col min="12807" max="12807" width="23.85546875" style="1" customWidth="1"/>
    <col min="12808" max="12808" width="18.140625" style="1" customWidth="1"/>
    <col min="12809" max="12809" width="3.140625" style="1" customWidth="1"/>
    <col min="12810" max="12810" width="18.5703125" style="1" customWidth="1"/>
    <col min="12811" max="12811" width="17.85546875" style="1" customWidth="1"/>
    <col min="12812" max="13061" width="9.140625" style="1"/>
    <col min="13062" max="13062" width="6" style="1" customWidth="1"/>
    <col min="13063" max="13063" width="23.85546875" style="1" customWidth="1"/>
    <col min="13064" max="13064" width="18.140625" style="1" customWidth="1"/>
    <col min="13065" max="13065" width="3.140625" style="1" customWidth="1"/>
    <col min="13066" max="13066" width="18.5703125" style="1" customWidth="1"/>
    <col min="13067" max="13067" width="17.85546875" style="1" customWidth="1"/>
    <col min="13068" max="13317" width="9.140625" style="1"/>
    <col min="13318" max="13318" width="6" style="1" customWidth="1"/>
    <col min="13319" max="13319" width="23.85546875" style="1" customWidth="1"/>
    <col min="13320" max="13320" width="18.140625" style="1" customWidth="1"/>
    <col min="13321" max="13321" width="3.140625" style="1" customWidth="1"/>
    <col min="13322" max="13322" width="18.5703125" style="1" customWidth="1"/>
    <col min="13323" max="13323" width="17.85546875" style="1" customWidth="1"/>
    <col min="13324" max="13573" width="9.140625" style="1"/>
    <col min="13574" max="13574" width="6" style="1" customWidth="1"/>
    <col min="13575" max="13575" width="23.85546875" style="1" customWidth="1"/>
    <col min="13576" max="13576" width="18.140625" style="1" customWidth="1"/>
    <col min="13577" max="13577" width="3.140625" style="1" customWidth="1"/>
    <col min="13578" max="13578" width="18.5703125" style="1" customWidth="1"/>
    <col min="13579" max="13579" width="17.85546875" style="1" customWidth="1"/>
    <col min="13580" max="13829" width="9.140625" style="1"/>
    <col min="13830" max="13830" width="6" style="1" customWidth="1"/>
    <col min="13831" max="13831" width="23.85546875" style="1" customWidth="1"/>
    <col min="13832" max="13832" width="18.140625" style="1" customWidth="1"/>
    <col min="13833" max="13833" width="3.140625" style="1" customWidth="1"/>
    <col min="13834" max="13834" width="18.5703125" style="1" customWidth="1"/>
    <col min="13835" max="13835" width="17.85546875" style="1" customWidth="1"/>
    <col min="13836" max="14085" width="9.140625" style="1"/>
    <col min="14086" max="14086" width="6" style="1" customWidth="1"/>
    <col min="14087" max="14087" width="23.85546875" style="1" customWidth="1"/>
    <col min="14088" max="14088" width="18.140625" style="1" customWidth="1"/>
    <col min="14089" max="14089" width="3.140625" style="1" customWidth="1"/>
    <col min="14090" max="14090" width="18.5703125" style="1" customWidth="1"/>
    <col min="14091" max="14091" width="17.85546875" style="1" customWidth="1"/>
    <col min="14092" max="14341" width="9.140625" style="1"/>
    <col min="14342" max="14342" width="6" style="1" customWidth="1"/>
    <col min="14343" max="14343" width="23.85546875" style="1" customWidth="1"/>
    <col min="14344" max="14344" width="18.140625" style="1" customWidth="1"/>
    <col min="14345" max="14345" width="3.140625" style="1" customWidth="1"/>
    <col min="14346" max="14346" width="18.5703125" style="1" customWidth="1"/>
    <col min="14347" max="14347" width="17.85546875" style="1" customWidth="1"/>
    <col min="14348" max="14597" width="9.140625" style="1"/>
    <col min="14598" max="14598" width="6" style="1" customWidth="1"/>
    <col min="14599" max="14599" width="23.85546875" style="1" customWidth="1"/>
    <col min="14600" max="14600" width="18.140625" style="1" customWidth="1"/>
    <col min="14601" max="14601" width="3.140625" style="1" customWidth="1"/>
    <col min="14602" max="14602" width="18.5703125" style="1" customWidth="1"/>
    <col min="14603" max="14603" width="17.85546875" style="1" customWidth="1"/>
    <col min="14604" max="14853" width="9.140625" style="1"/>
    <col min="14854" max="14854" width="6" style="1" customWidth="1"/>
    <col min="14855" max="14855" width="23.85546875" style="1" customWidth="1"/>
    <col min="14856" max="14856" width="18.140625" style="1" customWidth="1"/>
    <col min="14857" max="14857" width="3.140625" style="1" customWidth="1"/>
    <col min="14858" max="14858" width="18.5703125" style="1" customWidth="1"/>
    <col min="14859" max="14859" width="17.85546875" style="1" customWidth="1"/>
    <col min="14860" max="15109" width="9.140625" style="1"/>
    <col min="15110" max="15110" width="6" style="1" customWidth="1"/>
    <col min="15111" max="15111" width="23.85546875" style="1" customWidth="1"/>
    <col min="15112" max="15112" width="18.140625" style="1" customWidth="1"/>
    <col min="15113" max="15113" width="3.140625" style="1" customWidth="1"/>
    <col min="15114" max="15114" width="18.5703125" style="1" customWidth="1"/>
    <col min="15115" max="15115" width="17.85546875" style="1" customWidth="1"/>
    <col min="15116" max="15365" width="9.140625" style="1"/>
    <col min="15366" max="15366" width="6" style="1" customWidth="1"/>
    <col min="15367" max="15367" width="23.85546875" style="1" customWidth="1"/>
    <col min="15368" max="15368" width="18.140625" style="1" customWidth="1"/>
    <col min="15369" max="15369" width="3.140625" style="1" customWidth="1"/>
    <col min="15370" max="15370" width="18.5703125" style="1" customWidth="1"/>
    <col min="15371" max="15371" width="17.85546875" style="1" customWidth="1"/>
    <col min="15372" max="15621" width="9.140625" style="1"/>
    <col min="15622" max="15622" width="6" style="1" customWidth="1"/>
    <col min="15623" max="15623" width="23.85546875" style="1" customWidth="1"/>
    <col min="15624" max="15624" width="18.140625" style="1" customWidth="1"/>
    <col min="15625" max="15625" width="3.140625" style="1" customWidth="1"/>
    <col min="15626" max="15626" width="18.5703125" style="1" customWidth="1"/>
    <col min="15627" max="15627" width="17.85546875" style="1" customWidth="1"/>
    <col min="15628" max="15877" width="9.140625" style="1"/>
    <col min="15878" max="15878" width="6" style="1" customWidth="1"/>
    <col min="15879" max="15879" width="23.85546875" style="1" customWidth="1"/>
    <col min="15880" max="15880" width="18.140625" style="1" customWidth="1"/>
    <col min="15881" max="15881" width="3.140625" style="1" customWidth="1"/>
    <col min="15882" max="15882" width="18.5703125" style="1" customWidth="1"/>
    <col min="15883" max="15883" width="17.85546875" style="1" customWidth="1"/>
    <col min="15884" max="16133" width="9.140625" style="1"/>
    <col min="16134" max="16134" width="6" style="1" customWidth="1"/>
    <col min="16135" max="16135" width="23.85546875" style="1" customWidth="1"/>
    <col min="16136" max="16136" width="18.140625" style="1" customWidth="1"/>
    <col min="16137" max="16137" width="3.140625" style="1" customWidth="1"/>
    <col min="16138" max="16138" width="18.5703125" style="1" customWidth="1"/>
    <col min="16139" max="16139" width="17.85546875" style="1" customWidth="1"/>
    <col min="16140" max="16384" width="9.140625" style="1"/>
  </cols>
  <sheetData>
    <row r="1" spans="1:255" s="71" customFormat="1" x14ac:dyDescent="0.3">
      <c r="A1" s="1"/>
      <c r="B1" s="144" t="s">
        <v>180</v>
      </c>
      <c r="C1" s="144"/>
      <c r="D1" s="144"/>
      <c r="E1" s="144"/>
      <c r="F1" s="143" t="s">
        <v>0</v>
      </c>
      <c r="G1" s="143"/>
      <c r="H1" s="143"/>
      <c r="I1" s="143"/>
    </row>
    <row r="2" spans="1:255" s="71" customFormat="1" x14ac:dyDescent="0.3">
      <c r="A2" s="1"/>
      <c r="B2" s="143" t="s">
        <v>179</v>
      </c>
      <c r="C2" s="143"/>
      <c r="D2" s="143"/>
      <c r="E2" s="143"/>
      <c r="F2" s="143" t="s">
        <v>53</v>
      </c>
      <c r="G2" s="145"/>
      <c r="H2" s="145"/>
      <c r="I2" s="145"/>
    </row>
    <row r="3" spans="1:255" x14ac:dyDescent="0.3">
      <c r="B3" s="3"/>
      <c r="F3" s="3"/>
      <c r="I3" s="1"/>
    </row>
    <row r="4" spans="1:255" x14ac:dyDescent="0.3">
      <c r="B4" s="3"/>
      <c r="F4" s="3"/>
      <c r="I4" s="1"/>
    </row>
    <row r="5" spans="1:255" x14ac:dyDescent="0.3">
      <c r="B5" s="143" t="s">
        <v>1</v>
      </c>
      <c r="C5" s="143"/>
      <c r="D5" s="143"/>
      <c r="E5" s="143"/>
      <c r="F5" s="143"/>
      <c r="G5" s="143"/>
      <c r="H5" s="143"/>
      <c r="I5" s="143"/>
    </row>
    <row r="6" spans="1:255" s="71" customFormat="1" x14ac:dyDescent="0.3">
      <c r="A6" s="1"/>
      <c r="B6" s="143" t="s">
        <v>37</v>
      </c>
      <c r="C6" s="143"/>
      <c r="D6" s="143"/>
      <c r="E6" s="143"/>
      <c r="F6" s="143"/>
      <c r="G6" s="143"/>
      <c r="H6" s="143"/>
      <c r="I6" s="143"/>
    </row>
    <row r="7" spans="1:255" s="71" customFormat="1" ht="18.75" customHeight="1" x14ac:dyDescent="0.25">
      <c r="A7" s="142" t="s">
        <v>193</v>
      </c>
      <c r="B7" s="142"/>
      <c r="C7" s="142"/>
      <c r="D7" s="142"/>
      <c r="E7" s="142"/>
      <c r="F7" s="142"/>
      <c r="G7" s="142"/>
      <c r="H7" s="142"/>
      <c r="I7" s="14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c r="IN7" s="72"/>
      <c r="IO7" s="72"/>
      <c r="IP7" s="72"/>
      <c r="IQ7" s="72"/>
      <c r="IR7" s="72"/>
      <c r="IS7" s="72"/>
      <c r="IT7" s="72"/>
      <c r="IU7" s="72"/>
    </row>
    <row r="8" spans="1:255" s="71" customFormat="1" ht="18.75" customHeight="1" x14ac:dyDescent="0.3">
      <c r="A8" s="1"/>
      <c r="B8" s="129"/>
      <c r="C8" s="129"/>
      <c r="D8" s="129"/>
      <c r="E8" s="129"/>
      <c r="F8" s="129"/>
      <c r="G8" s="129"/>
      <c r="H8" s="129"/>
      <c r="I8" s="129"/>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c r="IJ8" s="72"/>
      <c r="IK8" s="72"/>
      <c r="IL8" s="72"/>
      <c r="IM8" s="72"/>
      <c r="IN8" s="72"/>
      <c r="IO8" s="72"/>
      <c r="IP8" s="72"/>
      <c r="IQ8" s="72"/>
      <c r="IR8" s="72"/>
      <c r="IS8" s="72"/>
      <c r="IT8" s="72"/>
      <c r="IU8" s="72"/>
    </row>
    <row r="9" spans="1:255" s="71" customFormat="1" x14ac:dyDescent="0.3">
      <c r="A9" s="1"/>
      <c r="B9" s="3"/>
      <c r="C9" s="1"/>
      <c r="D9" s="1"/>
      <c r="E9" s="1"/>
      <c r="F9" s="1"/>
      <c r="G9" s="1"/>
      <c r="H9" s="1"/>
      <c r="I9" s="133" t="s">
        <v>106</v>
      </c>
    </row>
    <row r="10" spans="1:255" s="77" customFormat="1" ht="35.25" customHeight="1" x14ac:dyDescent="0.25">
      <c r="A10" s="130" t="s">
        <v>107</v>
      </c>
      <c r="B10" s="146" t="s">
        <v>108</v>
      </c>
      <c r="C10" s="147"/>
      <c r="D10" s="147"/>
      <c r="E10" s="147"/>
      <c r="F10" s="147"/>
      <c r="G10" s="147"/>
      <c r="H10" s="148"/>
      <c r="I10" s="99" t="s">
        <v>109</v>
      </c>
    </row>
    <row r="11" spans="1:255" s="74" customFormat="1" ht="23.25" x14ac:dyDescent="0.35">
      <c r="A11" s="134">
        <v>1</v>
      </c>
      <c r="B11" s="153" t="str">
        <f>'thuyet minh du tru 2'!B10</f>
        <v>Chi cho các kỳ họp HĐND:</v>
      </c>
      <c r="C11" s="154"/>
      <c r="D11" s="154"/>
      <c r="E11" s="154"/>
      <c r="F11" s="154"/>
      <c r="G11" s="154"/>
      <c r="H11" s="155"/>
      <c r="I11" s="135">
        <f>'thuyet minh du tru 2'!I10</f>
        <v>298920000</v>
      </c>
      <c r="J11" s="131"/>
    </row>
    <row r="12" spans="1:255" s="74" customFormat="1" ht="31.5" customHeight="1" x14ac:dyDescent="0.35">
      <c r="A12" s="134">
        <v>2</v>
      </c>
      <c r="B12" s="151" t="s">
        <v>110</v>
      </c>
      <c r="C12" s="152"/>
      <c r="D12" s="152"/>
      <c r="E12" s="152"/>
      <c r="F12" s="152"/>
      <c r="G12" s="152"/>
      <c r="H12" s="152"/>
      <c r="I12" s="136">
        <f>'thuyet minh du tru 2'!I24</f>
        <v>260120000</v>
      </c>
      <c r="J12" s="131"/>
    </row>
    <row r="13" spans="1:255" s="75" customFormat="1" ht="30.75" customHeight="1" x14ac:dyDescent="0.35">
      <c r="A13" s="134">
        <v>3</v>
      </c>
      <c r="B13" s="137" t="str">
        <f>'thuyet minh du tru 2'!B34</f>
        <v xml:space="preserve">Chi hoạt động Thường trực HĐND, các Ban HĐND và tổ đại biểu 
HĐND tỉnh: </v>
      </c>
      <c r="C13" s="138"/>
      <c r="D13" s="138"/>
      <c r="E13" s="138"/>
      <c r="F13" s="138"/>
      <c r="G13" s="138"/>
      <c r="H13" s="138"/>
      <c r="I13" s="139">
        <f>'thuyet minh du tru 2'!I34</f>
        <v>2616896000</v>
      </c>
      <c r="J13" s="132"/>
    </row>
    <row r="14" spans="1:255" s="74" customFormat="1" ht="23.25" x14ac:dyDescent="0.35">
      <c r="A14" s="134">
        <v>4</v>
      </c>
      <c r="B14" s="156" t="str">
        <f>'thuyet minh du tru 2'!B108</f>
        <v>Chi phí  tiếp xúc cử tri, thảo luận tổ đại biểu:</v>
      </c>
      <c r="C14" s="157"/>
      <c r="D14" s="157"/>
      <c r="E14" s="157"/>
      <c r="F14" s="157"/>
      <c r="G14" s="157"/>
      <c r="H14" s="158"/>
      <c r="I14" s="140">
        <f>'thuyet minh du tru 2'!I108</f>
        <v>746000000</v>
      </c>
      <c r="J14" s="131"/>
    </row>
    <row r="15" spans="1:255" s="74" customFormat="1" ht="23.25" x14ac:dyDescent="0.35">
      <c r="A15" s="134">
        <v>5</v>
      </c>
      <c r="B15" s="156" t="str">
        <f>'thuyet minh du tru 2'!B119</f>
        <v>Chi dự 02 kỳ họp ở Quốc hội :</v>
      </c>
      <c r="C15" s="157"/>
      <c r="D15" s="157"/>
      <c r="E15" s="157"/>
      <c r="F15" s="157"/>
      <c r="G15" s="157"/>
      <c r="H15" s="158"/>
      <c r="I15" s="136">
        <f>'thuyet minh du tru 2'!I119</f>
        <v>64000000</v>
      </c>
      <c r="J15" s="131"/>
    </row>
    <row r="16" spans="1:255" s="74" customFormat="1" ht="23.25" x14ac:dyDescent="0.35">
      <c r="A16" s="134">
        <v>6</v>
      </c>
      <c r="B16" s="159" t="str">
        <f>'thuyet minh du tru 2'!B123</f>
        <v>Hoạt động trang thông tin đại biểu dân cử tỉnh Kon Tum:</v>
      </c>
      <c r="C16" s="160"/>
      <c r="D16" s="160"/>
      <c r="E16" s="160"/>
      <c r="F16" s="160"/>
      <c r="G16" s="160"/>
      <c r="H16" s="161"/>
      <c r="I16" s="136">
        <f>'thuyet minh du tru 2'!I123</f>
        <v>90000000</v>
      </c>
      <c r="J16" s="131"/>
    </row>
    <row r="17" spans="1:10" s="74" customFormat="1" ht="23.25" x14ac:dyDescent="0.35">
      <c r="A17" s="134">
        <v>7</v>
      </c>
      <c r="B17" s="159" t="str">
        <f>'thuyet minh du tru 2'!B126</f>
        <v>Mua tạp chí và tài  liệu :</v>
      </c>
      <c r="C17" s="160"/>
      <c r="D17" s="160"/>
      <c r="E17" s="160"/>
      <c r="F17" s="160"/>
      <c r="G17" s="160"/>
      <c r="H17" s="161"/>
      <c r="I17" s="136">
        <f>'thuyet minh du tru 2'!I126</f>
        <v>173000000</v>
      </c>
      <c r="J17" s="131"/>
    </row>
    <row r="18" spans="1:10" s="74" customFormat="1" ht="23.25" x14ac:dyDescent="0.35">
      <c r="A18" s="134">
        <v>8</v>
      </c>
      <c r="B18" s="159" t="str">
        <f>'thuyet minh du tru 2'!B131</f>
        <v>Chi chế độ đối với đại biểu HĐND tỉnh:</v>
      </c>
      <c r="C18" s="160"/>
      <c r="D18" s="160"/>
      <c r="E18" s="160"/>
      <c r="F18" s="160"/>
      <c r="G18" s="160"/>
      <c r="H18" s="161"/>
      <c r="I18" s="136">
        <f>'thuyet minh du tru 2'!I131</f>
        <v>846944000</v>
      </c>
      <c r="J18" s="131"/>
    </row>
    <row r="19" spans="1:10" s="74" customFormat="1" ht="23.25" x14ac:dyDescent="0.35">
      <c r="A19" s="134">
        <v>9</v>
      </c>
      <c r="B19" s="159" t="str">
        <f>'thuyet minh du tru 2'!B145</f>
        <v xml:space="preserve">Chi lễ tân và khánh tiết : </v>
      </c>
      <c r="C19" s="160"/>
      <c r="D19" s="160"/>
      <c r="E19" s="160"/>
      <c r="F19" s="160"/>
      <c r="G19" s="160"/>
      <c r="H19" s="161"/>
      <c r="I19" s="136">
        <f>'thuyet minh du tru 2'!I145</f>
        <v>429120000</v>
      </c>
      <c r="J19" s="131"/>
    </row>
    <row r="20" spans="1:10" s="74" customFormat="1" ht="23.25" x14ac:dyDescent="0.35">
      <c r="A20" s="134">
        <v>10</v>
      </c>
      <c r="B20" s="159" t="str">
        <f>'thuyet minh du tru 2'!B163</f>
        <v>Chi rà soát văn bản QPPL:</v>
      </c>
      <c r="C20" s="160"/>
      <c r="D20" s="160"/>
      <c r="E20" s="160"/>
      <c r="F20" s="160"/>
      <c r="G20" s="160"/>
      <c r="H20" s="161"/>
      <c r="I20" s="136">
        <f>'thuyet minh du tru 2'!I163</f>
        <v>70000000</v>
      </c>
      <c r="J20" s="131"/>
    </row>
    <row r="21" spans="1:10" s="74" customFormat="1" ht="23.25" x14ac:dyDescent="0.35">
      <c r="A21" s="134">
        <v>11</v>
      </c>
      <c r="B21" s="159" t="str">
        <f>'thuyet minh du tru 2'!B165</f>
        <v>Chi thăm hỏi, động viên một số thôn, làng, chi khác:</v>
      </c>
      <c r="C21" s="160"/>
      <c r="D21" s="160"/>
      <c r="E21" s="160"/>
      <c r="F21" s="160"/>
      <c r="G21" s="160"/>
      <c r="H21" s="161"/>
      <c r="I21" s="136">
        <f>'thuyet minh du tru 2'!I165</f>
        <v>235000000</v>
      </c>
      <c r="J21" s="131"/>
    </row>
    <row r="22" spans="1:10" s="74" customFormat="1" ht="23.25" x14ac:dyDescent="0.35">
      <c r="A22" s="134">
        <v>12</v>
      </c>
      <c r="B22" s="159" t="str">
        <f>'thuyet minh du tru 2'!B169</f>
        <v>Dự phòng:</v>
      </c>
      <c r="C22" s="160"/>
      <c r="D22" s="160"/>
      <c r="E22" s="160"/>
      <c r="F22" s="160"/>
      <c r="G22" s="160"/>
      <c r="H22" s="161"/>
      <c r="I22" s="136">
        <f>'thuyet minh du tru 2'!I169</f>
        <v>70000000</v>
      </c>
      <c r="J22" s="131"/>
    </row>
    <row r="23" spans="1:10" s="73" customFormat="1" ht="23.25" x14ac:dyDescent="0.35">
      <c r="A23" s="149" t="s">
        <v>36</v>
      </c>
      <c r="B23" s="149"/>
      <c r="C23" s="149"/>
      <c r="D23" s="149"/>
      <c r="E23" s="149"/>
      <c r="F23" s="149"/>
      <c r="G23" s="149"/>
      <c r="H23" s="149"/>
      <c r="I23" s="141">
        <f>SUM(I11:I22)</f>
        <v>5900000000</v>
      </c>
      <c r="J23" s="131"/>
    </row>
    <row r="24" spans="1:10" s="71" customFormat="1" ht="20.25" x14ac:dyDescent="0.3">
      <c r="A24" s="1"/>
      <c r="B24" s="150" t="s">
        <v>181</v>
      </c>
      <c r="C24" s="150"/>
      <c r="D24" s="150"/>
      <c r="E24" s="150"/>
      <c r="F24" s="150"/>
      <c r="G24" s="150"/>
      <c r="H24" s="150"/>
      <c r="I24" s="150"/>
      <c r="J24" s="76"/>
    </row>
    <row r="25" spans="1:10" s="71" customFormat="1" x14ac:dyDescent="0.3">
      <c r="A25" s="1"/>
      <c r="B25" s="1"/>
      <c r="C25" s="1"/>
      <c r="D25" s="1"/>
      <c r="E25" s="1"/>
      <c r="F25" s="1"/>
      <c r="G25" s="1"/>
      <c r="H25" s="1"/>
      <c r="I25" s="4"/>
    </row>
  </sheetData>
  <mergeCells count="21">
    <mergeCell ref="B10:H10"/>
    <mergeCell ref="A23:H23"/>
    <mergeCell ref="B24:I24"/>
    <mergeCell ref="B12:H12"/>
    <mergeCell ref="B11:H11"/>
    <mergeCell ref="B14:H14"/>
    <mergeCell ref="B15:H15"/>
    <mergeCell ref="B16:H16"/>
    <mergeCell ref="B17:H17"/>
    <mergeCell ref="B18:H18"/>
    <mergeCell ref="B19:H19"/>
    <mergeCell ref="B20:H20"/>
    <mergeCell ref="B22:H22"/>
    <mergeCell ref="B21:H21"/>
    <mergeCell ref="A7:I7"/>
    <mergeCell ref="B6:I6"/>
    <mergeCell ref="B1:E1"/>
    <mergeCell ref="F1:I1"/>
    <mergeCell ref="B2:E2"/>
    <mergeCell ref="F2:I2"/>
    <mergeCell ref="B5:I5"/>
  </mergeCells>
  <printOptions horizontalCentered="1"/>
  <pageMargins left="3.7401574999999999E-2" right="0.28740157500000002" top="1.1811023622047201" bottom="1.1811023622047201" header="0.31496062992126" footer="0.31496062992126"/>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73"/>
  <sheetViews>
    <sheetView topLeftCell="A7" zoomScaleNormal="100" workbookViewId="0">
      <selection activeCell="A8" sqref="A8"/>
    </sheetView>
  </sheetViews>
  <sheetFormatPr defaultRowHeight="18.75" x14ac:dyDescent="0.3"/>
  <cols>
    <col min="1" max="1" width="8.85546875" style="103" customWidth="1"/>
    <col min="2" max="6" width="9.140625" style="1"/>
    <col min="7" max="7" width="6" style="1" customWidth="1"/>
    <col min="8" max="8" width="31.42578125" style="1" customWidth="1"/>
    <col min="9" max="9" width="21" style="4" customWidth="1"/>
    <col min="10" max="10" width="3.5703125" style="1" bestFit="1" customWidth="1"/>
    <col min="11" max="11" width="18.5703125" style="1" customWidth="1"/>
    <col min="12" max="12" width="7" style="1" bestFit="1" customWidth="1"/>
    <col min="13" max="13" width="7" style="2" bestFit="1" customWidth="1"/>
    <col min="14" max="14" width="9.140625" style="1"/>
    <col min="15" max="15" width="14.85546875" style="1" bestFit="1" customWidth="1"/>
    <col min="16" max="262" width="9.140625" style="1"/>
    <col min="263" max="263" width="6" style="1" customWidth="1"/>
    <col min="264" max="264" width="23.85546875" style="1" customWidth="1"/>
    <col min="265" max="265" width="18.140625" style="1" customWidth="1"/>
    <col min="266" max="266" width="3.140625" style="1" customWidth="1"/>
    <col min="267" max="267" width="18.5703125" style="1" customWidth="1"/>
    <col min="268" max="268" width="20.140625" style="1" bestFit="1" customWidth="1"/>
    <col min="269" max="269" width="11.7109375" style="1" bestFit="1" customWidth="1"/>
    <col min="270" max="518" width="9.140625" style="1"/>
    <col min="519" max="519" width="6" style="1" customWidth="1"/>
    <col min="520" max="520" width="23.85546875" style="1" customWidth="1"/>
    <col min="521" max="521" width="18.140625" style="1" customWidth="1"/>
    <col min="522" max="522" width="3.140625" style="1" customWidth="1"/>
    <col min="523" max="523" width="18.5703125" style="1" customWidth="1"/>
    <col min="524" max="524" width="20.140625" style="1" bestFit="1" customWidth="1"/>
    <col min="525" max="525" width="11.7109375" style="1" bestFit="1" customWidth="1"/>
    <col min="526" max="774" width="9.140625" style="1"/>
    <col min="775" max="775" width="6" style="1" customWidth="1"/>
    <col min="776" max="776" width="23.85546875" style="1" customWidth="1"/>
    <col min="777" max="777" width="18.140625" style="1" customWidth="1"/>
    <col min="778" max="778" width="3.140625" style="1" customWidth="1"/>
    <col min="779" max="779" width="18.5703125" style="1" customWidth="1"/>
    <col min="780" max="780" width="20.140625" style="1" bestFit="1" customWidth="1"/>
    <col min="781" max="781" width="11.7109375" style="1" bestFit="1" customWidth="1"/>
    <col min="782" max="1030" width="9.140625" style="1"/>
    <col min="1031" max="1031" width="6" style="1" customWidth="1"/>
    <col min="1032" max="1032" width="23.85546875" style="1" customWidth="1"/>
    <col min="1033" max="1033" width="18.140625" style="1" customWidth="1"/>
    <col min="1034" max="1034" width="3.140625" style="1" customWidth="1"/>
    <col min="1035" max="1035" width="18.5703125" style="1" customWidth="1"/>
    <col min="1036" max="1036" width="20.140625" style="1" bestFit="1" customWidth="1"/>
    <col min="1037" max="1037" width="11.7109375" style="1" bestFit="1" customWidth="1"/>
    <col min="1038" max="1286" width="9.140625" style="1"/>
    <col min="1287" max="1287" width="6" style="1" customWidth="1"/>
    <col min="1288" max="1288" width="23.85546875" style="1" customWidth="1"/>
    <col min="1289" max="1289" width="18.140625" style="1" customWidth="1"/>
    <col min="1290" max="1290" width="3.140625" style="1" customWidth="1"/>
    <col min="1291" max="1291" width="18.5703125" style="1" customWidth="1"/>
    <col min="1292" max="1292" width="20.140625" style="1" bestFit="1" customWidth="1"/>
    <col min="1293" max="1293" width="11.7109375" style="1" bestFit="1" customWidth="1"/>
    <col min="1294" max="1542" width="9.140625" style="1"/>
    <col min="1543" max="1543" width="6" style="1" customWidth="1"/>
    <col min="1544" max="1544" width="23.85546875" style="1" customWidth="1"/>
    <col min="1545" max="1545" width="18.140625" style="1" customWidth="1"/>
    <col min="1546" max="1546" width="3.140625" style="1" customWidth="1"/>
    <col min="1547" max="1547" width="18.5703125" style="1" customWidth="1"/>
    <col min="1548" max="1548" width="20.140625" style="1" bestFit="1" customWidth="1"/>
    <col min="1549" max="1549" width="11.7109375" style="1" bestFit="1" customWidth="1"/>
    <col min="1550" max="1798" width="9.140625" style="1"/>
    <col min="1799" max="1799" width="6" style="1" customWidth="1"/>
    <col min="1800" max="1800" width="23.85546875" style="1" customWidth="1"/>
    <col min="1801" max="1801" width="18.140625" style="1" customWidth="1"/>
    <col min="1802" max="1802" width="3.140625" style="1" customWidth="1"/>
    <col min="1803" max="1803" width="18.5703125" style="1" customWidth="1"/>
    <col min="1804" max="1804" width="20.140625" style="1" bestFit="1" customWidth="1"/>
    <col min="1805" max="1805" width="11.7109375" style="1" bestFit="1" customWidth="1"/>
    <col min="1806" max="2054" width="9.140625" style="1"/>
    <col min="2055" max="2055" width="6" style="1" customWidth="1"/>
    <col min="2056" max="2056" width="23.85546875" style="1" customWidth="1"/>
    <col min="2057" max="2057" width="18.140625" style="1" customWidth="1"/>
    <col min="2058" max="2058" width="3.140625" style="1" customWidth="1"/>
    <col min="2059" max="2059" width="18.5703125" style="1" customWidth="1"/>
    <col min="2060" max="2060" width="20.140625" style="1" bestFit="1" customWidth="1"/>
    <col min="2061" max="2061" width="11.7109375" style="1" bestFit="1" customWidth="1"/>
    <col min="2062" max="2310" width="9.140625" style="1"/>
    <col min="2311" max="2311" width="6" style="1" customWidth="1"/>
    <col min="2312" max="2312" width="23.85546875" style="1" customWidth="1"/>
    <col min="2313" max="2313" width="18.140625" style="1" customWidth="1"/>
    <col min="2314" max="2314" width="3.140625" style="1" customWidth="1"/>
    <col min="2315" max="2315" width="18.5703125" style="1" customWidth="1"/>
    <col min="2316" max="2316" width="20.140625" style="1" bestFit="1" customWidth="1"/>
    <col min="2317" max="2317" width="11.7109375" style="1" bestFit="1" customWidth="1"/>
    <col min="2318" max="2566" width="9.140625" style="1"/>
    <col min="2567" max="2567" width="6" style="1" customWidth="1"/>
    <col min="2568" max="2568" width="23.85546875" style="1" customWidth="1"/>
    <col min="2569" max="2569" width="18.140625" style="1" customWidth="1"/>
    <col min="2570" max="2570" width="3.140625" style="1" customWidth="1"/>
    <col min="2571" max="2571" width="18.5703125" style="1" customWidth="1"/>
    <col min="2572" max="2572" width="20.140625" style="1" bestFit="1" customWidth="1"/>
    <col min="2573" max="2573" width="11.7109375" style="1" bestFit="1" customWidth="1"/>
    <col min="2574" max="2822" width="9.140625" style="1"/>
    <col min="2823" max="2823" width="6" style="1" customWidth="1"/>
    <col min="2824" max="2824" width="23.85546875" style="1" customWidth="1"/>
    <col min="2825" max="2825" width="18.140625" style="1" customWidth="1"/>
    <col min="2826" max="2826" width="3.140625" style="1" customWidth="1"/>
    <col min="2827" max="2827" width="18.5703125" style="1" customWidth="1"/>
    <col min="2828" max="2828" width="20.140625" style="1" bestFit="1" customWidth="1"/>
    <col min="2829" max="2829" width="11.7109375" style="1" bestFit="1" customWidth="1"/>
    <col min="2830" max="3078" width="9.140625" style="1"/>
    <col min="3079" max="3079" width="6" style="1" customWidth="1"/>
    <col min="3080" max="3080" width="23.85546875" style="1" customWidth="1"/>
    <col min="3081" max="3081" width="18.140625" style="1" customWidth="1"/>
    <col min="3082" max="3082" width="3.140625" style="1" customWidth="1"/>
    <col min="3083" max="3083" width="18.5703125" style="1" customWidth="1"/>
    <col min="3084" max="3084" width="20.140625" style="1" bestFit="1" customWidth="1"/>
    <col min="3085" max="3085" width="11.7109375" style="1" bestFit="1" customWidth="1"/>
    <col min="3086" max="3334" width="9.140625" style="1"/>
    <col min="3335" max="3335" width="6" style="1" customWidth="1"/>
    <col min="3336" max="3336" width="23.85546875" style="1" customWidth="1"/>
    <col min="3337" max="3337" width="18.140625" style="1" customWidth="1"/>
    <col min="3338" max="3338" width="3.140625" style="1" customWidth="1"/>
    <col min="3339" max="3339" width="18.5703125" style="1" customWidth="1"/>
    <col min="3340" max="3340" width="20.140625" style="1" bestFit="1" customWidth="1"/>
    <col min="3341" max="3341" width="11.7109375" style="1" bestFit="1" customWidth="1"/>
    <col min="3342" max="3590" width="9.140625" style="1"/>
    <col min="3591" max="3591" width="6" style="1" customWidth="1"/>
    <col min="3592" max="3592" width="23.85546875" style="1" customWidth="1"/>
    <col min="3593" max="3593" width="18.140625" style="1" customWidth="1"/>
    <col min="3594" max="3594" width="3.140625" style="1" customWidth="1"/>
    <col min="3595" max="3595" width="18.5703125" style="1" customWidth="1"/>
    <col min="3596" max="3596" width="20.140625" style="1" bestFit="1" customWidth="1"/>
    <col min="3597" max="3597" width="11.7109375" style="1" bestFit="1" customWidth="1"/>
    <col min="3598" max="3846" width="9.140625" style="1"/>
    <col min="3847" max="3847" width="6" style="1" customWidth="1"/>
    <col min="3848" max="3848" width="23.85546875" style="1" customWidth="1"/>
    <col min="3849" max="3849" width="18.140625" style="1" customWidth="1"/>
    <col min="3850" max="3850" width="3.140625" style="1" customWidth="1"/>
    <col min="3851" max="3851" width="18.5703125" style="1" customWidth="1"/>
    <col min="3852" max="3852" width="20.140625" style="1" bestFit="1" customWidth="1"/>
    <col min="3853" max="3853" width="11.7109375" style="1" bestFit="1" customWidth="1"/>
    <col min="3854" max="4102" width="9.140625" style="1"/>
    <col min="4103" max="4103" width="6" style="1" customWidth="1"/>
    <col min="4104" max="4104" width="23.85546875" style="1" customWidth="1"/>
    <col min="4105" max="4105" width="18.140625" style="1" customWidth="1"/>
    <col min="4106" max="4106" width="3.140625" style="1" customWidth="1"/>
    <col min="4107" max="4107" width="18.5703125" style="1" customWidth="1"/>
    <col min="4108" max="4108" width="20.140625" style="1" bestFit="1" customWidth="1"/>
    <col min="4109" max="4109" width="11.7109375" style="1" bestFit="1" customWidth="1"/>
    <col min="4110" max="4358" width="9.140625" style="1"/>
    <col min="4359" max="4359" width="6" style="1" customWidth="1"/>
    <col min="4360" max="4360" width="23.85546875" style="1" customWidth="1"/>
    <col min="4361" max="4361" width="18.140625" style="1" customWidth="1"/>
    <col min="4362" max="4362" width="3.140625" style="1" customWidth="1"/>
    <col min="4363" max="4363" width="18.5703125" style="1" customWidth="1"/>
    <col min="4364" max="4364" width="20.140625" style="1" bestFit="1" customWidth="1"/>
    <col min="4365" max="4365" width="11.7109375" style="1" bestFit="1" customWidth="1"/>
    <col min="4366" max="4614" width="9.140625" style="1"/>
    <col min="4615" max="4615" width="6" style="1" customWidth="1"/>
    <col min="4616" max="4616" width="23.85546875" style="1" customWidth="1"/>
    <col min="4617" max="4617" width="18.140625" style="1" customWidth="1"/>
    <col min="4618" max="4618" width="3.140625" style="1" customWidth="1"/>
    <col min="4619" max="4619" width="18.5703125" style="1" customWidth="1"/>
    <col min="4620" max="4620" width="20.140625" style="1" bestFit="1" customWidth="1"/>
    <col min="4621" max="4621" width="11.7109375" style="1" bestFit="1" customWidth="1"/>
    <col min="4622" max="4870" width="9.140625" style="1"/>
    <col min="4871" max="4871" width="6" style="1" customWidth="1"/>
    <col min="4872" max="4872" width="23.85546875" style="1" customWidth="1"/>
    <col min="4873" max="4873" width="18.140625" style="1" customWidth="1"/>
    <col min="4874" max="4874" width="3.140625" style="1" customWidth="1"/>
    <col min="4875" max="4875" width="18.5703125" style="1" customWidth="1"/>
    <col min="4876" max="4876" width="20.140625" style="1" bestFit="1" customWidth="1"/>
    <col min="4877" max="4877" width="11.7109375" style="1" bestFit="1" customWidth="1"/>
    <col min="4878" max="5126" width="9.140625" style="1"/>
    <col min="5127" max="5127" width="6" style="1" customWidth="1"/>
    <col min="5128" max="5128" width="23.85546875" style="1" customWidth="1"/>
    <col min="5129" max="5129" width="18.140625" style="1" customWidth="1"/>
    <col min="5130" max="5130" width="3.140625" style="1" customWidth="1"/>
    <col min="5131" max="5131" width="18.5703125" style="1" customWidth="1"/>
    <col min="5132" max="5132" width="20.140625" style="1" bestFit="1" customWidth="1"/>
    <col min="5133" max="5133" width="11.7109375" style="1" bestFit="1" customWidth="1"/>
    <col min="5134" max="5382" width="9.140625" style="1"/>
    <col min="5383" max="5383" width="6" style="1" customWidth="1"/>
    <col min="5384" max="5384" width="23.85546875" style="1" customWidth="1"/>
    <col min="5385" max="5385" width="18.140625" style="1" customWidth="1"/>
    <col min="5386" max="5386" width="3.140625" style="1" customWidth="1"/>
    <col min="5387" max="5387" width="18.5703125" style="1" customWidth="1"/>
    <col min="5388" max="5388" width="20.140625" style="1" bestFit="1" customWidth="1"/>
    <col min="5389" max="5389" width="11.7109375" style="1" bestFit="1" customWidth="1"/>
    <col min="5390" max="5638" width="9.140625" style="1"/>
    <col min="5639" max="5639" width="6" style="1" customWidth="1"/>
    <col min="5640" max="5640" width="23.85546875" style="1" customWidth="1"/>
    <col min="5641" max="5641" width="18.140625" style="1" customWidth="1"/>
    <col min="5642" max="5642" width="3.140625" style="1" customWidth="1"/>
    <col min="5643" max="5643" width="18.5703125" style="1" customWidth="1"/>
    <col min="5644" max="5644" width="20.140625" style="1" bestFit="1" customWidth="1"/>
    <col min="5645" max="5645" width="11.7109375" style="1" bestFit="1" customWidth="1"/>
    <col min="5646" max="5894" width="9.140625" style="1"/>
    <col min="5895" max="5895" width="6" style="1" customWidth="1"/>
    <col min="5896" max="5896" width="23.85546875" style="1" customWidth="1"/>
    <col min="5897" max="5897" width="18.140625" style="1" customWidth="1"/>
    <col min="5898" max="5898" width="3.140625" style="1" customWidth="1"/>
    <col min="5899" max="5899" width="18.5703125" style="1" customWidth="1"/>
    <col min="5900" max="5900" width="20.140625" style="1" bestFit="1" customWidth="1"/>
    <col min="5901" max="5901" width="11.7109375" style="1" bestFit="1" customWidth="1"/>
    <col min="5902" max="6150" width="9.140625" style="1"/>
    <col min="6151" max="6151" width="6" style="1" customWidth="1"/>
    <col min="6152" max="6152" width="23.85546875" style="1" customWidth="1"/>
    <col min="6153" max="6153" width="18.140625" style="1" customWidth="1"/>
    <col min="6154" max="6154" width="3.140625" style="1" customWidth="1"/>
    <col min="6155" max="6155" width="18.5703125" style="1" customWidth="1"/>
    <col min="6156" max="6156" width="20.140625" style="1" bestFit="1" customWidth="1"/>
    <col min="6157" max="6157" width="11.7109375" style="1" bestFit="1" customWidth="1"/>
    <col min="6158" max="6406" width="9.140625" style="1"/>
    <col min="6407" max="6407" width="6" style="1" customWidth="1"/>
    <col min="6408" max="6408" width="23.85546875" style="1" customWidth="1"/>
    <col min="6409" max="6409" width="18.140625" style="1" customWidth="1"/>
    <col min="6410" max="6410" width="3.140625" style="1" customWidth="1"/>
    <col min="6411" max="6411" width="18.5703125" style="1" customWidth="1"/>
    <col min="6412" max="6412" width="20.140625" style="1" bestFit="1" customWidth="1"/>
    <col min="6413" max="6413" width="11.7109375" style="1" bestFit="1" customWidth="1"/>
    <col min="6414" max="6662" width="9.140625" style="1"/>
    <col min="6663" max="6663" width="6" style="1" customWidth="1"/>
    <col min="6664" max="6664" width="23.85546875" style="1" customWidth="1"/>
    <col min="6665" max="6665" width="18.140625" style="1" customWidth="1"/>
    <col min="6666" max="6666" width="3.140625" style="1" customWidth="1"/>
    <col min="6667" max="6667" width="18.5703125" style="1" customWidth="1"/>
    <col min="6668" max="6668" width="20.140625" style="1" bestFit="1" customWidth="1"/>
    <col min="6669" max="6669" width="11.7109375" style="1" bestFit="1" customWidth="1"/>
    <col min="6670" max="6918" width="9.140625" style="1"/>
    <col min="6919" max="6919" width="6" style="1" customWidth="1"/>
    <col min="6920" max="6920" width="23.85546875" style="1" customWidth="1"/>
    <col min="6921" max="6921" width="18.140625" style="1" customWidth="1"/>
    <col min="6922" max="6922" width="3.140625" style="1" customWidth="1"/>
    <col min="6923" max="6923" width="18.5703125" style="1" customWidth="1"/>
    <col min="6924" max="6924" width="20.140625" style="1" bestFit="1" customWidth="1"/>
    <col min="6925" max="6925" width="11.7109375" style="1" bestFit="1" customWidth="1"/>
    <col min="6926" max="7174" width="9.140625" style="1"/>
    <col min="7175" max="7175" width="6" style="1" customWidth="1"/>
    <col min="7176" max="7176" width="23.85546875" style="1" customWidth="1"/>
    <col min="7177" max="7177" width="18.140625" style="1" customWidth="1"/>
    <col min="7178" max="7178" width="3.140625" style="1" customWidth="1"/>
    <col min="7179" max="7179" width="18.5703125" style="1" customWidth="1"/>
    <col min="7180" max="7180" width="20.140625" style="1" bestFit="1" customWidth="1"/>
    <col min="7181" max="7181" width="11.7109375" style="1" bestFit="1" customWidth="1"/>
    <col min="7182" max="7430" width="9.140625" style="1"/>
    <col min="7431" max="7431" width="6" style="1" customWidth="1"/>
    <col min="7432" max="7432" width="23.85546875" style="1" customWidth="1"/>
    <col min="7433" max="7433" width="18.140625" style="1" customWidth="1"/>
    <col min="7434" max="7434" width="3.140625" style="1" customWidth="1"/>
    <col min="7435" max="7435" width="18.5703125" style="1" customWidth="1"/>
    <col min="7436" max="7436" width="20.140625" style="1" bestFit="1" customWidth="1"/>
    <col min="7437" max="7437" width="11.7109375" style="1" bestFit="1" customWidth="1"/>
    <col min="7438" max="7686" width="9.140625" style="1"/>
    <col min="7687" max="7687" width="6" style="1" customWidth="1"/>
    <col min="7688" max="7688" width="23.85546875" style="1" customWidth="1"/>
    <col min="7689" max="7689" width="18.140625" style="1" customWidth="1"/>
    <col min="7690" max="7690" width="3.140625" style="1" customWidth="1"/>
    <col min="7691" max="7691" width="18.5703125" style="1" customWidth="1"/>
    <col min="7692" max="7692" width="20.140625" style="1" bestFit="1" customWidth="1"/>
    <col min="7693" max="7693" width="11.7109375" style="1" bestFit="1" customWidth="1"/>
    <col min="7694" max="7942" width="9.140625" style="1"/>
    <col min="7943" max="7943" width="6" style="1" customWidth="1"/>
    <col min="7944" max="7944" width="23.85546875" style="1" customWidth="1"/>
    <col min="7945" max="7945" width="18.140625" style="1" customWidth="1"/>
    <col min="7946" max="7946" width="3.140625" style="1" customWidth="1"/>
    <col min="7947" max="7947" width="18.5703125" style="1" customWidth="1"/>
    <col min="7948" max="7948" width="20.140625" style="1" bestFit="1" customWidth="1"/>
    <col min="7949" max="7949" width="11.7109375" style="1" bestFit="1" customWidth="1"/>
    <col min="7950" max="8198" width="9.140625" style="1"/>
    <col min="8199" max="8199" width="6" style="1" customWidth="1"/>
    <col min="8200" max="8200" width="23.85546875" style="1" customWidth="1"/>
    <col min="8201" max="8201" width="18.140625" style="1" customWidth="1"/>
    <col min="8202" max="8202" width="3.140625" style="1" customWidth="1"/>
    <col min="8203" max="8203" width="18.5703125" style="1" customWidth="1"/>
    <col min="8204" max="8204" width="20.140625" style="1" bestFit="1" customWidth="1"/>
    <col min="8205" max="8205" width="11.7109375" style="1" bestFit="1" customWidth="1"/>
    <col min="8206" max="8454" width="9.140625" style="1"/>
    <col min="8455" max="8455" width="6" style="1" customWidth="1"/>
    <col min="8456" max="8456" width="23.85546875" style="1" customWidth="1"/>
    <col min="8457" max="8457" width="18.140625" style="1" customWidth="1"/>
    <col min="8458" max="8458" width="3.140625" style="1" customWidth="1"/>
    <col min="8459" max="8459" width="18.5703125" style="1" customWidth="1"/>
    <col min="8460" max="8460" width="20.140625" style="1" bestFit="1" customWidth="1"/>
    <col min="8461" max="8461" width="11.7109375" style="1" bestFit="1" customWidth="1"/>
    <col min="8462" max="8710" width="9.140625" style="1"/>
    <col min="8711" max="8711" width="6" style="1" customWidth="1"/>
    <col min="8712" max="8712" width="23.85546875" style="1" customWidth="1"/>
    <col min="8713" max="8713" width="18.140625" style="1" customWidth="1"/>
    <col min="8714" max="8714" width="3.140625" style="1" customWidth="1"/>
    <col min="8715" max="8715" width="18.5703125" style="1" customWidth="1"/>
    <col min="8716" max="8716" width="20.140625" style="1" bestFit="1" customWidth="1"/>
    <col min="8717" max="8717" width="11.7109375" style="1" bestFit="1" customWidth="1"/>
    <col min="8718" max="8966" width="9.140625" style="1"/>
    <col min="8967" max="8967" width="6" style="1" customWidth="1"/>
    <col min="8968" max="8968" width="23.85546875" style="1" customWidth="1"/>
    <col min="8969" max="8969" width="18.140625" style="1" customWidth="1"/>
    <col min="8970" max="8970" width="3.140625" style="1" customWidth="1"/>
    <col min="8971" max="8971" width="18.5703125" style="1" customWidth="1"/>
    <col min="8972" max="8972" width="20.140625" style="1" bestFit="1" customWidth="1"/>
    <col min="8973" max="8973" width="11.7109375" style="1" bestFit="1" customWidth="1"/>
    <col min="8974" max="9222" width="9.140625" style="1"/>
    <col min="9223" max="9223" width="6" style="1" customWidth="1"/>
    <col min="9224" max="9224" width="23.85546875" style="1" customWidth="1"/>
    <col min="9225" max="9225" width="18.140625" style="1" customWidth="1"/>
    <col min="9226" max="9226" width="3.140625" style="1" customWidth="1"/>
    <col min="9227" max="9227" width="18.5703125" style="1" customWidth="1"/>
    <col min="9228" max="9228" width="20.140625" style="1" bestFit="1" customWidth="1"/>
    <col min="9229" max="9229" width="11.7109375" style="1" bestFit="1" customWidth="1"/>
    <col min="9230" max="9478" width="9.140625" style="1"/>
    <col min="9479" max="9479" width="6" style="1" customWidth="1"/>
    <col min="9480" max="9480" width="23.85546875" style="1" customWidth="1"/>
    <col min="9481" max="9481" width="18.140625" style="1" customWidth="1"/>
    <col min="9482" max="9482" width="3.140625" style="1" customWidth="1"/>
    <col min="9483" max="9483" width="18.5703125" style="1" customWidth="1"/>
    <col min="9484" max="9484" width="20.140625" style="1" bestFit="1" customWidth="1"/>
    <col min="9485" max="9485" width="11.7109375" style="1" bestFit="1" customWidth="1"/>
    <col min="9486" max="9734" width="9.140625" style="1"/>
    <col min="9735" max="9735" width="6" style="1" customWidth="1"/>
    <col min="9736" max="9736" width="23.85546875" style="1" customWidth="1"/>
    <col min="9737" max="9737" width="18.140625" style="1" customWidth="1"/>
    <col min="9738" max="9738" width="3.140625" style="1" customWidth="1"/>
    <col min="9739" max="9739" width="18.5703125" style="1" customWidth="1"/>
    <col min="9740" max="9740" width="20.140625" style="1" bestFit="1" customWidth="1"/>
    <col min="9741" max="9741" width="11.7109375" style="1" bestFit="1" customWidth="1"/>
    <col min="9742" max="9990" width="9.140625" style="1"/>
    <col min="9991" max="9991" width="6" style="1" customWidth="1"/>
    <col min="9992" max="9992" width="23.85546875" style="1" customWidth="1"/>
    <col min="9993" max="9993" width="18.140625" style="1" customWidth="1"/>
    <col min="9994" max="9994" width="3.140625" style="1" customWidth="1"/>
    <col min="9995" max="9995" width="18.5703125" style="1" customWidth="1"/>
    <col min="9996" max="9996" width="20.140625" style="1" bestFit="1" customWidth="1"/>
    <col min="9997" max="9997" width="11.7109375" style="1" bestFit="1" customWidth="1"/>
    <col min="9998" max="10246" width="9.140625" style="1"/>
    <col min="10247" max="10247" width="6" style="1" customWidth="1"/>
    <col min="10248" max="10248" width="23.85546875" style="1" customWidth="1"/>
    <col min="10249" max="10249" width="18.140625" style="1" customWidth="1"/>
    <col min="10250" max="10250" width="3.140625" style="1" customWidth="1"/>
    <col min="10251" max="10251" width="18.5703125" style="1" customWidth="1"/>
    <col min="10252" max="10252" width="20.140625" style="1" bestFit="1" customWidth="1"/>
    <col min="10253" max="10253" width="11.7109375" style="1" bestFit="1" customWidth="1"/>
    <col min="10254" max="10502" width="9.140625" style="1"/>
    <col min="10503" max="10503" width="6" style="1" customWidth="1"/>
    <col min="10504" max="10504" width="23.85546875" style="1" customWidth="1"/>
    <col min="10505" max="10505" width="18.140625" style="1" customWidth="1"/>
    <col min="10506" max="10506" width="3.140625" style="1" customWidth="1"/>
    <col min="10507" max="10507" width="18.5703125" style="1" customWidth="1"/>
    <col min="10508" max="10508" width="20.140625" style="1" bestFit="1" customWidth="1"/>
    <col min="10509" max="10509" width="11.7109375" style="1" bestFit="1" customWidth="1"/>
    <col min="10510" max="10758" width="9.140625" style="1"/>
    <col min="10759" max="10759" width="6" style="1" customWidth="1"/>
    <col min="10760" max="10760" width="23.85546875" style="1" customWidth="1"/>
    <col min="10761" max="10761" width="18.140625" style="1" customWidth="1"/>
    <col min="10762" max="10762" width="3.140625" style="1" customWidth="1"/>
    <col min="10763" max="10763" width="18.5703125" style="1" customWidth="1"/>
    <col min="10764" max="10764" width="20.140625" style="1" bestFit="1" customWidth="1"/>
    <col min="10765" max="10765" width="11.7109375" style="1" bestFit="1" customWidth="1"/>
    <col min="10766" max="11014" width="9.140625" style="1"/>
    <col min="11015" max="11015" width="6" style="1" customWidth="1"/>
    <col min="11016" max="11016" width="23.85546875" style="1" customWidth="1"/>
    <col min="11017" max="11017" width="18.140625" style="1" customWidth="1"/>
    <col min="11018" max="11018" width="3.140625" style="1" customWidth="1"/>
    <col min="11019" max="11019" width="18.5703125" style="1" customWidth="1"/>
    <col min="11020" max="11020" width="20.140625" style="1" bestFit="1" customWidth="1"/>
    <col min="11021" max="11021" width="11.7109375" style="1" bestFit="1" customWidth="1"/>
    <col min="11022" max="11270" width="9.140625" style="1"/>
    <col min="11271" max="11271" width="6" style="1" customWidth="1"/>
    <col min="11272" max="11272" width="23.85546875" style="1" customWidth="1"/>
    <col min="11273" max="11273" width="18.140625" style="1" customWidth="1"/>
    <col min="11274" max="11274" width="3.140625" style="1" customWidth="1"/>
    <col min="11275" max="11275" width="18.5703125" style="1" customWidth="1"/>
    <col min="11276" max="11276" width="20.140625" style="1" bestFit="1" customWidth="1"/>
    <col min="11277" max="11277" width="11.7109375" style="1" bestFit="1" customWidth="1"/>
    <col min="11278" max="11526" width="9.140625" style="1"/>
    <col min="11527" max="11527" width="6" style="1" customWidth="1"/>
    <col min="11528" max="11528" width="23.85546875" style="1" customWidth="1"/>
    <col min="11529" max="11529" width="18.140625" style="1" customWidth="1"/>
    <col min="11530" max="11530" width="3.140625" style="1" customWidth="1"/>
    <col min="11531" max="11531" width="18.5703125" style="1" customWidth="1"/>
    <col min="11532" max="11532" width="20.140625" style="1" bestFit="1" customWidth="1"/>
    <col min="11533" max="11533" width="11.7109375" style="1" bestFit="1" customWidth="1"/>
    <col min="11534" max="11782" width="9.140625" style="1"/>
    <col min="11783" max="11783" width="6" style="1" customWidth="1"/>
    <col min="11784" max="11784" width="23.85546875" style="1" customWidth="1"/>
    <col min="11785" max="11785" width="18.140625" style="1" customWidth="1"/>
    <col min="11786" max="11786" width="3.140625" style="1" customWidth="1"/>
    <col min="11787" max="11787" width="18.5703125" style="1" customWidth="1"/>
    <col min="11788" max="11788" width="20.140625" style="1" bestFit="1" customWidth="1"/>
    <col min="11789" max="11789" width="11.7109375" style="1" bestFit="1" customWidth="1"/>
    <col min="11790" max="12038" width="9.140625" style="1"/>
    <col min="12039" max="12039" width="6" style="1" customWidth="1"/>
    <col min="12040" max="12040" width="23.85546875" style="1" customWidth="1"/>
    <col min="12041" max="12041" width="18.140625" style="1" customWidth="1"/>
    <col min="12042" max="12042" width="3.140625" style="1" customWidth="1"/>
    <col min="12043" max="12043" width="18.5703125" style="1" customWidth="1"/>
    <col min="12044" max="12044" width="20.140625" style="1" bestFit="1" customWidth="1"/>
    <col min="12045" max="12045" width="11.7109375" style="1" bestFit="1" customWidth="1"/>
    <col min="12046" max="12294" width="9.140625" style="1"/>
    <col min="12295" max="12295" width="6" style="1" customWidth="1"/>
    <col min="12296" max="12296" width="23.85546875" style="1" customWidth="1"/>
    <col min="12297" max="12297" width="18.140625" style="1" customWidth="1"/>
    <col min="12298" max="12298" width="3.140625" style="1" customWidth="1"/>
    <col min="12299" max="12299" width="18.5703125" style="1" customWidth="1"/>
    <col min="12300" max="12300" width="20.140625" style="1" bestFit="1" customWidth="1"/>
    <col min="12301" max="12301" width="11.7109375" style="1" bestFit="1" customWidth="1"/>
    <col min="12302" max="12550" width="9.140625" style="1"/>
    <col min="12551" max="12551" width="6" style="1" customWidth="1"/>
    <col min="12552" max="12552" width="23.85546875" style="1" customWidth="1"/>
    <col min="12553" max="12553" width="18.140625" style="1" customWidth="1"/>
    <col min="12554" max="12554" width="3.140625" style="1" customWidth="1"/>
    <col min="12555" max="12555" width="18.5703125" style="1" customWidth="1"/>
    <col min="12556" max="12556" width="20.140625" style="1" bestFit="1" customWidth="1"/>
    <col min="12557" max="12557" width="11.7109375" style="1" bestFit="1" customWidth="1"/>
    <col min="12558" max="12806" width="9.140625" style="1"/>
    <col min="12807" max="12807" width="6" style="1" customWidth="1"/>
    <col min="12808" max="12808" width="23.85546875" style="1" customWidth="1"/>
    <col min="12809" max="12809" width="18.140625" style="1" customWidth="1"/>
    <col min="12810" max="12810" width="3.140625" style="1" customWidth="1"/>
    <col min="12811" max="12811" width="18.5703125" style="1" customWidth="1"/>
    <col min="12812" max="12812" width="20.140625" style="1" bestFit="1" customWidth="1"/>
    <col min="12813" max="12813" width="11.7109375" style="1" bestFit="1" customWidth="1"/>
    <col min="12814" max="13062" width="9.140625" style="1"/>
    <col min="13063" max="13063" width="6" style="1" customWidth="1"/>
    <col min="13064" max="13064" width="23.85546875" style="1" customWidth="1"/>
    <col min="13065" max="13065" width="18.140625" style="1" customWidth="1"/>
    <col min="13066" max="13066" width="3.140625" style="1" customWidth="1"/>
    <col min="13067" max="13067" width="18.5703125" style="1" customWidth="1"/>
    <col min="13068" max="13068" width="20.140625" style="1" bestFit="1" customWidth="1"/>
    <col min="13069" max="13069" width="11.7109375" style="1" bestFit="1" customWidth="1"/>
    <col min="13070" max="13318" width="9.140625" style="1"/>
    <col min="13319" max="13319" width="6" style="1" customWidth="1"/>
    <col min="13320" max="13320" width="23.85546875" style="1" customWidth="1"/>
    <col min="13321" max="13321" width="18.140625" style="1" customWidth="1"/>
    <col min="13322" max="13322" width="3.140625" style="1" customWidth="1"/>
    <col min="13323" max="13323" width="18.5703125" style="1" customWidth="1"/>
    <col min="13324" max="13324" width="20.140625" style="1" bestFit="1" customWidth="1"/>
    <col min="13325" max="13325" width="11.7109375" style="1" bestFit="1" customWidth="1"/>
    <col min="13326" max="13574" width="9.140625" style="1"/>
    <col min="13575" max="13575" width="6" style="1" customWidth="1"/>
    <col min="13576" max="13576" width="23.85546875" style="1" customWidth="1"/>
    <col min="13577" max="13577" width="18.140625" style="1" customWidth="1"/>
    <col min="13578" max="13578" width="3.140625" style="1" customWidth="1"/>
    <col min="13579" max="13579" width="18.5703125" style="1" customWidth="1"/>
    <col min="13580" max="13580" width="20.140625" style="1" bestFit="1" customWidth="1"/>
    <col min="13581" max="13581" width="11.7109375" style="1" bestFit="1" customWidth="1"/>
    <col min="13582" max="13830" width="9.140625" style="1"/>
    <col min="13831" max="13831" width="6" style="1" customWidth="1"/>
    <col min="13832" max="13832" width="23.85546875" style="1" customWidth="1"/>
    <col min="13833" max="13833" width="18.140625" style="1" customWidth="1"/>
    <col min="13834" max="13834" width="3.140625" style="1" customWidth="1"/>
    <col min="13835" max="13835" width="18.5703125" style="1" customWidth="1"/>
    <col min="13836" max="13836" width="20.140625" style="1" bestFit="1" customWidth="1"/>
    <col min="13837" max="13837" width="11.7109375" style="1" bestFit="1" customWidth="1"/>
    <col min="13838" max="14086" width="9.140625" style="1"/>
    <col min="14087" max="14087" width="6" style="1" customWidth="1"/>
    <col min="14088" max="14088" width="23.85546875" style="1" customWidth="1"/>
    <col min="14089" max="14089" width="18.140625" style="1" customWidth="1"/>
    <col min="14090" max="14090" width="3.140625" style="1" customWidth="1"/>
    <col min="14091" max="14091" width="18.5703125" style="1" customWidth="1"/>
    <col min="14092" max="14092" width="20.140625" style="1" bestFit="1" customWidth="1"/>
    <col min="14093" max="14093" width="11.7109375" style="1" bestFit="1" customWidth="1"/>
    <col min="14094" max="14342" width="9.140625" style="1"/>
    <col min="14343" max="14343" width="6" style="1" customWidth="1"/>
    <col min="14344" max="14344" width="23.85546875" style="1" customWidth="1"/>
    <col min="14345" max="14345" width="18.140625" style="1" customWidth="1"/>
    <col min="14346" max="14346" width="3.140625" style="1" customWidth="1"/>
    <col min="14347" max="14347" width="18.5703125" style="1" customWidth="1"/>
    <col min="14348" max="14348" width="20.140625" style="1" bestFit="1" customWidth="1"/>
    <col min="14349" max="14349" width="11.7109375" style="1" bestFit="1" customWidth="1"/>
    <col min="14350" max="14598" width="9.140625" style="1"/>
    <col min="14599" max="14599" width="6" style="1" customWidth="1"/>
    <col min="14600" max="14600" width="23.85546875" style="1" customWidth="1"/>
    <col min="14601" max="14601" width="18.140625" style="1" customWidth="1"/>
    <col min="14602" max="14602" width="3.140625" style="1" customWidth="1"/>
    <col min="14603" max="14603" width="18.5703125" style="1" customWidth="1"/>
    <col min="14604" max="14604" width="20.140625" style="1" bestFit="1" customWidth="1"/>
    <col min="14605" max="14605" width="11.7109375" style="1" bestFit="1" customWidth="1"/>
    <col min="14606" max="14854" width="9.140625" style="1"/>
    <col min="14855" max="14855" width="6" style="1" customWidth="1"/>
    <col min="14856" max="14856" width="23.85546875" style="1" customWidth="1"/>
    <col min="14857" max="14857" width="18.140625" style="1" customWidth="1"/>
    <col min="14858" max="14858" width="3.140625" style="1" customWidth="1"/>
    <col min="14859" max="14859" width="18.5703125" style="1" customWidth="1"/>
    <col min="14860" max="14860" width="20.140625" style="1" bestFit="1" customWidth="1"/>
    <col min="14861" max="14861" width="11.7109375" style="1" bestFit="1" customWidth="1"/>
    <col min="14862" max="15110" width="9.140625" style="1"/>
    <col min="15111" max="15111" width="6" style="1" customWidth="1"/>
    <col min="15112" max="15112" width="23.85546875" style="1" customWidth="1"/>
    <col min="15113" max="15113" width="18.140625" style="1" customWidth="1"/>
    <col min="15114" max="15114" width="3.140625" style="1" customWidth="1"/>
    <col min="15115" max="15115" width="18.5703125" style="1" customWidth="1"/>
    <col min="15116" max="15116" width="20.140625" style="1" bestFit="1" customWidth="1"/>
    <col min="15117" max="15117" width="11.7109375" style="1" bestFit="1" customWidth="1"/>
    <col min="15118" max="15366" width="9.140625" style="1"/>
    <col min="15367" max="15367" width="6" style="1" customWidth="1"/>
    <col min="15368" max="15368" width="23.85546875" style="1" customWidth="1"/>
    <col min="15369" max="15369" width="18.140625" style="1" customWidth="1"/>
    <col min="15370" max="15370" width="3.140625" style="1" customWidth="1"/>
    <col min="15371" max="15371" width="18.5703125" style="1" customWidth="1"/>
    <col min="15372" max="15372" width="20.140625" style="1" bestFit="1" customWidth="1"/>
    <col min="15373" max="15373" width="11.7109375" style="1" bestFit="1" customWidth="1"/>
    <col min="15374" max="15622" width="9.140625" style="1"/>
    <col min="15623" max="15623" width="6" style="1" customWidth="1"/>
    <col min="15624" max="15624" width="23.85546875" style="1" customWidth="1"/>
    <col min="15625" max="15625" width="18.140625" style="1" customWidth="1"/>
    <col min="15626" max="15626" width="3.140625" style="1" customWidth="1"/>
    <col min="15627" max="15627" width="18.5703125" style="1" customWidth="1"/>
    <col min="15628" max="15628" width="20.140625" style="1" bestFit="1" customWidth="1"/>
    <col min="15629" max="15629" width="11.7109375" style="1" bestFit="1" customWidth="1"/>
    <col min="15630" max="15878" width="9.140625" style="1"/>
    <col min="15879" max="15879" width="6" style="1" customWidth="1"/>
    <col min="15880" max="15880" width="23.85546875" style="1" customWidth="1"/>
    <col min="15881" max="15881" width="18.140625" style="1" customWidth="1"/>
    <col min="15882" max="15882" width="3.140625" style="1" customWidth="1"/>
    <col min="15883" max="15883" width="18.5703125" style="1" customWidth="1"/>
    <col min="15884" max="15884" width="20.140625" style="1" bestFit="1" customWidth="1"/>
    <col min="15885" max="15885" width="11.7109375" style="1" bestFit="1" customWidth="1"/>
    <col min="15886" max="16134" width="9.140625" style="1"/>
    <col min="16135" max="16135" width="6" style="1" customWidth="1"/>
    <col min="16136" max="16136" width="23.85546875" style="1" customWidth="1"/>
    <col min="16137" max="16137" width="18.140625" style="1" customWidth="1"/>
    <col min="16138" max="16138" width="3.140625" style="1" customWidth="1"/>
    <col min="16139" max="16139" width="18.5703125" style="1" customWidth="1"/>
    <col min="16140" max="16140" width="20.140625" style="1" bestFit="1" customWidth="1"/>
    <col min="16141" max="16141" width="11.7109375" style="1" bestFit="1" customWidth="1"/>
    <col min="16142" max="16384" width="9.140625" style="1"/>
  </cols>
  <sheetData>
    <row r="1" spans="1:256" x14ac:dyDescent="0.3">
      <c r="A1" s="144" t="s">
        <v>180</v>
      </c>
      <c r="B1" s="144"/>
      <c r="C1" s="144"/>
      <c r="D1" s="144"/>
      <c r="E1" s="126"/>
      <c r="F1" s="143" t="s">
        <v>0</v>
      </c>
      <c r="G1" s="143"/>
      <c r="H1" s="143"/>
      <c r="I1" s="143"/>
      <c r="J1" s="126"/>
    </row>
    <row r="2" spans="1:256" x14ac:dyDescent="0.3">
      <c r="A2" s="143" t="s">
        <v>179</v>
      </c>
      <c r="B2" s="143"/>
      <c r="C2" s="143"/>
      <c r="D2" s="143"/>
      <c r="E2" s="126"/>
      <c r="F2" s="143" t="s">
        <v>53</v>
      </c>
      <c r="G2" s="143"/>
      <c r="H2" s="143"/>
      <c r="I2" s="143"/>
      <c r="J2" s="127"/>
    </row>
    <row r="3" spans="1:256" x14ac:dyDescent="0.3">
      <c r="B3" s="3"/>
      <c r="F3" s="3"/>
      <c r="I3" s="1"/>
      <c r="J3" s="4"/>
    </row>
    <row r="4" spans="1:256" x14ac:dyDescent="0.3">
      <c r="B4" s="3"/>
      <c r="F4" s="3"/>
      <c r="I4" s="1"/>
      <c r="J4" s="4"/>
    </row>
    <row r="5" spans="1:256" ht="22.5" x14ac:dyDescent="0.3">
      <c r="A5" s="189" t="s">
        <v>1</v>
      </c>
      <c r="B5" s="189"/>
      <c r="C5" s="189"/>
      <c r="D5" s="189"/>
      <c r="E5" s="189"/>
      <c r="F5" s="189"/>
      <c r="G5" s="189"/>
      <c r="H5" s="189"/>
      <c r="I5" s="189"/>
      <c r="J5" s="125"/>
    </row>
    <row r="6" spans="1:256" x14ac:dyDescent="0.3">
      <c r="A6" s="143" t="s">
        <v>37</v>
      </c>
      <c r="B6" s="143"/>
      <c r="C6" s="143"/>
      <c r="D6" s="143"/>
      <c r="E6" s="143"/>
      <c r="F6" s="143"/>
      <c r="G6" s="143"/>
      <c r="H6" s="143"/>
      <c r="I6" s="143"/>
    </row>
    <row r="7" spans="1:256" ht="38.25" customHeight="1" x14ac:dyDescent="0.3">
      <c r="A7" s="142" t="s">
        <v>192</v>
      </c>
      <c r="B7" s="142"/>
      <c r="C7" s="142"/>
      <c r="D7" s="142"/>
      <c r="E7" s="142"/>
      <c r="F7" s="142"/>
      <c r="G7" s="142"/>
      <c r="H7" s="142"/>
      <c r="I7" s="142"/>
      <c r="J7" s="22"/>
      <c r="K7" s="22"/>
      <c r="L7" s="22"/>
      <c r="M7" s="5"/>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c r="IV7" s="22"/>
    </row>
    <row r="8" spans="1:256" x14ac:dyDescent="0.3">
      <c r="B8" s="3"/>
      <c r="I8" s="100" t="s">
        <v>106</v>
      </c>
    </row>
    <row r="9" spans="1:256" s="96" customFormat="1" ht="33.75" customHeight="1" x14ac:dyDescent="0.25">
      <c r="A9" s="98" t="s">
        <v>107</v>
      </c>
      <c r="B9" s="173" t="s">
        <v>111</v>
      </c>
      <c r="C9" s="173"/>
      <c r="D9" s="173"/>
      <c r="E9" s="173"/>
      <c r="F9" s="173"/>
      <c r="G9" s="173"/>
      <c r="H9" s="173"/>
      <c r="I9" s="99" t="s">
        <v>109</v>
      </c>
      <c r="M9" s="97"/>
    </row>
    <row r="10" spans="1:256" s="28" customFormat="1" ht="20.25" x14ac:dyDescent="0.3">
      <c r="A10" s="101">
        <v>1</v>
      </c>
      <c r="B10" s="174" t="s">
        <v>152</v>
      </c>
      <c r="C10" s="175"/>
      <c r="D10" s="175"/>
      <c r="E10" s="175"/>
      <c r="F10" s="175"/>
      <c r="G10" s="175"/>
      <c r="H10" s="176"/>
      <c r="I10" s="119">
        <f>SUM(I11:I23)</f>
        <v>298920000</v>
      </c>
      <c r="K10" s="45"/>
      <c r="M10" s="29"/>
    </row>
    <row r="11" spans="1:256" ht="20.25" x14ac:dyDescent="0.3">
      <c r="A11" s="104"/>
      <c r="B11" s="177" t="s">
        <v>40</v>
      </c>
      <c r="C11" s="178"/>
      <c r="D11" s="178"/>
      <c r="E11" s="178"/>
      <c r="F11" s="178"/>
      <c r="G11" s="178"/>
      <c r="H11" s="179"/>
      <c r="I11" s="78"/>
      <c r="K11" s="46"/>
    </row>
    <row r="12" spans="1:256" ht="20.25" x14ac:dyDescent="0.3">
      <c r="A12" s="104"/>
      <c r="B12" s="180" t="s">
        <v>38</v>
      </c>
      <c r="C12" s="181"/>
      <c r="D12" s="181"/>
      <c r="E12" s="181"/>
      <c r="F12" s="181"/>
      <c r="G12" s="181"/>
      <c r="H12" s="182"/>
      <c r="I12" s="78">
        <f>51*200000*4</f>
        <v>40800000</v>
      </c>
      <c r="K12" s="46"/>
    </row>
    <row r="13" spans="1:256" ht="20.25" x14ac:dyDescent="0.3">
      <c r="A13" s="104"/>
      <c r="B13" s="180" t="s">
        <v>2</v>
      </c>
      <c r="C13" s="181"/>
      <c r="D13" s="181"/>
      <c r="E13" s="181"/>
      <c r="F13" s="181"/>
      <c r="G13" s="181"/>
      <c r="H13" s="182"/>
      <c r="I13" s="78"/>
      <c r="K13" s="46"/>
    </row>
    <row r="14" spans="1:256" ht="20.25" x14ac:dyDescent="0.3">
      <c r="A14" s="104"/>
      <c r="B14" s="180" t="s">
        <v>39</v>
      </c>
      <c r="C14" s="181"/>
      <c r="D14" s="181"/>
      <c r="E14" s="181"/>
      <c r="F14" s="181"/>
      <c r="G14" s="181"/>
      <c r="H14" s="182"/>
      <c r="I14" s="78">
        <f>51*20000*6</f>
        <v>6120000</v>
      </c>
      <c r="K14" s="46"/>
    </row>
    <row r="15" spans="1:256" ht="20.25" x14ac:dyDescent="0.3">
      <c r="A15" s="104"/>
      <c r="B15" s="180" t="s">
        <v>41</v>
      </c>
      <c r="C15" s="181"/>
      <c r="D15" s="181"/>
      <c r="E15" s="181"/>
      <c r="F15" s="181"/>
      <c r="G15" s="181"/>
      <c r="H15" s="182"/>
      <c r="I15" s="78">
        <f>20000000*6</f>
        <v>120000000</v>
      </c>
      <c r="K15" s="46"/>
    </row>
    <row r="16" spans="1:256" ht="20.25" x14ac:dyDescent="0.3">
      <c r="A16" s="104"/>
      <c r="B16" s="180" t="s">
        <v>3</v>
      </c>
      <c r="C16" s="181"/>
      <c r="D16" s="181"/>
      <c r="E16" s="181"/>
      <c r="F16" s="181"/>
      <c r="G16" s="181"/>
      <c r="H16" s="182"/>
      <c r="I16" s="78"/>
      <c r="K16" s="46"/>
    </row>
    <row r="17" spans="1:13" ht="20.25" x14ac:dyDescent="0.3">
      <c r="A17" s="104"/>
      <c r="B17" s="156" t="s">
        <v>42</v>
      </c>
      <c r="C17" s="157"/>
      <c r="D17" s="157"/>
      <c r="E17" s="157"/>
      <c r="F17" s="157"/>
      <c r="G17" s="157"/>
      <c r="H17" s="158"/>
      <c r="I17" s="78">
        <f>100*40000*3*6</f>
        <v>72000000</v>
      </c>
      <c r="K17" s="46"/>
    </row>
    <row r="18" spans="1:13" ht="20.25" x14ac:dyDescent="0.3">
      <c r="A18" s="104"/>
      <c r="B18" s="180" t="s">
        <v>4</v>
      </c>
      <c r="C18" s="181"/>
      <c r="D18" s="181"/>
      <c r="E18" s="181"/>
      <c r="F18" s="181"/>
      <c r="G18" s="181"/>
      <c r="H18" s="182"/>
      <c r="I18" s="78"/>
      <c r="K18" s="46"/>
      <c r="M18" s="1"/>
    </row>
    <row r="19" spans="1:13" ht="20.25" x14ac:dyDescent="0.3">
      <c r="A19" s="104"/>
      <c r="B19" s="180" t="s">
        <v>43</v>
      </c>
      <c r="C19" s="181"/>
      <c r="D19" s="181"/>
      <c r="E19" s="181"/>
      <c r="F19" s="181"/>
      <c r="G19" s="181"/>
      <c r="H19" s="182"/>
      <c r="I19" s="78">
        <f>4000000*2</f>
        <v>8000000</v>
      </c>
      <c r="K19" s="46"/>
      <c r="M19" s="1"/>
    </row>
    <row r="20" spans="1:13" ht="20.25" x14ac:dyDescent="0.3">
      <c r="A20" s="104"/>
      <c r="B20" s="180" t="s">
        <v>5</v>
      </c>
      <c r="C20" s="181"/>
      <c r="D20" s="181"/>
      <c r="E20" s="181"/>
      <c r="F20" s="181"/>
      <c r="G20" s="181"/>
      <c r="H20" s="182"/>
      <c r="I20" s="78"/>
      <c r="K20" s="46"/>
      <c r="M20" s="1"/>
    </row>
    <row r="21" spans="1:13" ht="20.25" x14ac:dyDescent="0.3">
      <c r="A21" s="104"/>
      <c r="B21" s="180" t="s">
        <v>44</v>
      </c>
      <c r="C21" s="181"/>
      <c r="D21" s="181"/>
      <c r="E21" s="181"/>
      <c r="F21" s="181"/>
      <c r="G21" s="181"/>
      <c r="H21" s="182"/>
      <c r="I21" s="78">
        <f>500000*2</f>
        <v>1000000</v>
      </c>
      <c r="K21" s="46"/>
      <c r="M21" s="1"/>
    </row>
    <row r="22" spans="1:13" ht="20.25" x14ac:dyDescent="0.3">
      <c r="A22" s="104"/>
      <c r="B22" s="180" t="s">
        <v>45</v>
      </c>
      <c r="C22" s="181"/>
      <c r="D22" s="181"/>
      <c r="E22" s="181"/>
      <c r="F22" s="181"/>
      <c r="G22" s="181"/>
      <c r="H22" s="182"/>
      <c r="I22" s="78">
        <f>5000000*6</f>
        <v>30000000</v>
      </c>
      <c r="K22" s="46"/>
      <c r="M22" s="1"/>
    </row>
    <row r="23" spans="1:13" ht="20.25" x14ac:dyDescent="0.3">
      <c r="A23" s="104"/>
      <c r="B23" s="180" t="s">
        <v>6</v>
      </c>
      <c r="C23" s="181"/>
      <c r="D23" s="181"/>
      <c r="E23" s="181"/>
      <c r="F23" s="181"/>
      <c r="G23" s="181"/>
      <c r="H23" s="182"/>
      <c r="I23" s="78">
        <v>21000000</v>
      </c>
      <c r="K23" s="46"/>
      <c r="M23" s="1"/>
    </row>
    <row r="24" spans="1:13" s="31" customFormat="1" ht="46.5" customHeight="1" x14ac:dyDescent="0.35">
      <c r="A24" s="128">
        <v>2</v>
      </c>
      <c r="B24" s="162" t="s">
        <v>153</v>
      </c>
      <c r="C24" s="163"/>
      <c r="D24" s="163"/>
      <c r="E24" s="163"/>
      <c r="F24" s="163"/>
      <c r="G24" s="163"/>
      <c r="H24" s="163"/>
      <c r="I24" s="120">
        <f>SUM(I25:I33)</f>
        <v>260120000</v>
      </c>
      <c r="J24" s="30"/>
      <c r="K24" s="47"/>
    </row>
    <row r="25" spans="1:13" customFormat="1" ht="21" x14ac:dyDescent="0.35">
      <c r="A25" s="105"/>
      <c r="B25" s="186" t="s">
        <v>54</v>
      </c>
      <c r="C25" s="187"/>
      <c r="D25" s="187"/>
      <c r="E25" s="187"/>
      <c r="F25" s="187"/>
      <c r="G25" s="187"/>
      <c r="H25" s="188"/>
      <c r="I25" s="121"/>
      <c r="J25" s="19"/>
      <c r="K25" s="48"/>
    </row>
    <row r="26" spans="1:13" customFormat="1" ht="21" x14ac:dyDescent="0.35">
      <c r="A26" s="105"/>
      <c r="B26" s="183" t="s">
        <v>90</v>
      </c>
      <c r="C26" s="184"/>
      <c r="D26" s="184"/>
      <c r="E26" s="184"/>
      <c r="F26" s="184"/>
      <c r="G26" s="184"/>
      <c r="H26" s="185"/>
      <c r="I26" s="79">
        <f>136*150000*2*2</f>
        <v>81600000</v>
      </c>
      <c r="J26" s="20"/>
      <c r="K26" s="48"/>
    </row>
    <row r="27" spans="1:13" customFormat="1" ht="21" x14ac:dyDescent="0.35">
      <c r="A27" s="105"/>
      <c r="B27" s="186" t="s">
        <v>56</v>
      </c>
      <c r="C27" s="187"/>
      <c r="D27" s="187"/>
      <c r="E27" s="187"/>
      <c r="F27" s="187"/>
      <c r="G27" s="187"/>
      <c r="H27" s="188"/>
      <c r="I27" s="121"/>
      <c r="J27" s="19"/>
      <c r="K27" s="48"/>
    </row>
    <row r="28" spans="1:13" customFormat="1" ht="21" x14ac:dyDescent="0.35">
      <c r="A28" s="105"/>
      <c r="B28" s="183" t="s">
        <v>102</v>
      </c>
      <c r="C28" s="184"/>
      <c r="D28" s="184"/>
      <c r="E28" s="184"/>
      <c r="F28" s="184"/>
      <c r="G28" s="184"/>
      <c r="H28" s="185"/>
      <c r="I28" s="79">
        <f>116*2*300000*2</f>
        <v>139200000</v>
      </c>
      <c r="J28" s="20"/>
      <c r="K28" s="48"/>
    </row>
    <row r="29" spans="1:13" customFormat="1" ht="21" x14ac:dyDescent="0.35">
      <c r="A29" s="105"/>
      <c r="B29" s="183" t="s">
        <v>55</v>
      </c>
      <c r="C29" s="184"/>
      <c r="D29" s="184"/>
      <c r="E29" s="184"/>
      <c r="F29" s="184"/>
      <c r="G29" s="184"/>
      <c r="H29" s="185"/>
      <c r="I29" s="121"/>
      <c r="J29" s="19"/>
      <c r="K29" s="48"/>
    </row>
    <row r="30" spans="1:13" customFormat="1" ht="21" x14ac:dyDescent="0.35">
      <c r="A30" s="105"/>
      <c r="B30" s="183" t="s">
        <v>103</v>
      </c>
      <c r="C30" s="184"/>
      <c r="D30" s="184"/>
      <c r="E30" s="184"/>
      <c r="F30" s="184"/>
      <c r="G30" s="184"/>
      <c r="H30" s="185"/>
      <c r="I30" s="79">
        <f>126*30000*2</f>
        <v>7560000</v>
      </c>
      <c r="J30" s="20"/>
      <c r="K30" s="48"/>
    </row>
    <row r="31" spans="1:13" customFormat="1" ht="21" x14ac:dyDescent="0.35">
      <c r="A31" s="105"/>
      <c r="B31" s="186" t="s">
        <v>60</v>
      </c>
      <c r="C31" s="187"/>
      <c r="D31" s="187"/>
      <c r="E31" s="187"/>
      <c r="F31" s="187"/>
      <c r="G31" s="187"/>
      <c r="H31" s="188"/>
      <c r="I31" s="79">
        <f>5000000*2</f>
        <v>10000000</v>
      </c>
      <c r="J31" s="20"/>
      <c r="K31" s="48"/>
    </row>
    <row r="32" spans="1:13" customFormat="1" ht="21" x14ac:dyDescent="0.35">
      <c r="A32" s="105"/>
      <c r="B32" s="186" t="s">
        <v>3</v>
      </c>
      <c r="C32" s="187"/>
      <c r="D32" s="187"/>
      <c r="E32" s="187"/>
      <c r="F32" s="187"/>
      <c r="G32" s="187"/>
      <c r="H32" s="188"/>
      <c r="I32" s="121"/>
      <c r="J32" s="19"/>
      <c r="K32" s="48"/>
    </row>
    <row r="33" spans="1:13" customFormat="1" ht="21" x14ac:dyDescent="0.35">
      <c r="A33" s="105"/>
      <c r="B33" s="183" t="s">
        <v>101</v>
      </c>
      <c r="C33" s="184"/>
      <c r="D33" s="184"/>
      <c r="E33" s="184"/>
      <c r="F33" s="184"/>
      <c r="G33" s="184"/>
      <c r="H33" s="185"/>
      <c r="I33" s="79">
        <f>136*40000*2*2</f>
        <v>21760000</v>
      </c>
      <c r="J33" s="20"/>
      <c r="K33" s="48"/>
    </row>
    <row r="34" spans="1:13" s="68" customFormat="1" ht="36.75" customHeight="1" x14ac:dyDescent="0.25">
      <c r="A34" s="101">
        <v>3</v>
      </c>
      <c r="B34" s="172" t="s">
        <v>154</v>
      </c>
      <c r="C34" s="172"/>
      <c r="D34" s="172"/>
      <c r="E34" s="172"/>
      <c r="F34" s="172"/>
      <c r="G34" s="172"/>
      <c r="H34" s="172"/>
      <c r="I34" s="122">
        <f>I35+I51+I56+I72+I81+I86+I98+I77</f>
        <v>2616896000</v>
      </c>
      <c r="K34" s="69"/>
      <c r="M34" s="70"/>
    </row>
    <row r="35" spans="1:13" s="25" customFormat="1" ht="21" x14ac:dyDescent="0.35">
      <c r="A35" s="106" t="s">
        <v>112</v>
      </c>
      <c r="B35" s="196" t="s">
        <v>91</v>
      </c>
      <c r="C35" s="197"/>
      <c r="D35" s="197"/>
      <c r="E35" s="197"/>
      <c r="F35" s="197"/>
      <c r="G35" s="197"/>
      <c r="H35" s="198"/>
      <c r="I35" s="80">
        <f>SUM(I36:I50)</f>
        <v>98200000</v>
      </c>
      <c r="K35" s="49"/>
      <c r="M35" s="26"/>
    </row>
    <row r="36" spans="1:13" s="8" customFormat="1" ht="20.25" x14ac:dyDescent="0.3">
      <c r="A36" s="107"/>
      <c r="B36" s="190" t="s">
        <v>70</v>
      </c>
      <c r="C36" s="191"/>
      <c r="D36" s="191"/>
      <c r="E36" s="191"/>
      <c r="F36" s="191"/>
      <c r="G36" s="191"/>
      <c r="H36" s="192"/>
      <c r="I36" s="81">
        <f>10*5*200000*2</f>
        <v>20000000</v>
      </c>
      <c r="K36" s="50"/>
      <c r="M36" s="9"/>
    </row>
    <row r="37" spans="1:13" s="8" customFormat="1" ht="20.25" x14ac:dyDescent="0.3">
      <c r="A37" s="107"/>
      <c r="B37" s="190" t="s">
        <v>77</v>
      </c>
      <c r="C37" s="191"/>
      <c r="D37" s="191"/>
      <c r="E37" s="191"/>
      <c r="F37" s="191"/>
      <c r="G37" s="191"/>
      <c r="H37" s="192"/>
      <c r="I37" s="81">
        <f>10*4*300000*2</f>
        <v>24000000</v>
      </c>
      <c r="K37" s="51"/>
      <c r="M37" s="9"/>
    </row>
    <row r="38" spans="1:13" s="8" customFormat="1" ht="20.25" x14ac:dyDescent="0.3">
      <c r="A38" s="107"/>
      <c r="B38" s="190" t="s">
        <v>71</v>
      </c>
      <c r="C38" s="191"/>
      <c r="D38" s="191"/>
      <c r="E38" s="191"/>
      <c r="F38" s="191"/>
      <c r="G38" s="191"/>
      <c r="H38" s="192"/>
      <c r="I38" s="81">
        <f>50*22000*4*2*2</f>
        <v>17600000</v>
      </c>
      <c r="K38" s="51"/>
      <c r="L38" s="10"/>
      <c r="M38" s="9"/>
    </row>
    <row r="39" spans="1:13" s="8" customFormat="1" ht="20.25" x14ac:dyDescent="0.3">
      <c r="A39" s="107"/>
      <c r="B39" s="190" t="s">
        <v>14</v>
      </c>
      <c r="C39" s="191"/>
      <c r="D39" s="191"/>
      <c r="E39" s="191"/>
      <c r="F39" s="191"/>
      <c r="G39" s="191"/>
      <c r="H39" s="192"/>
      <c r="I39" s="81"/>
      <c r="K39" s="51"/>
      <c r="M39" s="9"/>
    </row>
    <row r="40" spans="1:13" s="8" customFormat="1" ht="20.25" x14ac:dyDescent="0.3">
      <c r="A40" s="107"/>
      <c r="B40" s="193" t="s">
        <v>64</v>
      </c>
      <c r="C40" s="194"/>
      <c r="D40" s="194"/>
      <c r="E40" s="194"/>
      <c r="F40" s="194"/>
      <c r="G40" s="194"/>
      <c r="H40" s="195"/>
      <c r="I40" s="81">
        <f>1*300000*5*2</f>
        <v>3000000</v>
      </c>
      <c r="K40" s="51"/>
      <c r="M40" s="9"/>
    </row>
    <row r="41" spans="1:13" s="8" customFormat="1" ht="20.25" x14ac:dyDescent="0.3">
      <c r="A41" s="107"/>
      <c r="B41" s="193" t="s">
        <v>15</v>
      </c>
      <c r="C41" s="194"/>
      <c r="D41" s="194"/>
      <c r="E41" s="194"/>
      <c r="F41" s="194"/>
      <c r="G41" s="194"/>
      <c r="H41" s="195"/>
      <c r="I41" s="81"/>
      <c r="K41" s="51"/>
      <c r="M41" s="9"/>
    </row>
    <row r="42" spans="1:13" s="8" customFormat="1" ht="20.25" x14ac:dyDescent="0.3">
      <c r="A42" s="107"/>
      <c r="B42" s="193" t="s">
        <v>65</v>
      </c>
      <c r="C42" s="194"/>
      <c r="D42" s="194"/>
      <c r="E42" s="194"/>
      <c r="F42" s="194"/>
      <c r="G42" s="194"/>
      <c r="H42" s="195"/>
      <c r="I42" s="81">
        <f>9*5*200000*2</f>
        <v>18000000</v>
      </c>
      <c r="K42" s="51"/>
      <c r="M42" s="9"/>
    </row>
    <row r="43" spans="1:13" s="8" customFormat="1" ht="20.25" x14ac:dyDescent="0.3">
      <c r="A43" s="107"/>
      <c r="B43" s="193" t="s">
        <v>16</v>
      </c>
      <c r="C43" s="194"/>
      <c r="D43" s="194"/>
      <c r="E43" s="194"/>
      <c r="F43" s="194"/>
      <c r="G43" s="194"/>
      <c r="H43" s="195"/>
      <c r="I43" s="81"/>
      <c r="K43" s="51"/>
      <c r="M43" s="9"/>
    </row>
    <row r="44" spans="1:13" s="8" customFormat="1" ht="20.25" x14ac:dyDescent="0.3">
      <c r="A44" s="107"/>
      <c r="B44" s="193" t="s">
        <v>66</v>
      </c>
      <c r="C44" s="194"/>
      <c r="D44" s="194"/>
      <c r="E44" s="194"/>
      <c r="F44" s="194"/>
      <c r="G44" s="194"/>
      <c r="H44" s="195"/>
      <c r="I44" s="81">
        <f>5*5*160000*2</f>
        <v>8000000</v>
      </c>
      <c r="K44" s="51"/>
      <c r="M44" s="9"/>
    </row>
    <row r="45" spans="1:13" s="8" customFormat="1" ht="20.25" x14ac:dyDescent="0.3">
      <c r="A45" s="107"/>
      <c r="B45" s="190" t="s">
        <v>17</v>
      </c>
      <c r="C45" s="191"/>
      <c r="D45" s="191"/>
      <c r="E45" s="191"/>
      <c r="F45" s="191"/>
      <c r="G45" s="191"/>
      <c r="H45" s="192"/>
      <c r="I45" s="81"/>
      <c r="K45" s="51"/>
      <c r="M45" s="9"/>
    </row>
    <row r="46" spans="1:13" s="8" customFormat="1" ht="20.25" x14ac:dyDescent="0.3">
      <c r="A46" s="107"/>
      <c r="B46" s="193" t="s">
        <v>67</v>
      </c>
      <c r="C46" s="194"/>
      <c r="D46" s="194"/>
      <c r="E46" s="194"/>
      <c r="F46" s="194"/>
      <c r="G46" s="194"/>
      <c r="H46" s="195"/>
      <c r="I46" s="81">
        <f>2000000*2</f>
        <v>4000000</v>
      </c>
      <c r="K46" s="51"/>
      <c r="M46" s="9"/>
    </row>
    <row r="47" spans="1:13" s="8" customFormat="1" ht="20.25" x14ac:dyDescent="0.3">
      <c r="A47" s="107"/>
      <c r="B47" s="190" t="s">
        <v>81</v>
      </c>
      <c r="C47" s="191"/>
      <c r="D47" s="191"/>
      <c r="E47" s="191"/>
      <c r="F47" s="191"/>
      <c r="G47" s="191"/>
      <c r="H47" s="192"/>
      <c r="I47" s="81"/>
      <c r="K47" s="51"/>
      <c r="M47" s="9"/>
    </row>
    <row r="48" spans="1:13" s="8" customFormat="1" ht="20.25" x14ac:dyDescent="0.3">
      <c r="A48" s="107"/>
      <c r="B48" s="193" t="s">
        <v>68</v>
      </c>
      <c r="C48" s="194"/>
      <c r="D48" s="194"/>
      <c r="E48" s="194"/>
      <c r="F48" s="194"/>
      <c r="G48" s="194"/>
      <c r="H48" s="195"/>
      <c r="I48" s="81">
        <f>1200000*2</f>
        <v>2400000</v>
      </c>
      <c r="K48" s="51"/>
      <c r="M48" s="9"/>
    </row>
    <row r="49" spans="1:13" s="8" customFormat="1" ht="20.25" x14ac:dyDescent="0.3">
      <c r="A49" s="107"/>
      <c r="B49" s="190" t="s">
        <v>18</v>
      </c>
      <c r="C49" s="191"/>
      <c r="D49" s="191"/>
      <c r="E49" s="191"/>
      <c r="F49" s="191"/>
      <c r="G49" s="191"/>
      <c r="H49" s="192"/>
      <c r="I49" s="81"/>
      <c r="K49" s="51"/>
      <c r="M49" s="9"/>
    </row>
    <row r="50" spans="1:13" s="8" customFormat="1" ht="20.25" x14ac:dyDescent="0.3">
      <c r="A50" s="107"/>
      <c r="B50" s="193" t="s">
        <v>69</v>
      </c>
      <c r="C50" s="194"/>
      <c r="D50" s="194"/>
      <c r="E50" s="194"/>
      <c r="F50" s="194"/>
      <c r="G50" s="194"/>
      <c r="H50" s="195"/>
      <c r="I50" s="81">
        <f>10*60000*2</f>
        <v>1200000</v>
      </c>
      <c r="K50" s="51"/>
      <c r="M50" s="9"/>
    </row>
    <row r="51" spans="1:13" s="16" customFormat="1" ht="21" x14ac:dyDescent="0.35">
      <c r="A51" s="102" t="s">
        <v>113</v>
      </c>
      <c r="B51" s="117" t="s">
        <v>155</v>
      </c>
      <c r="C51" s="118"/>
      <c r="D51" s="118"/>
      <c r="E51" s="118"/>
      <c r="F51" s="118"/>
      <c r="G51" s="118"/>
      <c r="H51" s="118"/>
      <c r="I51" s="82">
        <f>SUM(I52:I55)</f>
        <v>671160000</v>
      </c>
      <c r="K51" s="52"/>
      <c r="M51" s="17"/>
    </row>
    <row r="52" spans="1:13" s="23" customFormat="1" ht="20.25" x14ac:dyDescent="0.3">
      <c r="A52" s="108" t="s">
        <v>114</v>
      </c>
      <c r="B52" s="199" t="s">
        <v>156</v>
      </c>
      <c r="C52" s="200"/>
      <c r="D52" s="200"/>
      <c r="E52" s="200"/>
      <c r="F52" s="200"/>
      <c r="G52" s="200"/>
      <c r="H52" s="201"/>
      <c r="I52" s="83">
        <v>217120000</v>
      </c>
      <c r="K52" s="53"/>
      <c r="M52" s="24"/>
    </row>
    <row r="53" spans="1:13" s="23" customFormat="1" ht="20.25" x14ac:dyDescent="0.3">
      <c r="A53" s="108" t="s">
        <v>115</v>
      </c>
      <c r="B53" s="199" t="s">
        <v>157</v>
      </c>
      <c r="C53" s="200"/>
      <c r="D53" s="200"/>
      <c r="E53" s="200"/>
      <c r="F53" s="200"/>
      <c r="G53" s="200"/>
      <c r="H53" s="201"/>
      <c r="I53" s="83">
        <v>208320000</v>
      </c>
      <c r="K53" s="53"/>
      <c r="M53" s="24"/>
    </row>
    <row r="54" spans="1:13" s="23" customFormat="1" ht="20.25" x14ac:dyDescent="0.3">
      <c r="A54" s="108" t="s">
        <v>116</v>
      </c>
      <c r="B54" s="199" t="s">
        <v>158</v>
      </c>
      <c r="C54" s="200"/>
      <c r="D54" s="200"/>
      <c r="E54" s="200"/>
      <c r="F54" s="200"/>
      <c r="G54" s="200"/>
      <c r="H54" s="201"/>
      <c r="I54" s="83">
        <v>106840000</v>
      </c>
      <c r="K54" s="53"/>
      <c r="M54" s="24"/>
    </row>
    <row r="55" spans="1:13" s="23" customFormat="1" ht="20.25" x14ac:dyDescent="0.3">
      <c r="A55" s="108" t="s">
        <v>117</v>
      </c>
      <c r="B55" s="199" t="s">
        <v>159</v>
      </c>
      <c r="C55" s="200"/>
      <c r="D55" s="200"/>
      <c r="E55" s="200"/>
      <c r="F55" s="200"/>
      <c r="G55" s="200"/>
      <c r="H55" s="201"/>
      <c r="I55" s="83">
        <v>138880000</v>
      </c>
      <c r="K55" s="53"/>
      <c r="M55" s="24"/>
    </row>
    <row r="56" spans="1:13" s="25" customFormat="1" ht="21" x14ac:dyDescent="0.35">
      <c r="A56" s="106" t="s">
        <v>118</v>
      </c>
      <c r="B56" s="196" t="s">
        <v>160</v>
      </c>
      <c r="C56" s="197"/>
      <c r="D56" s="197"/>
      <c r="E56" s="197"/>
      <c r="F56" s="197"/>
      <c r="G56" s="197"/>
      <c r="H56" s="198"/>
      <c r="I56" s="84">
        <f>SUM(I57:I71)</f>
        <v>183000000</v>
      </c>
      <c r="K56" s="49"/>
      <c r="L56" s="41"/>
      <c r="M56" s="26"/>
    </row>
    <row r="57" spans="1:13" s="8" customFormat="1" ht="20.25" x14ac:dyDescent="0.3">
      <c r="A57" s="107"/>
      <c r="B57" s="190" t="s">
        <v>92</v>
      </c>
      <c r="C57" s="191"/>
      <c r="D57" s="191"/>
      <c r="E57" s="191"/>
      <c r="F57" s="191"/>
      <c r="G57" s="191"/>
      <c r="H57" s="192"/>
      <c r="I57" s="81">
        <f>20*5*200000*2</f>
        <v>40000000</v>
      </c>
      <c r="K57" s="50"/>
      <c r="M57" s="9"/>
    </row>
    <row r="58" spans="1:13" s="8" customFormat="1" ht="20.25" x14ac:dyDescent="0.3">
      <c r="A58" s="107"/>
      <c r="B58" s="190" t="s">
        <v>93</v>
      </c>
      <c r="C58" s="191"/>
      <c r="D58" s="191"/>
      <c r="E58" s="191"/>
      <c r="F58" s="191"/>
      <c r="G58" s="191"/>
      <c r="H58" s="192"/>
      <c r="I58" s="81">
        <f>20*4*300000*2</f>
        <v>48000000</v>
      </c>
      <c r="K58" s="51"/>
      <c r="M58" s="9"/>
    </row>
    <row r="59" spans="1:13" s="8" customFormat="1" ht="20.25" x14ac:dyDescent="0.3">
      <c r="A59" s="107"/>
      <c r="B59" s="190" t="s">
        <v>94</v>
      </c>
      <c r="C59" s="191"/>
      <c r="D59" s="191"/>
      <c r="E59" s="191"/>
      <c r="F59" s="191"/>
      <c r="G59" s="191"/>
      <c r="H59" s="192"/>
      <c r="I59" s="81">
        <f>50*22000*2*4*4</f>
        <v>35200000</v>
      </c>
      <c r="K59" s="51"/>
      <c r="M59" s="9"/>
    </row>
    <row r="60" spans="1:13" s="8" customFormat="1" ht="20.25" x14ac:dyDescent="0.3">
      <c r="A60" s="107"/>
      <c r="B60" s="190" t="s">
        <v>191</v>
      </c>
      <c r="C60" s="191"/>
      <c r="D60" s="191"/>
      <c r="E60" s="191"/>
      <c r="F60" s="191"/>
      <c r="G60" s="191"/>
      <c r="H60" s="192"/>
      <c r="I60" s="81"/>
      <c r="K60" s="51"/>
      <c r="M60" s="9"/>
    </row>
    <row r="61" spans="1:13" s="8" customFormat="1" ht="20.25" x14ac:dyDescent="0.3">
      <c r="A61" s="107"/>
      <c r="B61" s="193" t="s">
        <v>95</v>
      </c>
      <c r="C61" s="194"/>
      <c r="D61" s="194"/>
      <c r="E61" s="194"/>
      <c r="F61" s="194"/>
      <c r="G61" s="194"/>
      <c r="H61" s="195"/>
      <c r="I61" s="81">
        <f>300000*5*4</f>
        <v>6000000</v>
      </c>
      <c r="K61" s="51"/>
      <c r="M61" s="9"/>
    </row>
    <row r="62" spans="1:13" s="8" customFormat="1" ht="20.25" x14ac:dyDescent="0.3">
      <c r="A62" s="107"/>
      <c r="B62" s="193" t="s">
        <v>15</v>
      </c>
      <c r="C62" s="194"/>
      <c r="D62" s="194"/>
      <c r="E62" s="194"/>
      <c r="F62" s="194"/>
      <c r="G62" s="194"/>
      <c r="H62" s="195"/>
      <c r="I62" s="81"/>
      <c r="K62" s="51"/>
      <c r="M62" s="9"/>
    </row>
    <row r="63" spans="1:13" s="8" customFormat="1" ht="20.25" x14ac:dyDescent="0.3">
      <c r="A63" s="107"/>
      <c r="B63" s="193" t="s">
        <v>96</v>
      </c>
      <c r="C63" s="194"/>
      <c r="D63" s="194"/>
      <c r="E63" s="194"/>
      <c r="F63" s="194"/>
      <c r="G63" s="194"/>
      <c r="H63" s="195"/>
      <c r="I63" s="81">
        <f>12*5*200000*2</f>
        <v>24000000</v>
      </c>
      <c r="K63" s="51"/>
      <c r="M63" s="9"/>
    </row>
    <row r="64" spans="1:13" s="8" customFormat="1" ht="20.25" x14ac:dyDescent="0.3">
      <c r="A64" s="107"/>
      <c r="B64" s="193" t="s">
        <v>16</v>
      </c>
      <c r="C64" s="194"/>
      <c r="D64" s="194"/>
      <c r="E64" s="194"/>
      <c r="F64" s="194"/>
      <c r="G64" s="194"/>
      <c r="H64" s="195"/>
      <c r="I64" s="81"/>
      <c r="K64" s="51"/>
      <c r="M64" s="9"/>
    </row>
    <row r="65" spans="1:13" s="8" customFormat="1" ht="20.25" x14ac:dyDescent="0.3">
      <c r="A65" s="107"/>
      <c r="B65" s="193" t="s">
        <v>97</v>
      </c>
      <c r="C65" s="194"/>
      <c r="D65" s="194"/>
      <c r="E65" s="194"/>
      <c r="F65" s="194"/>
      <c r="G65" s="194"/>
      <c r="H65" s="195"/>
      <c r="I65" s="81">
        <f>8*5*160000*2</f>
        <v>12800000</v>
      </c>
      <c r="K65" s="51"/>
      <c r="M65" s="9"/>
    </row>
    <row r="66" spans="1:13" s="8" customFormat="1" ht="20.25" x14ac:dyDescent="0.3">
      <c r="A66" s="107"/>
      <c r="B66" s="190" t="s">
        <v>19</v>
      </c>
      <c r="C66" s="191"/>
      <c r="D66" s="191"/>
      <c r="E66" s="191"/>
      <c r="F66" s="191"/>
      <c r="G66" s="191"/>
      <c r="H66" s="192"/>
      <c r="I66" s="81"/>
      <c r="K66" s="51"/>
      <c r="M66" s="9"/>
    </row>
    <row r="67" spans="1:13" s="8" customFormat="1" ht="20.25" x14ac:dyDescent="0.3">
      <c r="A67" s="107"/>
      <c r="B67" s="193" t="s">
        <v>98</v>
      </c>
      <c r="C67" s="194"/>
      <c r="D67" s="194"/>
      <c r="E67" s="194"/>
      <c r="F67" s="194"/>
      <c r="G67" s="194"/>
      <c r="H67" s="195"/>
      <c r="I67" s="81">
        <f>2000000*2</f>
        <v>4000000</v>
      </c>
      <c r="K67" s="51"/>
      <c r="M67" s="9"/>
    </row>
    <row r="68" spans="1:13" s="8" customFormat="1" ht="20.25" x14ac:dyDescent="0.3">
      <c r="A68" s="107"/>
      <c r="B68" s="190" t="s">
        <v>20</v>
      </c>
      <c r="C68" s="191"/>
      <c r="D68" s="191"/>
      <c r="E68" s="191"/>
      <c r="F68" s="191"/>
      <c r="G68" s="191"/>
      <c r="H68" s="192"/>
      <c r="I68" s="81"/>
      <c r="K68" s="51"/>
      <c r="M68" s="9"/>
    </row>
    <row r="69" spans="1:13" s="8" customFormat="1" ht="20.25" x14ac:dyDescent="0.3">
      <c r="A69" s="107"/>
      <c r="B69" s="193" t="s">
        <v>100</v>
      </c>
      <c r="C69" s="194"/>
      <c r="D69" s="194"/>
      <c r="E69" s="194"/>
      <c r="F69" s="194"/>
      <c r="G69" s="194"/>
      <c r="H69" s="195"/>
      <c r="I69" s="81">
        <f>2500000*2</f>
        <v>5000000</v>
      </c>
      <c r="K69" s="51"/>
      <c r="M69" s="9"/>
    </row>
    <row r="70" spans="1:13" s="8" customFormat="1" ht="20.25" x14ac:dyDescent="0.3">
      <c r="A70" s="107"/>
      <c r="B70" s="190" t="s">
        <v>21</v>
      </c>
      <c r="C70" s="191"/>
      <c r="D70" s="191"/>
      <c r="E70" s="191"/>
      <c r="F70" s="191"/>
      <c r="G70" s="191"/>
      <c r="H70" s="192"/>
      <c r="I70" s="81"/>
      <c r="K70" s="51"/>
      <c r="M70" s="9"/>
    </row>
    <row r="71" spans="1:13" s="8" customFormat="1" ht="20.25" x14ac:dyDescent="0.3">
      <c r="A71" s="107"/>
      <c r="B71" s="193" t="s">
        <v>99</v>
      </c>
      <c r="C71" s="194"/>
      <c r="D71" s="194"/>
      <c r="E71" s="194"/>
      <c r="F71" s="194"/>
      <c r="G71" s="194"/>
      <c r="H71" s="195"/>
      <c r="I71" s="81">
        <f>20*100000*4</f>
        <v>8000000</v>
      </c>
      <c r="K71" s="51"/>
      <c r="M71" s="9"/>
    </row>
    <row r="72" spans="1:13" s="37" customFormat="1" ht="20.25" x14ac:dyDescent="0.25">
      <c r="A72" s="102" t="s">
        <v>119</v>
      </c>
      <c r="B72" s="170" t="s">
        <v>161</v>
      </c>
      <c r="C72" s="170"/>
      <c r="D72" s="170"/>
      <c r="E72" s="170"/>
      <c r="F72" s="170"/>
      <c r="G72" s="170"/>
      <c r="H72" s="170"/>
      <c r="I72" s="85">
        <f>SUM(I73:I76)</f>
        <v>641680000</v>
      </c>
      <c r="K72" s="54"/>
      <c r="M72" s="38"/>
    </row>
    <row r="73" spans="1:13" s="23" customFormat="1" ht="20.25" x14ac:dyDescent="0.3">
      <c r="A73" s="108" t="s">
        <v>120</v>
      </c>
      <c r="B73" s="199" t="s">
        <v>156</v>
      </c>
      <c r="C73" s="200"/>
      <c r="D73" s="200"/>
      <c r="E73" s="200"/>
      <c r="F73" s="200"/>
      <c r="G73" s="200"/>
      <c r="H73" s="201"/>
      <c r="I73" s="83">
        <v>153600000</v>
      </c>
      <c r="K73" s="53"/>
      <c r="M73" s="24"/>
    </row>
    <row r="74" spans="1:13" s="23" customFormat="1" ht="20.25" x14ac:dyDescent="0.3">
      <c r="A74" s="108" t="s">
        <v>121</v>
      </c>
      <c r="B74" s="199" t="s">
        <v>157</v>
      </c>
      <c r="C74" s="200"/>
      <c r="D74" s="200"/>
      <c r="E74" s="200"/>
      <c r="F74" s="200"/>
      <c r="G74" s="200"/>
      <c r="H74" s="201"/>
      <c r="I74" s="83">
        <v>153600000</v>
      </c>
      <c r="K74" s="53"/>
      <c r="M74" s="24"/>
    </row>
    <row r="75" spans="1:13" s="23" customFormat="1" ht="20.25" x14ac:dyDescent="0.3">
      <c r="A75" s="108" t="s">
        <v>122</v>
      </c>
      <c r="B75" s="199" t="s">
        <v>158</v>
      </c>
      <c r="C75" s="200"/>
      <c r="D75" s="200"/>
      <c r="E75" s="200"/>
      <c r="F75" s="200"/>
      <c r="G75" s="200"/>
      <c r="H75" s="201"/>
      <c r="I75" s="83">
        <v>152600000</v>
      </c>
      <c r="K75" s="53"/>
      <c r="M75" s="24"/>
    </row>
    <row r="76" spans="1:13" s="23" customFormat="1" ht="20.25" x14ac:dyDescent="0.3">
      <c r="A76" s="108" t="s">
        <v>123</v>
      </c>
      <c r="B76" s="199" t="s">
        <v>159</v>
      </c>
      <c r="C76" s="200"/>
      <c r="D76" s="200"/>
      <c r="E76" s="200"/>
      <c r="F76" s="200"/>
      <c r="G76" s="200"/>
      <c r="H76" s="201"/>
      <c r="I76" s="83">
        <v>181880000</v>
      </c>
      <c r="K76" s="53"/>
      <c r="M76" s="24"/>
    </row>
    <row r="77" spans="1:13" s="43" customFormat="1" ht="21" x14ac:dyDescent="0.35">
      <c r="A77" s="109" t="s">
        <v>124</v>
      </c>
      <c r="B77" s="202" t="s">
        <v>162</v>
      </c>
      <c r="C77" s="203"/>
      <c r="D77" s="203"/>
      <c r="E77" s="203"/>
      <c r="F77" s="203"/>
      <c r="G77" s="203"/>
      <c r="H77" s="204"/>
      <c r="I77" s="86">
        <f>I78</f>
        <v>110000000</v>
      </c>
      <c r="K77" s="55"/>
      <c r="M77" s="44"/>
    </row>
    <row r="78" spans="1:13" s="18" customFormat="1" ht="20.25" x14ac:dyDescent="0.3">
      <c r="A78" s="110"/>
      <c r="B78" s="205" t="s">
        <v>57</v>
      </c>
      <c r="C78" s="206"/>
      <c r="D78" s="206"/>
      <c r="E78" s="206"/>
      <c r="F78" s="206"/>
      <c r="G78" s="206"/>
      <c r="H78" s="207"/>
      <c r="I78" s="87">
        <f>SUM(I79:I80)</f>
        <v>110000000</v>
      </c>
      <c r="K78" s="56"/>
      <c r="M78" s="21"/>
    </row>
    <row r="79" spans="1:13" s="18" customFormat="1" ht="20.25" x14ac:dyDescent="0.3">
      <c r="A79" s="110"/>
      <c r="B79" s="205" t="s">
        <v>58</v>
      </c>
      <c r="C79" s="206"/>
      <c r="D79" s="206"/>
      <c r="E79" s="206"/>
      <c r="F79" s="206"/>
      <c r="G79" s="206"/>
      <c r="H79" s="207"/>
      <c r="I79" s="87">
        <v>90000000</v>
      </c>
      <c r="K79" s="56"/>
      <c r="M79" s="21"/>
    </row>
    <row r="80" spans="1:13" s="18" customFormat="1" ht="20.25" x14ac:dyDescent="0.3">
      <c r="A80" s="110"/>
      <c r="B80" s="205" t="s">
        <v>59</v>
      </c>
      <c r="C80" s="206"/>
      <c r="D80" s="206"/>
      <c r="E80" s="206"/>
      <c r="F80" s="206"/>
      <c r="G80" s="206"/>
      <c r="H80" s="207"/>
      <c r="I80" s="87">
        <v>20000000</v>
      </c>
      <c r="K80" s="56"/>
      <c r="M80" s="21"/>
    </row>
    <row r="81" spans="1:15" s="16" customFormat="1" ht="21" x14ac:dyDescent="0.35">
      <c r="A81" s="102" t="s">
        <v>125</v>
      </c>
      <c r="B81" s="208" t="s">
        <v>163</v>
      </c>
      <c r="C81" s="209"/>
      <c r="D81" s="209"/>
      <c r="E81" s="209"/>
      <c r="F81" s="209"/>
      <c r="G81" s="209"/>
      <c r="H81" s="210"/>
      <c r="I81" s="82">
        <f>SUM(I83:I85)</f>
        <v>174950000</v>
      </c>
      <c r="K81" s="52"/>
      <c r="M81" s="17"/>
    </row>
    <row r="82" spans="1:15" s="23" customFormat="1" ht="20.25" x14ac:dyDescent="0.3">
      <c r="A82" s="108" t="s">
        <v>126</v>
      </c>
      <c r="B82" s="199" t="s">
        <v>156</v>
      </c>
      <c r="C82" s="200"/>
      <c r="D82" s="200"/>
      <c r="E82" s="200"/>
      <c r="F82" s="200"/>
      <c r="G82" s="200"/>
      <c r="H82" s="201"/>
      <c r="I82" s="83">
        <v>43500000</v>
      </c>
      <c r="K82" s="53"/>
      <c r="M82" s="24"/>
    </row>
    <row r="83" spans="1:15" s="23" customFormat="1" ht="20.25" x14ac:dyDescent="0.3">
      <c r="A83" s="108" t="s">
        <v>127</v>
      </c>
      <c r="B83" s="199" t="s">
        <v>157</v>
      </c>
      <c r="C83" s="200"/>
      <c r="D83" s="200"/>
      <c r="E83" s="200"/>
      <c r="F83" s="200"/>
      <c r="G83" s="200"/>
      <c r="H83" s="201"/>
      <c r="I83" s="83">
        <v>145000000</v>
      </c>
      <c r="K83" s="57"/>
      <c r="M83" s="24"/>
    </row>
    <row r="84" spans="1:15" s="23" customFormat="1" ht="20.25" x14ac:dyDescent="0.3">
      <c r="A84" s="108" t="s">
        <v>128</v>
      </c>
      <c r="B84" s="211" t="s">
        <v>158</v>
      </c>
      <c r="C84" s="212"/>
      <c r="D84" s="212"/>
      <c r="E84" s="212"/>
      <c r="F84" s="212"/>
      <c r="G84" s="212"/>
      <c r="H84" s="213"/>
      <c r="I84" s="83">
        <v>26300000</v>
      </c>
      <c r="K84" s="57"/>
      <c r="M84" s="24"/>
    </row>
    <row r="85" spans="1:15" s="23" customFormat="1" ht="20.25" x14ac:dyDescent="0.3">
      <c r="A85" s="108" t="s">
        <v>129</v>
      </c>
      <c r="B85" s="199" t="s">
        <v>159</v>
      </c>
      <c r="C85" s="200"/>
      <c r="D85" s="200"/>
      <c r="E85" s="200"/>
      <c r="F85" s="200"/>
      <c r="G85" s="200"/>
      <c r="H85" s="201"/>
      <c r="I85" s="83">
        <v>3650000</v>
      </c>
      <c r="K85" s="53"/>
      <c r="M85" s="24"/>
    </row>
    <row r="86" spans="1:15" s="25" customFormat="1" ht="21" x14ac:dyDescent="0.35">
      <c r="A86" s="106" t="s">
        <v>130</v>
      </c>
      <c r="B86" s="164" t="s">
        <v>190</v>
      </c>
      <c r="C86" s="165"/>
      <c r="D86" s="165"/>
      <c r="E86" s="165"/>
      <c r="F86" s="165"/>
      <c r="G86" s="165"/>
      <c r="H86" s="165"/>
      <c r="I86" s="88">
        <f>I87+I93</f>
        <v>639506000</v>
      </c>
      <c r="J86" s="34"/>
      <c r="K86" s="58"/>
      <c r="M86" s="26"/>
    </row>
    <row r="87" spans="1:15" s="35" customFormat="1" ht="20.25" x14ac:dyDescent="0.3">
      <c r="A87" s="111" t="s">
        <v>131</v>
      </c>
      <c r="B87" s="167" t="s">
        <v>164</v>
      </c>
      <c r="C87" s="167"/>
      <c r="D87" s="167"/>
      <c r="E87" s="167"/>
      <c r="F87" s="167"/>
      <c r="G87" s="167"/>
      <c r="H87" s="167"/>
      <c r="I87" s="89">
        <f>SUM(I88:I92)</f>
        <v>209606000</v>
      </c>
      <c r="J87" s="37"/>
      <c r="K87" s="59"/>
      <c r="M87" s="36"/>
    </row>
    <row r="88" spans="1:15" s="8" customFormat="1" ht="20.25" x14ac:dyDescent="0.3">
      <c r="A88" s="107"/>
      <c r="B88" s="190" t="s">
        <v>72</v>
      </c>
      <c r="C88" s="191"/>
      <c r="D88" s="191"/>
      <c r="E88" s="191"/>
      <c r="F88" s="191"/>
      <c r="G88" s="191"/>
      <c r="H88" s="192"/>
      <c r="I88" s="81">
        <f>2*10*12*200000</f>
        <v>48000000</v>
      </c>
      <c r="K88" s="51"/>
      <c r="M88" s="9"/>
    </row>
    <row r="89" spans="1:15" s="8" customFormat="1" ht="20.25" x14ac:dyDescent="0.3">
      <c r="A89" s="107"/>
      <c r="B89" s="190" t="s">
        <v>73</v>
      </c>
      <c r="C89" s="191"/>
      <c r="D89" s="191"/>
      <c r="E89" s="191"/>
      <c r="F89" s="191"/>
      <c r="G89" s="191"/>
      <c r="H89" s="192"/>
      <c r="I89" s="81">
        <f>2*10*11*450000</f>
        <v>99000000</v>
      </c>
      <c r="K89" s="51"/>
      <c r="M89" s="9"/>
    </row>
    <row r="90" spans="1:15" s="8" customFormat="1" ht="20.25" x14ac:dyDescent="0.3">
      <c r="A90" s="107"/>
      <c r="B90" s="190" t="s">
        <v>74</v>
      </c>
      <c r="C90" s="191"/>
      <c r="D90" s="191"/>
      <c r="E90" s="191"/>
      <c r="F90" s="191"/>
      <c r="G90" s="191"/>
      <c r="H90" s="192"/>
      <c r="I90" s="81">
        <v>38606000</v>
      </c>
      <c r="K90" s="50"/>
      <c r="M90" s="9"/>
      <c r="O90" s="10"/>
    </row>
    <row r="91" spans="1:15" s="8" customFormat="1" ht="20.25" x14ac:dyDescent="0.3">
      <c r="A91" s="107"/>
      <c r="B91" s="190" t="s">
        <v>75</v>
      </c>
      <c r="C91" s="191"/>
      <c r="D91" s="191"/>
      <c r="E91" s="191"/>
      <c r="F91" s="191"/>
      <c r="G91" s="191"/>
      <c r="H91" s="192"/>
      <c r="I91" s="81">
        <f>2*5*2000000</f>
        <v>20000000</v>
      </c>
      <c r="K91" s="51"/>
      <c r="M91" s="9"/>
      <c r="O91" s="10"/>
    </row>
    <row r="92" spans="1:15" s="8" customFormat="1" ht="20.25" x14ac:dyDescent="0.3">
      <c r="A92" s="107"/>
      <c r="B92" s="190" t="s">
        <v>76</v>
      </c>
      <c r="C92" s="191"/>
      <c r="D92" s="191"/>
      <c r="E92" s="191"/>
      <c r="F92" s="191"/>
      <c r="G92" s="191"/>
      <c r="H92" s="192"/>
      <c r="I92" s="81">
        <f>2*2000000</f>
        <v>4000000</v>
      </c>
      <c r="K92" s="51"/>
      <c r="M92" s="9"/>
    </row>
    <row r="93" spans="1:15" s="16" customFormat="1" ht="21" x14ac:dyDescent="0.35">
      <c r="A93" s="102" t="s">
        <v>132</v>
      </c>
      <c r="B93" s="168" t="s">
        <v>165</v>
      </c>
      <c r="C93" s="169"/>
      <c r="D93" s="169"/>
      <c r="E93" s="169"/>
      <c r="F93" s="169"/>
      <c r="G93" s="169"/>
      <c r="H93" s="169"/>
      <c r="I93" s="82">
        <f>SUM(I94:I97)</f>
        <v>429900000</v>
      </c>
      <c r="K93" s="52"/>
      <c r="M93" s="17"/>
    </row>
    <row r="94" spans="1:15" s="23" customFormat="1" ht="20.25" x14ac:dyDescent="0.3">
      <c r="A94" s="108" t="s">
        <v>133</v>
      </c>
      <c r="B94" s="199" t="s">
        <v>156</v>
      </c>
      <c r="C94" s="200"/>
      <c r="D94" s="200"/>
      <c r="E94" s="200"/>
      <c r="F94" s="200"/>
      <c r="G94" s="200"/>
      <c r="H94" s="201"/>
      <c r="I94" s="83">
        <v>102500000</v>
      </c>
      <c r="K94" s="53"/>
      <c r="M94" s="24"/>
    </row>
    <row r="95" spans="1:15" s="23" customFormat="1" ht="20.25" x14ac:dyDescent="0.3">
      <c r="A95" s="108" t="s">
        <v>134</v>
      </c>
      <c r="B95" s="199" t="s">
        <v>157</v>
      </c>
      <c r="C95" s="200"/>
      <c r="D95" s="200"/>
      <c r="E95" s="200"/>
      <c r="F95" s="200"/>
      <c r="G95" s="200"/>
      <c r="H95" s="201"/>
      <c r="I95" s="83">
        <v>102500000</v>
      </c>
      <c r="K95" s="53"/>
      <c r="M95" s="24"/>
    </row>
    <row r="96" spans="1:15" s="23" customFormat="1" ht="20.25" x14ac:dyDescent="0.3">
      <c r="A96" s="108" t="s">
        <v>135</v>
      </c>
      <c r="B96" s="199" t="s">
        <v>158</v>
      </c>
      <c r="C96" s="200"/>
      <c r="D96" s="200"/>
      <c r="E96" s="200"/>
      <c r="F96" s="200"/>
      <c r="G96" s="200"/>
      <c r="H96" s="201"/>
      <c r="I96" s="83">
        <v>156700000</v>
      </c>
      <c r="K96" s="53"/>
      <c r="M96" s="24"/>
    </row>
    <row r="97" spans="1:13" s="23" customFormat="1" ht="20.25" x14ac:dyDescent="0.3">
      <c r="A97" s="108" t="s">
        <v>136</v>
      </c>
      <c r="B97" s="199" t="s">
        <v>159</v>
      </c>
      <c r="C97" s="200"/>
      <c r="D97" s="200"/>
      <c r="E97" s="200"/>
      <c r="F97" s="200"/>
      <c r="G97" s="200"/>
      <c r="H97" s="201"/>
      <c r="I97" s="83">
        <v>68200000</v>
      </c>
      <c r="K97" s="53"/>
      <c r="M97" s="24"/>
    </row>
    <row r="98" spans="1:13" s="25" customFormat="1" ht="71.25" customHeight="1" x14ac:dyDescent="0.35">
      <c r="A98" s="106" t="s">
        <v>137</v>
      </c>
      <c r="B98" s="166" t="s">
        <v>166</v>
      </c>
      <c r="C98" s="166"/>
      <c r="D98" s="166"/>
      <c r="E98" s="166"/>
      <c r="F98" s="166"/>
      <c r="G98" s="166"/>
      <c r="H98" s="166"/>
      <c r="I98" s="88">
        <f>I99+I103</f>
        <v>98400000</v>
      </c>
      <c r="J98" s="34"/>
      <c r="K98" s="58"/>
      <c r="M98" s="26"/>
    </row>
    <row r="99" spans="1:13" s="25" customFormat="1" ht="21" x14ac:dyDescent="0.35">
      <c r="A99" s="106" t="s">
        <v>138</v>
      </c>
      <c r="B99" s="166" t="s">
        <v>167</v>
      </c>
      <c r="C99" s="166"/>
      <c r="D99" s="166"/>
      <c r="E99" s="166"/>
      <c r="F99" s="166"/>
      <c r="G99" s="166"/>
      <c r="H99" s="166"/>
      <c r="I99" s="88">
        <f>SUM(I100:I102)</f>
        <v>18400000</v>
      </c>
      <c r="J99" s="34"/>
      <c r="K99" s="58"/>
      <c r="M99" s="26"/>
    </row>
    <row r="100" spans="1:13" s="8" customFormat="1" ht="20.25" x14ac:dyDescent="0.3">
      <c r="A100" s="107"/>
      <c r="B100" s="190" t="s">
        <v>78</v>
      </c>
      <c r="C100" s="191"/>
      <c r="D100" s="191"/>
      <c r="E100" s="191"/>
      <c r="F100" s="191"/>
      <c r="G100" s="191"/>
      <c r="H100" s="192"/>
      <c r="I100" s="81">
        <f>2*10*100000</f>
        <v>2000000</v>
      </c>
      <c r="K100" s="51"/>
      <c r="M100" s="9"/>
    </row>
    <row r="101" spans="1:13" s="8" customFormat="1" ht="20.25" x14ac:dyDescent="0.3">
      <c r="A101" s="107"/>
      <c r="B101" s="190" t="s">
        <v>79</v>
      </c>
      <c r="C101" s="191"/>
      <c r="D101" s="191"/>
      <c r="E101" s="191"/>
      <c r="F101" s="191"/>
      <c r="G101" s="191"/>
      <c r="H101" s="192"/>
      <c r="I101" s="81">
        <f>2*9*300000</f>
        <v>5400000</v>
      </c>
      <c r="K101" s="51"/>
      <c r="M101" s="9"/>
    </row>
    <row r="102" spans="1:13" s="8" customFormat="1" ht="20.25" x14ac:dyDescent="0.3">
      <c r="A102" s="107"/>
      <c r="B102" s="190" t="s">
        <v>80</v>
      </c>
      <c r="C102" s="191"/>
      <c r="D102" s="191"/>
      <c r="E102" s="191"/>
      <c r="F102" s="191"/>
      <c r="G102" s="191"/>
      <c r="H102" s="192"/>
      <c r="I102" s="81">
        <f>50*22000*1*10</f>
        <v>11000000</v>
      </c>
      <c r="K102" s="51"/>
      <c r="M102" s="9"/>
    </row>
    <row r="103" spans="1:13" s="25" customFormat="1" ht="21" x14ac:dyDescent="0.35">
      <c r="A103" s="106" t="s">
        <v>139</v>
      </c>
      <c r="B103" s="196" t="s">
        <v>168</v>
      </c>
      <c r="C103" s="197"/>
      <c r="D103" s="197"/>
      <c r="E103" s="197"/>
      <c r="F103" s="197"/>
      <c r="G103" s="197"/>
      <c r="H103" s="198"/>
      <c r="I103" s="80">
        <f>SUM(I104:I107)</f>
        <v>80000000</v>
      </c>
      <c r="K103" s="58"/>
      <c r="M103" s="26"/>
    </row>
    <row r="104" spans="1:13" s="23" customFormat="1" ht="20.25" x14ac:dyDescent="0.3">
      <c r="A104" s="108" t="s">
        <v>140</v>
      </c>
      <c r="B104" s="199" t="s">
        <v>156</v>
      </c>
      <c r="C104" s="200"/>
      <c r="D104" s="200"/>
      <c r="E104" s="200"/>
      <c r="F104" s="200"/>
      <c r="G104" s="200"/>
      <c r="H104" s="201"/>
      <c r="I104" s="83">
        <v>9000000</v>
      </c>
      <c r="K104" s="53"/>
      <c r="M104" s="24"/>
    </row>
    <row r="105" spans="1:13" s="23" customFormat="1" ht="20.25" x14ac:dyDescent="0.3">
      <c r="A105" s="108" t="s">
        <v>141</v>
      </c>
      <c r="B105" s="199" t="s">
        <v>157</v>
      </c>
      <c r="C105" s="200"/>
      <c r="D105" s="200"/>
      <c r="E105" s="200"/>
      <c r="F105" s="200"/>
      <c r="G105" s="200"/>
      <c r="H105" s="201"/>
      <c r="I105" s="83">
        <v>9000000</v>
      </c>
      <c r="K105" s="53"/>
      <c r="M105" s="24"/>
    </row>
    <row r="106" spans="1:13" s="23" customFormat="1" ht="20.25" x14ac:dyDescent="0.3">
      <c r="A106" s="108" t="s">
        <v>142</v>
      </c>
      <c r="B106" s="199" t="s">
        <v>158</v>
      </c>
      <c r="C106" s="200"/>
      <c r="D106" s="200"/>
      <c r="E106" s="200"/>
      <c r="F106" s="200"/>
      <c r="G106" s="200"/>
      <c r="H106" s="201"/>
      <c r="I106" s="83">
        <v>31000000</v>
      </c>
      <c r="K106" s="53"/>
      <c r="M106" s="24"/>
    </row>
    <row r="107" spans="1:13" s="23" customFormat="1" ht="20.25" x14ac:dyDescent="0.3">
      <c r="A107" s="108" t="s">
        <v>143</v>
      </c>
      <c r="B107" s="199" t="s">
        <v>159</v>
      </c>
      <c r="C107" s="200"/>
      <c r="D107" s="200"/>
      <c r="E107" s="200"/>
      <c r="F107" s="200"/>
      <c r="G107" s="200"/>
      <c r="H107" s="201"/>
      <c r="I107" s="83">
        <v>31000000</v>
      </c>
      <c r="K107" s="53"/>
      <c r="M107" s="24"/>
    </row>
    <row r="108" spans="1:13" s="28" customFormat="1" ht="20.25" x14ac:dyDescent="0.3">
      <c r="A108" s="101">
        <v>4</v>
      </c>
      <c r="B108" s="174" t="s">
        <v>169</v>
      </c>
      <c r="C108" s="175"/>
      <c r="D108" s="175"/>
      <c r="E108" s="175"/>
      <c r="F108" s="175"/>
      <c r="G108" s="175"/>
      <c r="H108" s="176"/>
      <c r="I108" s="90">
        <f>SUM(I109:I118)</f>
        <v>746000000</v>
      </c>
      <c r="K108" s="45"/>
      <c r="M108" s="29"/>
    </row>
    <row r="109" spans="1:13" ht="20.25" x14ac:dyDescent="0.3">
      <c r="A109" s="104"/>
      <c r="B109" s="180" t="s">
        <v>7</v>
      </c>
      <c r="C109" s="181"/>
      <c r="D109" s="181"/>
      <c r="E109" s="181"/>
      <c r="F109" s="181"/>
      <c r="G109" s="181"/>
      <c r="H109" s="182"/>
      <c r="I109" s="78">
        <v>300000000</v>
      </c>
      <c r="K109" s="46"/>
    </row>
    <row r="110" spans="1:13" ht="20.25" x14ac:dyDescent="0.3">
      <c r="A110" s="104"/>
      <c r="B110" s="180" t="s">
        <v>8</v>
      </c>
      <c r="C110" s="181"/>
      <c r="D110" s="181"/>
      <c r="E110" s="181"/>
      <c r="F110" s="181"/>
      <c r="G110" s="181"/>
      <c r="H110" s="182"/>
      <c r="I110" s="78"/>
      <c r="K110" s="46"/>
    </row>
    <row r="111" spans="1:13" ht="20.25" x14ac:dyDescent="0.3">
      <c r="A111" s="104"/>
      <c r="B111" s="156" t="s">
        <v>46</v>
      </c>
      <c r="C111" s="157"/>
      <c r="D111" s="157"/>
      <c r="E111" s="157"/>
      <c r="F111" s="157"/>
      <c r="G111" s="157"/>
      <c r="H111" s="158"/>
      <c r="I111" s="78">
        <f>51*4000000</f>
        <v>204000000</v>
      </c>
      <c r="K111" s="46"/>
    </row>
    <row r="112" spans="1:13" ht="20.25" x14ac:dyDescent="0.3">
      <c r="A112" s="104"/>
      <c r="B112" s="180" t="s">
        <v>189</v>
      </c>
      <c r="C112" s="181"/>
      <c r="D112" s="181"/>
      <c r="E112" s="181"/>
      <c r="F112" s="181"/>
      <c r="G112" s="181"/>
      <c r="H112" s="182"/>
      <c r="I112" s="81"/>
      <c r="K112" s="46"/>
    </row>
    <row r="113" spans="1:13" ht="20.25" x14ac:dyDescent="0.3">
      <c r="A113" s="104"/>
      <c r="B113" s="156" t="s">
        <v>9</v>
      </c>
      <c r="C113" s="157"/>
      <c r="D113" s="157"/>
      <c r="E113" s="157"/>
      <c r="F113" s="157"/>
      <c r="G113" s="157"/>
      <c r="H113" s="158"/>
      <c r="I113" s="78">
        <v>204000000</v>
      </c>
      <c r="K113" s="46"/>
    </row>
    <row r="114" spans="1:13" ht="20.25" x14ac:dyDescent="0.3">
      <c r="A114" s="104"/>
      <c r="B114" s="180" t="s">
        <v>10</v>
      </c>
      <c r="C114" s="181"/>
      <c r="D114" s="181"/>
      <c r="E114" s="181"/>
      <c r="F114" s="181"/>
      <c r="G114" s="181"/>
      <c r="H114" s="182"/>
      <c r="I114" s="78"/>
      <c r="K114" s="46"/>
    </row>
    <row r="115" spans="1:13" ht="20.25" x14ac:dyDescent="0.3">
      <c r="A115" s="104"/>
      <c r="B115" s="156" t="s">
        <v>11</v>
      </c>
      <c r="C115" s="157"/>
      <c r="D115" s="157"/>
      <c r="E115" s="157"/>
      <c r="F115" s="157"/>
      <c r="G115" s="157"/>
      <c r="H115" s="158"/>
      <c r="I115" s="78">
        <f>20*2*2*50000*6</f>
        <v>24000000</v>
      </c>
      <c r="K115" s="46"/>
    </row>
    <row r="116" spans="1:13" ht="20.25" x14ac:dyDescent="0.3">
      <c r="A116" s="104"/>
      <c r="B116" s="180" t="s">
        <v>12</v>
      </c>
      <c r="C116" s="181"/>
      <c r="D116" s="181"/>
      <c r="E116" s="181"/>
      <c r="F116" s="181"/>
      <c r="G116" s="181"/>
      <c r="H116" s="182"/>
      <c r="I116" s="78"/>
      <c r="K116" s="46"/>
    </row>
    <row r="117" spans="1:13" ht="20.25" x14ac:dyDescent="0.3">
      <c r="A117" s="104"/>
      <c r="B117" s="156" t="s">
        <v>47</v>
      </c>
      <c r="C117" s="157"/>
      <c r="D117" s="157"/>
      <c r="E117" s="157"/>
      <c r="F117" s="157"/>
      <c r="G117" s="157"/>
      <c r="H117" s="158"/>
      <c r="I117" s="78">
        <f>300000*2*2*10</f>
        <v>12000000</v>
      </c>
      <c r="K117" s="46"/>
    </row>
    <row r="118" spans="1:13" ht="20.25" x14ac:dyDescent="0.3">
      <c r="A118" s="104"/>
      <c r="B118" s="156" t="s">
        <v>13</v>
      </c>
      <c r="C118" s="157"/>
      <c r="D118" s="157"/>
      <c r="E118" s="157"/>
      <c r="F118" s="157"/>
      <c r="G118" s="157"/>
      <c r="H118" s="158"/>
      <c r="I118" s="78">
        <f>500000*2*2</f>
        <v>2000000</v>
      </c>
      <c r="K118" s="46"/>
    </row>
    <row r="119" spans="1:13" s="28" customFormat="1" ht="20.25" x14ac:dyDescent="0.3">
      <c r="A119" s="101">
        <v>5</v>
      </c>
      <c r="B119" s="174" t="s">
        <v>170</v>
      </c>
      <c r="C119" s="175"/>
      <c r="D119" s="175"/>
      <c r="E119" s="175"/>
      <c r="F119" s="175"/>
      <c r="G119" s="175"/>
      <c r="H119" s="176"/>
      <c r="I119" s="90">
        <f>SUM(I120:I122)</f>
        <v>64000000</v>
      </c>
      <c r="K119" s="45"/>
      <c r="M119" s="29"/>
    </row>
    <row r="120" spans="1:13" ht="20.25" x14ac:dyDescent="0.3">
      <c r="A120" s="104"/>
      <c r="B120" s="180" t="s">
        <v>22</v>
      </c>
      <c r="C120" s="181"/>
      <c r="D120" s="181"/>
      <c r="E120" s="181"/>
      <c r="F120" s="181"/>
      <c r="G120" s="181"/>
      <c r="H120" s="182"/>
      <c r="I120" s="78">
        <f>200000*10*2*2</f>
        <v>8000000</v>
      </c>
      <c r="K120" s="46"/>
    </row>
    <row r="121" spans="1:13" ht="20.25" x14ac:dyDescent="0.3">
      <c r="A121" s="104"/>
      <c r="B121" s="180" t="s">
        <v>61</v>
      </c>
      <c r="C121" s="181"/>
      <c r="D121" s="181"/>
      <c r="E121" s="181"/>
      <c r="F121" s="181"/>
      <c r="G121" s="181"/>
      <c r="H121" s="182"/>
      <c r="I121" s="78">
        <f>2*1000000*9*2</f>
        <v>36000000</v>
      </c>
      <c r="K121" s="46"/>
    </row>
    <row r="122" spans="1:13" ht="20.25" x14ac:dyDescent="0.3">
      <c r="A122" s="104"/>
      <c r="B122" s="180" t="s">
        <v>23</v>
      </c>
      <c r="C122" s="181"/>
      <c r="D122" s="181"/>
      <c r="E122" s="181"/>
      <c r="F122" s="181"/>
      <c r="G122" s="181"/>
      <c r="H122" s="182"/>
      <c r="I122" s="78">
        <f>2*5000000*2</f>
        <v>20000000</v>
      </c>
      <c r="K122" s="46"/>
    </row>
    <row r="123" spans="1:13" s="32" customFormat="1" ht="20.25" x14ac:dyDescent="0.3">
      <c r="A123" s="112">
        <v>6</v>
      </c>
      <c r="B123" s="214" t="s">
        <v>188</v>
      </c>
      <c r="C123" s="215"/>
      <c r="D123" s="215"/>
      <c r="E123" s="215"/>
      <c r="F123" s="215"/>
      <c r="G123" s="215"/>
      <c r="H123" s="216"/>
      <c r="I123" s="91">
        <f>I125</f>
        <v>90000000</v>
      </c>
      <c r="K123" s="60"/>
      <c r="M123" s="33"/>
    </row>
    <row r="124" spans="1:13" ht="20.25" x14ac:dyDescent="0.3">
      <c r="A124" s="104"/>
      <c r="B124" s="180" t="s">
        <v>24</v>
      </c>
      <c r="C124" s="181"/>
      <c r="D124" s="181"/>
      <c r="E124" s="181"/>
      <c r="F124" s="181"/>
      <c r="G124" s="181"/>
      <c r="H124" s="182"/>
      <c r="I124" s="78"/>
      <c r="K124" s="46"/>
    </row>
    <row r="125" spans="1:13" ht="20.25" x14ac:dyDescent="0.3">
      <c r="A125" s="104"/>
      <c r="B125" s="156" t="s">
        <v>25</v>
      </c>
      <c r="C125" s="157"/>
      <c r="D125" s="157"/>
      <c r="E125" s="157"/>
      <c r="F125" s="157"/>
      <c r="G125" s="157"/>
      <c r="H125" s="158"/>
      <c r="I125" s="78">
        <f>6*15000000</f>
        <v>90000000</v>
      </c>
      <c r="K125" s="46"/>
    </row>
    <row r="126" spans="1:13" s="32" customFormat="1" ht="20.25" x14ac:dyDescent="0.3">
      <c r="A126" s="112">
        <v>7</v>
      </c>
      <c r="B126" s="214" t="s">
        <v>171</v>
      </c>
      <c r="C126" s="215"/>
      <c r="D126" s="215"/>
      <c r="E126" s="215"/>
      <c r="F126" s="215"/>
      <c r="G126" s="215"/>
      <c r="H126" s="216"/>
      <c r="I126" s="91">
        <f>SUM(I127:I130)</f>
        <v>173000000</v>
      </c>
      <c r="K126" s="60"/>
      <c r="M126" s="33"/>
    </row>
    <row r="127" spans="1:13" ht="20.25" x14ac:dyDescent="0.3">
      <c r="A127" s="104"/>
      <c r="B127" s="180" t="s">
        <v>187</v>
      </c>
      <c r="C127" s="181"/>
      <c r="D127" s="181"/>
      <c r="E127" s="181"/>
      <c r="F127" s="181"/>
      <c r="G127" s="181"/>
      <c r="H127" s="182"/>
      <c r="I127" s="78"/>
      <c r="K127" s="46"/>
    </row>
    <row r="128" spans="1:13" ht="20.25" x14ac:dyDescent="0.3">
      <c r="A128" s="104"/>
      <c r="B128" s="156" t="s">
        <v>26</v>
      </c>
      <c r="C128" s="157"/>
      <c r="D128" s="157"/>
      <c r="E128" s="157"/>
      <c r="F128" s="157"/>
      <c r="G128" s="157"/>
      <c r="H128" s="158"/>
      <c r="I128" s="78">
        <v>122000000</v>
      </c>
      <c r="K128" s="61"/>
    </row>
    <row r="129" spans="1:13" ht="20.25" x14ac:dyDescent="0.3">
      <c r="A129" s="104"/>
      <c r="B129" s="180" t="s">
        <v>186</v>
      </c>
      <c r="C129" s="181"/>
      <c r="D129" s="181"/>
      <c r="E129" s="181"/>
      <c r="F129" s="181"/>
      <c r="G129" s="181"/>
      <c r="H129" s="182"/>
      <c r="I129" s="78"/>
      <c r="K129" s="46"/>
    </row>
    <row r="130" spans="1:13" ht="20.25" x14ac:dyDescent="0.3">
      <c r="A130" s="104"/>
      <c r="B130" s="156" t="s">
        <v>48</v>
      </c>
      <c r="C130" s="157"/>
      <c r="D130" s="157"/>
      <c r="E130" s="157"/>
      <c r="F130" s="157"/>
      <c r="G130" s="157"/>
      <c r="H130" s="158"/>
      <c r="I130" s="78">
        <f>51*1000000</f>
        <v>51000000</v>
      </c>
      <c r="K130" s="46"/>
    </row>
    <row r="131" spans="1:13" s="32" customFormat="1" ht="20.25" x14ac:dyDescent="0.3">
      <c r="A131" s="112">
        <v>8</v>
      </c>
      <c r="B131" s="214" t="s">
        <v>172</v>
      </c>
      <c r="C131" s="215"/>
      <c r="D131" s="215"/>
      <c r="E131" s="215"/>
      <c r="F131" s="215"/>
      <c r="G131" s="215"/>
      <c r="H131" s="216"/>
      <c r="I131" s="91">
        <f>SUM(I133:I144)</f>
        <v>846944000</v>
      </c>
      <c r="K131" s="62"/>
      <c r="M131" s="33"/>
    </row>
    <row r="132" spans="1:13" s="6" customFormat="1" ht="21" x14ac:dyDescent="0.35">
      <c r="A132" s="113"/>
      <c r="B132" s="217" t="s">
        <v>185</v>
      </c>
      <c r="C132" s="218"/>
      <c r="D132" s="218"/>
      <c r="E132" s="218"/>
      <c r="F132" s="218"/>
      <c r="G132" s="218"/>
      <c r="H132" s="219"/>
      <c r="I132" s="123"/>
      <c r="K132" s="63"/>
      <c r="M132" s="7"/>
    </row>
    <row r="133" spans="1:13" ht="20.25" x14ac:dyDescent="0.3">
      <c r="A133" s="104"/>
      <c r="B133" s="156" t="s">
        <v>49</v>
      </c>
      <c r="C133" s="157"/>
      <c r="D133" s="157"/>
      <c r="E133" s="157"/>
      <c r="F133" s="157"/>
      <c r="G133" s="157"/>
      <c r="H133" s="158"/>
      <c r="I133" s="78">
        <f>51*0.5*1490000*12</f>
        <v>455940000</v>
      </c>
      <c r="K133" s="46"/>
    </row>
    <row r="134" spans="1:13" ht="21" x14ac:dyDescent="0.35">
      <c r="A134" s="104"/>
      <c r="B134" s="220" t="s">
        <v>27</v>
      </c>
      <c r="C134" s="221"/>
      <c r="D134" s="221"/>
      <c r="E134" s="221"/>
      <c r="F134" s="221"/>
      <c r="G134" s="221"/>
      <c r="H134" s="222"/>
      <c r="I134" s="78"/>
      <c r="K134" s="46"/>
    </row>
    <row r="135" spans="1:13" ht="20.25" x14ac:dyDescent="0.3">
      <c r="A135" s="104"/>
      <c r="B135" s="156" t="s">
        <v>50</v>
      </c>
      <c r="C135" s="157"/>
      <c r="D135" s="157"/>
      <c r="E135" s="157"/>
      <c r="F135" s="157"/>
      <c r="G135" s="157"/>
      <c r="H135" s="158"/>
      <c r="I135" s="78">
        <f>51*250000*12</f>
        <v>153000000</v>
      </c>
      <c r="K135" s="46"/>
    </row>
    <row r="136" spans="1:13" s="11" customFormat="1" ht="21" x14ac:dyDescent="0.35">
      <c r="A136" s="114"/>
      <c r="B136" s="217" t="s">
        <v>28</v>
      </c>
      <c r="C136" s="218"/>
      <c r="D136" s="218"/>
      <c r="E136" s="218"/>
      <c r="F136" s="218"/>
      <c r="G136" s="218"/>
      <c r="H136" s="219"/>
      <c r="I136" s="92"/>
      <c r="K136" s="64"/>
      <c r="M136" s="12"/>
    </row>
    <row r="137" spans="1:13" ht="20.25" x14ac:dyDescent="0.3">
      <c r="A137" s="104"/>
      <c r="B137" s="156" t="s">
        <v>29</v>
      </c>
      <c r="C137" s="157"/>
      <c r="D137" s="157"/>
      <c r="E137" s="157"/>
      <c r="F137" s="157"/>
      <c r="G137" s="157"/>
      <c r="H137" s="158"/>
      <c r="I137" s="78"/>
      <c r="K137" s="46"/>
    </row>
    <row r="138" spans="1:13" ht="20.25" x14ac:dyDescent="0.3">
      <c r="A138" s="104"/>
      <c r="B138" s="180" t="s">
        <v>30</v>
      </c>
      <c r="C138" s="181"/>
      <c r="D138" s="181"/>
      <c r="E138" s="181"/>
      <c r="F138" s="181"/>
      <c r="G138" s="181"/>
      <c r="H138" s="182"/>
      <c r="I138" s="78"/>
      <c r="K138" s="46"/>
    </row>
    <row r="139" spans="1:13" ht="20.25" x14ac:dyDescent="0.3">
      <c r="A139" s="104"/>
      <c r="B139" s="156" t="s">
        <v>62</v>
      </c>
      <c r="C139" s="157"/>
      <c r="D139" s="157"/>
      <c r="E139" s="157"/>
      <c r="F139" s="157"/>
      <c r="G139" s="157"/>
      <c r="H139" s="158"/>
      <c r="I139" s="78">
        <f>6*0.1*1490000*6*3+32000</f>
        <v>16124000.000000004</v>
      </c>
      <c r="K139" s="46"/>
    </row>
    <row r="140" spans="1:13" ht="20.25" x14ac:dyDescent="0.3">
      <c r="A140" s="104"/>
      <c r="B140" s="180" t="s">
        <v>31</v>
      </c>
      <c r="C140" s="181"/>
      <c r="D140" s="181"/>
      <c r="E140" s="181"/>
      <c r="F140" s="181"/>
      <c r="G140" s="181"/>
      <c r="H140" s="182"/>
      <c r="I140" s="78"/>
      <c r="K140" s="46"/>
    </row>
    <row r="141" spans="1:13" ht="20.25" x14ac:dyDescent="0.3">
      <c r="A141" s="104"/>
      <c r="B141" s="156" t="s">
        <v>63</v>
      </c>
      <c r="C141" s="157"/>
      <c r="D141" s="157"/>
      <c r="E141" s="157"/>
      <c r="F141" s="157"/>
      <c r="G141" s="157"/>
      <c r="H141" s="158"/>
      <c r="I141" s="78">
        <f>6*0.1*1490000*4*5</f>
        <v>17880000.000000004</v>
      </c>
      <c r="K141" s="46"/>
    </row>
    <row r="142" spans="1:13" ht="21" x14ac:dyDescent="0.35">
      <c r="A142" s="104"/>
      <c r="B142" s="217" t="s">
        <v>32</v>
      </c>
      <c r="C142" s="218"/>
      <c r="D142" s="218"/>
      <c r="E142" s="218"/>
      <c r="F142" s="218"/>
      <c r="G142" s="218"/>
      <c r="H142" s="219"/>
      <c r="I142" s="78"/>
      <c r="K142" s="46"/>
    </row>
    <row r="143" spans="1:13" ht="21" x14ac:dyDescent="0.35">
      <c r="A143" s="104"/>
      <c r="B143" s="180" t="s">
        <v>51</v>
      </c>
      <c r="C143" s="181"/>
      <c r="D143" s="181"/>
      <c r="E143" s="181"/>
      <c r="F143" s="181"/>
      <c r="G143" s="181"/>
      <c r="H143" s="182"/>
      <c r="I143" s="78">
        <f>51*2000000</f>
        <v>102000000</v>
      </c>
      <c r="K143" s="46"/>
    </row>
    <row r="144" spans="1:13" ht="20.25" x14ac:dyDescent="0.3">
      <c r="A144" s="104"/>
      <c r="B144" s="180" t="s">
        <v>52</v>
      </c>
      <c r="C144" s="181"/>
      <c r="D144" s="181"/>
      <c r="E144" s="181"/>
      <c r="F144" s="181"/>
      <c r="G144" s="181"/>
      <c r="H144" s="182"/>
      <c r="I144" s="78">
        <f>I143</f>
        <v>102000000</v>
      </c>
      <c r="K144" s="46"/>
    </row>
    <row r="145" spans="1:13" s="32" customFormat="1" ht="20.25" x14ac:dyDescent="0.3">
      <c r="A145" s="112">
        <v>9</v>
      </c>
      <c r="B145" s="214" t="s">
        <v>173</v>
      </c>
      <c r="C145" s="215"/>
      <c r="D145" s="215"/>
      <c r="E145" s="215"/>
      <c r="F145" s="215"/>
      <c r="G145" s="215"/>
      <c r="H145" s="216"/>
      <c r="I145" s="91">
        <f>I146+I152+I158</f>
        <v>429120000</v>
      </c>
      <c r="K145" s="60"/>
      <c r="M145" s="33"/>
    </row>
    <row r="146" spans="1:13" s="39" customFormat="1" ht="41.25" customHeight="1" x14ac:dyDescent="0.35">
      <c r="A146" s="115" t="s">
        <v>144</v>
      </c>
      <c r="B146" s="171" t="s">
        <v>174</v>
      </c>
      <c r="C146" s="171"/>
      <c r="D146" s="171"/>
      <c r="E146" s="171"/>
      <c r="F146" s="171"/>
      <c r="G146" s="171"/>
      <c r="H146" s="171"/>
      <c r="I146" s="93">
        <f>SUM(I147:I151)</f>
        <v>101280000</v>
      </c>
      <c r="J146" s="42"/>
      <c r="K146" s="65"/>
      <c r="M146" s="40"/>
    </row>
    <row r="147" spans="1:13" ht="20.25" x14ac:dyDescent="0.3">
      <c r="A147" s="104"/>
      <c r="B147" s="180" t="s">
        <v>82</v>
      </c>
      <c r="C147" s="181"/>
      <c r="D147" s="181"/>
      <c r="E147" s="181"/>
      <c r="F147" s="181"/>
      <c r="G147" s="181"/>
      <c r="H147" s="182"/>
      <c r="I147" s="78">
        <f>10*4*3*500000</f>
        <v>60000000</v>
      </c>
      <c r="K147" s="46"/>
    </row>
    <row r="148" spans="1:13" s="13" customFormat="1" ht="21" x14ac:dyDescent="0.35">
      <c r="A148" s="116"/>
      <c r="B148" s="180" t="s">
        <v>83</v>
      </c>
      <c r="C148" s="181"/>
      <c r="D148" s="181"/>
      <c r="E148" s="181"/>
      <c r="F148" s="181"/>
      <c r="G148" s="181"/>
      <c r="H148" s="182"/>
      <c r="I148" s="78">
        <f>10*4*2*350000</f>
        <v>28000000</v>
      </c>
      <c r="J148" s="1"/>
      <c r="K148" s="66"/>
      <c r="M148" s="14"/>
    </row>
    <row r="149" spans="1:13" ht="20.25" x14ac:dyDescent="0.3">
      <c r="A149" s="104"/>
      <c r="B149" s="180" t="s">
        <v>183</v>
      </c>
      <c r="C149" s="181"/>
      <c r="D149" s="181"/>
      <c r="E149" s="181"/>
      <c r="F149" s="181"/>
      <c r="G149" s="181"/>
      <c r="H149" s="182"/>
      <c r="I149" s="94"/>
      <c r="K149" s="46"/>
    </row>
    <row r="150" spans="1:13" ht="20.25" x14ac:dyDescent="0.3">
      <c r="A150" s="104"/>
      <c r="B150" s="156" t="s">
        <v>84</v>
      </c>
      <c r="C150" s="157"/>
      <c r="D150" s="157"/>
      <c r="E150" s="157"/>
      <c r="F150" s="157"/>
      <c r="G150" s="157"/>
      <c r="H150" s="158"/>
      <c r="I150" s="78">
        <f>4*60*22000*1</f>
        <v>5280000</v>
      </c>
      <c r="K150" s="46"/>
    </row>
    <row r="151" spans="1:13" ht="20.25" x14ac:dyDescent="0.3">
      <c r="A151" s="104"/>
      <c r="B151" s="180" t="s">
        <v>85</v>
      </c>
      <c r="C151" s="181"/>
      <c r="D151" s="181"/>
      <c r="E151" s="181"/>
      <c r="F151" s="181"/>
      <c r="G151" s="181"/>
      <c r="H151" s="182"/>
      <c r="I151" s="78">
        <f>4*2000000</f>
        <v>8000000</v>
      </c>
      <c r="K151" s="46"/>
    </row>
    <row r="152" spans="1:13" s="39" customFormat="1" ht="21" x14ac:dyDescent="0.35">
      <c r="A152" s="115" t="s">
        <v>145</v>
      </c>
      <c r="B152" s="223" t="s">
        <v>184</v>
      </c>
      <c r="C152" s="224"/>
      <c r="D152" s="224"/>
      <c r="E152" s="224"/>
      <c r="F152" s="224"/>
      <c r="G152" s="224"/>
      <c r="H152" s="225"/>
      <c r="I152" s="95">
        <f>SUM(I153:I157)</f>
        <v>67280000</v>
      </c>
      <c r="K152" s="65"/>
      <c r="M152" s="40"/>
    </row>
    <row r="153" spans="1:13" ht="20.25" x14ac:dyDescent="0.3">
      <c r="A153" s="104"/>
      <c r="B153" s="180" t="s">
        <v>104</v>
      </c>
      <c r="C153" s="181"/>
      <c r="D153" s="181"/>
      <c r="E153" s="181"/>
      <c r="F153" s="181"/>
      <c r="G153" s="181"/>
      <c r="H153" s="182"/>
      <c r="I153" s="78">
        <f>4*10*2*500000</f>
        <v>40000000</v>
      </c>
      <c r="K153" s="46"/>
    </row>
    <row r="154" spans="1:13" ht="20.25" x14ac:dyDescent="0.3">
      <c r="A154" s="104"/>
      <c r="B154" s="180" t="s">
        <v>86</v>
      </c>
      <c r="C154" s="181"/>
      <c r="D154" s="181"/>
      <c r="E154" s="181"/>
      <c r="F154" s="181"/>
      <c r="G154" s="181"/>
      <c r="H154" s="182"/>
      <c r="I154" s="78">
        <f>4*10*1*350000</f>
        <v>14000000</v>
      </c>
      <c r="K154" s="46"/>
    </row>
    <row r="155" spans="1:13" ht="20.25" x14ac:dyDescent="0.3">
      <c r="A155" s="104"/>
      <c r="B155" s="180" t="s">
        <v>183</v>
      </c>
      <c r="C155" s="181"/>
      <c r="D155" s="181"/>
      <c r="E155" s="181"/>
      <c r="F155" s="181"/>
      <c r="G155" s="181"/>
      <c r="H155" s="182"/>
      <c r="I155" s="94"/>
      <c r="K155" s="46"/>
    </row>
    <row r="156" spans="1:13" ht="20.25" x14ac:dyDescent="0.3">
      <c r="A156" s="104"/>
      <c r="B156" s="156" t="s">
        <v>87</v>
      </c>
      <c r="C156" s="157"/>
      <c r="D156" s="157"/>
      <c r="E156" s="157"/>
      <c r="F156" s="157"/>
      <c r="G156" s="157"/>
      <c r="H156" s="158"/>
      <c r="I156" s="78">
        <f>4*60*22000*1</f>
        <v>5280000</v>
      </c>
      <c r="K156" s="46"/>
    </row>
    <row r="157" spans="1:13" ht="20.25" x14ac:dyDescent="0.3">
      <c r="A157" s="104"/>
      <c r="B157" s="180" t="s">
        <v>88</v>
      </c>
      <c r="C157" s="181"/>
      <c r="D157" s="181"/>
      <c r="E157" s="181"/>
      <c r="F157" s="181"/>
      <c r="G157" s="181"/>
      <c r="H157" s="182"/>
      <c r="I157" s="78">
        <f>4*2000000</f>
        <v>8000000</v>
      </c>
      <c r="K157" s="46"/>
    </row>
    <row r="158" spans="1:13" s="39" customFormat="1" ht="21" x14ac:dyDescent="0.35">
      <c r="A158" s="115" t="s">
        <v>146</v>
      </c>
      <c r="B158" s="223" t="s">
        <v>175</v>
      </c>
      <c r="C158" s="224"/>
      <c r="D158" s="224"/>
      <c r="E158" s="224"/>
      <c r="F158" s="224"/>
      <c r="G158" s="224"/>
      <c r="H158" s="225"/>
      <c r="I158" s="95">
        <f>SUM(I159:I162)</f>
        <v>260560000</v>
      </c>
      <c r="K158" s="65"/>
      <c r="M158" s="40"/>
    </row>
    <row r="159" spans="1:13" s="23" customFormat="1" ht="20.25" x14ac:dyDescent="0.3">
      <c r="A159" s="108" t="s">
        <v>147</v>
      </c>
      <c r="B159" s="199" t="s">
        <v>176</v>
      </c>
      <c r="C159" s="200"/>
      <c r="D159" s="200"/>
      <c r="E159" s="200"/>
      <c r="F159" s="200"/>
      <c r="G159" s="200"/>
      <c r="H159" s="201"/>
      <c r="I159" s="83">
        <v>66500000</v>
      </c>
      <c r="K159" s="53"/>
      <c r="M159" s="24"/>
    </row>
    <row r="160" spans="1:13" s="23" customFormat="1" ht="20.25" x14ac:dyDescent="0.3">
      <c r="A160" s="108" t="s">
        <v>148</v>
      </c>
      <c r="B160" s="199" t="s">
        <v>157</v>
      </c>
      <c r="C160" s="200"/>
      <c r="D160" s="200"/>
      <c r="E160" s="200"/>
      <c r="F160" s="200"/>
      <c r="G160" s="200"/>
      <c r="H160" s="201"/>
      <c r="I160" s="83">
        <v>66500000</v>
      </c>
      <c r="K160" s="53"/>
      <c r="M160" s="24"/>
    </row>
    <row r="161" spans="1:13" s="23" customFormat="1" ht="20.25" x14ac:dyDescent="0.3">
      <c r="A161" s="108" t="s">
        <v>149</v>
      </c>
      <c r="B161" s="199" t="s">
        <v>158</v>
      </c>
      <c r="C161" s="200"/>
      <c r="D161" s="200"/>
      <c r="E161" s="200"/>
      <c r="F161" s="200"/>
      <c r="G161" s="200"/>
      <c r="H161" s="201"/>
      <c r="I161" s="83">
        <v>79280000</v>
      </c>
      <c r="K161" s="53"/>
      <c r="M161" s="24"/>
    </row>
    <row r="162" spans="1:13" s="23" customFormat="1" ht="20.25" x14ac:dyDescent="0.3">
      <c r="A162" s="108" t="s">
        <v>150</v>
      </c>
      <c r="B162" s="199" t="s">
        <v>159</v>
      </c>
      <c r="C162" s="200"/>
      <c r="D162" s="200"/>
      <c r="E162" s="200"/>
      <c r="F162" s="200"/>
      <c r="G162" s="200"/>
      <c r="H162" s="201"/>
      <c r="I162" s="83">
        <v>48280000</v>
      </c>
      <c r="K162" s="53"/>
      <c r="M162" s="24"/>
    </row>
    <row r="163" spans="1:13" s="32" customFormat="1" ht="20.25" x14ac:dyDescent="0.3">
      <c r="A163" s="112">
        <v>10</v>
      </c>
      <c r="B163" s="214" t="s">
        <v>177</v>
      </c>
      <c r="C163" s="215"/>
      <c r="D163" s="215"/>
      <c r="E163" s="215"/>
      <c r="F163" s="215"/>
      <c r="G163" s="215"/>
      <c r="H163" s="216"/>
      <c r="I163" s="91">
        <f>I164</f>
        <v>70000000</v>
      </c>
      <c r="K163" s="60"/>
      <c r="M163" s="33"/>
    </row>
    <row r="164" spans="1:13" ht="20.25" x14ac:dyDescent="0.3">
      <c r="A164" s="104"/>
      <c r="B164" s="180" t="s">
        <v>178</v>
      </c>
      <c r="C164" s="181"/>
      <c r="D164" s="181"/>
      <c r="E164" s="181"/>
      <c r="F164" s="181"/>
      <c r="G164" s="181"/>
      <c r="H164" s="182"/>
      <c r="I164" s="78">
        <v>70000000</v>
      </c>
      <c r="K164" s="46"/>
    </row>
    <row r="165" spans="1:13" s="32" customFormat="1" ht="20.25" x14ac:dyDescent="0.3">
      <c r="A165" s="112">
        <v>11</v>
      </c>
      <c r="B165" s="214" t="s">
        <v>182</v>
      </c>
      <c r="C165" s="215"/>
      <c r="D165" s="215"/>
      <c r="E165" s="215"/>
      <c r="F165" s="215"/>
      <c r="G165" s="215"/>
      <c r="H165" s="216"/>
      <c r="I165" s="91">
        <f>SUM(I167:I168)</f>
        <v>235000000</v>
      </c>
      <c r="K165" s="60"/>
      <c r="M165" s="33"/>
    </row>
    <row r="166" spans="1:13" ht="20.25" x14ac:dyDescent="0.3">
      <c r="A166" s="104"/>
      <c r="B166" s="180" t="s">
        <v>33</v>
      </c>
      <c r="C166" s="181"/>
      <c r="D166" s="181"/>
      <c r="E166" s="181"/>
      <c r="F166" s="181"/>
      <c r="G166" s="181"/>
      <c r="H166" s="182"/>
      <c r="I166" s="78"/>
      <c r="K166" s="46"/>
    </row>
    <row r="167" spans="1:13" ht="20.25" x14ac:dyDescent="0.3">
      <c r="A167" s="104"/>
      <c r="B167" s="156" t="s">
        <v>34</v>
      </c>
      <c r="C167" s="157"/>
      <c r="D167" s="157"/>
      <c r="E167" s="157"/>
      <c r="F167" s="157"/>
      <c r="G167" s="157"/>
      <c r="H167" s="158"/>
      <c r="I167" s="78">
        <v>150000000</v>
      </c>
      <c r="K167" s="46"/>
    </row>
    <row r="168" spans="1:13" ht="20.25" x14ac:dyDescent="0.3">
      <c r="A168" s="104"/>
      <c r="B168" s="180" t="s">
        <v>35</v>
      </c>
      <c r="C168" s="181"/>
      <c r="D168" s="181"/>
      <c r="E168" s="181"/>
      <c r="F168" s="181"/>
      <c r="G168" s="181"/>
      <c r="H168" s="182"/>
      <c r="I168" s="78">
        <v>85000000</v>
      </c>
      <c r="K168" s="46"/>
    </row>
    <row r="169" spans="1:13" s="32" customFormat="1" ht="20.25" x14ac:dyDescent="0.3">
      <c r="A169" s="112">
        <v>12</v>
      </c>
      <c r="B169" s="214" t="s">
        <v>151</v>
      </c>
      <c r="C169" s="215"/>
      <c r="D169" s="215"/>
      <c r="E169" s="215"/>
      <c r="F169" s="215"/>
      <c r="G169" s="215"/>
      <c r="H169" s="216"/>
      <c r="I169" s="91">
        <v>70000000</v>
      </c>
      <c r="K169" s="60"/>
      <c r="M169" s="33"/>
    </row>
    <row r="170" spans="1:13" s="3" customFormat="1" ht="20.25" x14ac:dyDescent="0.3">
      <c r="A170" s="226" t="s">
        <v>36</v>
      </c>
      <c r="B170" s="227"/>
      <c r="C170" s="227"/>
      <c r="D170" s="227"/>
      <c r="E170" s="227"/>
      <c r="F170" s="227"/>
      <c r="G170" s="227"/>
      <c r="H170" s="228"/>
      <c r="I170" s="124">
        <f>I10+I24+I34+I108+I119+I123+I126+I131+I145+I163+I165+I169</f>
        <v>5900000000</v>
      </c>
      <c r="K170" s="67"/>
      <c r="M170" s="15"/>
    </row>
    <row r="171" spans="1:13" ht="20.25" x14ac:dyDescent="0.3">
      <c r="B171" s="150" t="s">
        <v>89</v>
      </c>
      <c r="C171" s="150"/>
      <c r="D171" s="150"/>
      <c r="E171" s="150"/>
      <c r="F171" s="150"/>
      <c r="G171" s="150"/>
      <c r="H171" s="150"/>
      <c r="I171" s="150"/>
      <c r="K171" s="46"/>
    </row>
    <row r="172" spans="1:13" ht="20.25" x14ac:dyDescent="0.3">
      <c r="K172" s="46"/>
    </row>
    <row r="173" spans="1:13" ht="20.25" x14ac:dyDescent="0.3">
      <c r="B173" s="27" t="s">
        <v>105</v>
      </c>
      <c r="K173" s="46"/>
    </row>
  </sheetData>
  <mergeCells count="169">
    <mergeCell ref="B168:H168"/>
    <mergeCell ref="B169:H169"/>
    <mergeCell ref="A170:H170"/>
    <mergeCell ref="B163:H163"/>
    <mergeCell ref="B164:H164"/>
    <mergeCell ref="B165:H165"/>
    <mergeCell ref="B166:H166"/>
    <mergeCell ref="B167:H167"/>
    <mergeCell ref="B158:H158"/>
    <mergeCell ref="B159:H159"/>
    <mergeCell ref="B160:H160"/>
    <mergeCell ref="B161:H161"/>
    <mergeCell ref="B162:H162"/>
    <mergeCell ref="B153:H153"/>
    <mergeCell ref="B154:H154"/>
    <mergeCell ref="B155:H155"/>
    <mergeCell ref="B156:H156"/>
    <mergeCell ref="B157:H157"/>
    <mergeCell ref="B148:H148"/>
    <mergeCell ref="B149:H149"/>
    <mergeCell ref="B150:H150"/>
    <mergeCell ref="B151:H151"/>
    <mergeCell ref="B152:H152"/>
    <mergeCell ref="B142:H142"/>
    <mergeCell ref="B143:H143"/>
    <mergeCell ref="B144:H144"/>
    <mergeCell ref="B145:H145"/>
    <mergeCell ref="B147:H147"/>
    <mergeCell ref="B137:H137"/>
    <mergeCell ref="B138:H138"/>
    <mergeCell ref="B139:H139"/>
    <mergeCell ref="B140:H140"/>
    <mergeCell ref="B141:H141"/>
    <mergeCell ref="B132:H132"/>
    <mergeCell ref="B133:H133"/>
    <mergeCell ref="B134:H134"/>
    <mergeCell ref="B135:H135"/>
    <mergeCell ref="B136:H136"/>
    <mergeCell ref="B127:H127"/>
    <mergeCell ref="B128:H128"/>
    <mergeCell ref="B129:H129"/>
    <mergeCell ref="B130:H130"/>
    <mergeCell ref="B131:H131"/>
    <mergeCell ref="B122:H122"/>
    <mergeCell ref="B123:H123"/>
    <mergeCell ref="B124:H124"/>
    <mergeCell ref="B125:H125"/>
    <mergeCell ref="B126:H126"/>
    <mergeCell ref="B117:H117"/>
    <mergeCell ref="B118:H118"/>
    <mergeCell ref="B119:H119"/>
    <mergeCell ref="B120:H120"/>
    <mergeCell ref="B121:H121"/>
    <mergeCell ref="B112:H112"/>
    <mergeCell ref="B113:H113"/>
    <mergeCell ref="B114:H114"/>
    <mergeCell ref="B115:H115"/>
    <mergeCell ref="B116:H116"/>
    <mergeCell ref="B107:H107"/>
    <mergeCell ref="B108:H108"/>
    <mergeCell ref="B109:H109"/>
    <mergeCell ref="B110:H110"/>
    <mergeCell ref="B111:H111"/>
    <mergeCell ref="B102:H102"/>
    <mergeCell ref="B103:H103"/>
    <mergeCell ref="B104:H104"/>
    <mergeCell ref="B105:H105"/>
    <mergeCell ref="B106:H106"/>
    <mergeCell ref="B95:H95"/>
    <mergeCell ref="B96:H96"/>
    <mergeCell ref="B97:H97"/>
    <mergeCell ref="B100:H100"/>
    <mergeCell ref="B101:H101"/>
    <mergeCell ref="B89:H89"/>
    <mergeCell ref="B90:H90"/>
    <mergeCell ref="B91:H91"/>
    <mergeCell ref="B92:H92"/>
    <mergeCell ref="B94:H94"/>
    <mergeCell ref="B81:H81"/>
    <mergeCell ref="B82:H82"/>
    <mergeCell ref="B83:H83"/>
    <mergeCell ref="B85:H85"/>
    <mergeCell ref="B88:H88"/>
    <mergeCell ref="B84:H84"/>
    <mergeCell ref="B76:H76"/>
    <mergeCell ref="B77:H77"/>
    <mergeCell ref="B78:H78"/>
    <mergeCell ref="B79:H79"/>
    <mergeCell ref="B80:H80"/>
    <mergeCell ref="B71:H71"/>
    <mergeCell ref="B70:H70"/>
    <mergeCell ref="B73:H73"/>
    <mergeCell ref="B74:H74"/>
    <mergeCell ref="B75:H75"/>
    <mergeCell ref="B65:H65"/>
    <mergeCell ref="B66:H66"/>
    <mergeCell ref="B67:H67"/>
    <mergeCell ref="B68:H68"/>
    <mergeCell ref="B69:H69"/>
    <mergeCell ref="B60:H60"/>
    <mergeCell ref="B61:H61"/>
    <mergeCell ref="B62:H62"/>
    <mergeCell ref="B63:H63"/>
    <mergeCell ref="B64:H64"/>
    <mergeCell ref="B56:H56"/>
    <mergeCell ref="B57:H57"/>
    <mergeCell ref="B58:H58"/>
    <mergeCell ref="B59:H59"/>
    <mergeCell ref="B49:H49"/>
    <mergeCell ref="B50:H50"/>
    <mergeCell ref="B52:H52"/>
    <mergeCell ref="B53:H53"/>
    <mergeCell ref="B54:H54"/>
    <mergeCell ref="B46:H46"/>
    <mergeCell ref="B47:H47"/>
    <mergeCell ref="B48:H48"/>
    <mergeCell ref="B39:H39"/>
    <mergeCell ref="B40:H40"/>
    <mergeCell ref="B41:H41"/>
    <mergeCell ref="B42:H42"/>
    <mergeCell ref="B43:H43"/>
    <mergeCell ref="B55:H55"/>
    <mergeCell ref="B37:H37"/>
    <mergeCell ref="B38:H38"/>
    <mergeCell ref="B28:H28"/>
    <mergeCell ref="B29:H29"/>
    <mergeCell ref="B30:H30"/>
    <mergeCell ref="B31:H31"/>
    <mergeCell ref="B32:H32"/>
    <mergeCell ref="B44:H44"/>
    <mergeCell ref="B45:H45"/>
    <mergeCell ref="B33:H33"/>
    <mergeCell ref="B35:H35"/>
    <mergeCell ref="B36:H36"/>
    <mergeCell ref="B22:H22"/>
    <mergeCell ref="B23:H23"/>
    <mergeCell ref="B25:H25"/>
    <mergeCell ref="B17:H17"/>
    <mergeCell ref="B18:H18"/>
    <mergeCell ref="B19:H19"/>
    <mergeCell ref="B20:H20"/>
    <mergeCell ref="B21:H21"/>
    <mergeCell ref="A5:I5"/>
    <mergeCell ref="A6:I6"/>
    <mergeCell ref="A7:I7"/>
    <mergeCell ref="F1:I1"/>
    <mergeCell ref="F2:I2"/>
    <mergeCell ref="A1:D1"/>
    <mergeCell ref="A2:D2"/>
    <mergeCell ref="B171:I171"/>
    <mergeCell ref="B24:H24"/>
    <mergeCell ref="B86:H86"/>
    <mergeCell ref="B98:H98"/>
    <mergeCell ref="B87:H87"/>
    <mergeCell ref="B93:H93"/>
    <mergeCell ref="B72:H72"/>
    <mergeCell ref="B99:H99"/>
    <mergeCell ref="B146:H146"/>
    <mergeCell ref="B34:H34"/>
    <mergeCell ref="B9:H9"/>
    <mergeCell ref="B10:H10"/>
    <mergeCell ref="B11:H11"/>
    <mergeCell ref="B12:H12"/>
    <mergeCell ref="B13:H13"/>
    <mergeCell ref="B14:H14"/>
    <mergeCell ref="B15:H15"/>
    <mergeCell ref="B16:H16"/>
    <mergeCell ref="B26:H26"/>
    <mergeCell ref="B27:H27"/>
  </mergeCells>
  <printOptions horizontalCentered="1"/>
  <pageMargins left="0.78740157480314965" right="0.78740157480314965" top="1.1811023622047245" bottom="1.1811023622047245" header="0.31496062992125984" footer="0.31496062992125984"/>
  <pageSetup paperSize="9" scale="75" orientation="portrait" r:id="rId1"/>
  <headerFooter>
    <oddFooter>&amp;L&amp;P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du tru 2</vt:lpstr>
      <vt:lpstr>thuyet minh du tru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 TICH</dc:creator>
  <cp:lastModifiedBy>Admin</cp:lastModifiedBy>
  <cp:lastPrinted>2021-12-01T02:00:18Z</cp:lastPrinted>
  <dcterms:created xsi:type="dcterms:W3CDTF">2021-10-05T03:40:30Z</dcterms:created>
  <dcterms:modified xsi:type="dcterms:W3CDTF">2021-12-01T08:54:48Z</dcterms:modified>
</cp:coreProperties>
</file>