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20640" windowHeight="11700" activeTab="0"/>
  </bookViews>
  <sheets>
    <sheet name="BIEU 05" sheetId="1" r:id="rId1"/>
  </sheets>
  <definedNames>
    <definedName name="_xlnm.Print_Titles" localSheetId="0">'BIEU 05'!$5:$7</definedName>
  </definedNames>
  <calcPr fullCalcOnLoad="1"/>
</workbook>
</file>

<file path=xl/sharedStrings.xml><?xml version="1.0" encoding="utf-8"?>
<sst xmlns="http://schemas.openxmlformats.org/spreadsheetml/2006/main" count="279" uniqueCount="158">
  <si>
    <t>Tổ chức khác</t>
  </si>
  <si>
    <t>Năm 2019</t>
  </si>
  <si>
    <t>Năm 2020</t>
  </si>
  <si>
    <t>Thời điểm chi trả</t>
  </si>
  <si>
    <t>Đạt tỷ lệ %</t>
  </si>
  <si>
    <t>Kết quả thực hiện chi trả tiền dịch vụ môi trường rừng năm 2019-2020</t>
  </si>
  <si>
    <t>Diện tích rừng được chi trả tiền DVMTR</t>
  </si>
  <si>
    <t>Nhóm hộ</t>
  </si>
  <si>
    <t>Tổng số hộ gia đình, cá nhân, nhóm hộ, cộng đồng dân cư, tổ chức được nhận khoán</t>
  </si>
  <si>
    <t>Số hộ gia đình, cá nhân là đồng bào DTTS, nhóm hộ, cộng đồng dân cư, tổ chức được nhận khoán</t>
  </si>
  <si>
    <t xml:space="preserve">Hộ gia đình, cá nhân </t>
  </si>
  <si>
    <t xml:space="preserve">Cộng đồng </t>
  </si>
  <si>
    <t>Tổng số hộ gia đình, cá nhân, nhóm hộ, cộng đồng dân cư, tổ chức</t>
  </si>
  <si>
    <t>Số hộ gia đình, cá nhân là đồng bào DTTS, nhóm hộ, cộng đồng dân cư, tổ chức</t>
  </si>
  <si>
    <t>TT</t>
  </si>
  <si>
    <t>Chủ rừng được nhận khoán BVR</t>
  </si>
  <si>
    <t>Diện tích rừng được khoán quản lý bảo vệ</t>
  </si>
  <si>
    <t xml:space="preserve">Diện tích rừng khoán được nghiệm thu chi trả tiền DVMTR </t>
  </si>
  <si>
    <t>A</t>
  </si>
  <si>
    <t>Chủ rừng là tổ chức</t>
  </si>
  <si>
    <t>BQL Vườn quốc gia Chư Mom Ray</t>
  </si>
  <si>
    <t>Công ty cổ phần Sâm Ngọc Linh Kon Tum</t>
  </si>
  <si>
    <t>Công ty cổ phần VinGin</t>
  </si>
  <si>
    <t>B</t>
  </si>
  <si>
    <t>UBND các xã, thị trấn</t>
  </si>
  <si>
    <t>I</t>
  </si>
  <si>
    <t>Huyện Đăk Glei</t>
  </si>
  <si>
    <t>UBND thị trấn Đăk Glei</t>
  </si>
  <si>
    <t>UBND xã Đăk Pét</t>
  </si>
  <si>
    <t>UBND xã Đăk Long</t>
  </si>
  <si>
    <t>UBND xã Đăk Môn</t>
  </si>
  <si>
    <t>UBND xã Đăk Kroong</t>
  </si>
  <si>
    <t>UBND xã Đăk Nhoong</t>
  </si>
  <si>
    <t>UBND xã Đăk Man</t>
  </si>
  <si>
    <t>UBND xã Đăk Choong</t>
  </si>
  <si>
    <t>UBND xã Mường Hoong</t>
  </si>
  <si>
    <t>UBND xã Ngọc Linh</t>
  </si>
  <si>
    <t>UBND xã Xốp</t>
  </si>
  <si>
    <t>II</t>
  </si>
  <si>
    <t>III</t>
  </si>
  <si>
    <t>Huyện Đăk Tô</t>
  </si>
  <si>
    <t>UBND thị trấn Đăk Tô</t>
  </si>
  <si>
    <t>UBND xã Văn Lem</t>
  </si>
  <si>
    <t>IV</t>
  </si>
  <si>
    <t>Huyện Sa Thầy</t>
  </si>
  <si>
    <t>UBND xã Ya Tăng</t>
  </si>
  <si>
    <t>V</t>
  </si>
  <si>
    <t>Huyện Kon Rẫy</t>
  </si>
  <si>
    <t>UBND xã Đăk Kôi</t>
  </si>
  <si>
    <t>UBND xã Đăk Pne</t>
  </si>
  <si>
    <t>UBND xã Đăk Ruồng</t>
  </si>
  <si>
    <t>UBND thị trấn Đăk Rve</t>
  </si>
  <si>
    <t>UBND xã Đăk Tờ Lung</t>
  </si>
  <si>
    <t>UBND xã Đăk Tờ Re</t>
  </si>
  <si>
    <t>UBND xã Tân Lập</t>
  </si>
  <si>
    <t>VI</t>
  </si>
  <si>
    <t>Huyện Kon Plông</t>
  </si>
  <si>
    <t>UBND xã Măng Cành</t>
  </si>
  <si>
    <t>UBND xã Ngọc Tem</t>
  </si>
  <si>
    <t>UBND xã Đăk Nên</t>
  </si>
  <si>
    <t>Huyện Tu Mơ Rông</t>
  </si>
  <si>
    <t>UBND xã Đăk Hà</t>
  </si>
  <si>
    <t>UBND xã Tê Xăng</t>
  </si>
  <si>
    <t>UBND xã Tu Mơ Rông</t>
  </si>
  <si>
    <t>UBND xã Văn Xuôi</t>
  </si>
  <si>
    <t>10/9/2020;
29/4/2021</t>
  </si>
  <si>
    <t>26/12/201;
20/7/2020</t>
  </si>
  <si>
    <t>BQL RPH Tu Mơ Rông</t>
  </si>
  <si>
    <t>12/2019 
và 7/2020</t>
  </si>
  <si>
    <t>12/2020 
và 6/2021</t>
  </si>
  <si>
    <t>2020 và 2021</t>
  </si>
  <si>
    <t>24/08/2020</t>
  </si>
  <si>
    <t>14/06/2021</t>
  </si>
  <si>
    <t>-</t>
  </si>
  <si>
    <t>Tạm ứng ngày 25/08/2020 và thanh toán ngày
12/03/2021</t>
  </si>
  <si>
    <t xml:space="preserve"> 2019;2020</t>
  </si>
  <si>
    <t>2020;2021</t>
  </si>
  <si>
    <t>Công ty TNHH MTV LN Ngọc Hồi</t>
  </si>
  <si>
    <t>Công ty TNHH MTV LN Đăk Glei</t>
  </si>
  <si>
    <t>BQL KBT thiên nhiên Ngọc Linh</t>
  </si>
  <si>
    <t>Năm 2019 và 25/5/2020</t>
  </si>
  <si>
    <t>Năm 2020 và 05/02/2021</t>
  </si>
  <si>
    <t>Công ty TNHH MTV LN Đăk Tô</t>
  </si>
  <si>
    <t>2019-2020</t>
  </si>
  <si>
    <t>2020-2021</t>
  </si>
  <si>
    <t>Ngày 24/6/2021</t>
  </si>
  <si>
    <t>Ngày 15/7/2020</t>
  </si>
  <si>
    <t>Ngày 29/6/2021</t>
  </si>
  <si>
    <t>Ngày 10/6/2021</t>
  </si>
  <si>
    <t>23</t>
  </si>
  <si>
    <t>15</t>
  </si>
  <si>
    <t>02</t>
  </si>
  <si>
    <t>Ngày 01/7/2020</t>
  </si>
  <si>
    <t>Công ty TNHH MTV LN Kon Rẫy</t>
  </si>
  <si>
    <t>30/9/2020 đến 21/5/2021</t>
  </si>
  <si>
    <t>05/2020</t>
  </si>
  <si>
    <t>04/2021</t>
  </si>
  <si>
    <t>Năm 2021</t>
  </si>
  <si>
    <t>BQL RPH Đăk Hà</t>
  </si>
  <si>
    <t>BQL RPH Đăk Glei</t>
  </si>
  <si>
    <t>BQL RPH Kon Rẫy</t>
  </si>
  <si>
    <t>BQL RPH Thạch Nham</t>
  </si>
  <si>
    <t>Công ty TNHH MTV LN Kon Plông</t>
  </si>
  <si>
    <t>Công ty TNHH MTV LN Ia H'Drai</t>
  </si>
  <si>
    <t>Ngày 29/6/2020</t>
  </si>
  <si>
    <t>Ngày 30/6/2021</t>
  </si>
  <si>
    <t xml:space="preserve">Tháng 06/2021 </t>
  </si>
  <si>
    <t>1273,18</t>
  </si>
  <si>
    <t>6/2020</t>
  </si>
  <si>
    <t>2/2021</t>
  </si>
  <si>
    <t>02/10/2020</t>
  </si>
  <si>
    <t>Đợt 1: 14/11/2019
Đợt 2: 25/2/2020
Đợt 3: 28/5/2020.</t>
  </si>
  <si>
    <t>Đợt 1: 22/10/2020 
Đợt 2: 30/12/2020
Đợt 3: 29/4/2021.</t>
  </si>
  <si>
    <t>T 12/2019 và T 6/2020</t>
  </si>
  <si>
    <t>T 12/2020 và T 6/2021</t>
  </si>
  <si>
    <t>Năm 2019 và năm 2020</t>
  </si>
  <si>
    <t>Năm 2020 và năm 2021</t>
  </si>
  <si>
    <t>Tổng cộng (A+B)</t>
  </si>
  <si>
    <t>Tháng 10/2019</t>
  </si>
  <si>
    <t>Tháng 12/2020; tháng 8/2021</t>
  </si>
  <si>
    <t>Trong năm 2019 và năm 2020</t>
  </si>
  <si>
    <t>Trong năm 2020 và năm 2021</t>
  </si>
  <si>
    <t>Tháng 5 năm 2020</t>
  </si>
  <si>
    <t>Tháng 4 năm 2021</t>
  </si>
  <si>
    <t>Các BQL rừng phòng hộ, đặc dụng</t>
  </si>
  <si>
    <t>Các Công ty lâm nghiệp</t>
  </si>
  <si>
    <t>Chủ rừng là tổ chức khác</t>
  </si>
  <si>
    <t>30/3/2020</t>
  </si>
  <si>
    <t>31/12/2021</t>
  </si>
  <si>
    <t>20/3/2019 đến 29/5/2020</t>
  </si>
  <si>
    <t>Tạm ứng năm 2019 và thanh toán hết năm 2020</t>
  </si>
  <si>
    <t>Tạm ứng năm 2020 và thanh toán hết năm 2021</t>
  </si>
  <si>
    <t>18/11/2020</t>
  </si>
  <si>
    <t>29/12/2020;
20/8/2021</t>
  </si>
  <si>
    <t>Ngày 16/05/2020</t>
  </si>
  <si>
    <t>Ngày 28/05/2021</t>
  </si>
  <si>
    <t>Năm 2019, năm 2020</t>
  </si>
  <si>
    <t>Năm 2020, năm 2021</t>
  </si>
  <si>
    <t>31/3/2021</t>
  </si>
  <si>
    <t>30/6/2021</t>
  </si>
  <si>
    <t>Tháng 6, năm 2020</t>
  </si>
  <si>
    <t>Tháng 5, năm 2021</t>
  </si>
  <si>
    <t>Năm 2019 và tháng 9/2020</t>
  </si>
  <si>
    <t>Ttháng 12/2020 và tháng 8/2021</t>
  </si>
  <si>
    <t>Tháng 9/2020 va tháng 10/2020</t>
  </si>
  <si>
    <t xml:space="preserve">Tháng 10/2019 và tháng 12/2019; </t>
  </si>
  <si>
    <t>Tháng 12/2019 và tháng 3/2021</t>
  </si>
  <si>
    <r>
      <t xml:space="preserve">Năm 2019 </t>
    </r>
    <r>
      <rPr>
        <b/>
        <i/>
        <sz val="10"/>
        <rFont val="Times New Roman"/>
        <family val="1"/>
      </rPr>
      <t>(ha)</t>
    </r>
  </si>
  <si>
    <r>
      <t xml:space="preserve">Năm 2020 </t>
    </r>
    <r>
      <rPr>
        <b/>
        <i/>
        <sz val="10"/>
        <rFont val="Times New Roman"/>
        <family val="1"/>
      </rPr>
      <t>(ha)</t>
    </r>
  </si>
  <si>
    <r>
      <t xml:space="preserve">Số tiền phải chi trả </t>
    </r>
    <r>
      <rPr>
        <b/>
        <i/>
        <sz val="10"/>
        <rFont val="Times New Roman"/>
        <family val="1"/>
      </rPr>
      <t>(nghìn đồng)</t>
    </r>
  </si>
  <si>
    <r>
      <t xml:space="preserve">Số tiền đã chi trả </t>
    </r>
    <r>
      <rPr>
        <b/>
        <i/>
        <sz val="10"/>
        <rFont val="Times New Roman"/>
        <family val="1"/>
      </rPr>
      <t>(nghìn đồng)</t>
    </r>
  </si>
  <si>
    <r>
      <t xml:space="preserve">Số tiền còn phải trả </t>
    </r>
    <r>
      <rPr>
        <b/>
        <i/>
        <sz val="10"/>
        <rFont val="Times New Roman"/>
        <family val="1"/>
      </rPr>
      <t>(nghìn đồng)</t>
    </r>
  </si>
  <si>
    <r>
      <t xml:space="preserve">Năm 2019 </t>
    </r>
    <r>
      <rPr>
        <b/>
        <i/>
        <sz val="10"/>
        <rFont val="Times New Roman"/>
        <family val="1"/>
      </rPr>
      <t>(hộ/ nhóm hộ/ CĐ)</t>
    </r>
  </si>
  <si>
    <r>
      <t xml:space="preserve">Năm 2020 </t>
    </r>
    <r>
      <rPr>
        <b/>
        <i/>
        <sz val="10"/>
        <rFont val="Times New Roman"/>
        <family val="1"/>
      </rPr>
      <t>(hộ/ nhóm hộ/ CĐ)</t>
    </r>
  </si>
  <si>
    <t>1.273.18</t>
  </si>
  <si>
    <t>PHỤ LỤC 05</t>
  </si>
  <si>
    <t xml:space="preserve">KẾT QUẢ CHI TRẢ TIỀN DVMTR CHO DIỆN TÍCH KHOÁN BẢO VỆ RỪNG CỦA CHỦ RỪNG LÀ TỔ CHỨC VÀ UBND CÁC XÃ, THỊ TRẤN GIAI ĐOẠN 2019-2020 </t>
  </si>
  <si>
    <t>(Kèm theo Báo cáo số: 12/BC-BDT ngày 29 tháng 11 năm 2021 của Ban Dân tộc HĐND tỉnh Kon Tum)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</si>
</sst>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0"/>
    <numFmt numFmtId="181" formatCode="_(* #,##0.000_);_(* \(#,##0.000\);_(* &quot;-&quot;??_);_(@_)"/>
    <numFmt numFmtId="182" formatCode="_(&quot;Rp&quot;* #,##0.00_);_(&quot;Rp&quot;* \(#,##0.00\);_(&quot;Rp&quot;* &quot;-&quot;??_);_(@_)"/>
    <numFmt numFmtId="183" formatCode="_(&quot;Rp&quot;* #,##0_);_(&quot;Rp&quot;* \(#,##0\);_(&quot;Rp&quot;* &quot;-&quot;_);_(@_)"/>
    <numFmt numFmtId="184" formatCode="_(* #,##0.0_);_(* \(#,##0.0\);_(* &quot;-&quot;?_);_(@_)"/>
    <numFmt numFmtId="185" formatCode="_(* #,##0.0000_);_(* \(#,##0.0000\);_(* &quot;-&quot;??_);_(@_)"/>
    <numFmt numFmtId="186" formatCode="_(* #,##0.00000_);_(* \(#,##0.00000\);_(* &quot;-&quot;??_);_(@_)"/>
    <numFmt numFmtId="187" formatCode="#,##0.0000"/>
    <numFmt numFmtId="188" formatCode="#,##0.00000"/>
    <numFmt numFmtId="189" formatCode="0.000"/>
    <numFmt numFmtId="190" formatCode="0.0000"/>
    <numFmt numFmtId="191" formatCode="0.0%"/>
    <numFmt numFmtId="192" formatCode="_(* #,##0.000_);_(* \(#,##0.000\);_(* &quot;-&quot;???_);_(@_)"/>
    <numFmt numFmtId="193" formatCode="&quot;\&quot;#,##0.00;[Red]&quot;\&quot;&quot;\&quot;&quot;\&quot;&quot;\&quot;&quot;\&quot;&quot;\&quot;\-#,##0.00"/>
    <numFmt numFmtId="194" formatCode="&quot;\&quot;#,##0;[Red]&quot;\&quot;&quot;\&quot;\-#,##0"/>
    <numFmt numFmtId="195" formatCode="\$#,##0\ ;\(\$#,##0\)"/>
    <numFmt numFmtId="196" formatCode="0;[Red]0"/>
    <numFmt numFmtId="197" formatCode="&quot;VND&quot;#,##0_);[Red]\(&quot;VND&quot;#,##0\)"/>
    <numFmt numFmtId="198" formatCode="_-* #,##0_-;\-* #,##0_-;_-* &quot;-&quot;_-;_-@_-"/>
    <numFmt numFmtId="199" formatCode="_-* #,##0.00_-;\-* #,##0.00_-;_-* &quot;-&quot;??_-;_-@_-"/>
    <numFmt numFmtId="200" formatCode="&quot;\&quot;#,##0.00;[Red]&quot;\&quot;\-#,##0.00"/>
    <numFmt numFmtId="201" formatCode="&quot;\&quot;#,##0;[Red]&quot;\&quot;\-#,##0"/>
    <numFmt numFmtId="202" formatCode="_-&quot;$&quot;* #,##0_-;\-&quot;$&quot;* #,##0_-;_-&quot;$&quot;* &quot;-&quot;_-;_-@_-"/>
    <numFmt numFmtId="203" formatCode="#,##0\ &quot;$&quot;_);[Red]\(#,##0\ &quot;$&quot;\)"/>
    <numFmt numFmtId="204" formatCode="_-&quot;$&quot;* #,##0.00_-;\-&quot;$&quot;* #,##0.00_-;_-&quot;$&quot;* &quot;-&quot;??_-;_-@_-"/>
    <numFmt numFmtId="205" formatCode="0.000%"/>
    <numFmt numFmtId="206" formatCode="_-* #,##0.0\ _₫_-;\-* #,##0.0\ _₫_-;_-* &quot;-&quot;?\ _₫_-;_-@_-"/>
    <numFmt numFmtId="207" formatCode="_-* #,##0\ _₫_-;\-* #,##0\ _₫_-;_-* &quot;-&quot;??\ _₫_-;_-@_-"/>
    <numFmt numFmtId="208" formatCode="0.000000"/>
    <numFmt numFmtId="209" formatCode="0.00000"/>
    <numFmt numFmtId="210" formatCode="_(* #,##0.000000_);_(* \(#,##0.000000\);_(* &quot;-&quot;??_);_(@_)"/>
    <numFmt numFmtId="211" formatCode="_(* #,##0.0000000_);_(* \(#,##0.0000000\);_(* &quot;-&quot;??_);_(@_)"/>
    <numFmt numFmtId="212" formatCode="0.00000000"/>
    <numFmt numFmtId="213" formatCode="0.0000000"/>
    <numFmt numFmtId="214" formatCode="_(* #,##0.00000_);_(* \(#,##0.00000\);_(* &quot;-&quot;?????_);_(@_)"/>
  </numFmts>
  <fonts count="6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Times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sz val="11"/>
      <name val="VNtimes new roman"/>
      <family val="2"/>
    </font>
    <font>
      <b/>
      <sz val="12"/>
      <name val="Arial"/>
      <family val="2"/>
    </font>
    <font>
      <sz val="10"/>
      <name val=".VnTime"/>
      <family val="2"/>
    </font>
    <font>
      <sz val="12"/>
      <name val="Arial"/>
      <family val="2"/>
    </font>
    <font>
      <sz val="10"/>
      <name val="VNtimes new roman"/>
      <family val="2"/>
    </font>
    <font>
      <i/>
      <sz val="10"/>
      <name val="MS Sans Serif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8" fillId="2" borderId="0">
      <alignment/>
      <protection/>
    </xf>
    <xf numFmtId="0" fontId="9" fillId="0" borderId="0">
      <alignment wrapText="1"/>
      <protection/>
    </xf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3" fillId="26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>
      <alignment vertical="top" wrapText="1"/>
      <protection/>
    </xf>
    <xf numFmtId="0" fontId="5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8" applyNumberFormat="0" applyFill="0" applyAlignment="0" applyProtection="0"/>
    <xf numFmtId="49" fontId="16" fillId="0" borderId="9" applyBorder="0" applyAlignment="0" applyProtection="0"/>
    <xf numFmtId="196" fontId="16" fillId="0" borderId="9" applyFont="0" applyFill="0" applyBorder="0" applyAlignment="0" applyProtection="0"/>
    <xf numFmtId="0" fontId="17" fillId="0" borderId="0" applyNumberFormat="0" applyFont="0" applyFill="0" applyAlignment="0">
      <protection/>
    </xf>
    <xf numFmtId="0" fontId="64" fillId="31" borderId="0" applyNumberFormat="0" applyBorder="0" applyAlignment="0" applyProtection="0"/>
    <xf numFmtId="197" fontId="1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10" applyNumberFormat="0" applyFont="0" applyAlignment="0" applyProtection="0"/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0" fillId="0" borderId="0">
      <alignment vertical="center"/>
      <protection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>
      <alignment/>
      <protection/>
    </xf>
    <xf numFmtId="19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3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/>
    </xf>
    <xf numFmtId="0" fontId="29" fillId="0" borderId="13" xfId="0" applyNumberFormat="1" applyFont="1" applyFill="1" applyBorder="1" applyAlignment="1">
      <alignment horizontal="justify" vertical="center" wrapText="1"/>
    </xf>
    <xf numFmtId="43" fontId="29" fillId="0" borderId="13" xfId="0" applyNumberFormat="1" applyFont="1" applyFill="1" applyBorder="1" applyAlignment="1">
      <alignment horizontal="center" vertical="center" wrapText="1"/>
    </xf>
    <xf numFmtId="172" fontId="29" fillId="0" borderId="13" xfId="0" applyNumberFormat="1" applyFont="1" applyFill="1" applyBorder="1" applyAlignment="1">
      <alignment horizontal="center" vertical="center" wrapText="1"/>
    </xf>
    <xf numFmtId="172" fontId="29" fillId="0" borderId="13" xfId="59" applyNumberFormat="1" applyFont="1" applyFill="1" applyBorder="1" applyAlignment="1">
      <alignment horizontal="center" vertical="center" wrapText="1"/>
    </xf>
    <xf numFmtId="43" fontId="29" fillId="0" borderId="13" xfId="59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justify" vertical="center" wrapText="1"/>
    </xf>
    <xf numFmtId="43" fontId="31" fillId="0" borderId="13" xfId="0" applyNumberFormat="1" applyFont="1" applyFill="1" applyBorder="1" applyAlignment="1">
      <alignment horizontal="center" vertical="center" wrapText="1"/>
    </xf>
    <xf numFmtId="43" fontId="31" fillId="0" borderId="13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Alignment="1">
      <alignment horizontal="center" vertical="center" wrapText="1"/>
    </xf>
    <xf numFmtId="172" fontId="29" fillId="0" borderId="13" xfId="59" applyNumberFormat="1" applyFont="1" applyFill="1" applyBorder="1" applyAlignment="1">
      <alignment horizont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vertical="center"/>
    </xf>
    <xf numFmtId="43" fontId="29" fillId="0" borderId="13" xfId="59" applyFont="1" applyFill="1" applyBorder="1" applyAlignment="1">
      <alignment horizontal="center" wrapText="1"/>
    </xf>
    <xf numFmtId="172" fontId="31" fillId="0" borderId="13" xfId="0" applyNumberFormat="1" applyFont="1" applyFill="1" applyBorder="1" applyAlignment="1">
      <alignment horizontal="right" vertical="center"/>
    </xf>
    <xf numFmtId="0" fontId="31" fillId="0" borderId="13" xfId="0" applyNumberFormat="1" applyFont="1" applyFill="1" applyBorder="1" applyAlignment="1">
      <alignment horizontal="right" vertical="center"/>
    </xf>
    <xf numFmtId="43" fontId="31" fillId="0" borderId="13" xfId="59" applyFont="1" applyFill="1" applyBorder="1" applyAlignment="1">
      <alignment horizontal="right" vertical="center"/>
    </xf>
    <xf numFmtId="172" fontId="31" fillId="0" borderId="13" xfId="59" applyNumberFormat="1" applyFont="1" applyFill="1" applyBorder="1" applyAlignment="1" quotePrefix="1">
      <alignment horizontal="right" vertical="center"/>
    </xf>
    <xf numFmtId="0" fontId="31" fillId="0" borderId="13" xfId="0" applyNumberFormat="1" applyFont="1" applyFill="1" applyBorder="1" applyAlignment="1" quotePrefix="1">
      <alignment horizontal="center" vertical="center"/>
    </xf>
    <xf numFmtId="0" fontId="31" fillId="0" borderId="13" xfId="0" applyNumberFormat="1" applyFont="1" applyFill="1" applyBorder="1" applyAlignment="1" quotePrefix="1">
      <alignment horizontal="center"/>
    </xf>
    <xf numFmtId="172" fontId="31" fillId="0" borderId="13" xfId="59" applyNumberFormat="1" applyFont="1" applyFill="1" applyBorder="1" applyAlignment="1">
      <alignment horizontal="right" vertical="center"/>
    </xf>
    <xf numFmtId="2" fontId="31" fillId="0" borderId="13" xfId="0" applyNumberFormat="1" applyFont="1" applyFill="1" applyBorder="1" applyAlignment="1" quotePrefix="1">
      <alignment horizontal="center" wrapText="1"/>
    </xf>
    <xf numFmtId="172" fontId="29" fillId="0" borderId="0" xfId="0" applyNumberFormat="1" applyFont="1" applyFill="1" applyAlignment="1">
      <alignment horizontal="center" vertical="center" wrapText="1"/>
    </xf>
    <xf numFmtId="0" fontId="31" fillId="0" borderId="13" xfId="0" applyNumberFormat="1" applyFont="1" applyFill="1" applyBorder="1" applyAlignment="1" quotePrefix="1">
      <alignment horizontal="center" vertical="center" wrapText="1"/>
    </xf>
    <xf numFmtId="14" fontId="31" fillId="0" borderId="13" xfId="0" applyNumberFormat="1" applyFont="1" applyFill="1" applyBorder="1" applyAlignment="1" quotePrefix="1">
      <alignment horizontal="center" vertical="center"/>
    </xf>
    <xf numFmtId="14" fontId="31" fillId="0" borderId="13" xfId="0" applyNumberFormat="1" applyFont="1" applyFill="1" applyBorder="1" applyAlignment="1" quotePrefix="1">
      <alignment horizontal="center"/>
    </xf>
    <xf numFmtId="0" fontId="31" fillId="0" borderId="13" xfId="0" applyNumberFormat="1" applyFont="1" applyFill="1" applyBorder="1" applyAlignment="1" quotePrefix="1">
      <alignment horizontal="center" wrapText="1"/>
    </xf>
    <xf numFmtId="14" fontId="31" fillId="0" borderId="13" xfId="0" applyNumberFormat="1" applyFont="1" applyFill="1" applyBorder="1" applyAlignment="1" quotePrefix="1">
      <alignment horizontal="center" vertical="center" wrapText="1"/>
    </xf>
    <xf numFmtId="43" fontId="31" fillId="0" borderId="13" xfId="59" applyFont="1" applyFill="1" applyBorder="1" applyAlignment="1" quotePrefix="1">
      <alignment horizontal="center" wrapText="1"/>
    </xf>
    <xf numFmtId="43" fontId="31" fillId="0" borderId="13" xfId="59" applyFont="1" applyFill="1" applyBorder="1" applyAlignment="1" quotePrefix="1">
      <alignment horizontal="center" vertical="center" wrapText="1"/>
    </xf>
    <xf numFmtId="43" fontId="31" fillId="0" borderId="13" xfId="59" applyFont="1" applyFill="1" applyBorder="1" applyAlignment="1" quotePrefix="1">
      <alignment horizontal="center" vertical="center"/>
    </xf>
    <xf numFmtId="172" fontId="31" fillId="0" borderId="13" xfId="59" applyNumberFormat="1" applyFont="1" applyFill="1" applyBorder="1" applyAlignment="1">
      <alignment horizontal="right" vertical="center" wrapText="1"/>
    </xf>
    <xf numFmtId="14" fontId="31" fillId="0" borderId="13" xfId="0" applyNumberFormat="1" applyFont="1" applyFill="1" applyBorder="1" applyAlignment="1" quotePrefix="1">
      <alignment horizont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justify" vertical="center" wrapText="1"/>
    </xf>
    <xf numFmtId="0" fontId="29" fillId="0" borderId="0" xfId="0" applyNumberFormat="1" applyFont="1" applyFill="1" applyAlignment="1">
      <alignment/>
    </xf>
    <xf numFmtId="3" fontId="31" fillId="0" borderId="13" xfId="59" applyNumberFormat="1" applyFont="1" applyFill="1" applyBorder="1" applyAlignment="1">
      <alignment horizontal="right" vertical="center"/>
    </xf>
    <xf numFmtId="43" fontId="31" fillId="0" borderId="13" xfId="0" applyNumberFormat="1" applyFont="1" applyFill="1" applyBorder="1" applyAlignment="1">
      <alignment horizontal="right" vertical="center"/>
    </xf>
    <xf numFmtId="3" fontId="31" fillId="0" borderId="13" xfId="0" applyNumberFormat="1" applyFont="1" applyFill="1" applyBorder="1" applyAlignment="1" quotePrefix="1">
      <alignment horizontal="right" vertical="center"/>
    </xf>
    <xf numFmtId="3" fontId="31" fillId="0" borderId="13" xfId="0" applyNumberFormat="1" applyFont="1" applyFill="1" applyBorder="1" applyAlignment="1">
      <alignment horizontal="right" vertical="center"/>
    </xf>
    <xf numFmtId="0" fontId="29" fillId="33" borderId="13" xfId="0" applyNumberFormat="1" applyFont="1" applyFill="1" applyBorder="1" applyAlignment="1">
      <alignment horizontal="center" vertical="center" wrapText="1"/>
    </xf>
    <xf numFmtId="0" fontId="29" fillId="33" borderId="13" xfId="0" applyNumberFormat="1" applyFont="1" applyFill="1" applyBorder="1" applyAlignment="1">
      <alignment horizontal="justify" vertical="center" wrapText="1"/>
    </xf>
    <xf numFmtId="43" fontId="29" fillId="33" borderId="13" xfId="0" applyNumberFormat="1" applyFont="1" applyFill="1" applyBorder="1" applyAlignment="1">
      <alignment horizontal="center" vertical="center" wrapText="1"/>
    </xf>
    <xf numFmtId="43" fontId="29" fillId="33" borderId="13" xfId="0" applyNumberFormat="1" applyFont="1" applyFill="1" applyBorder="1" applyAlignment="1">
      <alignment horizontal="center" wrapText="1"/>
    </xf>
    <xf numFmtId="2" fontId="27" fillId="0" borderId="13" xfId="0" applyNumberFormat="1" applyFont="1" applyFill="1" applyBorder="1" applyAlignment="1" quotePrefix="1">
      <alignment horizontal="center" vertical="center" wrapText="1"/>
    </xf>
    <xf numFmtId="172" fontId="31" fillId="0" borderId="13" xfId="0" applyNumberFormat="1" applyFont="1" applyFill="1" applyBorder="1" applyAlignment="1" quotePrefix="1">
      <alignment horizontal="center" vertical="center" wrapText="1"/>
    </xf>
    <xf numFmtId="43" fontId="31" fillId="0" borderId="13" xfId="59" applyFont="1" applyFill="1" applyBorder="1" applyAlignment="1">
      <alignment horizontal="center" vertical="center" wrapText="1"/>
    </xf>
    <xf numFmtId="43" fontId="31" fillId="0" borderId="13" xfId="59" applyFont="1" applyFill="1" applyBorder="1" applyAlignment="1">
      <alignment horizontal="center" wrapText="1"/>
    </xf>
    <xf numFmtId="43" fontId="31" fillId="0" borderId="13" xfId="59" applyNumberFormat="1" applyFont="1" applyFill="1" applyBorder="1" applyAlignment="1">
      <alignment horizontal="right" vertical="center" wrapText="1"/>
    </xf>
    <xf numFmtId="43" fontId="31" fillId="0" borderId="13" xfId="59" applyFont="1" applyFill="1" applyBorder="1" applyAlignment="1">
      <alignment horizontal="right" vertical="center" wrapText="1"/>
    </xf>
    <xf numFmtId="43" fontId="29" fillId="0" borderId="13" xfId="59" applyFont="1" applyFill="1" applyBorder="1" applyAlignment="1">
      <alignment horizontal="right" vertical="center" wrapText="1"/>
    </xf>
    <xf numFmtId="0" fontId="31" fillId="0" borderId="13" xfId="0" applyNumberFormat="1" applyFont="1" applyFill="1" applyBorder="1" applyAlignment="1">
      <alignment horizontal="right" vertical="center" wrapText="1"/>
    </xf>
    <xf numFmtId="172" fontId="29" fillId="0" borderId="13" xfId="59" applyNumberFormat="1" applyFont="1" applyFill="1" applyBorder="1" applyAlignment="1" quotePrefix="1">
      <alignment horizontal="right" vertical="center"/>
    </xf>
    <xf numFmtId="43" fontId="31" fillId="0" borderId="13" xfId="59" applyNumberFormat="1" applyFont="1" applyFill="1" applyBorder="1" applyAlignment="1" quotePrefix="1">
      <alignment horizontal="right" vertical="center"/>
    </xf>
    <xf numFmtId="43" fontId="29" fillId="0" borderId="13" xfId="59" applyNumberFormat="1" applyFont="1" applyFill="1" applyBorder="1" applyAlignment="1" quotePrefix="1">
      <alignment horizontal="right" vertical="center"/>
    </xf>
    <xf numFmtId="172" fontId="31" fillId="0" borderId="13" xfId="0" applyNumberFormat="1" applyFont="1" applyFill="1" applyBorder="1" applyAlignment="1">
      <alignment horizontal="center" vertical="center" wrapText="1"/>
    </xf>
    <xf numFmtId="172" fontId="31" fillId="0" borderId="13" xfId="59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right"/>
    </xf>
    <xf numFmtId="43" fontId="29" fillId="0" borderId="13" xfId="0" applyNumberFormat="1" applyFont="1" applyFill="1" applyBorder="1" applyAlignment="1">
      <alignment horizontal="right" vertical="center" wrapText="1"/>
    </xf>
    <xf numFmtId="43" fontId="31" fillId="0" borderId="13" xfId="0" applyNumberFormat="1" applyFont="1" applyFill="1" applyBorder="1" applyAlignment="1">
      <alignment horizontal="right" vertical="center" wrapText="1"/>
    </xf>
    <xf numFmtId="43" fontId="29" fillId="33" borderId="13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right"/>
    </xf>
    <xf numFmtId="43" fontId="29" fillId="0" borderId="13" xfId="59" applyNumberFormat="1" applyFont="1" applyFill="1" applyBorder="1" applyAlignment="1">
      <alignment horizontal="right" vertical="center" wrapText="1"/>
    </xf>
    <xf numFmtId="172" fontId="29" fillId="0" borderId="13" xfId="0" applyNumberFormat="1" applyFont="1" applyFill="1" applyBorder="1" applyAlignment="1">
      <alignment horizontal="right" vertical="center" wrapText="1"/>
    </xf>
    <xf numFmtId="172" fontId="31" fillId="0" borderId="13" xfId="0" applyNumberFormat="1" applyFont="1" applyFill="1" applyBorder="1" applyAlignment="1">
      <alignment horizontal="right" vertical="center" wrapText="1"/>
    </xf>
    <xf numFmtId="172" fontId="29" fillId="33" borderId="13" xfId="0" applyNumberFormat="1" applyFont="1" applyFill="1" applyBorder="1" applyAlignment="1">
      <alignment horizontal="right" vertical="center" wrapText="1"/>
    </xf>
    <xf numFmtId="172" fontId="29" fillId="33" borderId="13" xfId="59" applyNumberFormat="1" applyFont="1" applyFill="1" applyBorder="1" applyAlignment="1">
      <alignment horizontal="right" vertical="center" wrapText="1"/>
    </xf>
    <xf numFmtId="172" fontId="29" fillId="0" borderId="13" xfId="59" applyNumberFormat="1" applyFont="1" applyFill="1" applyBorder="1" applyAlignment="1">
      <alignment horizontal="right" vertical="center" wrapText="1"/>
    </xf>
    <xf numFmtId="173" fontId="29" fillId="0" borderId="13" xfId="59" applyNumberFormat="1" applyFont="1" applyFill="1" applyBorder="1" applyAlignment="1">
      <alignment horizontal="right" vertical="center" wrapText="1"/>
    </xf>
    <xf numFmtId="43" fontId="29" fillId="0" borderId="13" xfId="59" applyNumberFormat="1" applyFont="1" applyFill="1" applyBorder="1" applyAlignment="1">
      <alignment horizontal="right" vertical="center"/>
    </xf>
    <xf numFmtId="14" fontId="27" fillId="0" borderId="13" xfId="0" applyNumberFormat="1" applyFont="1" applyFill="1" applyBorder="1" applyAlignment="1" quotePrefix="1">
      <alignment horizontal="center" vertical="center" wrapText="1"/>
    </xf>
    <xf numFmtId="172" fontId="29" fillId="33" borderId="13" xfId="0" applyNumberFormat="1" applyFont="1" applyFill="1" applyBorder="1" applyAlignment="1">
      <alignment horizontal="center" vertical="center" wrapText="1"/>
    </xf>
    <xf numFmtId="43" fontId="29" fillId="33" borderId="13" xfId="59" applyNumberFormat="1" applyFont="1" applyFill="1" applyBorder="1" applyAlignment="1" quotePrefix="1">
      <alignment horizontal="right" vertical="center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0" fontId="31" fillId="0" borderId="13" xfId="0" applyNumberFormat="1" applyFont="1" applyFill="1" applyBorder="1" applyAlignment="1" quotePrefix="1">
      <alignment horizontal="center"/>
    </xf>
    <xf numFmtId="0" fontId="0" fillId="0" borderId="13" xfId="0" applyBorder="1" applyAlignment="1">
      <alignment horizontal="center" vertical="center" wrapText="1"/>
    </xf>
    <xf numFmtId="14" fontId="31" fillId="0" borderId="13" xfId="0" applyNumberFormat="1" applyFont="1" applyFill="1" applyBorder="1" applyAlignment="1" quotePrefix="1">
      <alignment horizontal="center" vertical="center" wrapText="1"/>
    </xf>
    <xf numFmtId="43" fontId="31" fillId="0" borderId="13" xfId="59" applyFont="1" applyFill="1" applyBorder="1" applyAlignment="1" quotePrefix="1">
      <alignment horizontal="center" vertical="center" wrapText="1"/>
    </xf>
  </cellXfs>
  <cellStyles count="1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µ¾÷AßAø " xfId="50"/>
    <cellStyle name="AeE­_INQUIRY ¿µ¾÷AßAø " xfId="51"/>
    <cellStyle name="AÞ¸¶ [0]_INQUIRY ¿?¾÷AßAø " xfId="52"/>
    <cellStyle name="AÞ¸¶_INQUIRY ¿?¾÷AßAø " xfId="53"/>
    <cellStyle name="Bad" xfId="54"/>
    <cellStyle name="C?AØ_¿?¾÷CoE² " xfId="55"/>
    <cellStyle name="C￥AØ_¿μ¾÷CoE² " xfId="56"/>
    <cellStyle name="Calculation" xfId="57"/>
    <cellStyle name="Check Cell" xfId="58"/>
    <cellStyle name="Comma" xfId="59"/>
    <cellStyle name="Comma [0]" xfId="60"/>
    <cellStyle name="Comma 2" xfId="61"/>
    <cellStyle name="Comma 4" xfId="62"/>
    <cellStyle name="Comma0" xfId="63"/>
    <cellStyle name="Currency" xfId="64"/>
    <cellStyle name="Currency [0]" xfId="65"/>
    <cellStyle name="Currency0" xfId="66"/>
    <cellStyle name="Date" xfId="67"/>
    <cellStyle name="DuToanBXD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lo" xfId="82"/>
    <cellStyle name="mn" xfId="83"/>
    <cellStyle name="n" xfId="84"/>
    <cellStyle name="Neutral" xfId="85"/>
    <cellStyle name="Normal - Style1" xfId="86"/>
    <cellStyle name="Normal 2" xfId="87"/>
    <cellStyle name="Normal 5" xfId="88"/>
    <cellStyle name="Note" xfId="89"/>
    <cellStyle name="Output" xfId="90"/>
    <cellStyle name="Percent" xfId="91"/>
    <cellStyle name="Title" xfId="92"/>
    <cellStyle name="Total" xfId="93"/>
    <cellStyle name="Warning Text" xfId="94"/>
    <cellStyle name=" [0.00]_ Att. 1- Cover" xfId="95"/>
    <cellStyle name="_ Att. 1- Cover" xfId="96"/>
    <cellStyle name="?_ Att. 1- Cover" xfId="97"/>
    <cellStyle name="똿뗦먛귟 [0.00]_PRODUCT DETAIL Q1" xfId="98"/>
    <cellStyle name="똿뗦먛귟_PRODUCT DETAIL Q1" xfId="99"/>
    <cellStyle name="믅됞 [0.00]_PRODUCT DETAIL Q1" xfId="100"/>
    <cellStyle name="믅됞_PRODUCT DETAIL Q1" xfId="101"/>
    <cellStyle name="백분율_95" xfId="102"/>
    <cellStyle name="뷭?_BOOKSHIP" xfId="103"/>
    <cellStyle name="콤마 [0]_1202" xfId="104"/>
    <cellStyle name="콤마_1202" xfId="105"/>
    <cellStyle name="통화 [0]_1202" xfId="106"/>
    <cellStyle name="통화_1202" xfId="107"/>
    <cellStyle name="표준_(정보부문)월별인원계획" xfId="108"/>
    <cellStyle name="一般_00Q3902REV.1" xfId="109"/>
    <cellStyle name="千分位[0]_00Q3902REV.1" xfId="110"/>
    <cellStyle name="千分位_00Q3902REV.1" xfId="111"/>
    <cellStyle name="貨幣 [0]_00Q3902REV.1" xfId="112"/>
    <cellStyle name="貨幣[0]_BRE" xfId="113"/>
    <cellStyle name="貨幣_00Q3902REV.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2"/>
  <sheetViews>
    <sheetView tabSelected="1" zoomScale="84" zoomScaleNormal="84" zoomScalePageLayoutView="0" workbookViewId="0" topLeftCell="A1">
      <pane ySplit="7" topLeftCell="A131" activePane="bottomLeft" state="frozen"/>
      <selection pane="topLeft" activeCell="A1" sqref="A1"/>
      <selection pane="bottomLeft" activeCell="A3" sqref="A3:W3"/>
    </sheetView>
  </sheetViews>
  <sheetFormatPr defaultColWidth="5.625" defaultRowHeight="15.75"/>
  <cols>
    <col min="1" max="1" width="4.125" style="3" customWidth="1"/>
    <col min="2" max="2" width="17.375" style="1" customWidth="1"/>
    <col min="3" max="3" width="10.50390625" style="66" hidden="1" customWidth="1"/>
    <col min="4" max="4" width="9.00390625" style="66" hidden="1" customWidth="1"/>
    <col min="5" max="5" width="10.75390625" style="66" customWidth="1"/>
    <col min="6" max="6" width="11.50390625" style="66" customWidth="1"/>
    <col min="7" max="8" width="7.25390625" style="66" customWidth="1"/>
    <col min="9" max="9" width="10.00390625" style="66" customWidth="1"/>
    <col min="10" max="10" width="10.625" style="66" customWidth="1"/>
    <col min="11" max="11" width="7.125" style="66" customWidth="1"/>
    <col min="12" max="12" width="7.00390625" style="66" customWidth="1"/>
    <col min="13" max="14" width="10.125" style="66" customWidth="1"/>
    <col min="15" max="15" width="11.00390625" style="66" customWidth="1"/>
    <col min="16" max="16" width="10.50390625" style="66" customWidth="1"/>
    <col min="17" max="17" width="7.00390625" style="66" customWidth="1"/>
    <col min="18" max="18" width="11.25390625" style="3" customWidth="1"/>
    <col min="19" max="20" width="10.75390625" style="66" customWidth="1"/>
    <col min="21" max="21" width="8.875" style="66" customWidth="1"/>
    <col min="22" max="22" width="6.75390625" style="66" customWidth="1"/>
    <col min="23" max="23" width="12.25390625" style="3" customWidth="1"/>
    <col min="24" max="24" width="8.50390625" style="1" bestFit="1" customWidth="1"/>
    <col min="25" max="16384" width="5.625" style="1" customWidth="1"/>
  </cols>
  <sheetData>
    <row r="1" spans="1:23" ht="18.75">
      <c r="A1" s="82" t="s">
        <v>155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2" customFormat="1" ht="24.75" customHeight="1">
      <c r="A2" s="83" t="s">
        <v>156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21" customHeight="1">
      <c r="A3" s="88" t="s">
        <v>157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ht="15.75" customHeight="1"/>
    <row r="5" spans="1:23" s="6" customFormat="1" ht="36.75" customHeight="1">
      <c r="A5" s="85" t="s">
        <v>14</v>
      </c>
      <c r="B5" s="84" t="s">
        <v>15</v>
      </c>
      <c r="C5" s="86" t="s">
        <v>16</v>
      </c>
      <c r="D5" s="87"/>
      <c r="E5" s="84" t="s">
        <v>17</v>
      </c>
      <c r="F5" s="84"/>
      <c r="G5" s="85" t="s">
        <v>8</v>
      </c>
      <c r="H5" s="85"/>
      <c r="I5" s="85"/>
      <c r="J5" s="85"/>
      <c r="K5" s="85" t="s">
        <v>9</v>
      </c>
      <c r="L5" s="85"/>
      <c r="M5" s="85"/>
      <c r="N5" s="85"/>
      <c r="O5" s="85" t="s">
        <v>5</v>
      </c>
      <c r="P5" s="85"/>
      <c r="Q5" s="85"/>
      <c r="R5" s="85"/>
      <c r="S5" s="85"/>
      <c r="T5" s="85"/>
      <c r="U5" s="85"/>
      <c r="V5" s="85"/>
      <c r="W5" s="85"/>
    </row>
    <row r="6" spans="1:23" s="6" customFormat="1" ht="66" customHeight="1">
      <c r="A6" s="85"/>
      <c r="B6" s="84"/>
      <c r="C6" s="89" t="s">
        <v>147</v>
      </c>
      <c r="D6" s="89" t="s">
        <v>148</v>
      </c>
      <c r="E6" s="84" t="s">
        <v>147</v>
      </c>
      <c r="F6" s="84" t="s">
        <v>148</v>
      </c>
      <c r="G6" s="85" t="s">
        <v>12</v>
      </c>
      <c r="H6" s="85"/>
      <c r="I6" s="85" t="s">
        <v>6</v>
      </c>
      <c r="J6" s="85"/>
      <c r="K6" s="85" t="s">
        <v>13</v>
      </c>
      <c r="L6" s="85"/>
      <c r="M6" s="85" t="s">
        <v>6</v>
      </c>
      <c r="N6" s="85"/>
      <c r="O6" s="85" t="s">
        <v>1</v>
      </c>
      <c r="P6" s="85"/>
      <c r="Q6" s="85"/>
      <c r="R6" s="85"/>
      <c r="S6" s="85" t="s">
        <v>2</v>
      </c>
      <c r="T6" s="85"/>
      <c r="U6" s="85"/>
      <c r="V6" s="85"/>
      <c r="W6" s="85"/>
    </row>
    <row r="7" spans="1:23" s="6" customFormat="1" ht="70.5" customHeight="1">
      <c r="A7" s="85"/>
      <c r="B7" s="84"/>
      <c r="C7" s="90"/>
      <c r="D7" s="90"/>
      <c r="E7" s="84"/>
      <c r="F7" s="84"/>
      <c r="G7" s="5" t="s">
        <v>152</v>
      </c>
      <c r="H7" s="5" t="s">
        <v>153</v>
      </c>
      <c r="I7" s="5" t="s">
        <v>147</v>
      </c>
      <c r="J7" s="5" t="s">
        <v>148</v>
      </c>
      <c r="K7" s="5" t="s">
        <v>152</v>
      </c>
      <c r="L7" s="5" t="s">
        <v>153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4</v>
      </c>
      <c r="R7" s="5" t="s">
        <v>3</v>
      </c>
      <c r="S7" s="5" t="s">
        <v>149</v>
      </c>
      <c r="T7" s="5" t="s">
        <v>150</v>
      </c>
      <c r="U7" s="5" t="s">
        <v>151</v>
      </c>
      <c r="V7" s="5" t="s">
        <v>4</v>
      </c>
      <c r="W7" s="5" t="s">
        <v>3</v>
      </c>
    </row>
    <row r="8" spans="1:23" s="12" customFormat="1" ht="30.75" customHeight="1">
      <c r="A8" s="5"/>
      <c r="B8" s="7" t="s">
        <v>117</v>
      </c>
      <c r="C8" s="67" t="e">
        <f>C9+C10+C11+C12</f>
        <v>#REF!</v>
      </c>
      <c r="D8" s="67" t="e">
        <f>D9+D10+D11+D12</f>
        <v>#REF!</v>
      </c>
      <c r="E8" s="67">
        <f>E13+E68</f>
        <v>179656.05833333332</v>
      </c>
      <c r="F8" s="67">
        <f aca="true" t="shared" si="0" ref="F8:T8">F13+F68</f>
        <v>178747.06999999998</v>
      </c>
      <c r="G8" s="72">
        <f t="shared" si="0"/>
        <v>2710</v>
      </c>
      <c r="H8" s="72">
        <f t="shared" si="0"/>
        <v>2673</v>
      </c>
      <c r="I8" s="67">
        <f t="shared" si="0"/>
        <v>179656.05833333332</v>
      </c>
      <c r="J8" s="67">
        <f t="shared" si="0"/>
        <v>178747.06999999998</v>
      </c>
      <c r="K8" s="72">
        <f t="shared" si="0"/>
        <v>2707</v>
      </c>
      <c r="L8" s="72">
        <f t="shared" si="0"/>
        <v>2670</v>
      </c>
      <c r="M8" s="67">
        <f t="shared" si="0"/>
        <v>305625.7783333333</v>
      </c>
      <c r="N8" s="67">
        <f t="shared" si="0"/>
        <v>178671.97</v>
      </c>
      <c r="O8" s="72">
        <f t="shared" si="0"/>
        <v>107164227.445</v>
      </c>
      <c r="P8" s="72">
        <f t="shared" si="0"/>
        <v>107195283.09399998</v>
      </c>
      <c r="Q8" s="72">
        <f>P8/O8*100</f>
        <v>100.02897949226193</v>
      </c>
      <c r="R8" s="9">
        <f t="shared" si="0"/>
        <v>0</v>
      </c>
      <c r="S8" s="72">
        <f t="shared" si="0"/>
        <v>84836164.06257054</v>
      </c>
      <c r="T8" s="72">
        <f t="shared" si="0"/>
        <v>84361908.12777054</v>
      </c>
      <c r="U8" s="72">
        <f>U9+U10+U11+U12</f>
        <v>476315.2178000002</v>
      </c>
      <c r="V8" s="59">
        <f aca="true" t="shared" si="1" ref="V8:V36">T8/S8*100</f>
        <v>99.44097432970895</v>
      </c>
      <c r="W8" s="8">
        <f>W9+W10+W11+W12</f>
        <v>0</v>
      </c>
    </row>
    <row r="9" spans="1:81" s="6" customFormat="1" ht="27" customHeight="1">
      <c r="A9" s="13" t="s">
        <v>73</v>
      </c>
      <c r="B9" s="14" t="s">
        <v>10</v>
      </c>
      <c r="C9" s="68" t="e">
        <f>C14+#REF!</f>
        <v>#REF!</v>
      </c>
      <c r="D9" s="68" t="e">
        <f>D14+#REF!</f>
        <v>#REF!</v>
      </c>
      <c r="E9" s="68">
        <f>E14</f>
        <v>44769.99</v>
      </c>
      <c r="F9" s="68">
        <f aca="true" t="shared" si="2" ref="F9:U9">F14</f>
        <v>44140.67999999999</v>
      </c>
      <c r="G9" s="73">
        <f t="shared" si="2"/>
        <v>2151</v>
      </c>
      <c r="H9" s="73">
        <f t="shared" si="2"/>
        <v>2136</v>
      </c>
      <c r="I9" s="68">
        <f t="shared" si="2"/>
        <v>44769.99</v>
      </c>
      <c r="J9" s="68">
        <f t="shared" si="2"/>
        <v>44140.67999999999</v>
      </c>
      <c r="K9" s="73">
        <f t="shared" si="2"/>
        <v>2148</v>
      </c>
      <c r="L9" s="73">
        <f t="shared" si="2"/>
        <v>2133</v>
      </c>
      <c r="M9" s="68">
        <f t="shared" si="2"/>
        <v>44694.89</v>
      </c>
      <c r="N9" s="68">
        <f t="shared" si="2"/>
        <v>44065.58</v>
      </c>
      <c r="O9" s="73">
        <f t="shared" si="2"/>
        <v>24700204.475</v>
      </c>
      <c r="P9" s="73">
        <f t="shared" si="2"/>
        <v>24700204.475</v>
      </c>
      <c r="Q9" s="73">
        <f>P9/O9*100</f>
        <v>100</v>
      </c>
      <c r="R9" s="64">
        <f t="shared" si="2"/>
        <v>0</v>
      </c>
      <c r="S9" s="73">
        <f t="shared" si="2"/>
        <v>18325783.142243</v>
      </c>
      <c r="T9" s="73">
        <f t="shared" si="2"/>
        <v>18325783.142243</v>
      </c>
      <c r="U9" s="73">
        <f t="shared" si="2"/>
        <v>0</v>
      </c>
      <c r="V9" s="40">
        <f t="shared" si="1"/>
        <v>100</v>
      </c>
      <c r="W9" s="15">
        <f>W14</f>
        <v>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s="6" customFormat="1" ht="18.75" customHeight="1">
      <c r="A10" s="13" t="s">
        <v>73</v>
      </c>
      <c r="B10" s="14" t="s">
        <v>7</v>
      </c>
      <c r="C10" s="68" t="e">
        <f aca="true" t="shared" si="3" ref="C10:E11">C15+C69</f>
        <v>#REF!</v>
      </c>
      <c r="D10" s="68" t="e">
        <f t="shared" si="3"/>
        <v>#REF!</v>
      </c>
      <c r="E10" s="68">
        <f t="shared" si="3"/>
        <v>29401.39333333333</v>
      </c>
      <c r="F10" s="68">
        <f aca="true" t="shared" si="4" ref="F10:U10">F15+F69</f>
        <v>29714.07</v>
      </c>
      <c r="G10" s="73">
        <f t="shared" si="4"/>
        <v>199</v>
      </c>
      <c r="H10" s="73">
        <f t="shared" si="4"/>
        <v>209</v>
      </c>
      <c r="I10" s="68">
        <f t="shared" si="4"/>
        <v>29401.39333333333</v>
      </c>
      <c r="J10" s="68">
        <f t="shared" si="4"/>
        <v>29714.07</v>
      </c>
      <c r="K10" s="73">
        <f t="shared" si="4"/>
        <v>199</v>
      </c>
      <c r="L10" s="73">
        <f t="shared" si="4"/>
        <v>209</v>
      </c>
      <c r="M10" s="68">
        <f t="shared" si="4"/>
        <v>29401.39333333333</v>
      </c>
      <c r="N10" s="68">
        <f t="shared" si="4"/>
        <v>29714.07</v>
      </c>
      <c r="O10" s="73">
        <f t="shared" si="4"/>
        <v>18692364.917999998</v>
      </c>
      <c r="P10" s="73">
        <f t="shared" si="4"/>
        <v>18695263.136</v>
      </c>
      <c r="Q10" s="73">
        <f>P10/O10*100</f>
        <v>100.01550482249151</v>
      </c>
      <c r="R10" s="64">
        <f t="shared" si="4"/>
        <v>0</v>
      </c>
      <c r="S10" s="73">
        <f t="shared" si="4"/>
        <v>15460347.263</v>
      </c>
      <c r="T10" s="73">
        <f t="shared" si="4"/>
        <v>15401061.404</v>
      </c>
      <c r="U10" s="73">
        <f t="shared" si="4"/>
        <v>61345.14200000001</v>
      </c>
      <c r="V10" s="58">
        <f t="shared" si="1"/>
        <v>99.61652957730203</v>
      </c>
      <c r="W10" s="16">
        <f>W15+W69</f>
        <v>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</row>
    <row r="11" spans="1:81" s="6" customFormat="1" ht="24" customHeight="1">
      <c r="A11" s="13" t="s">
        <v>73</v>
      </c>
      <c r="B11" s="14" t="s">
        <v>11</v>
      </c>
      <c r="C11" s="68" t="e">
        <f t="shared" si="3"/>
        <v>#REF!</v>
      </c>
      <c r="D11" s="68" t="e">
        <f t="shared" si="3"/>
        <v>#REF!</v>
      </c>
      <c r="E11" s="68">
        <f t="shared" si="3"/>
        <v>102524.04500000001</v>
      </c>
      <c r="F11" s="68">
        <f aca="true" t="shared" si="5" ref="F11:T11">F16+F70</f>
        <v>102121.29</v>
      </c>
      <c r="G11" s="73">
        <f t="shared" si="5"/>
        <v>356</v>
      </c>
      <c r="H11" s="73">
        <f t="shared" si="5"/>
        <v>324</v>
      </c>
      <c r="I11" s="68">
        <f t="shared" si="5"/>
        <v>102524.04500000001</v>
      </c>
      <c r="J11" s="68">
        <f t="shared" si="5"/>
        <v>102121.29</v>
      </c>
      <c r="K11" s="73">
        <f t="shared" si="5"/>
        <v>356</v>
      </c>
      <c r="L11" s="73">
        <f t="shared" si="5"/>
        <v>324</v>
      </c>
      <c r="M11" s="68">
        <f t="shared" si="5"/>
        <v>228568.86500000002</v>
      </c>
      <c r="N11" s="68">
        <f t="shared" si="5"/>
        <v>102121.29</v>
      </c>
      <c r="O11" s="73">
        <f t="shared" si="5"/>
        <v>61658406.273</v>
      </c>
      <c r="P11" s="73">
        <f t="shared" si="5"/>
        <v>61686563.703999996</v>
      </c>
      <c r="Q11" s="73">
        <f>P11/O11*100</f>
        <v>100.04566681609532</v>
      </c>
      <c r="R11" s="64">
        <f t="shared" si="5"/>
        <v>0</v>
      </c>
      <c r="S11" s="73">
        <f t="shared" si="5"/>
        <v>49588389.066327535</v>
      </c>
      <c r="T11" s="73">
        <f t="shared" si="5"/>
        <v>49262680.99052753</v>
      </c>
      <c r="U11" s="73">
        <f>U16+U70</f>
        <v>325708.0758000002</v>
      </c>
      <c r="V11" s="58">
        <f t="shared" si="1"/>
        <v>99.34317673565812</v>
      </c>
      <c r="W11" s="16">
        <f>W16+W70</f>
        <v>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</row>
    <row r="12" spans="1:81" s="6" customFormat="1" ht="25.5" customHeight="1">
      <c r="A12" s="13" t="s">
        <v>73</v>
      </c>
      <c r="B12" s="14" t="s">
        <v>0</v>
      </c>
      <c r="C12" s="68" t="e">
        <f>C17</f>
        <v>#REF!</v>
      </c>
      <c r="D12" s="68" t="e">
        <f aca="true" t="shared" si="6" ref="D12:W12">D17</f>
        <v>#REF!</v>
      </c>
      <c r="E12" s="68">
        <f t="shared" si="6"/>
        <v>2960.63</v>
      </c>
      <c r="F12" s="68">
        <f t="shared" si="6"/>
        <v>2771.0299999999997</v>
      </c>
      <c r="G12" s="73">
        <f t="shared" si="6"/>
        <v>4</v>
      </c>
      <c r="H12" s="73">
        <f t="shared" si="6"/>
        <v>4</v>
      </c>
      <c r="I12" s="68">
        <f t="shared" si="6"/>
        <v>2960.63</v>
      </c>
      <c r="J12" s="68">
        <f t="shared" si="6"/>
        <v>2771.0299999999997</v>
      </c>
      <c r="K12" s="73">
        <f t="shared" si="6"/>
        <v>4</v>
      </c>
      <c r="L12" s="73">
        <f t="shared" si="6"/>
        <v>4</v>
      </c>
      <c r="M12" s="68">
        <f t="shared" si="6"/>
        <v>2960.63</v>
      </c>
      <c r="N12" s="68">
        <f t="shared" si="6"/>
        <v>2771.0299999999997</v>
      </c>
      <c r="O12" s="73">
        <f t="shared" si="6"/>
        <v>2113251.779</v>
      </c>
      <c r="P12" s="73">
        <f t="shared" si="6"/>
        <v>2113251.779</v>
      </c>
      <c r="Q12" s="73">
        <f>P12/O12*100</f>
        <v>100</v>
      </c>
      <c r="R12" s="15">
        <f t="shared" si="6"/>
        <v>0</v>
      </c>
      <c r="S12" s="73">
        <f t="shared" si="6"/>
        <v>1461644.591</v>
      </c>
      <c r="T12" s="73">
        <f t="shared" si="6"/>
        <v>1372382.591</v>
      </c>
      <c r="U12" s="73">
        <f>U17+U72</f>
        <v>89262</v>
      </c>
      <c r="V12" s="58">
        <f t="shared" si="1"/>
        <v>93.89304345600661</v>
      </c>
      <c r="W12" s="16">
        <f t="shared" si="6"/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1:23" s="12" customFormat="1" ht="33.75" customHeight="1">
      <c r="A13" s="49" t="s">
        <v>18</v>
      </c>
      <c r="B13" s="50" t="s">
        <v>19</v>
      </c>
      <c r="C13" s="69" t="e">
        <f>C14+C15+C16+C17</f>
        <v>#REF!</v>
      </c>
      <c r="D13" s="69" t="e">
        <f aca="true" t="shared" si="7" ref="D13:W13">D14+D15+D16+D17</f>
        <v>#REF!</v>
      </c>
      <c r="E13" s="69">
        <f t="shared" si="7"/>
        <v>164739.90833333333</v>
      </c>
      <c r="F13" s="69">
        <f t="shared" si="7"/>
        <v>165341.11</v>
      </c>
      <c r="G13" s="74">
        <f t="shared" si="7"/>
        <v>2537</v>
      </c>
      <c r="H13" s="74">
        <f t="shared" si="7"/>
        <v>2514</v>
      </c>
      <c r="I13" s="69">
        <f t="shared" si="7"/>
        <v>164739.90833333333</v>
      </c>
      <c r="J13" s="69">
        <f t="shared" si="7"/>
        <v>165341.11</v>
      </c>
      <c r="K13" s="74">
        <f t="shared" si="7"/>
        <v>2534</v>
      </c>
      <c r="L13" s="74">
        <f t="shared" si="7"/>
        <v>2511</v>
      </c>
      <c r="M13" s="69">
        <f t="shared" si="7"/>
        <v>164664.80833333335</v>
      </c>
      <c r="N13" s="69">
        <f t="shared" si="7"/>
        <v>165266.01</v>
      </c>
      <c r="O13" s="74">
        <f t="shared" si="7"/>
        <v>98756852.403</v>
      </c>
      <c r="P13" s="74">
        <f t="shared" si="7"/>
        <v>98786596.93499999</v>
      </c>
      <c r="Q13" s="75">
        <f aca="true" t="shared" si="8" ref="Q13:Q22">P13/O13*100</f>
        <v>100.03011895506613</v>
      </c>
      <c r="R13" s="51">
        <f t="shared" si="7"/>
        <v>0</v>
      </c>
      <c r="S13" s="74">
        <f t="shared" si="7"/>
        <v>78197106.75532943</v>
      </c>
      <c r="T13" s="74">
        <f t="shared" si="7"/>
        <v>77740171.82132943</v>
      </c>
      <c r="U13" s="74">
        <f t="shared" si="7"/>
        <v>456934.9339999999</v>
      </c>
      <c r="V13" s="69">
        <f t="shared" si="1"/>
        <v>99.41566260829866</v>
      </c>
      <c r="W13" s="52">
        <f t="shared" si="7"/>
        <v>0</v>
      </c>
    </row>
    <row r="14" spans="1:81" s="6" customFormat="1" ht="31.5" customHeight="1">
      <c r="A14" s="13"/>
      <c r="B14" s="14" t="s">
        <v>10</v>
      </c>
      <c r="C14" s="68" t="e">
        <f>#REF!+#REF!+#REF!+C30+C34+C36+#REF!+#REF!+#REF!+#REF!+C54+#REF!+#REF!+#REF!+#REF!</f>
        <v>#REF!</v>
      </c>
      <c r="D14" s="68" t="e">
        <f>#REF!+#REF!+#REF!+D30+D34+D36+#REF!+#REF!+#REF!+#REF!+D54+#REF!+#REF!+#REF!+#REF!</f>
        <v>#REF!</v>
      </c>
      <c r="E14" s="68">
        <f aca="true" t="shared" si="9" ref="E14:P14">E19+E41</f>
        <v>44769.99</v>
      </c>
      <c r="F14" s="68">
        <f t="shared" si="9"/>
        <v>44140.67999999999</v>
      </c>
      <c r="G14" s="73">
        <f t="shared" si="9"/>
        <v>2151</v>
      </c>
      <c r="H14" s="73">
        <f t="shared" si="9"/>
        <v>2136</v>
      </c>
      <c r="I14" s="68">
        <f t="shared" si="9"/>
        <v>44769.99</v>
      </c>
      <c r="J14" s="68">
        <f t="shared" si="9"/>
        <v>44140.67999999999</v>
      </c>
      <c r="K14" s="73">
        <f t="shared" si="9"/>
        <v>2148</v>
      </c>
      <c r="L14" s="73">
        <f t="shared" si="9"/>
        <v>2133</v>
      </c>
      <c r="M14" s="68">
        <f t="shared" si="9"/>
        <v>44694.89</v>
      </c>
      <c r="N14" s="68">
        <f t="shared" si="9"/>
        <v>44065.58</v>
      </c>
      <c r="O14" s="73">
        <f t="shared" si="9"/>
        <v>24700204.475</v>
      </c>
      <c r="P14" s="73">
        <f t="shared" si="9"/>
        <v>24700204.475</v>
      </c>
      <c r="Q14" s="73">
        <f>P14/O14*100</f>
        <v>100</v>
      </c>
      <c r="R14" s="64">
        <f>R19+R41</f>
        <v>0</v>
      </c>
      <c r="S14" s="73">
        <f>S19+S41</f>
        <v>18325783.142243</v>
      </c>
      <c r="T14" s="73">
        <f>T19+T41</f>
        <v>18325783.142243</v>
      </c>
      <c r="U14" s="73">
        <f>U19+U41</f>
        <v>0</v>
      </c>
      <c r="V14" s="40">
        <f t="shared" si="1"/>
        <v>100</v>
      </c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1:81" s="6" customFormat="1" ht="21" customHeight="1">
      <c r="A15" s="13"/>
      <c r="B15" s="14" t="s">
        <v>7</v>
      </c>
      <c r="C15" s="68" t="e">
        <f>#REF!+#REF!+#REF!+C31+#REF!+#REF!+C38+C46+C48+#REF!+C55+C58+C61+#REF!+#REF!</f>
        <v>#REF!</v>
      </c>
      <c r="D15" s="68" t="e">
        <f>#REF!+#REF!+#REF!+D31+#REF!+#REF!+D38+D46+D48+#REF!+D55+D58+D61+#REF!+#REF!</f>
        <v>#REF!</v>
      </c>
      <c r="E15" s="68">
        <f aca="true" t="shared" si="10" ref="E15:T17">E20+E42</f>
        <v>22462.43333333333</v>
      </c>
      <c r="F15" s="68">
        <f t="shared" si="10"/>
        <v>23680.4</v>
      </c>
      <c r="G15" s="73">
        <f t="shared" si="10"/>
        <v>127</v>
      </c>
      <c r="H15" s="73">
        <f t="shared" si="10"/>
        <v>145</v>
      </c>
      <c r="I15" s="68">
        <f t="shared" si="10"/>
        <v>22462.43333333333</v>
      </c>
      <c r="J15" s="68">
        <f t="shared" si="10"/>
        <v>23680.4</v>
      </c>
      <c r="K15" s="73">
        <f t="shared" si="10"/>
        <v>127</v>
      </c>
      <c r="L15" s="73">
        <f t="shared" si="10"/>
        <v>145</v>
      </c>
      <c r="M15" s="68">
        <f t="shared" si="10"/>
        <v>22462.43333333333</v>
      </c>
      <c r="N15" s="68">
        <f t="shared" si="10"/>
        <v>23680.4</v>
      </c>
      <c r="O15" s="73">
        <f t="shared" si="10"/>
        <v>15296287.62</v>
      </c>
      <c r="P15" s="73">
        <f t="shared" si="10"/>
        <v>15296287.62</v>
      </c>
      <c r="Q15" s="73">
        <f>P15/O15*100</f>
        <v>100</v>
      </c>
      <c r="R15" s="64">
        <f t="shared" si="10"/>
        <v>0</v>
      </c>
      <c r="S15" s="73">
        <f t="shared" si="10"/>
        <v>12570094.892</v>
      </c>
      <c r="T15" s="73">
        <f t="shared" si="10"/>
        <v>12508749.75</v>
      </c>
      <c r="U15" s="73">
        <f>U20+U42</f>
        <v>61345.14200000001</v>
      </c>
      <c r="V15" s="58">
        <f t="shared" si="1"/>
        <v>99.51197550593636</v>
      </c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1:81" s="6" customFormat="1" ht="23.25" customHeight="1">
      <c r="A16" s="13"/>
      <c r="B16" s="14" t="s">
        <v>11</v>
      </c>
      <c r="C16" s="68" t="e">
        <f>C24+C26+C28+#REF!+#REF!+#REF!+C39+#REF!+C49+C52+C56+C59+#REF!+C65+C67</f>
        <v>#REF!</v>
      </c>
      <c r="D16" s="68" t="e">
        <f>D24+D26+D28+#REF!+#REF!+#REF!+D39+#REF!+D49+D52+D56+D59+#REF!+D65+D67</f>
        <v>#REF!</v>
      </c>
      <c r="E16" s="68">
        <f>E21+E43+E63</f>
        <v>94546.85500000001</v>
      </c>
      <c r="F16" s="68">
        <f aca="true" t="shared" si="11" ref="F16:U16">F21+F43+F63</f>
        <v>94749</v>
      </c>
      <c r="G16" s="73">
        <f t="shared" si="11"/>
        <v>255</v>
      </c>
      <c r="H16" s="73">
        <f t="shared" si="11"/>
        <v>229</v>
      </c>
      <c r="I16" s="68">
        <f t="shared" si="11"/>
        <v>94546.85500000001</v>
      </c>
      <c r="J16" s="68">
        <f t="shared" si="11"/>
        <v>94749</v>
      </c>
      <c r="K16" s="73">
        <f t="shared" si="11"/>
        <v>255</v>
      </c>
      <c r="L16" s="73">
        <f t="shared" si="11"/>
        <v>229</v>
      </c>
      <c r="M16" s="68">
        <f t="shared" si="11"/>
        <v>94546.85500000001</v>
      </c>
      <c r="N16" s="68">
        <f t="shared" si="11"/>
        <v>94749</v>
      </c>
      <c r="O16" s="73">
        <f t="shared" si="11"/>
        <v>56647108.529</v>
      </c>
      <c r="P16" s="73">
        <f t="shared" si="11"/>
        <v>56676853.061</v>
      </c>
      <c r="Q16" s="73">
        <f>P16/O16*100</f>
        <v>100.05250847355214</v>
      </c>
      <c r="R16" s="64">
        <f t="shared" si="11"/>
        <v>0</v>
      </c>
      <c r="S16" s="73">
        <f t="shared" si="11"/>
        <v>45839584.13008642</v>
      </c>
      <c r="T16" s="73">
        <f t="shared" si="11"/>
        <v>45533256.33808642</v>
      </c>
      <c r="U16" s="73">
        <f t="shared" si="11"/>
        <v>306327.7919999999</v>
      </c>
      <c r="V16" s="58">
        <f t="shared" si="1"/>
        <v>99.3317395918543</v>
      </c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s="6" customFormat="1" ht="23.25" customHeight="1">
      <c r="A17" s="13"/>
      <c r="B17" s="14" t="s">
        <v>0</v>
      </c>
      <c r="C17" s="68" t="e">
        <f>#REF!+#REF!+#REF!+C32+#REF!+#REF!+#REF!+#REF!+C50+#REF!+#REF!+#REF!+#REF!+#REF!+#REF!</f>
        <v>#REF!</v>
      </c>
      <c r="D17" s="68" t="e">
        <f>#REF!+#REF!+#REF!+D32+#REF!+#REF!+#REF!+#REF!+D50+#REF!+#REF!+#REF!+#REF!+#REF!+#REF!</f>
        <v>#REF!</v>
      </c>
      <c r="E17" s="68">
        <f t="shared" si="10"/>
        <v>2960.63</v>
      </c>
      <c r="F17" s="68">
        <f t="shared" si="10"/>
        <v>2771.0299999999997</v>
      </c>
      <c r="G17" s="73">
        <f t="shared" si="10"/>
        <v>4</v>
      </c>
      <c r="H17" s="73">
        <f t="shared" si="10"/>
        <v>4</v>
      </c>
      <c r="I17" s="68">
        <f t="shared" si="10"/>
        <v>2960.63</v>
      </c>
      <c r="J17" s="68">
        <f t="shared" si="10"/>
        <v>2771.0299999999997</v>
      </c>
      <c r="K17" s="73">
        <f t="shared" si="10"/>
        <v>4</v>
      </c>
      <c r="L17" s="73">
        <f t="shared" si="10"/>
        <v>4</v>
      </c>
      <c r="M17" s="68">
        <f t="shared" si="10"/>
        <v>2960.63</v>
      </c>
      <c r="N17" s="68">
        <f t="shared" si="10"/>
        <v>2771.0299999999997</v>
      </c>
      <c r="O17" s="73">
        <f t="shared" si="10"/>
        <v>2113251.779</v>
      </c>
      <c r="P17" s="73">
        <f t="shared" si="10"/>
        <v>2113251.779</v>
      </c>
      <c r="Q17" s="73">
        <f>P17/O17*100</f>
        <v>100</v>
      </c>
      <c r="R17" s="64">
        <f t="shared" si="10"/>
        <v>0</v>
      </c>
      <c r="S17" s="73">
        <f t="shared" si="10"/>
        <v>1461644.591</v>
      </c>
      <c r="T17" s="73">
        <f t="shared" si="10"/>
        <v>1372382.591</v>
      </c>
      <c r="U17" s="73">
        <f>U22+U44</f>
        <v>89262</v>
      </c>
      <c r="V17" s="58">
        <f t="shared" si="1"/>
        <v>93.89304345600661</v>
      </c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1:81" s="20" customFormat="1" ht="29.25" customHeight="1">
      <c r="A18" s="5" t="s">
        <v>25</v>
      </c>
      <c r="B18" s="7" t="s">
        <v>124</v>
      </c>
      <c r="C18" s="59" t="e">
        <f>C19+C20+C21+C22</f>
        <v>#REF!</v>
      </c>
      <c r="D18" s="59" t="e">
        <f aca="true" t="shared" si="12" ref="D18:U18">D19+D20+D21+D22</f>
        <v>#REF!</v>
      </c>
      <c r="E18" s="59">
        <f t="shared" si="12"/>
        <v>99755.47</v>
      </c>
      <c r="F18" s="59">
        <f t="shared" si="12"/>
        <v>98700.34</v>
      </c>
      <c r="G18" s="76">
        <f t="shared" si="12"/>
        <v>2250</v>
      </c>
      <c r="H18" s="76">
        <f t="shared" si="12"/>
        <v>2211</v>
      </c>
      <c r="I18" s="59">
        <f t="shared" si="12"/>
        <v>99755.47</v>
      </c>
      <c r="J18" s="59">
        <f t="shared" si="12"/>
        <v>98700.34</v>
      </c>
      <c r="K18" s="76">
        <f t="shared" si="12"/>
        <v>2247</v>
      </c>
      <c r="L18" s="76">
        <f t="shared" si="12"/>
        <v>2208</v>
      </c>
      <c r="M18" s="59">
        <f t="shared" si="12"/>
        <v>99680.37</v>
      </c>
      <c r="N18" s="59">
        <f t="shared" si="12"/>
        <v>98625.24</v>
      </c>
      <c r="O18" s="76">
        <f t="shared" si="12"/>
        <v>58524184.59</v>
      </c>
      <c r="P18" s="76">
        <f t="shared" si="12"/>
        <v>58524184.59</v>
      </c>
      <c r="Q18" s="76">
        <f t="shared" si="8"/>
        <v>100</v>
      </c>
      <c r="R18" s="10"/>
      <c r="S18" s="76">
        <f t="shared" si="12"/>
        <v>44466591.76860267</v>
      </c>
      <c r="T18" s="76">
        <f t="shared" si="12"/>
        <v>44466591.76860267</v>
      </c>
      <c r="U18" s="76">
        <f t="shared" si="12"/>
        <v>0</v>
      </c>
      <c r="V18" s="59">
        <f t="shared" si="1"/>
        <v>100</v>
      </c>
      <c r="W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</row>
    <row r="19" spans="1:81" s="21" customFormat="1" ht="25.5" customHeight="1">
      <c r="A19" s="13"/>
      <c r="B19" s="14" t="s">
        <v>10</v>
      </c>
      <c r="C19" s="68" t="e">
        <f>#REF!+#REF!+#REF!+C30+C34+C36+#REF!</f>
        <v>#REF!</v>
      </c>
      <c r="D19" s="68" t="e">
        <f>#REF!+#REF!+#REF!+D30+D34+D36+#REF!</f>
        <v>#REF!</v>
      </c>
      <c r="E19" s="68">
        <f>E30+E34+E36</f>
        <v>43930.869999999995</v>
      </c>
      <c r="F19" s="68">
        <f aca="true" t="shared" si="13" ref="F19:U19">F30+F34+F36</f>
        <v>43471.95999999999</v>
      </c>
      <c r="G19" s="73">
        <f t="shared" si="13"/>
        <v>2115</v>
      </c>
      <c r="H19" s="73">
        <f t="shared" si="13"/>
        <v>2097</v>
      </c>
      <c r="I19" s="68">
        <f t="shared" si="13"/>
        <v>43930.869999999995</v>
      </c>
      <c r="J19" s="68">
        <f t="shared" si="13"/>
        <v>43471.95999999999</v>
      </c>
      <c r="K19" s="73">
        <f t="shared" si="13"/>
        <v>2112</v>
      </c>
      <c r="L19" s="73">
        <f t="shared" si="13"/>
        <v>2094</v>
      </c>
      <c r="M19" s="68">
        <f t="shared" si="13"/>
        <v>43855.77</v>
      </c>
      <c r="N19" s="68">
        <f t="shared" si="13"/>
        <v>43396.86</v>
      </c>
      <c r="O19" s="73">
        <f t="shared" si="13"/>
        <v>24123937.772</v>
      </c>
      <c r="P19" s="73">
        <f t="shared" si="13"/>
        <v>24123937.772</v>
      </c>
      <c r="Q19" s="40">
        <f t="shared" si="8"/>
        <v>100</v>
      </c>
      <c r="R19" s="64"/>
      <c r="S19" s="73">
        <f t="shared" si="13"/>
        <v>17990743.307243</v>
      </c>
      <c r="T19" s="73">
        <f t="shared" si="13"/>
        <v>17990743.307243</v>
      </c>
      <c r="U19" s="73">
        <f t="shared" si="13"/>
        <v>0</v>
      </c>
      <c r="V19" s="58">
        <f t="shared" si="1"/>
        <v>100</v>
      </c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1:81" s="21" customFormat="1" ht="26.25" customHeight="1">
      <c r="A20" s="13"/>
      <c r="B20" s="14" t="s">
        <v>7</v>
      </c>
      <c r="C20" s="68" t="e">
        <f>#REF!+#REF!+#REF!+C31+#REF!+#REF!+C38</f>
        <v>#REF!</v>
      </c>
      <c r="D20" s="68" t="e">
        <f>#REF!+#REF!+#REF!+D31+#REF!+#REF!+D38</f>
        <v>#REF!</v>
      </c>
      <c r="E20" s="68">
        <f>E31+E38</f>
        <v>9006.16</v>
      </c>
      <c r="F20" s="68">
        <f aca="true" t="shared" si="14" ref="F20:U20">F31+F38</f>
        <v>8669.15</v>
      </c>
      <c r="G20" s="73">
        <f t="shared" si="14"/>
        <v>25</v>
      </c>
      <c r="H20" s="73">
        <f t="shared" si="14"/>
        <v>25</v>
      </c>
      <c r="I20" s="68">
        <f t="shared" si="14"/>
        <v>9006.16</v>
      </c>
      <c r="J20" s="68">
        <f t="shared" si="14"/>
        <v>8669.15</v>
      </c>
      <c r="K20" s="73">
        <f t="shared" si="14"/>
        <v>25</v>
      </c>
      <c r="L20" s="73">
        <f t="shared" si="14"/>
        <v>25</v>
      </c>
      <c r="M20" s="68">
        <f t="shared" si="14"/>
        <v>9006.16</v>
      </c>
      <c r="N20" s="68">
        <f t="shared" si="14"/>
        <v>8669.15</v>
      </c>
      <c r="O20" s="73">
        <f t="shared" si="14"/>
        <v>6729621.384</v>
      </c>
      <c r="P20" s="73">
        <f t="shared" si="14"/>
        <v>6729621.384</v>
      </c>
      <c r="Q20" s="40">
        <f t="shared" si="8"/>
        <v>100</v>
      </c>
      <c r="R20" s="64"/>
      <c r="S20" s="73">
        <f t="shared" si="14"/>
        <v>5133973.344</v>
      </c>
      <c r="T20" s="73">
        <f t="shared" si="14"/>
        <v>5133973.344</v>
      </c>
      <c r="U20" s="73">
        <f t="shared" si="14"/>
        <v>0</v>
      </c>
      <c r="V20" s="58">
        <f t="shared" si="1"/>
        <v>100</v>
      </c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s="21" customFormat="1" ht="30.75" customHeight="1">
      <c r="A21" s="13"/>
      <c r="B21" s="14" t="s">
        <v>11</v>
      </c>
      <c r="C21" s="68" t="e">
        <f>C24+C26+C28+#REF!+#REF!+#REF!+C39</f>
        <v>#REF!</v>
      </c>
      <c r="D21" s="68" t="e">
        <f>D24+D26+D28+#REF!+#REF!+#REF!+D39</f>
        <v>#REF!</v>
      </c>
      <c r="E21" s="68">
        <f>E24+E26+E28+E39</f>
        <v>44778.840000000004</v>
      </c>
      <c r="F21" s="68">
        <f aca="true" t="shared" si="15" ref="F21:U21">F24+F26+F28+F39</f>
        <v>44519.63</v>
      </c>
      <c r="G21" s="73">
        <f t="shared" si="15"/>
        <v>107</v>
      </c>
      <c r="H21" s="73">
        <f t="shared" si="15"/>
        <v>86</v>
      </c>
      <c r="I21" s="68">
        <f t="shared" si="15"/>
        <v>44778.840000000004</v>
      </c>
      <c r="J21" s="68">
        <f t="shared" si="15"/>
        <v>44519.63</v>
      </c>
      <c r="K21" s="73">
        <f t="shared" si="15"/>
        <v>107</v>
      </c>
      <c r="L21" s="73">
        <f t="shared" si="15"/>
        <v>86</v>
      </c>
      <c r="M21" s="68">
        <f t="shared" si="15"/>
        <v>44778.840000000004</v>
      </c>
      <c r="N21" s="68">
        <f t="shared" si="15"/>
        <v>44519.63</v>
      </c>
      <c r="O21" s="73">
        <f t="shared" si="15"/>
        <v>26183464.434</v>
      </c>
      <c r="P21" s="73">
        <f t="shared" si="15"/>
        <v>26183464.434</v>
      </c>
      <c r="Q21" s="40">
        <f t="shared" si="8"/>
        <v>100</v>
      </c>
      <c r="R21" s="64"/>
      <c r="S21" s="73">
        <f t="shared" si="15"/>
        <v>20252940.52635967</v>
      </c>
      <c r="T21" s="73">
        <f t="shared" si="15"/>
        <v>20252940.52635967</v>
      </c>
      <c r="U21" s="73">
        <f t="shared" si="15"/>
        <v>0</v>
      </c>
      <c r="V21" s="58">
        <f t="shared" si="1"/>
        <v>100</v>
      </c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1:81" s="21" customFormat="1" ht="27.75" customHeight="1">
      <c r="A22" s="13"/>
      <c r="B22" s="14" t="s">
        <v>0</v>
      </c>
      <c r="C22" s="68" t="e">
        <f>#REF!+#REF!+#REF!+C32+#REF!+#REF!+#REF!</f>
        <v>#REF!</v>
      </c>
      <c r="D22" s="68" t="e">
        <f>#REF!+#REF!+#REF!+D32+#REF!+#REF!+#REF!</f>
        <v>#REF!</v>
      </c>
      <c r="E22" s="68">
        <f>E32</f>
        <v>2039.6</v>
      </c>
      <c r="F22" s="68">
        <f aca="true" t="shared" si="16" ref="F22:U22">F32</f>
        <v>2039.6</v>
      </c>
      <c r="G22" s="73">
        <f t="shared" si="16"/>
        <v>3</v>
      </c>
      <c r="H22" s="73">
        <f t="shared" si="16"/>
        <v>3</v>
      </c>
      <c r="I22" s="68">
        <f t="shared" si="16"/>
        <v>2039.6</v>
      </c>
      <c r="J22" s="68">
        <f t="shared" si="16"/>
        <v>2039.6</v>
      </c>
      <c r="K22" s="73">
        <f t="shared" si="16"/>
        <v>3</v>
      </c>
      <c r="L22" s="73">
        <f t="shared" si="16"/>
        <v>3</v>
      </c>
      <c r="M22" s="68">
        <f t="shared" si="16"/>
        <v>2039.6</v>
      </c>
      <c r="N22" s="68">
        <f t="shared" si="16"/>
        <v>2039.6</v>
      </c>
      <c r="O22" s="73">
        <f t="shared" si="16"/>
        <v>1487161</v>
      </c>
      <c r="P22" s="73">
        <f t="shared" si="16"/>
        <v>1487161</v>
      </c>
      <c r="Q22" s="40">
        <f t="shared" si="8"/>
        <v>100</v>
      </c>
      <c r="R22" s="64"/>
      <c r="S22" s="73">
        <f t="shared" si="16"/>
        <v>1088934.591</v>
      </c>
      <c r="T22" s="73">
        <f t="shared" si="16"/>
        <v>1088934.591</v>
      </c>
      <c r="U22" s="73">
        <f t="shared" si="16"/>
        <v>0</v>
      </c>
      <c r="V22" s="58">
        <f t="shared" si="1"/>
        <v>100</v>
      </c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23" s="12" customFormat="1" ht="29.25" customHeight="1">
      <c r="A23" s="5">
        <v>1</v>
      </c>
      <c r="B23" s="7" t="s">
        <v>20</v>
      </c>
      <c r="C23" s="59" t="e">
        <f>#REF!+#REF!+C24+#REF!</f>
        <v>#REF!</v>
      </c>
      <c r="D23" s="59" t="e">
        <f>#REF!+#REF!+D24+#REF!</f>
        <v>#REF!</v>
      </c>
      <c r="E23" s="71">
        <f>E24</f>
        <v>3391</v>
      </c>
      <c r="F23" s="71">
        <f aca="true" t="shared" si="17" ref="F23:U23">F24</f>
        <v>3391</v>
      </c>
      <c r="G23" s="76">
        <f t="shared" si="17"/>
        <v>8</v>
      </c>
      <c r="H23" s="76">
        <f t="shared" si="17"/>
        <v>8</v>
      </c>
      <c r="I23" s="71">
        <f t="shared" si="17"/>
        <v>3391</v>
      </c>
      <c r="J23" s="71">
        <f t="shared" si="17"/>
        <v>3391</v>
      </c>
      <c r="K23" s="76">
        <f t="shared" si="17"/>
        <v>8</v>
      </c>
      <c r="L23" s="76">
        <f t="shared" si="17"/>
        <v>8</v>
      </c>
      <c r="M23" s="71">
        <f t="shared" si="17"/>
        <v>3391</v>
      </c>
      <c r="N23" s="71">
        <f t="shared" si="17"/>
        <v>3391</v>
      </c>
      <c r="O23" s="76">
        <f t="shared" si="17"/>
        <v>2306613.533</v>
      </c>
      <c r="P23" s="76">
        <f t="shared" si="17"/>
        <v>2306613.533</v>
      </c>
      <c r="Q23" s="76">
        <f>P23/O23*100</f>
        <v>100</v>
      </c>
      <c r="R23" s="10"/>
      <c r="S23" s="76">
        <f t="shared" si="17"/>
        <v>1695201.4083596698</v>
      </c>
      <c r="T23" s="76">
        <f t="shared" si="17"/>
        <v>1695201.4083596698</v>
      </c>
      <c r="U23" s="59">
        <f t="shared" si="17"/>
        <v>0</v>
      </c>
      <c r="V23" s="59">
        <f t="shared" si="1"/>
        <v>100</v>
      </c>
      <c r="W23" s="22"/>
    </row>
    <row r="24" spans="1:81" s="21" customFormat="1" ht="24" customHeight="1">
      <c r="A24" s="13"/>
      <c r="B24" s="14" t="s">
        <v>11</v>
      </c>
      <c r="C24" s="58">
        <v>3391</v>
      </c>
      <c r="D24" s="58">
        <v>3391</v>
      </c>
      <c r="E24" s="58">
        <f>C24</f>
        <v>3391</v>
      </c>
      <c r="F24" s="58">
        <f>D24</f>
        <v>3391</v>
      </c>
      <c r="G24" s="29">
        <v>8</v>
      </c>
      <c r="H24" s="29">
        <v>8</v>
      </c>
      <c r="I24" s="25">
        <f aca="true" t="shared" si="18" ref="I24:N24">E24</f>
        <v>3391</v>
      </c>
      <c r="J24" s="25">
        <f t="shared" si="18"/>
        <v>3391</v>
      </c>
      <c r="K24" s="29">
        <f t="shared" si="18"/>
        <v>8</v>
      </c>
      <c r="L24" s="29">
        <f t="shared" si="18"/>
        <v>8</v>
      </c>
      <c r="M24" s="25">
        <f t="shared" si="18"/>
        <v>3391</v>
      </c>
      <c r="N24" s="25">
        <f t="shared" si="18"/>
        <v>3391</v>
      </c>
      <c r="O24" s="29">
        <f>2306613533/1000</f>
        <v>2306613.533</v>
      </c>
      <c r="P24" s="29">
        <f>O24</f>
        <v>2306613.533</v>
      </c>
      <c r="Q24" s="26">
        <v>100</v>
      </c>
      <c r="R24" s="54" t="s">
        <v>83</v>
      </c>
      <c r="S24" s="26">
        <f>1695201408.35967/1000</f>
        <v>1695201.4083596698</v>
      </c>
      <c r="T24" s="29">
        <f>S24</f>
        <v>1695201.4083596698</v>
      </c>
      <c r="U24" s="73">
        <f>S24-T24</f>
        <v>0</v>
      </c>
      <c r="V24" s="58">
        <f t="shared" si="1"/>
        <v>100</v>
      </c>
      <c r="W24" s="30" t="s">
        <v>84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1:23" s="12" customFormat="1" ht="30.75" customHeight="1">
      <c r="A25" s="5">
        <v>2</v>
      </c>
      <c r="B25" s="7" t="s">
        <v>79</v>
      </c>
      <c r="C25" s="59" t="e">
        <f>#REF!+#REF!+C26+#REF!</f>
        <v>#REF!</v>
      </c>
      <c r="D25" s="59" t="e">
        <f>#REF!+#REF!+D26+#REF!</f>
        <v>#REF!</v>
      </c>
      <c r="E25" s="59">
        <f>E26</f>
        <v>22937.9</v>
      </c>
      <c r="F25" s="59">
        <f aca="true" t="shared" si="19" ref="F25:T25">F26</f>
        <v>22824.87</v>
      </c>
      <c r="G25" s="76">
        <f t="shared" si="19"/>
        <v>50</v>
      </c>
      <c r="H25" s="76">
        <f t="shared" si="19"/>
        <v>34</v>
      </c>
      <c r="I25" s="59">
        <f t="shared" si="19"/>
        <v>22937.9</v>
      </c>
      <c r="J25" s="59">
        <f t="shared" si="19"/>
        <v>22824.87</v>
      </c>
      <c r="K25" s="76">
        <f t="shared" si="19"/>
        <v>50</v>
      </c>
      <c r="L25" s="76">
        <f t="shared" si="19"/>
        <v>34</v>
      </c>
      <c r="M25" s="59">
        <f t="shared" si="19"/>
        <v>22937.9</v>
      </c>
      <c r="N25" s="59">
        <f t="shared" si="19"/>
        <v>22824.87</v>
      </c>
      <c r="O25" s="76">
        <f t="shared" si="19"/>
        <v>10817542.953</v>
      </c>
      <c r="P25" s="76">
        <f t="shared" si="19"/>
        <v>10817542.953</v>
      </c>
      <c r="Q25" s="76">
        <f t="shared" si="19"/>
        <v>100</v>
      </c>
      <c r="R25" s="10"/>
      <c r="S25" s="76">
        <f t="shared" si="19"/>
        <v>8234439.322</v>
      </c>
      <c r="T25" s="76">
        <f t="shared" si="19"/>
        <v>8234439.322</v>
      </c>
      <c r="U25" s="76"/>
      <c r="V25" s="59">
        <f t="shared" si="1"/>
        <v>100</v>
      </c>
      <c r="W25" s="22"/>
    </row>
    <row r="26" spans="1:81" s="21" customFormat="1" ht="30" customHeight="1">
      <c r="A26" s="13"/>
      <c r="B26" s="14" t="s">
        <v>11</v>
      </c>
      <c r="C26" s="58">
        <v>22937.9</v>
      </c>
      <c r="D26" s="58">
        <v>22824.87</v>
      </c>
      <c r="E26" s="58">
        <v>22937.9</v>
      </c>
      <c r="F26" s="58">
        <v>22824.87</v>
      </c>
      <c r="G26" s="29">
        <v>50</v>
      </c>
      <c r="H26" s="29">
        <v>34</v>
      </c>
      <c r="I26" s="25">
        <v>22937.9</v>
      </c>
      <c r="J26" s="25">
        <v>22824.87</v>
      </c>
      <c r="K26" s="29">
        <v>50</v>
      </c>
      <c r="L26" s="29">
        <v>34</v>
      </c>
      <c r="M26" s="25">
        <v>22937.9</v>
      </c>
      <c r="N26" s="25">
        <v>22824.87</v>
      </c>
      <c r="O26" s="29">
        <v>10817542.953</v>
      </c>
      <c r="P26" s="29">
        <v>10817542.953</v>
      </c>
      <c r="Q26" s="26">
        <v>100</v>
      </c>
      <c r="R26" s="54" t="s">
        <v>80</v>
      </c>
      <c r="S26" s="26">
        <v>8234439.322</v>
      </c>
      <c r="T26" s="29">
        <v>8234439.322</v>
      </c>
      <c r="U26" s="73">
        <f>S26-T26</f>
        <v>0</v>
      </c>
      <c r="V26" s="58">
        <f t="shared" si="1"/>
        <v>100</v>
      </c>
      <c r="W26" s="30" t="s">
        <v>81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23" s="12" customFormat="1" ht="25.5" customHeight="1">
      <c r="A27" s="5">
        <v>3</v>
      </c>
      <c r="B27" s="7" t="s">
        <v>98</v>
      </c>
      <c r="C27" s="59" t="e">
        <f>#REF!+#REF!+C28+#REF!</f>
        <v>#REF!</v>
      </c>
      <c r="D27" s="59" t="e">
        <f>#REF!+#REF!+D28+#REF!</f>
        <v>#REF!</v>
      </c>
      <c r="E27" s="59">
        <f>E28</f>
        <v>11081.2</v>
      </c>
      <c r="F27" s="59">
        <f aca="true" t="shared" si="20" ref="F27:Q27">F28</f>
        <v>10935.02</v>
      </c>
      <c r="G27" s="76">
        <f t="shared" si="20"/>
        <v>21</v>
      </c>
      <c r="H27" s="76">
        <f t="shared" si="20"/>
        <v>16</v>
      </c>
      <c r="I27" s="59">
        <f t="shared" si="20"/>
        <v>11081.2</v>
      </c>
      <c r="J27" s="59">
        <f t="shared" si="20"/>
        <v>10935.02</v>
      </c>
      <c r="K27" s="76">
        <f t="shared" si="20"/>
        <v>21</v>
      </c>
      <c r="L27" s="76">
        <f t="shared" si="20"/>
        <v>16</v>
      </c>
      <c r="M27" s="59">
        <f t="shared" si="20"/>
        <v>11081.2</v>
      </c>
      <c r="N27" s="59">
        <f t="shared" si="20"/>
        <v>10935.02</v>
      </c>
      <c r="O27" s="76">
        <f t="shared" si="20"/>
        <v>7568167.242</v>
      </c>
      <c r="P27" s="76">
        <f t="shared" si="20"/>
        <v>7568167.242</v>
      </c>
      <c r="Q27" s="76">
        <f t="shared" si="20"/>
        <v>100</v>
      </c>
      <c r="R27" s="10"/>
      <c r="S27" s="76">
        <f>S28</f>
        <v>5937336.71</v>
      </c>
      <c r="T27" s="76">
        <f>T28</f>
        <v>5937336.71</v>
      </c>
      <c r="U27" s="76"/>
      <c r="V27" s="59">
        <f t="shared" si="1"/>
        <v>100</v>
      </c>
      <c r="W27" s="22"/>
    </row>
    <row r="28" spans="1:81" s="21" customFormat="1" ht="48.75" customHeight="1">
      <c r="A28" s="13"/>
      <c r="B28" s="14" t="s">
        <v>11</v>
      </c>
      <c r="C28" s="58">
        <v>12099.99</v>
      </c>
      <c r="D28" s="58">
        <v>12099.99</v>
      </c>
      <c r="E28" s="58">
        <v>11081.2</v>
      </c>
      <c r="F28" s="58">
        <v>10935.02</v>
      </c>
      <c r="G28" s="29">
        <v>21</v>
      </c>
      <c r="H28" s="29">
        <v>16</v>
      </c>
      <c r="I28" s="25">
        <v>11081.2</v>
      </c>
      <c r="J28" s="25">
        <v>10935.02</v>
      </c>
      <c r="K28" s="29">
        <v>21</v>
      </c>
      <c r="L28" s="29">
        <v>16</v>
      </c>
      <c r="M28" s="25">
        <v>11081.2</v>
      </c>
      <c r="N28" s="25">
        <v>10935.02</v>
      </c>
      <c r="O28" s="29">
        <v>7568167.242</v>
      </c>
      <c r="P28" s="29">
        <v>7568167.242</v>
      </c>
      <c r="Q28" s="26">
        <v>100</v>
      </c>
      <c r="R28" s="53" t="s">
        <v>111</v>
      </c>
      <c r="S28" s="26">
        <v>5937336.71</v>
      </c>
      <c r="T28" s="29">
        <v>5937336.71</v>
      </c>
      <c r="U28" s="73">
        <f>S28-T28</f>
        <v>0</v>
      </c>
      <c r="V28" s="58">
        <f t="shared" si="1"/>
        <v>100</v>
      </c>
      <c r="W28" s="53" t="s">
        <v>112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23" s="12" customFormat="1" ht="33.75" customHeight="1">
      <c r="A29" s="5">
        <v>4</v>
      </c>
      <c r="B29" s="7" t="s">
        <v>99</v>
      </c>
      <c r="C29" s="59" t="e">
        <f>C30+C31+#REF!+C32</f>
        <v>#REF!</v>
      </c>
      <c r="D29" s="59" t="e">
        <f>D30+D31+#REF!+D32</f>
        <v>#REF!</v>
      </c>
      <c r="E29" s="59">
        <f>E30+E31+E32</f>
        <v>19523.269999999997</v>
      </c>
      <c r="F29" s="59">
        <f aca="true" t="shared" si="21" ref="F29:U29">F30+F31+F32</f>
        <v>19186.26</v>
      </c>
      <c r="G29" s="76">
        <f t="shared" si="21"/>
        <v>405</v>
      </c>
      <c r="H29" s="76">
        <f t="shared" si="21"/>
        <v>405</v>
      </c>
      <c r="I29" s="59">
        <f t="shared" si="21"/>
        <v>19523.269999999997</v>
      </c>
      <c r="J29" s="59">
        <f t="shared" si="21"/>
        <v>19186.26</v>
      </c>
      <c r="K29" s="76">
        <f t="shared" si="21"/>
        <v>402</v>
      </c>
      <c r="L29" s="76">
        <f t="shared" si="21"/>
        <v>402</v>
      </c>
      <c r="M29" s="59">
        <f t="shared" si="21"/>
        <v>19448.17</v>
      </c>
      <c r="N29" s="59">
        <f t="shared" si="21"/>
        <v>19111.159999999996</v>
      </c>
      <c r="O29" s="76">
        <f t="shared" si="21"/>
        <v>14374472</v>
      </c>
      <c r="P29" s="76">
        <f t="shared" si="21"/>
        <v>14374472</v>
      </c>
      <c r="Q29" s="76">
        <f>P29/O29*100</f>
        <v>100</v>
      </c>
      <c r="R29" s="10"/>
      <c r="S29" s="76">
        <f t="shared" si="21"/>
        <v>10650866.704</v>
      </c>
      <c r="T29" s="76">
        <f t="shared" si="21"/>
        <v>10650866.704</v>
      </c>
      <c r="U29" s="76">
        <f t="shared" si="21"/>
        <v>0</v>
      </c>
      <c r="V29" s="59">
        <f t="shared" si="1"/>
        <v>100</v>
      </c>
      <c r="W29" s="22"/>
    </row>
    <row r="30" spans="1:81" s="21" customFormat="1" ht="27.75" customHeight="1">
      <c r="A30" s="13"/>
      <c r="B30" s="14" t="s">
        <v>10</v>
      </c>
      <c r="C30" s="58">
        <v>9538.5</v>
      </c>
      <c r="D30" s="58">
        <v>9538.5</v>
      </c>
      <c r="E30" s="68">
        <f aca="true" t="shared" si="22" ref="E30:F32">C30</f>
        <v>9538.5</v>
      </c>
      <c r="F30" s="68">
        <f t="shared" si="22"/>
        <v>9538.5</v>
      </c>
      <c r="G30" s="23">
        <v>383</v>
      </c>
      <c r="H30" s="23">
        <v>383</v>
      </c>
      <c r="I30" s="25">
        <f aca="true" t="shared" si="23" ref="I30:N31">E30</f>
        <v>9538.5</v>
      </c>
      <c r="J30" s="25">
        <f t="shared" si="23"/>
        <v>9538.5</v>
      </c>
      <c r="K30" s="23">
        <v>380</v>
      </c>
      <c r="L30" s="23">
        <v>380</v>
      </c>
      <c r="M30" s="25">
        <v>9463.4</v>
      </c>
      <c r="N30" s="25">
        <f>M30</f>
        <v>9463.4</v>
      </c>
      <c r="O30" s="29">
        <v>6954887</v>
      </c>
      <c r="P30" s="23">
        <f>O30</f>
        <v>6954887</v>
      </c>
      <c r="Q30" s="40">
        <f aca="true" t="shared" si="24" ref="Q30:Q93">P30/O30*100</f>
        <v>100</v>
      </c>
      <c r="R30" s="91" t="s">
        <v>136</v>
      </c>
      <c r="S30" s="26">
        <v>5092533.733</v>
      </c>
      <c r="T30" s="23">
        <f>S30</f>
        <v>5092533.733</v>
      </c>
      <c r="U30" s="73">
        <f>S30-T30</f>
        <v>0</v>
      </c>
      <c r="V30" s="58">
        <f t="shared" si="1"/>
        <v>100</v>
      </c>
      <c r="W30" s="91" t="s">
        <v>137</v>
      </c>
      <c r="X30" s="3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81" s="21" customFormat="1" ht="28.5" customHeight="1">
      <c r="A31" s="13"/>
      <c r="B31" s="14" t="s">
        <v>7</v>
      </c>
      <c r="C31" s="58">
        <v>7945.17</v>
      </c>
      <c r="D31" s="58">
        <v>7608.16</v>
      </c>
      <c r="E31" s="68">
        <f t="shared" si="22"/>
        <v>7945.17</v>
      </c>
      <c r="F31" s="58">
        <f t="shared" si="22"/>
        <v>7608.16</v>
      </c>
      <c r="G31" s="29">
        <v>19</v>
      </c>
      <c r="H31" s="29">
        <v>19</v>
      </c>
      <c r="I31" s="25">
        <f t="shared" si="23"/>
        <v>7945.17</v>
      </c>
      <c r="J31" s="25">
        <f t="shared" si="23"/>
        <v>7608.16</v>
      </c>
      <c r="K31" s="23">
        <f t="shared" si="23"/>
        <v>19</v>
      </c>
      <c r="L31" s="23">
        <f t="shared" si="23"/>
        <v>19</v>
      </c>
      <c r="M31" s="25">
        <f t="shared" si="23"/>
        <v>7945.17</v>
      </c>
      <c r="N31" s="25">
        <f t="shared" si="23"/>
        <v>7608.16</v>
      </c>
      <c r="O31" s="29">
        <v>5932424</v>
      </c>
      <c r="P31" s="29">
        <f>O31</f>
        <v>5932424</v>
      </c>
      <c r="Q31" s="40">
        <f t="shared" si="24"/>
        <v>100</v>
      </c>
      <c r="R31" s="91"/>
      <c r="S31" s="26">
        <v>4469398.38</v>
      </c>
      <c r="T31" s="29">
        <v>4469398.38</v>
      </c>
      <c r="U31" s="73">
        <f>S31-T31</f>
        <v>0</v>
      </c>
      <c r="V31" s="58">
        <f t="shared" si="1"/>
        <v>100</v>
      </c>
      <c r="W31" s="91"/>
      <c r="X31" s="3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1:81" s="21" customFormat="1" ht="28.5" customHeight="1">
      <c r="A32" s="13"/>
      <c r="B32" s="14" t="s">
        <v>0</v>
      </c>
      <c r="C32" s="58">
        <v>2039.6</v>
      </c>
      <c r="D32" s="58">
        <v>2039.6</v>
      </c>
      <c r="E32" s="68">
        <f t="shared" si="22"/>
        <v>2039.6</v>
      </c>
      <c r="F32" s="58">
        <f t="shared" si="22"/>
        <v>2039.6</v>
      </c>
      <c r="G32" s="23">
        <v>3</v>
      </c>
      <c r="H32" s="23">
        <v>3</v>
      </c>
      <c r="I32" s="25">
        <f aca="true" t="shared" si="25" ref="I32:N32">E32</f>
        <v>2039.6</v>
      </c>
      <c r="J32" s="25">
        <f t="shared" si="25"/>
        <v>2039.6</v>
      </c>
      <c r="K32" s="23">
        <v>3</v>
      </c>
      <c r="L32" s="23">
        <v>3</v>
      </c>
      <c r="M32" s="25">
        <f t="shared" si="25"/>
        <v>2039.6</v>
      </c>
      <c r="N32" s="25">
        <f t="shared" si="25"/>
        <v>2039.6</v>
      </c>
      <c r="O32" s="29">
        <v>1487161</v>
      </c>
      <c r="P32" s="29">
        <f>O32</f>
        <v>1487161</v>
      </c>
      <c r="Q32" s="40">
        <f t="shared" si="24"/>
        <v>100</v>
      </c>
      <c r="R32" s="91"/>
      <c r="S32" s="26">
        <v>1088934.591</v>
      </c>
      <c r="T32" s="26">
        <v>1088934.591</v>
      </c>
      <c r="U32" s="73">
        <f>S32-T32</f>
        <v>0</v>
      </c>
      <c r="V32" s="58">
        <f t="shared" si="1"/>
        <v>100</v>
      </c>
      <c r="W32" s="91"/>
      <c r="X32" s="3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1:23" s="12" customFormat="1" ht="26.25" customHeight="1">
      <c r="A33" s="5">
        <v>5</v>
      </c>
      <c r="B33" s="7" t="s">
        <v>100</v>
      </c>
      <c r="C33" s="59" t="e">
        <f>C34+#REF!+#REF!+#REF!</f>
        <v>#REF!</v>
      </c>
      <c r="D33" s="59" t="e">
        <f>D34+#REF!+#REF!+#REF!</f>
        <v>#REF!</v>
      </c>
      <c r="E33" s="59">
        <f aca="true" t="shared" si="26" ref="E33:P33">E34</f>
        <v>9499.7</v>
      </c>
      <c r="F33" s="59">
        <f t="shared" si="26"/>
        <v>9177.799999999996</v>
      </c>
      <c r="G33" s="76">
        <f t="shared" si="26"/>
        <v>512</v>
      </c>
      <c r="H33" s="76">
        <f t="shared" si="26"/>
        <v>494</v>
      </c>
      <c r="I33" s="59">
        <f t="shared" si="26"/>
        <v>9499.7</v>
      </c>
      <c r="J33" s="59">
        <f t="shared" si="26"/>
        <v>9177.799999999996</v>
      </c>
      <c r="K33" s="76">
        <f t="shared" si="26"/>
        <v>512</v>
      </c>
      <c r="L33" s="76">
        <f t="shared" si="26"/>
        <v>494</v>
      </c>
      <c r="M33" s="59">
        <f t="shared" si="26"/>
        <v>9499.7</v>
      </c>
      <c r="N33" s="76">
        <f t="shared" si="26"/>
        <v>9177.799999999996</v>
      </c>
      <c r="O33" s="76">
        <f t="shared" si="26"/>
        <v>6810875.772</v>
      </c>
      <c r="P33" s="76">
        <f t="shared" si="26"/>
        <v>6810875.772</v>
      </c>
      <c r="Q33" s="76">
        <f t="shared" si="24"/>
        <v>100</v>
      </c>
      <c r="R33" s="11"/>
      <c r="S33" s="76">
        <f>S34</f>
        <v>4536346.574243</v>
      </c>
      <c r="T33" s="76">
        <f>T34</f>
        <v>4536346.574243</v>
      </c>
      <c r="U33" s="76"/>
      <c r="V33" s="59">
        <f t="shared" si="1"/>
        <v>100</v>
      </c>
      <c r="W33" s="22"/>
    </row>
    <row r="34" spans="1:81" s="21" customFormat="1" ht="24" customHeight="1">
      <c r="A34" s="13"/>
      <c r="B34" s="14" t="s">
        <v>10</v>
      </c>
      <c r="C34" s="58">
        <v>9500</v>
      </c>
      <c r="D34" s="58">
        <v>9177.799999999996</v>
      </c>
      <c r="E34" s="68">
        <v>9499.7</v>
      </c>
      <c r="F34" s="68">
        <v>9177.799999999996</v>
      </c>
      <c r="G34" s="23">
        <v>512</v>
      </c>
      <c r="H34" s="23">
        <v>494</v>
      </c>
      <c r="I34" s="25">
        <v>9499.7</v>
      </c>
      <c r="J34" s="25">
        <v>9177.799999999996</v>
      </c>
      <c r="K34" s="23">
        <v>512</v>
      </c>
      <c r="L34" s="23">
        <v>494</v>
      </c>
      <c r="M34" s="25">
        <f>I34</f>
        <v>9499.7</v>
      </c>
      <c r="N34" s="25">
        <f>J34</f>
        <v>9177.799999999996</v>
      </c>
      <c r="O34" s="29">
        <v>6810875.772</v>
      </c>
      <c r="P34" s="23">
        <v>6810875.772</v>
      </c>
      <c r="Q34" s="40">
        <f t="shared" si="24"/>
        <v>100</v>
      </c>
      <c r="R34" s="27"/>
      <c r="S34" s="26">
        <v>4536346.574243</v>
      </c>
      <c r="T34" s="26">
        <v>4536346.574243</v>
      </c>
      <c r="U34" s="73">
        <f>S34-T34</f>
        <v>0</v>
      </c>
      <c r="V34" s="58">
        <f t="shared" si="1"/>
        <v>100</v>
      </c>
      <c r="W34" s="2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1:23" s="12" customFormat="1" ht="29.25" customHeight="1">
      <c r="A35" s="5">
        <v>6</v>
      </c>
      <c r="B35" s="7" t="s">
        <v>101</v>
      </c>
      <c r="C35" s="59" t="e">
        <f>C36+#REF!+#REF!+#REF!</f>
        <v>#REF!</v>
      </c>
      <c r="D35" s="59" t="e">
        <f>D36+#REF!+#REF!+#REF!</f>
        <v>#REF!</v>
      </c>
      <c r="E35" s="59">
        <f>E36</f>
        <v>24892.67</v>
      </c>
      <c r="F35" s="59">
        <f aca="true" t="shared" si="27" ref="F35:U35">F36</f>
        <v>24755.66</v>
      </c>
      <c r="G35" s="76">
        <f t="shared" si="27"/>
        <v>1220</v>
      </c>
      <c r="H35" s="76">
        <f t="shared" si="27"/>
        <v>1220</v>
      </c>
      <c r="I35" s="59">
        <f t="shared" si="27"/>
        <v>24892.67</v>
      </c>
      <c r="J35" s="59">
        <f t="shared" si="27"/>
        <v>24755.66</v>
      </c>
      <c r="K35" s="76">
        <f t="shared" si="27"/>
        <v>1220</v>
      </c>
      <c r="L35" s="76">
        <f t="shared" si="27"/>
        <v>1220</v>
      </c>
      <c r="M35" s="59">
        <f t="shared" si="27"/>
        <v>24892.67</v>
      </c>
      <c r="N35" s="59">
        <f t="shared" si="27"/>
        <v>24755.66</v>
      </c>
      <c r="O35" s="76">
        <f t="shared" si="27"/>
        <v>10358175</v>
      </c>
      <c r="P35" s="76">
        <f t="shared" si="27"/>
        <v>10358175</v>
      </c>
      <c r="Q35" s="76">
        <f t="shared" si="24"/>
        <v>100</v>
      </c>
      <c r="R35" s="10"/>
      <c r="S35" s="76">
        <f t="shared" si="27"/>
        <v>8361863</v>
      </c>
      <c r="T35" s="76">
        <f t="shared" si="27"/>
        <v>8361863</v>
      </c>
      <c r="U35" s="76">
        <f t="shared" si="27"/>
        <v>0</v>
      </c>
      <c r="V35" s="59">
        <f t="shared" si="1"/>
        <v>100</v>
      </c>
      <c r="W35" s="22"/>
    </row>
    <row r="36" spans="1:81" s="21" customFormat="1" ht="27" customHeight="1">
      <c r="A36" s="13"/>
      <c r="B36" s="14" t="s">
        <v>10</v>
      </c>
      <c r="C36" s="58">
        <v>24892.67</v>
      </c>
      <c r="D36" s="58">
        <v>24755.66</v>
      </c>
      <c r="E36" s="68">
        <v>24892.67</v>
      </c>
      <c r="F36" s="58">
        <v>24755.66</v>
      </c>
      <c r="G36" s="29">
        <v>1220</v>
      </c>
      <c r="H36" s="29">
        <v>1220</v>
      </c>
      <c r="I36" s="25">
        <v>24892.67</v>
      </c>
      <c r="J36" s="25">
        <v>24755.66</v>
      </c>
      <c r="K36" s="23">
        <v>1220</v>
      </c>
      <c r="L36" s="23">
        <v>1220</v>
      </c>
      <c r="M36" s="25">
        <v>24892.67</v>
      </c>
      <c r="N36" s="25">
        <v>24755.66</v>
      </c>
      <c r="O36" s="29">
        <v>10358175</v>
      </c>
      <c r="P36" s="29">
        <v>10358175</v>
      </c>
      <c r="Q36" s="40">
        <f t="shared" si="24"/>
        <v>100</v>
      </c>
      <c r="R36" s="32" t="s">
        <v>113</v>
      </c>
      <c r="S36" s="26">
        <v>8361863</v>
      </c>
      <c r="T36" s="23">
        <v>8361863</v>
      </c>
      <c r="U36" s="73">
        <f>S36-T36</f>
        <v>0</v>
      </c>
      <c r="V36" s="58">
        <f t="shared" si="1"/>
        <v>100</v>
      </c>
      <c r="W36" s="32" t="s">
        <v>114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23" s="12" customFormat="1" ht="30" customHeight="1">
      <c r="A37" s="5">
        <v>7</v>
      </c>
      <c r="B37" s="7" t="s">
        <v>67</v>
      </c>
      <c r="C37" s="59" t="e">
        <f>#REF!+C38+C39+#REF!</f>
        <v>#REF!</v>
      </c>
      <c r="D37" s="59" t="e">
        <f>#REF!+D38+D39+#REF!</f>
        <v>#REF!</v>
      </c>
      <c r="E37" s="59">
        <f>E38+E39</f>
        <v>8429.73</v>
      </c>
      <c r="F37" s="59">
        <f aca="true" t="shared" si="28" ref="F37:U37">F38+F39</f>
        <v>8429.73</v>
      </c>
      <c r="G37" s="76">
        <f t="shared" si="28"/>
        <v>34</v>
      </c>
      <c r="H37" s="76">
        <f t="shared" si="28"/>
        <v>34</v>
      </c>
      <c r="I37" s="59">
        <f t="shared" si="28"/>
        <v>8429.73</v>
      </c>
      <c r="J37" s="59">
        <f t="shared" si="28"/>
        <v>8429.73</v>
      </c>
      <c r="K37" s="76">
        <f t="shared" si="28"/>
        <v>34</v>
      </c>
      <c r="L37" s="76">
        <f t="shared" si="28"/>
        <v>34</v>
      </c>
      <c r="M37" s="59">
        <f t="shared" si="28"/>
        <v>8429.73</v>
      </c>
      <c r="N37" s="59">
        <f t="shared" si="28"/>
        <v>8429.73</v>
      </c>
      <c r="O37" s="59">
        <f t="shared" si="28"/>
        <v>6288338.09</v>
      </c>
      <c r="P37" s="76">
        <f t="shared" si="28"/>
        <v>6288338.09</v>
      </c>
      <c r="Q37" s="76">
        <f t="shared" si="24"/>
        <v>100</v>
      </c>
      <c r="R37" s="10"/>
      <c r="S37" s="76">
        <f t="shared" si="28"/>
        <v>5050538.05</v>
      </c>
      <c r="T37" s="76">
        <f t="shared" si="28"/>
        <v>5050538.05</v>
      </c>
      <c r="U37" s="76">
        <f t="shared" si="28"/>
        <v>0</v>
      </c>
      <c r="V37" s="59">
        <f>T37/S37*100</f>
        <v>100</v>
      </c>
      <c r="W37" s="22"/>
    </row>
    <row r="38" spans="1:81" s="21" customFormat="1" ht="28.5" customHeight="1">
      <c r="A38" s="13"/>
      <c r="B38" s="14" t="s">
        <v>7</v>
      </c>
      <c r="C38" s="58">
        <v>1060.99</v>
      </c>
      <c r="D38" s="58">
        <v>1060.99</v>
      </c>
      <c r="E38" s="58">
        <v>1060.99</v>
      </c>
      <c r="F38" s="58">
        <v>1060.99</v>
      </c>
      <c r="G38" s="29">
        <v>6</v>
      </c>
      <c r="H38" s="29">
        <v>6</v>
      </c>
      <c r="I38" s="25">
        <v>1060.99</v>
      </c>
      <c r="J38" s="25">
        <v>1060.99</v>
      </c>
      <c r="K38" s="29">
        <f aca="true" t="shared" si="29" ref="K38:N39">G38</f>
        <v>6</v>
      </c>
      <c r="L38" s="29">
        <f t="shared" si="29"/>
        <v>6</v>
      </c>
      <c r="M38" s="25">
        <f t="shared" si="29"/>
        <v>1060.99</v>
      </c>
      <c r="N38" s="25">
        <f t="shared" si="29"/>
        <v>1060.99</v>
      </c>
      <c r="O38" s="29">
        <v>797197.384</v>
      </c>
      <c r="P38" s="29">
        <v>797197.384</v>
      </c>
      <c r="Q38" s="40">
        <f t="shared" si="24"/>
        <v>100</v>
      </c>
      <c r="R38" s="92" t="s">
        <v>75</v>
      </c>
      <c r="S38" s="26">
        <v>664574.964</v>
      </c>
      <c r="T38" s="29">
        <v>664574.964</v>
      </c>
      <c r="U38" s="73">
        <f>S38-T38</f>
        <v>0</v>
      </c>
      <c r="V38" s="58">
        <f>T38/S38*100</f>
        <v>100</v>
      </c>
      <c r="W38" s="93" t="s">
        <v>76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1:81" s="21" customFormat="1" ht="27.75" customHeight="1">
      <c r="A39" s="13"/>
      <c r="B39" s="14" t="s">
        <v>11</v>
      </c>
      <c r="C39" s="58">
        <v>7368.74</v>
      </c>
      <c r="D39" s="58">
        <v>7368.74</v>
      </c>
      <c r="E39" s="58">
        <v>7368.74</v>
      </c>
      <c r="F39" s="58">
        <v>7368.74</v>
      </c>
      <c r="G39" s="29">
        <v>28</v>
      </c>
      <c r="H39" s="29">
        <v>28</v>
      </c>
      <c r="I39" s="25">
        <v>7368.74</v>
      </c>
      <c r="J39" s="25">
        <v>7368.74</v>
      </c>
      <c r="K39" s="29">
        <f t="shared" si="29"/>
        <v>28</v>
      </c>
      <c r="L39" s="29">
        <f t="shared" si="29"/>
        <v>28</v>
      </c>
      <c r="M39" s="25">
        <f t="shared" si="29"/>
        <v>7368.74</v>
      </c>
      <c r="N39" s="25">
        <f t="shared" si="29"/>
        <v>7368.74</v>
      </c>
      <c r="O39" s="29">
        <v>5491140.706</v>
      </c>
      <c r="P39" s="29">
        <v>5491140.706</v>
      </c>
      <c r="Q39" s="40">
        <f t="shared" si="24"/>
        <v>100</v>
      </c>
      <c r="R39" s="92"/>
      <c r="S39" s="26">
        <v>4385963.086</v>
      </c>
      <c r="T39" s="29">
        <v>4385963.086</v>
      </c>
      <c r="U39" s="73">
        <f>S39-T39</f>
        <v>0</v>
      </c>
      <c r="V39" s="58">
        <f>T39/S39*100</f>
        <v>100</v>
      </c>
      <c r="W39" s="9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0" spans="1:81" s="20" customFormat="1" ht="33.75" customHeight="1">
      <c r="A40" s="5" t="s">
        <v>38</v>
      </c>
      <c r="B40" s="7" t="s">
        <v>125</v>
      </c>
      <c r="C40" s="59" t="e">
        <f aca="true" t="shared" si="30" ref="C40:P40">C41+C42+C43+C44</f>
        <v>#REF!</v>
      </c>
      <c r="D40" s="59" t="e">
        <f t="shared" si="30"/>
        <v>#REF!</v>
      </c>
      <c r="E40" s="59">
        <f t="shared" si="30"/>
        <v>61813.40833333333</v>
      </c>
      <c r="F40" s="59">
        <f t="shared" si="30"/>
        <v>63474.4</v>
      </c>
      <c r="G40" s="76">
        <f t="shared" si="30"/>
        <v>270</v>
      </c>
      <c r="H40" s="76">
        <f t="shared" si="30"/>
        <v>286</v>
      </c>
      <c r="I40" s="59">
        <f t="shared" si="30"/>
        <v>61813.40833333333</v>
      </c>
      <c r="J40" s="59">
        <f t="shared" si="30"/>
        <v>63474.4</v>
      </c>
      <c r="K40" s="76">
        <f t="shared" si="30"/>
        <v>270</v>
      </c>
      <c r="L40" s="76">
        <f t="shared" si="30"/>
        <v>286</v>
      </c>
      <c r="M40" s="59">
        <f t="shared" si="30"/>
        <v>61813.40833333333</v>
      </c>
      <c r="N40" s="59">
        <f t="shared" si="30"/>
        <v>63474.4</v>
      </c>
      <c r="O40" s="76">
        <f t="shared" si="30"/>
        <v>37782484.422</v>
      </c>
      <c r="P40" s="76">
        <f t="shared" si="30"/>
        <v>37782484.422</v>
      </c>
      <c r="Q40" s="76">
        <f t="shared" si="24"/>
        <v>100</v>
      </c>
      <c r="R40" s="10"/>
      <c r="S40" s="76">
        <f>S41+S42+S43+S44</f>
        <v>31543452.37</v>
      </c>
      <c r="T40" s="76">
        <f>T41+T42+T43+T44</f>
        <v>31116241.228</v>
      </c>
      <c r="U40" s="76">
        <f>U41+U42+U43+U44</f>
        <v>427211.142</v>
      </c>
      <c r="V40" s="59">
        <f>T40/S40*100</f>
        <v>98.64564240784782</v>
      </c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</row>
    <row r="41" spans="1:81" s="21" customFormat="1" ht="24" customHeight="1">
      <c r="A41" s="13"/>
      <c r="B41" s="14" t="s">
        <v>10</v>
      </c>
      <c r="C41" s="68" t="e">
        <f>#REF!+#REF!+#REF!+C54+#REF!+#REF!</f>
        <v>#REF!</v>
      </c>
      <c r="D41" s="68" t="e">
        <f>#REF!+#REF!+#REF!+D54+#REF!+#REF!</f>
        <v>#REF!</v>
      </c>
      <c r="E41" s="68">
        <f>E54</f>
        <v>839.12</v>
      </c>
      <c r="F41" s="68">
        <f aca="true" t="shared" si="31" ref="F41:U41">F54</f>
        <v>668.72</v>
      </c>
      <c r="G41" s="73">
        <f t="shared" si="31"/>
        <v>36</v>
      </c>
      <c r="H41" s="73">
        <f t="shared" si="31"/>
        <v>39</v>
      </c>
      <c r="I41" s="68">
        <f t="shared" si="31"/>
        <v>839.12</v>
      </c>
      <c r="J41" s="68">
        <f t="shared" si="31"/>
        <v>668.72</v>
      </c>
      <c r="K41" s="73">
        <f t="shared" si="31"/>
        <v>36</v>
      </c>
      <c r="L41" s="73">
        <f t="shared" si="31"/>
        <v>39</v>
      </c>
      <c r="M41" s="68">
        <f t="shared" si="31"/>
        <v>839.12</v>
      </c>
      <c r="N41" s="68">
        <f t="shared" si="31"/>
        <v>668.72</v>
      </c>
      <c r="O41" s="73">
        <f t="shared" si="31"/>
        <v>576266.703</v>
      </c>
      <c r="P41" s="73">
        <f t="shared" si="31"/>
        <v>576266.703</v>
      </c>
      <c r="Q41" s="40">
        <f t="shared" si="24"/>
        <v>100</v>
      </c>
      <c r="R41" s="64"/>
      <c r="S41" s="73">
        <f t="shared" si="31"/>
        <v>335039.835</v>
      </c>
      <c r="T41" s="73">
        <f t="shared" si="31"/>
        <v>335039.835</v>
      </c>
      <c r="U41" s="73">
        <f t="shared" si="31"/>
        <v>0</v>
      </c>
      <c r="V41" s="58">
        <f aca="true" t="shared" si="32" ref="V41:V47">T41/S41*100</f>
        <v>100</v>
      </c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</row>
    <row r="42" spans="1:81" s="21" customFormat="1" ht="24" customHeight="1">
      <c r="A42" s="13"/>
      <c r="B42" s="14" t="s">
        <v>7</v>
      </c>
      <c r="C42" s="68" t="e">
        <f>C46+C48+#REF!+C55+C58+C61</f>
        <v>#REF!</v>
      </c>
      <c r="D42" s="68" t="e">
        <f>D46+D48+#REF!+D55+D58+D61</f>
        <v>#REF!</v>
      </c>
      <c r="E42" s="68">
        <f>E46+E48+E55+E58+E61</f>
        <v>13456.27333333333</v>
      </c>
      <c r="F42" s="68">
        <f aca="true" t="shared" si="33" ref="F42:U42">F46+F48+F55+F58+F61</f>
        <v>15011.25</v>
      </c>
      <c r="G42" s="73">
        <f t="shared" si="33"/>
        <v>102</v>
      </c>
      <c r="H42" s="73">
        <f t="shared" si="33"/>
        <v>120</v>
      </c>
      <c r="I42" s="68">
        <f t="shared" si="33"/>
        <v>13456.27333333333</v>
      </c>
      <c r="J42" s="68">
        <f t="shared" si="33"/>
        <v>15011.25</v>
      </c>
      <c r="K42" s="73">
        <f t="shared" si="33"/>
        <v>102</v>
      </c>
      <c r="L42" s="73">
        <f t="shared" si="33"/>
        <v>120</v>
      </c>
      <c r="M42" s="68">
        <f t="shared" si="33"/>
        <v>13456.27333333333</v>
      </c>
      <c r="N42" s="68">
        <f t="shared" si="33"/>
        <v>15011.25</v>
      </c>
      <c r="O42" s="73">
        <f t="shared" si="33"/>
        <v>8566666.236</v>
      </c>
      <c r="P42" s="73">
        <f t="shared" si="33"/>
        <v>8566666.236</v>
      </c>
      <c r="Q42" s="40">
        <f t="shared" si="24"/>
        <v>100</v>
      </c>
      <c r="R42" s="64"/>
      <c r="S42" s="73">
        <f t="shared" si="33"/>
        <v>7436121.548</v>
      </c>
      <c r="T42" s="73">
        <f t="shared" si="33"/>
        <v>7374776.406</v>
      </c>
      <c r="U42" s="73">
        <f t="shared" si="33"/>
        <v>61345.14200000001</v>
      </c>
      <c r="V42" s="58">
        <f t="shared" si="32"/>
        <v>99.17503847127809</v>
      </c>
      <c r="W42" s="16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</row>
    <row r="43" spans="1:81" s="21" customFormat="1" ht="23.25" customHeight="1">
      <c r="A43" s="13"/>
      <c r="B43" s="14" t="s">
        <v>11</v>
      </c>
      <c r="C43" s="68" t="e">
        <f>#REF!+C49+C52+C56+C59+#REF!</f>
        <v>#REF!</v>
      </c>
      <c r="D43" s="68" t="e">
        <f>#REF!+D49+D52+D56+D59+#REF!</f>
        <v>#REF!</v>
      </c>
      <c r="E43" s="68">
        <f>E49+E52+E56+E59</f>
        <v>46596.985</v>
      </c>
      <c r="F43" s="68">
        <f aca="true" t="shared" si="34" ref="F43:U43">F49+F52+F56+F59</f>
        <v>47063</v>
      </c>
      <c r="G43" s="73">
        <f t="shared" si="34"/>
        <v>131</v>
      </c>
      <c r="H43" s="73">
        <f t="shared" si="34"/>
        <v>126</v>
      </c>
      <c r="I43" s="68">
        <f t="shared" si="34"/>
        <v>46596.985</v>
      </c>
      <c r="J43" s="68">
        <f t="shared" si="34"/>
        <v>47063</v>
      </c>
      <c r="K43" s="73">
        <f t="shared" si="34"/>
        <v>131</v>
      </c>
      <c r="L43" s="73">
        <f t="shared" si="34"/>
        <v>126</v>
      </c>
      <c r="M43" s="68">
        <f t="shared" si="34"/>
        <v>46596.985</v>
      </c>
      <c r="N43" s="68">
        <f t="shared" si="34"/>
        <v>47063</v>
      </c>
      <c r="O43" s="73">
        <f t="shared" si="34"/>
        <v>28013460.704</v>
      </c>
      <c r="P43" s="73">
        <f t="shared" si="34"/>
        <v>28013460.704</v>
      </c>
      <c r="Q43" s="40">
        <f t="shared" si="24"/>
        <v>100</v>
      </c>
      <c r="R43" s="64"/>
      <c r="S43" s="73">
        <f t="shared" si="34"/>
        <v>23399580.987</v>
      </c>
      <c r="T43" s="73">
        <f t="shared" si="34"/>
        <v>23122976.987</v>
      </c>
      <c r="U43" s="73">
        <f t="shared" si="34"/>
        <v>276604</v>
      </c>
      <c r="V43" s="58">
        <f t="shared" si="32"/>
        <v>98.81791045679975</v>
      </c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</row>
    <row r="44" spans="1:81" s="21" customFormat="1" ht="27" customHeight="1">
      <c r="A44" s="13"/>
      <c r="B44" s="14" t="s">
        <v>0</v>
      </c>
      <c r="C44" s="68" t="e">
        <f>#REF!+C50+#REF!+#REF!+#REF!+#REF!</f>
        <v>#REF!</v>
      </c>
      <c r="D44" s="68" t="e">
        <f>#REF!+D50+#REF!+#REF!+#REF!+#REF!</f>
        <v>#REF!</v>
      </c>
      <c r="E44" s="68">
        <f>E50</f>
        <v>921.03</v>
      </c>
      <c r="F44" s="68">
        <f aca="true" t="shared" si="35" ref="F44:U44">F50</f>
        <v>731.43</v>
      </c>
      <c r="G44" s="73">
        <f t="shared" si="35"/>
        <v>1</v>
      </c>
      <c r="H44" s="73">
        <f t="shared" si="35"/>
        <v>1</v>
      </c>
      <c r="I44" s="68">
        <f t="shared" si="35"/>
        <v>921.03</v>
      </c>
      <c r="J44" s="68">
        <f t="shared" si="35"/>
        <v>731.43</v>
      </c>
      <c r="K44" s="73">
        <f t="shared" si="35"/>
        <v>1</v>
      </c>
      <c r="L44" s="73">
        <f t="shared" si="35"/>
        <v>1</v>
      </c>
      <c r="M44" s="68">
        <f t="shared" si="35"/>
        <v>921.03</v>
      </c>
      <c r="N44" s="68">
        <f t="shared" si="35"/>
        <v>731.43</v>
      </c>
      <c r="O44" s="73">
        <f t="shared" si="35"/>
        <v>626090.779</v>
      </c>
      <c r="P44" s="73">
        <f t="shared" si="35"/>
        <v>626090.779</v>
      </c>
      <c r="Q44" s="40">
        <f t="shared" si="24"/>
        <v>100</v>
      </c>
      <c r="R44" s="64"/>
      <c r="S44" s="73">
        <f t="shared" si="35"/>
        <v>372710</v>
      </c>
      <c r="T44" s="73">
        <f t="shared" si="35"/>
        <v>283448</v>
      </c>
      <c r="U44" s="73">
        <f t="shared" si="35"/>
        <v>89262</v>
      </c>
      <c r="V44" s="58">
        <f t="shared" si="32"/>
        <v>76.0505486839634</v>
      </c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</row>
    <row r="45" spans="1:23" s="12" customFormat="1" ht="25.5">
      <c r="A45" s="5">
        <v>1</v>
      </c>
      <c r="B45" s="7" t="s">
        <v>77</v>
      </c>
      <c r="C45" s="59" t="e">
        <f>#REF!+C46+#REF!+#REF!</f>
        <v>#REF!</v>
      </c>
      <c r="D45" s="59" t="e">
        <f>#REF!+D46+#REF!+#REF!</f>
        <v>#REF!</v>
      </c>
      <c r="E45" s="59">
        <f>E46</f>
        <v>4000</v>
      </c>
      <c r="F45" s="59">
        <f aca="true" t="shared" si="36" ref="F45:U45">F46</f>
        <v>4000</v>
      </c>
      <c r="G45" s="76">
        <f t="shared" si="36"/>
        <v>45</v>
      </c>
      <c r="H45" s="76">
        <f t="shared" si="36"/>
        <v>45</v>
      </c>
      <c r="I45" s="59">
        <f t="shared" si="36"/>
        <v>4000</v>
      </c>
      <c r="J45" s="59">
        <f t="shared" si="36"/>
        <v>4000</v>
      </c>
      <c r="K45" s="76">
        <f t="shared" si="36"/>
        <v>45</v>
      </c>
      <c r="L45" s="76">
        <f t="shared" si="36"/>
        <v>45</v>
      </c>
      <c r="M45" s="59">
        <f t="shared" si="36"/>
        <v>4000</v>
      </c>
      <c r="N45" s="59">
        <f t="shared" si="36"/>
        <v>4000</v>
      </c>
      <c r="O45" s="76">
        <f t="shared" si="36"/>
        <v>2916558</v>
      </c>
      <c r="P45" s="76">
        <f t="shared" si="36"/>
        <v>2916558</v>
      </c>
      <c r="Q45" s="76">
        <f t="shared" si="24"/>
        <v>100</v>
      </c>
      <c r="R45" s="10"/>
      <c r="S45" s="76">
        <f t="shared" si="36"/>
        <v>2154894</v>
      </c>
      <c r="T45" s="76">
        <f t="shared" si="36"/>
        <v>2154894</v>
      </c>
      <c r="U45" s="76">
        <f t="shared" si="36"/>
        <v>0</v>
      </c>
      <c r="V45" s="59">
        <f t="shared" si="32"/>
        <v>100</v>
      </c>
      <c r="W45" s="22"/>
    </row>
    <row r="46" spans="1:81" s="21" customFormat="1" ht="27.75" customHeight="1">
      <c r="A46" s="13"/>
      <c r="B46" s="14" t="s">
        <v>7</v>
      </c>
      <c r="C46" s="58">
        <v>4000</v>
      </c>
      <c r="D46" s="58">
        <v>4000</v>
      </c>
      <c r="E46" s="58">
        <v>4000</v>
      </c>
      <c r="F46" s="58">
        <v>4000</v>
      </c>
      <c r="G46" s="29">
        <v>45</v>
      </c>
      <c r="H46" s="29">
        <v>45</v>
      </c>
      <c r="I46" s="25">
        <v>4000</v>
      </c>
      <c r="J46" s="25">
        <v>4000</v>
      </c>
      <c r="K46" s="29">
        <v>45</v>
      </c>
      <c r="L46" s="29">
        <v>45</v>
      </c>
      <c r="M46" s="25">
        <v>4000</v>
      </c>
      <c r="N46" s="25">
        <v>4000</v>
      </c>
      <c r="O46" s="29">
        <v>2916558</v>
      </c>
      <c r="P46" s="29">
        <v>2916558</v>
      </c>
      <c r="Q46" s="40">
        <f t="shared" si="24"/>
        <v>100</v>
      </c>
      <c r="R46" s="33">
        <v>43964</v>
      </c>
      <c r="S46" s="26">
        <v>2154894</v>
      </c>
      <c r="T46" s="29">
        <v>2154894</v>
      </c>
      <c r="U46" s="73">
        <f>S46-T46</f>
        <v>0</v>
      </c>
      <c r="V46" s="58">
        <f t="shared" si="32"/>
        <v>100</v>
      </c>
      <c r="W46" s="34">
        <v>44264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1:23" s="12" customFormat="1" ht="31.5" customHeight="1">
      <c r="A47" s="5">
        <v>2</v>
      </c>
      <c r="B47" s="7" t="s">
        <v>102</v>
      </c>
      <c r="C47" s="59" t="e">
        <f>#REF!+C48+C49+C50</f>
        <v>#REF!</v>
      </c>
      <c r="D47" s="59" t="e">
        <f>#REF!+D48+D49+D50</f>
        <v>#REF!</v>
      </c>
      <c r="E47" s="59">
        <f>E48+E49+E50</f>
        <v>27124.069999999996</v>
      </c>
      <c r="F47" s="59">
        <f aca="true" t="shared" si="37" ref="F47:U47">F48+F49+F50</f>
        <v>24371.58</v>
      </c>
      <c r="G47" s="76">
        <f t="shared" si="37"/>
        <v>55</v>
      </c>
      <c r="H47" s="76">
        <f t="shared" si="37"/>
        <v>55</v>
      </c>
      <c r="I47" s="59">
        <f t="shared" si="37"/>
        <v>27124.069999999996</v>
      </c>
      <c r="J47" s="59">
        <f t="shared" si="37"/>
        <v>24371.58</v>
      </c>
      <c r="K47" s="76">
        <f t="shared" si="37"/>
        <v>55</v>
      </c>
      <c r="L47" s="76">
        <f t="shared" si="37"/>
        <v>55</v>
      </c>
      <c r="M47" s="59">
        <f t="shared" si="37"/>
        <v>27124.069999999996</v>
      </c>
      <c r="N47" s="59">
        <f t="shared" si="37"/>
        <v>24371.58</v>
      </c>
      <c r="O47" s="76">
        <f t="shared" si="37"/>
        <v>16360765.768999998</v>
      </c>
      <c r="P47" s="76">
        <f t="shared" si="37"/>
        <v>16360765.768999998</v>
      </c>
      <c r="Q47" s="76">
        <f t="shared" si="24"/>
        <v>100</v>
      </c>
      <c r="R47" s="10"/>
      <c r="S47" s="76">
        <f t="shared" si="37"/>
        <v>12652458</v>
      </c>
      <c r="T47" s="76">
        <f t="shared" si="37"/>
        <v>12286592</v>
      </c>
      <c r="U47" s="76">
        <f t="shared" si="37"/>
        <v>365866</v>
      </c>
      <c r="V47" s="59">
        <f t="shared" si="32"/>
        <v>97.1083405295635</v>
      </c>
      <c r="W47" s="22"/>
    </row>
    <row r="48" spans="1:81" s="21" customFormat="1" ht="25.5" customHeight="1">
      <c r="A48" s="13"/>
      <c r="B48" s="14" t="s">
        <v>7</v>
      </c>
      <c r="C48" s="58">
        <v>7715.28</v>
      </c>
      <c r="D48" s="58">
        <v>6910.25</v>
      </c>
      <c r="E48" s="58">
        <f>C48</f>
        <v>7715.28</v>
      </c>
      <c r="F48" s="58">
        <v>6910.25</v>
      </c>
      <c r="G48" s="29">
        <v>20</v>
      </c>
      <c r="H48" s="29">
        <v>20</v>
      </c>
      <c r="I48" s="25">
        <f aca="true" t="shared" si="38" ref="I48:N50">E48</f>
        <v>7715.28</v>
      </c>
      <c r="J48" s="25">
        <f t="shared" si="38"/>
        <v>6910.25</v>
      </c>
      <c r="K48" s="29">
        <f t="shared" si="38"/>
        <v>20</v>
      </c>
      <c r="L48" s="29">
        <f t="shared" si="38"/>
        <v>20</v>
      </c>
      <c r="M48" s="25">
        <f t="shared" si="38"/>
        <v>7715.28</v>
      </c>
      <c r="N48" s="25">
        <f t="shared" si="38"/>
        <v>6910.25</v>
      </c>
      <c r="O48" s="29">
        <v>4747145.959</v>
      </c>
      <c r="P48" s="29">
        <v>4747145.959</v>
      </c>
      <c r="Q48" s="40">
        <f t="shared" si="24"/>
        <v>100</v>
      </c>
      <c r="R48" s="91" t="s">
        <v>115</v>
      </c>
      <c r="S48" s="26">
        <v>3693752</v>
      </c>
      <c r="T48" s="29">
        <f>S48</f>
        <v>3693752</v>
      </c>
      <c r="U48" s="73">
        <f>S48-T48</f>
        <v>0</v>
      </c>
      <c r="V48" s="26">
        <f>T48/S48*100</f>
        <v>100</v>
      </c>
      <c r="W48" s="91" t="s">
        <v>116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1:81" s="21" customFormat="1" ht="22.5" customHeight="1">
      <c r="A49" s="13"/>
      <c r="B49" s="14" t="s">
        <v>11</v>
      </c>
      <c r="C49" s="58">
        <v>18487.76</v>
      </c>
      <c r="D49" s="58">
        <v>16729.9</v>
      </c>
      <c r="E49" s="58">
        <f>C49</f>
        <v>18487.76</v>
      </c>
      <c r="F49" s="58">
        <v>16729.9</v>
      </c>
      <c r="G49" s="29">
        <v>34</v>
      </c>
      <c r="H49" s="29">
        <v>34</v>
      </c>
      <c r="I49" s="25">
        <f t="shared" si="38"/>
        <v>18487.76</v>
      </c>
      <c r="J49" s="25">
        <f t="shared" si="38"/>
        <v>16729.9</v>
      </c>
      <c r="K49" s="29">
        <f t="shared" si="38"/>
        <v>34</v>
      </c>
      <c r="L49" s="29">
        <f t="shared" si="38"/>
        <v>34</v>
      </c>
      <c r="M49" s="25">
        <f t="shared" si="38"/>
        <v>18487.76</v>
      </c>
      <c r="N49" s="25">
        <f t="shared" si="38"/>
        <v>16729.9</v>
      </c>
      <c r="O49" s="29">
        <v>10987529.031</v>
      </c>
      <c r="P49" s="29">
        <v>10987529.031</v>
      </c>
      <c r="Q49" s="40">
        <f t="shared" si="24"/>
        <v>100</v>
      </c>
      <c r="R49" s="94"/>
      <c r="S49" s="26">
        <v>8585996</v>
      </c>
      <c r="T49" s="29">
        <v>8309392</v>
      </c>
      <c r="U49" s="73">
        <f>S49-T49</f>
        <v>276604</v>
      </c>
      <c r="V49" s="62">
        <f aca="true" t="shared" si="39" ref="V49:V112">T49/S49*100</f>
        <v>96.77842850148079</v>
      </c>
      <c r="W49" s="94" t="s">
        <v>116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spans="1:81" s="21" customFormat="1" ht="24" customHeight="1">
      <c r="A50" s="13"/>
      <c r="B50" s="14" t="s">
        <v>0</v>
      </c>
      <c r="C50" s="58">
        <v>921.03</v>
      </c>
      <c r="D50" s="58">
        <v>731.43</v>
      </c>
      <c r="E50" s="58">
        <f>C50</f>
        <v>921.03</v>
      </c>
      <c r="F50" s="58">
        <v>731.43</v>
      </c>
      <c r="G50" s="23">
        <v>1</v>
      </c>
      <c r="H50" s="23">
        <v>1</v>
      </c>
      <c r="I50" s="25">
        <f t="shared" si="38"/>
        <v>921.03</v>
      </c>
      <c r="J50" s="25">
        <f t="shared" si="38"/>
        <v>731.43</v>
      </c>
      <c r="K50" s="29">
        <f t="shared" si="38"/>
        <v>1</v>
      </c>
      <c r="L50" s="29">
        <f t="shared" si="38"/>
        <v>1</v>
      </c>
      <c r="M50" s="25">
        <f t="shared" si="38"/>
        <v>921.03</v>
      </c>
      <c r="N50" s="25">
        <f t="shared" si="38"/>
        <v>731.43</v>
      </c>
      <c r="O50" s="29">
        <v>626090.779</v>
      </c>
      <c r="P50" s="29">
        <v>626090.779</v>
      </c>
      <c r="Q50" s="40">
        <f t="shared" si="24"/>
        <v>100</v>
      </c>
      <c r="R50" s="94"/>
      <c r="S50" s="26">
        <v>372710</v>
      </c>
      <c r="T50" s="29">
        <v>283448</v>
      </c>
      <c r="U50" s="73">
        <f>S50-T50</f>
        <v>89262</v>
      </c>
      <c r="V50" s="62">
        <f t="shared" si="39"/>
        <v>76.0505486839634</v>
      </c>
      <c r="W50" s="94" t="s">
        <v>116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1:23" s="12" customFormat="1" ht="30.75" customHeight="1">
      <c r="A51" s="5">
        <v>3</v>
      </c>
      <c r="B51" s="7" t="s">
        <v>93</v>
      </c>
      <c r="C51" s="59" t="e">
        <f>#REF!+#REF!+C52+#REF!</f>
        <v>#REF!</v>
      </c>
      <c r="D51" s="59" t="e">
        <f>#REF!+#REF!+D52+#REF!</f>
        <v>#REF!</v>
      </c>
      <c r="E51" s="59">
        <f>E52</f>
        <v>14345.14</v>
      </c>
      <c r="F51" s="59">
        <f aca="true" t="shared" si="40" ref="F51:U51">F52</f>
        <v>14293.67</v>
      </c>
      <c r="G51" s="76">
        <f t="shared" si="40"/>
        <v>16</v>
      </c>
      <c r="H51" s="76">
        <f t="shared" si="40"/>
        <v>16</v>
      </c>
      <c r="I51" s="59">
        <f t="shared" si="40"/>
        <v>14345.14</v>
      </c>
      <c r="J51" s="59">
        <f t="shared" si="40"/>
        <v>14293.67</v>
      </c>
      <c r="K51" s="76">
        <f t="shared" si="40"/>
        <v>16</v>
      </c>
      <c r="L51" s="76">
        <f t="shared" si="40"/>
        <v>16</v>
      </c>
      <c r="M51" s="59">
        <f t="shared" si="40"/>
        <v>14345.14</v>
      </c>
      <c r="N51" s="59">
        <f t="shared" si="40"/>
        <v>14293.67</v>
      </c>
      <c r="O51" s="76">
        <f t="shared" si="40"/>
        <v>7868812</v>
      </c>
      <c r="P51" s="76">
        <f t="shared" si="40"/>
        <v>7868812</v>
      </c>
      <c r="Q51" s="76">
        <f t="shared" si="24"/>
        <v>100</v>
      </c>
      <c r="R51" s="10"/>
      <c r="S51" s="76">
        <f t="shared" si="40"/>
        <v>6706972</v>
      </c>
      <c r="T51" s="76">
        <f t="shared" si="40"/>
        <v>6706972</v>
      </c>
      <c r="U51" s="76">
        <f t="shared" si="40"/>
        <v>0</v>
      </c>
      <c r="V51" s="26">
        <f t="shared" si="39"/>
        <v>100</v>
      </c>
      <c r="W51" s="22"/>
    </row>
    <row r="52" spans="1:81" s="21" customFormat="1" ht="25.5">
      <c r="A52" s="13"/>
      <c r="B52" s="14" t="s">
        <v>11</v>
      </c>
      <c r="C52" s="58">
        <v>14345.14</v>
      </c>
      <c r="D52" s="58">
        <v>14345.14</v>
      </c>
      <c r="E52" s="58">
        <v>14345.14</v>
      </c>
      <c r="F52" s="58">
        <v>14293.67</v>
      </c>
      <c r="G52" s="29">
        <v>16</v>
      </c>
      <c r="H52" s="29">
        <v>16</v>
      </c>
      <c r="I52" s="25">
        <f aca="true" t="shared" si="41" ref="I52:N52">E52</f>
        <v>14345.14</v>
      </c>
      <c r="J52" s="25">
        <f t="shared" si="41"/>
        <v>14293.67</v>
      </c>
      <c r="K52" s="29">
        <f t="shared" si="41"/>
        <v>16</v>
      </c>
      <c r="L52" s="29">
        <f t="shared" si="41"/>
        <v>16</v>
      </c>
      <c r="M52" s="25">
        <f t="shared" si="41"/>
        <v>14345.14</v>
      </c>
      <c r="N52" s="25">
        <f t="shared" si="41"/>
        <v>14293.67</v>
      </c>
      <c r="O52" s="29">
        <v>7868812</v>
      </c>
      <c r="P52" s="29">
        <v>7868812</v>
      </c>
      <c r="Q52" s="40">
        <f t="shared" si="24"/>
        <v>100</v>
      </c>
      <c r="R52" s="38" t="s">
        <v>129</v>
      </c>
      <c r="S52" s="26">
        <v>6706972</v>
      </c>
      <c r="T52" s="29">
        <v>6706972</v>
      </c>
      <c r="U52" s="73">
        <f>S52-T52</f>
        <v>0</v>
      </c>
      <c r="V52" s="26">
        <f t="shared" si="39"/>
        <v>100</v>
      </c>
      <c r="W52" s="38" t="s">
        <v>94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23" s="12" customFormat="1" ht="36" customHeight="1">
      <c r="A53" s="5">
        <v>4</v>
      </c>
      <c r="B53" s="7" t="s">
        <v>78</v>
      </c>
      <c r="C53" s="59" t="e">
        <f>C54+C55+C56+#REF!</f>
        <v>#REF!</v>
      </c>
      <c r="D53" s="59" t="e">
        <f>D54+D55+D56+#REF!</f>
        <v>#REF!</v>
      </c>
      <c r="E53" s="59">
        <f>E54+E55+E56</f>
        <v>6013.98</v>
      </c>
      <c r="F53" s="59">
        <f aca="true" t="shared" si="42" ref="F53:U53">F54+F55+F56</f>
        <v>9889.220000000001</v>
      </c>
      <c r="G53" s="76">
        <f t="shared" si="42"/>
        <v>82</v>
      </c>
      <c r="H53" s="76">
        <f t="shared" si="42"/>
        <v>94</v>
      </c>
      <c r="I53" s="59">
        <f t="shared" si="42"/>
        <v>6013.98</v>
      </c>
      <c r="J53" s="59">
        <f t="shared" si="42"/>
        <v>9889.220000000001</v>
      </c>
      <c r="K53" s="76">
        <f t="shared" si="42"/>
        <v>82</v>
      </c>
      <c r="L53" s="76">
        <f t="shared" si="42"/>
        <v>94</v>
      </c>
      <c r="M53" s="59">
        <f t="shared" si="42"/>
        <v>6013.98</v>
      </c>
      <c r="N53" s="59">
        <f t="shared" si="42"/>
        <v>9889.220000000001</v>
      </c>
      <c r="O53" s="76">
        <f t="shared" si="42"/>
        <v>3397056.8770000003</v>
      </c>
      <c r="P53" s="76">
        <f t="shared" si="42"/>
        <v>3397056.8770000003</v>
      </c>
      <c r="Q53" s="76">
        <f t="shared" si="24"/>
        <v>100</v>
      </c>
      <c r="R53" s="10"/>
      <c r="S53" s="76">
        <f t="shared" si="42"/>
        <v>4121584.12</v>
      </c>
      <c r="T53" s="76">
        <f t="shared" si="42"/>
        <v>4121584.12</v>
      </c>
      <c r="U53" s="76">
        <f t="shared" si="42"/>
        <v>0</v>
      </c>
      <c r="V53" s="26">
        <f t="shared" si="39"/>
        <v>100</v>
      </c>
      <c r="W53" s="22"/>
    </row>
    <row r="54" spans="1:81" s="21" customFormat="1" ht="28.5" customHeight="1">
      <c r="A54" s="13"/>
      <c r="B54" s="14" t="s">
        <v>10</v>
      </c>
      <c r="C54" s="58">
        <v>839.12</v>
      </c>
      <c r="D54" s="58">
        <v>668.72</v>
      </c>
      <c r="E54" s="58">
        <v>839.12</v>
      </c>
      <c r="F54" s="58">
        <v>668.72</v>
      </c>
      <c r="G54" s="29">
        <v>36</v>
      </c>
      <c r="H54" s="29">
        <v>39</v>
      </c>
      <c r="I54" s="25">
        <v>839.12</v>
      </c>
      <c r="J54" s="25">
        <v>668.72</v>
      </c>
      <c r="K54" s="29">
        <v>36</v>
      </c>
      <c r="L54" s="29">
        <v>39</v>
      </c>
      <c r="M54" s="25">
        <v>839.12</v>
      </c>
      <c r="N54" s="25">
        <v>668.72</v>
      </c>
      <c r="O54" s="29">
        <v>576266.703</v>
      </c>
      <c r="P54" s="29">
        <v>576266.703</v>
      </c>
      <c r="Q54" s="40">
        <f t="shared" si="24"/>
        <v>100</v>
      </c>
      <c r="R54" s="95" t="s">
        <v>115</v>
      </c>
      <c r="S54" s="26">
        <v>335039.835</v>
      </c>
      <c r="T54" s="29">
        <v>335039.835</v>
      </c>
      <c r="U54" s="73">
        <f>S54-T54</f>
        <v>0</v>
      </c>
      <c r="V54" s="26">
        <f t="shared" si="39"/>
        <v>100</v>
      </c>
      <c r="W54" s="95" t="s">
        <v>116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1:81" s="21" customFormat="1" ht="24" customHeight="1">
      <c r="A55" s="13"/>
      <c r="B55" s="14" t="s">
        <v>7</v>
      </c>
      <c r="C55" s="58">
        <v>563.56</v>
      </c>
      <c r="D55" s="58">
        <v>2356.7</v>
      </c>
      <c r="E55" s="58">
        <v>563.56</v>
      </c>
      <c r="F55" s="58">
        <v>2356.7</v>
      </c>
      <c r="G55" s="29">
        <v>8</v>
      </c>
      <c r="H55" s="29">
        <v>19</v>
      </c>
      <c r="I55" s="25">
        <v>563.56</v>
      </c>
      <c r="J55" s="25">
        <v>2356.7</v>
      </c>
      <c r="K55" s="29">
        <v>8</v>
      </c>
      <c r="L55" s="29">
        <v>19</v>
      </c>
      <c r="M55" s="25">
        <v>563.56</v>
      </c>
      <c r="N55" s="25">
        <v>2356.7</v>
      </c>
      <c r="O55" s="29">
        <v>341542.437</v>
      </c>
      <c r="P55" s="29">
        <v>341542.437</v>
      </c>
      <c r="Q55" s="40">
        <f t="shared" si="24"/>
        <v>100</v>
      </c>
      <c r="R55" s="94"/>
      <c r="S55" s="26">
        <v>1047674.848</v>
      </c>
      <c r="T55" s="29">
        <v>1047674.848</v>
      </c>
      <c r="U55" s="73">
        <f>S55-T55</f>
        <v>0</v>
      </c>
      <c r="V55" s="26">
        <f t="shared" si="39"/>
        <v>100</v>
      </c>
      <c r="W55" s="94" t="s">
        <v>116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s="21" customFormat="1" ht="26.25" customHeight="1">
      <c r="A56" s="13"/>
      <c r="B56" s="14" t="s">
        <v>11</v>
      </c>
      <c r="C56" s="58">
        <v>4611.3</v>
      </c>
      <c r="D56" s="58">
        <v>6863.8</v>
      </c>
      <c r="E56" s="58">
        <v>4611.3</v>
      </c>
      <c r="F56" s="58">
        <v>6863.8</v>
      </c>
      <c r="G56" s="29">
        <v>38</v>
      </c>
      <c r="H56" s="29">
        <v>36</v>
      </c>
      <c r="I56" s="25">
        <v>4611.3</v>
      </c>
      <c r="J56" s="25">
        <v>6863.8</v>
      </c>
      <c r="K56" s="29">
        <v>38</v>
      </c>
      <c r="L56" s="29">
        <v>36</v>
      </c>
      <c r="M56" s="25">
        <v>4611.3</v>
      </c>
      <c r="N56" s="25">
        <v>6863.8</v>
      </c>
      <c r="O56" s="29">
        <v>2479247.737</v>
      </c>
      <c r="P56" s="29">
        <v>2479247.737</v>
      </c>
      <c r="Q56" s="40">
        <f t="shared" si="24"/>
        <v>100</v>
      </c>
      <c r="R56" s="94"/>
      <c r="S56" s="26">
        <v>2738869.437</v>
      </c>
      <c r="T56" s="29">
        <v>2738869.437</v>
      </c>
      <c r="U56" s="73">
        <f>S56-T56</f>
        <v>0</v>
      </c>
      <c r="V56" s="26">
        <f t="shared" si="39"/>
        <v>100</v>
      </c>
      <c r="W56" s="94" t="s">
        <v>116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23" s="12" customFormat="1" ht="33" customHeight="1">
      <c r="A57" s="5">
        <v>5</v>
      </c>
      <c r="B57" s="7" t="s">
        <v>82</v>
      </c>
      <c r="C57" s="59" t="e">
        <f>#REF!+C58+C59+#REF!</f>
        <v>#REF!</v>
      </c>
      <c r="D57" s="59" t="e">
        <f>#REF!+D58+D59+#REF!</f>
        <v>#REF!</v>
      </c>
      <c r="E57" s="59">
        <f>E58+E59</f>
        <v>9451.218333333334</v>
      </c>
      <c r="F57" s="59">
        <f aca="true" t="shared" si="43" ref="F57:U57">F58+F59</f>
        <v>10129.119999999999</v>
      </c>
      <c r="G57" s="76">
        <f t="shared" si="43"/>
        <v>69</v>
      </c>
      <c r="H57" s="76">
        <f t="shared" si="43"/>
        <v>73</v>
      </c>
      <c r="I57" s="59">
        <f t="shared" si="43"/>
        <v>9451.218333333334</v>
      </c>
      <c r="J57" s="59">
        <f t="shared" si="43"/>
        <v>10129.119999999999</v>
      </c>
      <c r="K57" s="76">
        <f t="shared" si="43"/>
        <v>69</v>
      </c>
      <c r="L57" s="76">
        <f t="shared" si="43"/>
        <v>73</v>
      </c>
      <c r="M57" s="59">
        <f t="shared" si="43"/>
        <v>9451.218333333334</v>
      </c>
      <c r="N57" s="59">
        <f t="shared" si="43"/>
        <v>10129.119999999999</v>
      </c>
      <c r="O57" s="76">
        <f t="shared" si="43"/>
        <v>6877028.416</v>
      </c>
      <c r="P57" s="76">
        <f t="shared" si="43"/>
        <v>6877028.416</v>
      </c>
      <c r="Q57" s="76">
        <f t="shared" si="24"/>
        <v>100</v>
      </c>
      <c r="R57" s="10"/>
      <c r="S57" s="76">
        <f t="shared" si="43"/>
        <v>5737520.1</v>
      </c>
      <c r="T57" s="76">
        <f t="shared" si="43"/>
        <v>5737520.1</v>
      </c>
      <c r="U57" s="76">
        <f t="shared" si="43"/>
        <v>0</v>
      </c>
      <c r="V57" s="26">
        <f t="shared" si="39"/>
        <v>100</v>
      </c>
      <c r="W57" s="22"/>
    </row>
    <row r="58" spans="1:81" s="21" customFormat="1" ht="24" customHeight="1">
      <c r="A58" s="13"/>
      <c r="B58" s="14" t="s">
        <v>7</v>
      </c>
      <c r="C58" s="58">
        <v>298.43333333333334</v>
      </c>
      <c r="D58" s="58">
        <v>958.79</v>
      </c>
      <c r="E58" s="58">
        <v>298.43333333333334</v>
      </c>
      <c r="F58" s="58">
        <v>953.49</v>
      </c>
      <c r="G58" s="29">
        <v>26</v>
      </c>
      <c r="H58" s="29">
        <v>33</v>
      </c>
      <c r="I58" s="25">
        <v>298.43333333333334</v>
      </c>
      <c r="J58" s="25">
        <v>953.49</v>
      </c>
      <c r="K58" s="29">
        <v>26</v>
      </c>
      <c r="L58" s="29">
        <v>33</v>
      </c>
      <c r="M58" s="25">
        <v>298.43333333333334</v>
      </c>
      <c r="N58" s="25">
        <v>953.49</v>
      </c>
      <c r="O58" s="29">
        <v>199156.48</v>
      </c>
      <c r="P58" s="29">
        <v>199156.48</v>
      </c>
      <c r="Q58" s="40">
        <f t="shared" si="24"/>
        <v>100</v>
      </c>
      <c r="R58" s="96" t="s">
        <v>83</v>
      </c>
      <c r="S58" s="26">
        <v>369776.55</v>
      </c>
      <c r="T58" s="29">
        <v>369776.55</v>
      </c>
      <c r="U58" s="73">
        <f>S58-T58</f>
        <v>0</v>
      </c>
      <c r="V58" s="26">
        <f t="shared" si="39"/>
        <v>100</v>
      </c>
      <c r="W58" s="96" t="s">
        <v>84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s="21" customFormat="1" ht="27" customHeight="1">
      <c r="A59" s="13"/>
      <c r="B59" s="14" t="s">
        <v>11</v>
      </c>
      <c r="C59" s="58">
        <v>9160.405</v>
      </c>
      <c r="D59" s="58">
        <v>9183.74</v>
      </c>
      <c r="E59" s="58">
        <v>9152.785000000002</v>
      </c>
      <c r="F59" s="58">
        <v>9175.63</v>
      </c>
      <c r="G59" s="29">
        <v>43</v>
      </c>
      <c r="H59" s="29">
        <v>40</v>
      </c>
      <c r="I59" s="25">
        <v>9152.785000000002</v>
      </c>
      <c r="J59" s="25">
        <v>9175.63</v>
      </c>
      <c r="K59" s="29">
        <v>43</v>
      </c>
      <c r="L59" s="29">
        <v>40</v>
      </c>
      <c r="M59" s="25">
        <v>9152.785000000002</v>
      </c>
      <c r="N59" s="25">
        <v>9175.63</v>
      </c>
      <c r="O59" s="29">
        <v>6677871.936</v>
      </c>
      <c r="P59" s="29">
        <v>6677871.936</v>
      </c>
      <c r="Q59" s="40">
        <f t="shared" si="24"/>
        <v>100</v>
      </c>
      <c r="R59" s="94"/>
      <c r="S59" s="26">
        <v>5367743.55</v>
      </c>
      <c r="T59" s="29">
        <v>5367743.55</v>
      </c>
      <c r="U59" s="73">
        <f>S59-T59</f>
        <v>0</v>
      </c>
      <c r="V59" s="26">
        <f t="shared" si="39"/>
        <v>100</v>
      </c>
      <c r="W59" s="94" t="s">
        <v>84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:23" s="12" customFormat="1" ht="36.75" customHeight="1">
      <c r="A60" s="5">
        <v>6</v>
      </c>
      <c r="B60" s="7" t="s">
        <v>103</v>
      </c>
      <c r="C60" s="59" t="e">
        <f>#REF!+C61+#REF!+#REF!</f>
        <v>#REF!</v>
      </c>
      <c r="D60" s="59" t="e">
        <f>#REF!+D61+#REF!+#REF!</f>
        <v>#REF!</v>
      </c>
      <c r="E60" s="59">
        <f>E61</f>
        <v>879</v>
      </c>
      <c r="F60" s="59">
        <f aca="true" t="shared" si="44" ref="F60:U60">F61</f>
        <v>790.81</v>
      </c>
      <c r="G60" s="76">
        <f t="shared" si="44"/>
        <v>3</v>
      </c>
      <c r="H60" s="76">
        <f t="shared" si="44"/>
        <v>3</v>
      </c>
      <c r="I60" s="59">
        <f t="shared" si="44"/>
        <v>879</v>
      </c>
      <c r="J60" s="59">
        <f t="shared" si="44"/>
        <v>790.81</v>
      </c>
      <c r="K60" s="76">
        <f t="shared" si="44"/>
        <v>3</v>
      </c>
      <c r="L60" s="76">
        <f t="shared" si="44"/>
        <v>3</v>
      </c>
      <c r="M60" s="59">
        <f t="shared" si="44"/>
        <v>879</v>
      </c>
      <c r="N60" s="59">
        <f t="shared" si="44"/>
        <v>790.81</v>
      </c>
      <c r="O60" s="76">
        <f t="shared" si="44"/>
        <v>362263.36</v>
      </c>
      <c r="P60" s="76">
        <f t="shared" si="44"/>
        <v>362263.36</v>
      </c>
      <c r="Q60" s="76">
        <f t="shared" si="24"/>
        <v>100</v>
      </c>
      <c r="R60" s="10"/>
      <c r="S60" s="76">
        <f t="shared" si="44"/>
        <v>170024.15</v>
      </c>
      <c r="T60" s="76">
        <f t="shared" si="44"/>
        <v>108679.00799999999</v>
      </c>
      <c r="U60" s="76">
        <f t="shared" si="44"/>
        <v>61345.14200000001</v>
      </c>
      <c r="V60" s="26">
        <f t="shared" si="39"/>
        <v>63.91974787111124</v>
      </c>
      <c r="W60" s="22"/>
    </row>
    <row r="61" spans="1:81" s="21" customFormat="1" ht="25.5" customHeight="1">
      <c r="A61" s="13"/>
      <c r="B61" s="14" t="s">
        <v>7</v>
      </c>
      <c r="C61" s="58">
        <v>879</v>
      </c>
      <c r="D61" s="58">
        <v>790.81</v>
      </c>
      <c r="E61" s="58">
        <f>C61</f>
        <v>879</v>
      </c>
      <c r="F61" s="58">
        <f>D61</f>
        <v>790.81</v>
      </c>
      <c r="G61" s="29">
        <v>3</v>
      </c>
      <c r="H61" s="29">
        <v>3</v>
      </c>
      <c r="I61" s="25">
        <f aca="true" t="shared" si="45" ref="I61:N61">E61</f>
        <v>879</v>
      </c>
      <c r="J61" s="25">
        <f t="shared" si="45"/>
        <v>790.81</v>
      </c>
      <c r="K61" s="29">
        <f t="shared" si="45"/>
        <v>3</v>
      </c>
      <c r="L61" s="29">
        <f t="shared" si="45"/>
        <v>3</v>
      </c>
      <c r="M61" s="25">
        <f t="shared" si="45"/>
        <v>879</v>
      </c>
      <c r="N61" s="25">
        <f t="shared" si="45"/>
        <v>790.81</v>
      </c>
      <c r="O61" s="29">
        <v>362263.36</v>
      </c>
      <c r="P61" s="29">
        <v>362263.36</v>
      </c>
      <c r="Q61" s="40">
        <f t="shared" si="24"/>
        <v>100</v>
      </c>
      <c r="R61" s="39" t="s">
        <v>127</v>
      </c>
      <c r="S61" s="26">
        <v>170024.15</v>
      </c>
      <c r="T61" s="29">
        <v>108679.00799999999</v>
      </c>
      <c r="U61" s="73">
        <f>S61-T61</f>
        <v>61345.14200000001</v>
      </c>
      <c r="V61" s="62">
        <f t="shared" si="39"/>
        <v>63.91974787111124</v>
      </c>
      <c r="W61" s="28" t="s">
        <v>128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1:81" s="20" customFormat="1" ht="33" customHeight="1">
      <c r="A62" s="5" t="s">
        <v>39</v>
      </c>
      <c r="B62" s="7" t="s">
        <v>126</v>
      </c>
      <c r="C62" s="59" t="e">
        <f>#REF!+#REF!+C63+#REF!</f>
        <v>#REF!</v>
      </c>
      <c r="D62" s="59" t="e">
        <f>#REF!+#REF!+D63+#REF!</f>
        <v>#REF!</v>
      </c>
      <c r="E62" s="59">
        <f>E64+E66</f>
        <v>3171.0299999999997</v>
      </c>
      <c r="F62" s="59">
        <f aca="true" t="shared" si="46" ref="F62:U62">F64+F66</f>
        <v>3166.37</v>
      </c>
      <c r="G62" s="76">
        <f t="shared" si="46"/>
        <v>17</v>
      </c>
      <c r="H62" s="76">
        <f t="shared" si="46"/>
        <v>17</v>
      </c>
      <c r="I62" s="59">
        <f t="shared" si="46"/>
        <v>3171.0299999999997</v>
      </c>
      <c r="J62" s="59">
        <f t="shared" si="46"/>
        <v>3166.37</v>
      </c>
      <c r="K62" s="76">
        <f t="shared" si="46"/>
        <v>17</v>
      </c>
      <c r="L62" s="76">
        <f t="shared" si="46"/>
        <v>17</v>
      </c>
      <c r="M62" s="59">
        <f t="shared" si="46"/>
        <v>3171.0299999999997</v>
      </c>
      <c r="N62" s="59">
        <f t="shared" si="46"/>
        <v>3166.37</v>
      </c>
      <c r="O62" s="76">
        <f t="shared" si="46"/>
        <v>2450183.3910000003</v>
      </c>
      <c r="P62" s="76">
        <f t="shared" si="46"/>
        <v>2479927.923</v>
      </c>
      <c r="Q62" s="76">
        <f t="shared" si="24"/>
        <v>101.2139716606217</v>
      </c>
      <c r="R62" s="10"/>
      <c r="S62" s="76">
        <f t="shared" si="46"/>
        <v>2187062.616726755</v>
      </c>
      <c r="T62" s="76">
        <f t="shared" si="46"/>
        <v>2157338.8247267553</v>
      </c>
      <c r="U62" s="76">
        <f t="shared" si="46"/>
        <v>29723.792000000132</v>
      </c>
      <c r="V62" s="63">
        <f t="shared" si="39"/>
        <v>98.64092633778883</v>
      </c>
      <c r="W62" s="18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</row>
    <row r="63" spans="1:81" s="21" customFormat="1" ht="30.75" customHeight="1">
      <c r="A63" s="13"/>
      <c r="B63" s="14" t="s">
        <v>11</v>
      </c>
      <c r="C63" s="68">
        <f>C65+C67</f>
        <v>3171.0299999999997</v>
      </c>
      <c r="D63" s="68">
        <f>D65+D67</f>
        <v>3166.37</v>
      </c>
      <c r="E63" s="68">
        <f>E65+E67</f>
        <v>3171.0299999999997</v>
      </c>
      <c r="F63" s="68">
        <f aca="true" t="shared" si="47" ref="F63:P63">F65+F67</f>
        <v>3166.37</v>
      </c>
      <c r="G63" s="73">
        <f t="shared" si="47"/>
        <v>17</v>
      </c>
      <c r="H63" s="73">
        <f t="shared" si="47"/>
        <v>17</v>
      </c>
      <c r="I63" s="68">
        <f t="shared" si="47"/>
        <v>3171.0299999999997</v>
      </c>
      <c r="J63" s="68">
        <f t="shared" si="47"/>
        <v>3166.37</v>
      </c>
      <c r="K63" s="73">
        <f t="shared" si="47"/>
        <v>17</v>
      </c>
      <c r="L63" s="73">
        <f t="shared" si="47"/>
        <v>17</v>
      </c>
      <c r="M63" s="68">
        <f t="shared" si="47"/>
        <v>3171.0299999999997</v>
      </c>
      <c r="N63" s="68">
        <f t="shared" si="47"/>
        <v>3166.37</v>
      </c>
      <c r="O63" s="73">
        <f t="shared" si="47"/>
        <v>2450183.3910000003</v>
      </c>
      <c r="P63" s="73">
        <f t="shared" si="47"/>
        <v>2479927.923</v>
      </c>
      <c r="Q63" s="40">
        <f t="shared" si="24"/>
        <v>101.2139716606217</v>
      </c>
      <c r="R63" s="15"/>
      <c r="S63" s="73">
        <f>S65+S67</f>
        <v>2187062.616726755</v>
      </c>
      <c r="T63" s="73">
        <f>T65+T67</f>
        <v>2157338.8247267553</v>
      </c>
      <c r="U63" s="73">
        <f>S63-T63</f>
        <v>29723.7919999999</v>
      </c>
      <c r="V63" s="62">
        <f t="shared" si="39"/>
        <v>98.64092633778883</v>
      </c>
      <c r="W63" s="16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</row>
    <row r="64" spans="1:23" s="12" customFormat="1" ht="40.5" customHeight="1">
      <c r="A64" s="5">
        <v>1</v>
      </c>
      <c r="B64" s="7" t="s">
        <v>21</v>
      </c>
      <c r="C64" s="59" t="e">
        <f>#REF!+#REF!+C65+#REF!</f>
        <v>#REF!</v>
      </c>
      <c r="D64" s="59" t="e">
        <f>#REF!+#REF!+D65+#REF!</f>
        <v>#REF!</v>
      </c>
      <c r="E64" s="59">
        <f>E65</f>
        <v>2408.45</v>
      </c>
      <c r="F64" s="59">
        <f aca="true" t="shared" si="48" ref="F64:U64">F65</f>
        <v>2408.45</v>
      </c>
      <c r="G64" s="76">
        <f t="shared" si="48"/>
        <v>12</v>
      </c>
      <c r="H64" s="76">
        <f t="shared" si="48"/>
        <v>12</v>
      </c>
      <c r="I64" s="59">
        <f t="shared" si="48"/>
        <v>2408.45</v>
      </c>
      <c r="J64" s="59">
        <f t="shared" si="48"/>
        <v>2408.45</v>
      </c>
      <c r="K64" s="76">
        <f t="shared" si="48"/>
        <v>12</v>
      </c>
      <c r="L64" s="76">
        <f t="shared" si="48"/>
        <v>12</v>
      </c>
      <c r="M64" s="59">
        <f t="shared" si="48"/>
        <v>2408.45</v>
      </c>
      <c r="N64" s="59">
        <f t="shared" si="48"/>
        <v>2408.45</v>
      </c>
      <c r="O64" s="76">
        <f t="shared" si="48"/>
        <v>1972755.468</v>
      </c>
      <c r="P64" s="76">
        <f t="shared" si="48"/>
        <v>2002500</v>
      </c>
      <c r="Q64" s="76">
        <f t="shared" si="24"/>
        <v>101.50776578661092</v>
      </c>
      <c r="R64" s="10"/>
      <c r="S64" s="76">
        <f t="shared" si="48"/>
        <v>1735790.594</v>
      </c>
      <c r="T64" s="76">
        <f t="shared" si="48"/>
        <v>1706066.802</v>
      </c>
      <c r="U64" s="76">
        <f t="shared" si="48"/>
        <v>29723.792000000132</v>
      </c>
      <c r="V64" s="63">
        <f t="shared" si="39"/>
        <v>98.28759343997227</v>
      </c>
      <c r="W64" s="22"/>
    </row>
    <row r="65" spans="1:81" s="21" customFormat="1" ht="45">
      <c r="A65" s="13"/>
      <c r="B65" s="14" t="s">
        <v>11</v>
      </c>
      <c r="C65" s="58">
        <v>2408.45</v>
      </c>
      <c r="D65" s="58">
        <v>2408.45</v>
      </c>
      <c r="E65" s="58">
        <v>2408.45</v>
      </c>
      <c r="F65" s="58">
        <v>2408.45</v>
      </c>
      <c r="G65" s="23">
        <v>12</v>
      </c>
      <c r="H65" s="23">
        <v>12</v>
      </c>
      <c r="I65" s="24">
        <v>2408.45</v>
      </c>
      <c r="J65" s="25">
        <v>2408.45</v>
      </c>
      <c r="K65" s="23">
        <v>12</v>
      </c>
      <c r="L65" s="23">
        <v>12</v>
      </c>
      <c r="M65" s="24">
        <v>2408.45</v>
      </c>
      <c r="N65" s="25">
        <v>2408.45</v>
      </c>
      <c r="O65" s="29">
        <v>1972755.468</v>
      </c>
      <c r="P65" s="29">
        <v>2002500</v>
      </c>
      <c r="Q65" s="40">
        <f t="shared" si="24"/>
        <v>101.50776578661092</v>
      </c>
      <c r="R65" s="33">
        <v>43955</v>
      </c>
      <c r="S65" s="26">
        <v>1735790.594</v>
      </c>
      <c r="T65" s="40">
        <v>1706066.802</v>
      </c>
      <c r="U65" s="73">
        <f>S65-T65</f>
        <v>29723.792000000132</v>
      </c>
      <c r="V65" s="62">
        <f t="shared" si="39"/>
        <v>98.28759343997227</v>
      </c>
      <c r="W65" s="79" t="s">
        <v>74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23" s="12" customFormat="1" ht="33.75" customHeight="1">
      <c r="A66" s="5">
        <v>2</v>
      </c>
      <c r="B66" s="7" t="s">
        <v>22</v>
      </c>
      <c r="C66" s="59" t="e">
        <f>#REF!+#REF!+C67+#REF!</f>
        <v>#REF!</v>
      </c>
      <c r="D66" s="59" t="e">
        <f>#REF!+#REF!+D67+#REF!</f>
        <v>#REF!</v>
      </c>
      <c r="E66" s="59">
        <f>E67</f>
        <v>762.58</v>
      </c>
      <c r="F66" s="59">
        <f aca="true" t="shared" si="49" ref="F66:U66">F67</f>
        <v>757.92</v>
      </c>
      <c r="G66" s="76">
        <f t="shared" si="49"/>
        <v>5</v>
      </c>
      <c r="H66" s="76">
        <f t="shared" si="49"/>
        <v>5</v>
      </c>
      <c r="I66" s="59">
        <f t="shared" si="49"/>
        <v>762.58</v>
      </c>
      <c r="J66" s="59">
        <f t="shared" si="49"/>
        <v>757.92</v>
      </c>
      <c r="K66" s="76">
        <f t="shared" si="49"/>
        <v>5</v>
      </c>
      <c r="L66" s="76">
        <f t="shared" si="49"/>
        <v>5</v>
      </c>
      <c r="M66" s="59">
        <f t="shared" si="49"/>
        <v>762.58</v>
      </c>
      <c r="N66" s="59">
        <f t="shared" si="49"/>
        <v>757.92</v>
      </c>
      <c r="O66" s="76">
        <f t="shared" si="49"/>
        <v>477427.923</v>
      </c>
      <c r="P66" s="76">
        <f t="shared" si="49"/>
        <v>477427.923</v>
      </c>
      <c r="Q66" s="40">
        <f t="shared" si="24"/>
        <v>100</v>
      </c>
      <c r="R66" s="10"/>
      <c r="S66" s="76">
        <f t="shared" si="49"/>
        <v>451272.02272675524</v>
      </c>
      <c r="T66" s="76">
        <f t="shared" si="49"/>
        <v>451272.02272675524</v>
      </c>
      <c r="U66" s="76">
        <f t="shared" si="49"/>
        <v>0</v>
      </c>
      <c r="V66" s="61">
        <f t="shared" si="39"/>
        <v>100</v>
      </c>
      <c r="W66" s="22"/>
    </row>
    <row r="67" spans="1:81" s="21" customFormat="1" ht="25.5" customHeight="1">
      <c r="A67" s="13"/>
      <c r="B67" s="14" t="s">
        <v>11</v>
      </c>
      <c r="C67" s="58">
        <v>762.58</v>
      </c>
      <c r="D67" s="58">
        <v>757.92</v>
      </c>
      <c r="E67" s="58">
        <v>762.58</v>
      </c>
      <c r="F67" s="58">
        <v>757.92</v>
      </c>
      <c r="G67" s="23">
        <v>5</v>
      </c>
      <c r="H67" s="23">
        <v>5</v>
      </c>
      <c r="I67" s="24">
        <v>762.58</v>
      </c>
      <c r="J67" s="25">
        <v>757.92</v>
      </c>
      <c r="K67" s="23">
        <f>G67</f>
        <v>5</v>
      </c>
      <c r="L67" s="23">
        <f>H67</f>
        <v>5</v>
      </c>
      <c r="M67" s="24">
        <v>762.58</v>
      </c>
      <c r="N67" s="25">
        <v>757.92</v>
      </c>
      <c r="O67" s="29">
        <v>477427.923</v>
      </c>
      <c r="P67" s="29">
        <v>477427.923</v>
      </c>
      <c r="Q67" s="40">
        <f t="shared" si="24"/>
        <v>100</v>
      </c>
      <c r="R67" s="33" t="s">
        <v>95</v>
      </c>
      <c r="S67" s="26">
        <v>451272.02272675524</v>
      </c>
      <c r="T67" s="40">
        <v>451272.02272675524</v>
      </c>
      <c r="U67" s="73">
        <f>S67-T67</f>
        <v>0</v>
      </c>
      <c r="V67" s="26">
        <f t="shared" si="39"/>
        <v>100</v>
      </c>
      <c r="W67" s="41" t="s">
        <v>96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</row>
    <row r="68" spans="1:81" s="6" customFormat="1" ht="33.75" customHeight="1">
      <c r="A68" s="49" t="s">
        <v>23</v>
      </c>
      <c r="B68" s="50" t="s">
        <v>24</v>
      </c>
      <c r="C68" s="69" t="e">
        <f>#REF!+C69+C70</f>
        <v>#REF!</v>
      </c>
      <c r="D68" s="69" t="e">
        <f>#REF!+D69+D70</f>
        <v>#REF!</v>
      </c>
      <c r="E68" s="69">
        <f>E69+E70</f>
        <v>14916.149999999998</v>
      </c>
      <c r="F68" s="69">
        <f aca="true" t="shared" si="50" ref="F68:U68">F69+F70</f>
        <v>13405.96</v>
      </c>
      <c r="G68" s="74">
        <f t="shared" si="50"/>
        <v>173</v>
      </c>
      <c r="H68" s="74">
        <f t="shared" si="50"/>
        <v>159</v>
      </c>
      <c r="I68" s="69">
        <f t="shared" si="50"/>
        <v>14916.149999999998</v>
      </c>
      <c r="J68" s="69">
        <f t="shared" si="50"/>
        <v>13405.96</v>
      </c>
      <c r="K68" s="74">
        <f t="shared" si="50"/>
        <v>173</v>
      </c>
      <c r="L68" s="74">
        <f t="shared" si="50"/>
        <v>159</v>
      </c>
      <c r="M68" s="69">
        <f t="shared" si="50"/>
        <v>140960.97</v>
      </c>
      <c r="N68" s="69">
        <f t="shared" si="50"/>
        <v>13405.96</v>
      </c>
      <c r="O68" s="74">
        <f t="shared" si="50"/>
        <v>8407375.042</v>
      </c>
      <c r="P68" s="74">
        <f t="shared" si="50"/>
        <v>8408686.158999998</v>
      </c>
      <c r="Q68" s="75">
        <f t="shared" si="24"/>
        <v>100.01559484373482</v>
      </c>
      <c r="R68" s="80"/>
      <c r="S68" s="74">
        <f t="shared" si="50"/>
        <v>6639057.307241115</v>
      </c>
      <c r="T68" s="74">
        <f t="shared" si="50"/>
        <v>6621736.306441114</v>
      </c>
      <c r="U68" s="74">
        <f t="shared" si="50"/>
        <v>19380.283800000325</v>
      </c>
      <c r="V68" s="81">
        <f t="shared" si="39"/>
        <v>99.73910451441489</v>
      </c>
      <c r="W68" s="5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</row>
    <row r="69" spans="1:81" s="6" customFormat="1" ht="26.25" customHeight="1">
      <c r="A69" s="13"/>
      <c r="B69" s="14" t="s">
        <v>7</v>
      </c>
      <c r="C69" s="68" t="e">
        <f>#REF!+#REF!+C112+C122+#REF!+#REF!</f>
        <v>#REF!</v>
      </c>
      <c r="D69" s="68" t="e">
        <f>#REF!+#REF!+D112+D122+#REF!+#REF!</f>
        <v>#REF!</v>
      </c>
      <c r="E69" s="68">
        <f>E112+E122</f>
        <v>6938.96</v>
      </c>
      <c r="F69" s="68">
        <f aca="true" t="shared" si="51" ref="F69:U69">F112+F122</f>
        <v>6033.669999999999</v>
      </c>
      <c r="G69" s="73">
        <f t="shared" si="51"/>
        <v>72</v>
      </c>
      <c r="H69" s="73">
        <f t="shared" si="51"/>
        <v>64</v>
      </c>
      <c r="I69" s="68">
        <f t="shared" si="51"/>
        <v>6938.96</v>
      </c>
      <c r="J69" s="68">
        <f t="shared" si="51"/>
        <v>6033.669999999999</v>
      </c>
      <c r="K69" s="73">
        <f t="shared" si="51"/>
        <v>72</v>
      </c>
      <c r="L69" s="73">
        <f t="shared" si="51"/>
        <v>64</v>
      </c>
      <c r="M69" s="68">
        <f t="shared" si="51"/>
        <v>6938.96</v>
      </c>
      <c r="N69" s="68">
        <f t="shared" si="51"/>
        <v>6033.669999999999</v>
      </c>
      <c r="O69" s="73">
        <f t="shared" si="51"/>
        <v>3396077.2979999995</v>
      </c>
      <c r="P69" s="73">
        <f t="shared" si="51"/>
        <v>3398975.516</v>
      </c>
      <c r="Q69" s="40">
        <f t="shared" si="24"/>
        <v>100.08534016589397</v>
      </c>
      <c r="R69" s="64"/>
      <c r="S69" s="73">
        <f t="shared" si="51"/>
        <v>2890252.3710000003</v>
      </c>
      <c r="T69" s="73">
        <f t="shared" si="51"/>
        <v>2892311.654</v>
      </c>
      <c r="U69" s="73">
        <f t="shared" si="51"/>
        <v>0</v>
      </c>
      <c r="V69" s="26">
        <f t="shared" si="39"/>
        <v>100.07124924524453</v>
      </c>
      <c r="W69" s="16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</row>
    <row r="70" spans="1:81" s="6" customFormat="1" ht="27.75" customHeight="1">
      <c r="A70" s="13"/>
      <c r="B70" s="14" t="s">
        <v>11</v>
      </c>
      <c r="C70" s="68" t="e">
        <f aca="true" t="shared" si="52" ref="C70:P70">C72+C96+C113+C123+C129+C133</f>
        <v>#REF!</v>
      </c>
      <c r="D70" s="68" t="e">
        <f t="shared" si="52"/>
        <v>#REF!</v>
      </c>
      <c r="E70" s="68">
        <f t="shared" si="52"/>
        <v>7977.189999999999</v>
      </c>
      <c r="F70" s="68">
        <f t="shared" si="52"/>
        <v>7372.289999999999</v>
      </c>
      <c r="G70" s="73">
        <f t="shared" si="52"/>
        <v>101</v>
      </c>
      <c r="H70" s="73">
        <f t="shared" si="52"/>
        <v>95</v>
      </c>
      <c r="I70" s="68">
        <f>I72+I96+I113+I123+I129+I133</f>
        <v>7977.189999999999</v>
      </c>
      <c r="J70" s="68">
        <f t="shared" si="52"/>
        <v>7372.289999999999</v>
      </c>
      <c r="K70" s="73">
        <f t="shared" si="52"/>
        <v>101</v>
      </c>
      <c r="L70" s="73">
        <f t="shared" si="52"/>
        <v>95</v>
      </c>
      <c r="M70" s="68">
        <f t="shared" si="52"/>
        <v>134022.01</v>
      </c>
      <c r="N70" s="68">
        <f t="shared" si="52"/>
        <v>7372.289999999999</v>
      </c>
      <c r="O70" s="73">
        <f t="shared" si="52"/>
        <v>5011297.744</v>
      </c>
      <c r="P70" s="73">
        <f t="shared" si="52"/>
        <v>5009710.642999999</v>
      </c>
      <c r="Q70" s="40">
        <f t="shared" si="24"/>
        <v>99.96832954094774</v>
      </c>
      <c r="R70" s="15"/>
      <c r="S70" s="73">
        <f>S72+S96+S113+S123+S129+S133</f>
        <v>3748804.9362411145</v>
      </c>
      <c r="T70" s="73">
        <f>T72+T96+T113+T123+T129+T133</f>
        <v>3729424.652441114</v>
      </c>
      <c r="U70" s="73">
        <f>S70-T70</f>
        <v>19380.283800000325</v>
      </c>
      <c r="V70" s="62">
        <f t="shared" si="39"/>
        <v>99.4830276813647</v>
      </c>
      <c r="W70" s="1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</row>
    <row r="71" spans="1:81" s="6" customFormat="1" ht="25.5" customHeight="1">
      <c r="A71" s="42" t="s">
        <v>25</v>
      </c>
      <c r="B71" s="43" t="s">
        <v>26</v>
      </c>
      <c r="C71" s="59" t="e">
        <f>#REF!+#REF!+C72</f>
        <v>#REF!</v>
      </c>
      <c r="D71" s="59" t="e">
        <f>#REF!+#REF!+D72</f>
        <v>#REF!</v>
      </c>
      <c r="E71" s="59">
        <f>E72</f>
        <v>2199.809999999999</v>
      </c>
      <c r="F71" s="59">
        <f aca="true" t="shared" si="53" ref="F71:U71">F72</f>
        <v>1803.4599999999998</v>
      </c>
      <c r="G71" s="76">
        <f t="shared" si="53"/>
        <v>54</v>
      </c>
      <c r="H71" s="76">
        <f t="shared" si="53"/>
        <v>48</v>
      </c>
      <c r="I71" s="59">
        <f t="shared" si="53"/>
        <v>2199.809999999999</v>
      </c>
      <c r="J71" s="59">
        <f t="shared" si="53"/>
        <v>1803.4599999999998</v>
      </c>
      <c r="K71" s="76">
        <f t="shared" si="53"/>
        <v>54</v>
      </c>
      <c r="L71" s="76">
        <f t="shared" si="53"/>
        <v>48</v>
      </c>
      <c r="M71" s="59">
        <f t="shared" si="53"/>
        <v>2199.809999999999</v>
      </c>
      <c r="N71" s="59">
        <f t="shared" si="53"/>
        <v>1803.4599999999998</v>
      </c>
      <c r="O71" s="76">
        <f t="shared" si="53"/>
        <v>1163871.2873</v>
      </c>
      <c r="P71" s="76">
        <f t="shared" si="53"/>
        <v>1163871.2873</v>
      </c>
      <c r="Q71" s="76">
        <f t="shared" si="24"/>
        <v>100</v>
      </c>
      <c r="R71" s="10"/>
      <c r="S71" s="76">
        <f t="shared" si="53"/>
        <v>781926.1308600002</v>
      </c>
      <c r="T71" s="76">
        <f t="shared" si="53"/>
        <v>781926.1308600002</v>
      </c>
      <c r="U71" s="76">
        <f t="shared" si="53"/>
        <v>0</v>
      </c>
      <c r="V71" s="61">
        <f t="shared" si="39"/>
        <v>100</v>
      </c>
      <c r="W71" s="2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s="21" customFormat="1" ht="26.25" customHeight="1">
      <c r="A72" s="13"/>
      <c r="B72" s="14" t="s">
        <v>11</v>
      </c>
      <c r="C72" s="58">
        <f aca="true" t="shared" si="54" ref="C72:P72">C74+C76+C78+C80+C82+C84+C86+C88+C90+C92+C94</f>
        <v>2326.83</v>
      </c>
      <c r="D72" s="58">
        <f t="shared" si="54"/>
        <v>1978.55</v>
      </c>
      <c r="E72" s="58">
        <f t="shared" si="54"/>
        <v>2199.809999999999</v>
      </c>
      <c r="F72" s="58">
        <f t="shared" si="54"/>
        <v>1803.4599999999998</v>
      </c>
      <c r="G72" s="40">
        <f t="shared" si="54"/>
        <v>54</v>
      </c>
      <c r="H72" s="40">
        <f t="shared" si="54"/>
        <v>48</v>
      </c>
      <c r="I72" s="58">
        <f t="shared" si="54"/>
        <v>2199.809999999999</v>
      </c>
      <c r="J72" s="58">
        <f t="shared" si="54"/>
        <v>1803.4599999999998</v>
      </c>
      <c r="K72" s="40">
        <f t="shared" si="54"/>
        <v>54</v>
      </c>
      <c r="L72" s="40">
        <f t="shared" si="54"/>
        <v>48</v>
      </c>
      <c r="M72" s="58">
        <f t="shared" si="54"/>
        <v>2199.809999999999</v>
      </c>
      <c r="N72" s="58">
        <f t="shared" si="54"/>
        <v>1803.4599999999998</v>
      </c>
      <c r="O72" s="40">
        <f t="shared" si="54"/>
        <v>1163871.2873</v>
      </c>
      <c r="P72" s="40">
        <f t="shared" si="54"/>
        <v>1163871.2873</v>
      </c>
      <c r="Q72" s="40">
        <f t="shared" si="24"/>
        <v>100</v>
      </c>
      <c r="R72" s="65"/>
      <c r="S72" s="40">
        <f>S74+S76+S78+S80+S82+S84+S86+S88+S90+S92+S94</f>
        <v>781926.1308600002</v>
      </c>
      <c r="T72" s="40">
        <f>T74+T76+T78+T80+T82+T84+T86+T88+T90+T92+T94</f>
        <v>781926.1308600002</v>
      </c>
      <c r="U72" s="40">
        <f>U74+U76+U78+U80+U82+U84+U86+U88+U90+U92+U94</f>
        <v>0</v>
      </c>
      <c r="V72" s="26">
        <f t="shared" si="39"/>
        <v>100</v>
      </c>
      <c r="W72" s="5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</row>
    <row r="73" spans="1:81" s="44" customFormat="1" ht="30" customHeight="1">
      <c r="A73" s="5">
        <v>1</v>
      </c>
      <c r="B73" s="7" t="s">
        <v>27</v>
      </c>
      <c r="C73" s="59" t="e">
        <f>#REF!+#REF!+C74</f>
        <v>#REF!</v>
      </c>
      <c r="D73" s="59" t="e">
        <f>#REF!+#REF!+D74</f>
        <v>#REF!</v>
      </c>
      <c r="E73" s="59">
        <f>E74</f>
        <v>92.32</v>
      </c>
      <c r="F73" s="59">
        <f aca="true" t="shared" si="55" ref="F73:U73">F74</f>
        <v>85.12</v>
      </c>
      <c r="G73" s="76">
        <f t="shared" si="55"/>
        <v>3</v>
      </c>
      <c r="H73" s="76">
        <f t="shared" si="55"/>
        <v>3</v>
      </c>
      <c r="I73" s="59">
        <f t="shared" si="55"/>
        <v>92.32</v>
      </c>
      <c r="J73" s="59">
        <f t="shared" si="55"/>
        <v>85.12</v>
      </c>
      <c r="K73" s="76">
        <f t="shared" si="55"/>
        <v>3</v>
      </c>
      <c r="L73" s="76">
        <f t="shared" si="55"/>
        <v>3</v>
      </c>
      <c r="M73" s="59">
        <f t="shared" si="55"/>
        <v>92.32</v>
      </c>
      <c r="N73" s="59">
        <f t="shared" si="55"/>
        <v>85.12</v>
      </c>
      <c r="O73" s="76">
        <f t="shared" si="55"/>
        <v>60752.795</v>
      </c>
      <c r="P73" s="76">
        <f t="shared" si="55"/>
        <v>60752.795</v>
      </c>
      <c r="Q73" s="76">
        <f t="shared" si="24"/>
        <v>100</v>
      </c>
      <c r="R73" s="10"/>
      <c r="S73" s="76">
        <f t="shared" si="55"/>
        <v>54023.82526</v>
      </c>
      <c r="T73" s="76">
        <f t="shared" si="55"/>
        <v>54023.82526</v>
      </c>
      <c r="U73" s="76">
        <f t="shared" si="55"/>
        <v>0</v>
      </c>
      <c r="V73" s="61">
        <f t="shared" si="39"/>
        <v>100</v>
      </c>
      <c r="W73" s="2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s="21" customFormat="1" ht="25.5">
      <c r="A74" s="13"/>
      <c r="B74" s="14" t="s">
        <v>11</v>
      </c>
      <c r="C74" s="58">
        <v>92.32</v>
      </c>
      <c r="D74" s="58">
        <v>85.12</v>
      </c>
      <c r="E74" s="58">
        <f>C74</f>
        <v>92.32</v>
      </c>
      <c r="F74" s="58">
        <f>D74</f>
        <v>85.12</v>
      </c>
      <c r="G74" s="29">
        <v>3</v>
      </c>
      <c r="H74" s="29">
        <v>3</v>
      </c>
      <c r="I74" s="25">
        <f aca="true" t="shared" si="56" ref="I74:N74">E74</f>
        <v>92.32</v>
      </c>
      <c r="J74" s="25">
        <f t="shared" si="56"/>
        <v>85.12</v>
      </c>
      <c r="K74" s="29">
        <f t="shared" si="56"/>
        <v>3</v>
      </c>
      <c r="L74" s="29">
        <f t="shared" si="56"/>
        <v>3</v>
      </c>
      <c r="M74" s="25">
        <f t="shared" si="56"/>
        <v>92.32</v>
      </c>
      <c r="N74" s="25">
        <f t="shared" si="56"/>
        <v>85.12</v>
      </c>
      <c r="O74" s="29">
        <v>60752.795</v>
      </c>
      <c r="P74" s="29">
        <v>60752.795</v>
      </c>
      <c r="Q74" s="40">
        <f t="shared" si="24"/>
        <v>100</v>
      </c>
      <c r="R74" s="32" t="s">
        <v>122</v>
      </c>
      <c r="S74" s="26">
        <v>54023.82526</v>
      </c>
      <c r="T74" s="29">
        <v>54023.82526</v>
      </c>
      <c r="U74" s="73">
        <f>S74-T74</f>
        <v>0</v>
      </c>
      <c r="V74" s="26">
        <f t="shared" si="39"/>
        <v>100</v>
      </c>
      <c r="W74" s="35" t="s">
        <v>123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44" customFormat="1" ht="27" customHeight="1">
      <c r="A75" s="5">
        <v>2</v>
      </c>
      <c r="B75" s="7" t="s">
        <v>28</v>
      </c>
      <c r="C75" s="59" t="e">
        <f>#REF!+#REF!+C76</f>
        <v>#REF!</v>
      </c>
      <c r="D75" s="59" t="e">
        <f>#REF!+#REF!+D76</f>
        <v>#REF!</v>
      </c>
      <c r="E75" s="59">
        <f>E76</f>
        <v>40.74</v>
      </c>
      <c r="F75" s="59">
        <f aca="true" t="shared" si="57" ref="F75:U75">F76</f>
        <v>36.07</v>
      </c>
      <c r="G75" s="76">
        <f t="shared" si="57"/>
        <v>5</v>
      </c>
      <c r="H75" s="76">
        <f t="shared" si="57"/>
        <v>5</v>
      </c>
      <c r="I75" s="59">
        <f t="shared" si="57"/>
        <v>40.74</v>
      </c>
      <c r="J75" s="59">
        <f t="shared" si="57"/>
        <v>36.07</v>
      </c>
      <c r="K75" s="76">
        <f t="shared" si="57"/>
        <v>5</v>
      </c>
      <c r="L75" s="76">
        <f t="shared" si="57"/>
        <v>5</v>
      </c>
      <c r="M75" s="59">
        <f t="shared" si="57"/>
        <v>40.74</v>
      </c>
      <c r="N75" s="59">
        <f t="shared" si="57"/>
        <v>36.07</v>
      </c>
      <c r="O75" s="76">
        <f t="shared" si="57"/>
        <v>27710.7345</v>
      </c>
      <c r="P75" s="76">
        <f t="shared" si="57"/>
        <v>27710.7345</v>
      </c>
      <c r="Q75" s="76">
        <f t="shared" si="24"/>
        <v>100</v>
      </c>
      <c r="R75" s="10"/>
      <c r="S75" s="76">
        <f t="shared" si="57"/>
        <v>20100</v>
      </c>
      <c r="T75" s="76">
        <f t="shared" si="57"/>
        <v>20100</v>
      </c>
      <c r="U75" s="76">
        <f t="shared" si="57"/>
        <v>0</v>
      </c>
      <c r="V75" s="26">
        <f t="shared" si="39"/>
        <v>100</v>
      </c>
      <c r="W75" s="2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</row>
    <row r="76" spans="1:81" s="21" customFormat="1" ht="27" customHeight="1">
      <c r="A76" s="13"/>
      <c r="B76" s="14" t="s">
        <v>11</v>
      </c>
      <c r="C76" s="58">
        <v>47.55</v>
      </c>
      <c r="D76" s="58">
        <v>40.74</v>
      </c>
      <c r="E76" s="58">
        <v>40.74</v>
      </c>
      <c r="F76" s="58">
        <v>36.07</v>
      </c>
      <c r="G76" s="29">
        <v>5</v>
      </c>
      <c r="H76" s="29">
        <v>5</v>
      </c>
      <c r="I76" s="25">
        <f aca="true" t="shared" si="58" ref="I76:N76">E76</f>
        <v>40.74</v>
      </c>
      <c r="J76" s="25">
        <f t="shared" si="58"/>
        <v>36.07</v>
      </c>
      <c r="K76" s="29">
        <f t="shared" si="58"/>
        <v>5</v>
      </c>
      <c r="L76" s="29">
        <f t="shared" si="58"/>
        <v>5</v>
      </c>
      <c r="M76" s="25">
        <f t="shared" si="58"/>
        <v>40.74</v>
      </c>
      <c r="N76" s="25">
        <f t="shared" si="58"/>
        <v>36.07</v>
      </c>
      <c r="O76" s="29">
        <v>27710.7345</v>
      </c>
      <c r="P76" s="29">
        <v>27710.7345</v>
      </c>
      <c r="Q76" s="40">
        <f t="shared" si="24"/>
        <v>100</v>
      </c>
      <c r="R76" s="32" t="s">
        <v>2</v>
      </c>
      <c r="S76" s="26">
        <v>20100</v>
      </c>
      <c r="T76" s="29">
        <v>20100</v>
      </c>
      <c r="U76" s="73"/>
      <c r="V76" s="26">
        <f t="shared" si="39"/>
        <v>100</v>
      </c>
      <c r="W76" s="35" t="s">
        <v>97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</row>
    <row r="77" spans="1:81" s="44" customFormat="1" ht="28.5" customHeight="1">
      <c r="A77" s="5">
        <v>3</v>
      </c>
      <c r="B77" s="7" t="s">
        <v>29</v>
      </c>
      <c r="C77" s="59" t="e">
        <f>#REF!+#REF!+C78</f>
        <v>#REF!</v>
      </c>
      <c r="D77" s="59" t="e">
        <f>#REF!+#REF!+D78</f>
        <v>#REF!</v>
      </c>
      <c r="E77" s="59">
        <f>E78</f>
        <v>576.3099999999995</v>
      </c>
      <c r="F77" s="59">
        <f aca="true" t="shared" si="59" ref="F77:U77">F78</f>
        <v>551.06</v>
      </c>
      <c r="G77" s="76">
        <f t="shared" si="59"/>
        <v>8</v>
      </c>
      <c r="H77" s="76">
        <f t="shared" si="59"/>
        <v>8</v>
      </c>
      <c r="I77" s="59">
        <f t="shared" si="59"/>
        <v>576.3099999999995</v>
      </c>
      <c r="J77" s="59">
        <f t="shared" si="59"/>
        <v>551.06</v>
      </c>
      <c r="K77" s="76">
        <f t="shared" si="59"/>
        <v>8</v>
      </c>
      <c r="L77" s="76">
        <f t="shared" si="59"/>
        <v>8</v>
      </c>
      <c r="M77" s="59">
        <f t="shared" si="59"/>
        <v>576.3099999999995</v>
      </c>
      <c r="N77" s="59">
        <f t="shared" si="59"/>
        <v>551.06</v>
      </c>
      <c r="O77" s="76">
        <f t="shared" si="59"/>
        <v>398094.858</v>
      </c>
      <c r="P77" s="76">
        <f t="shared" si="59"/>
        <v>398094.858</v>
      </c>
      <c r="Q77" s="76">
        <f t="shared" si="24"/>
        <v>100</v>
      </c>
      <c r="R77" s="10"/>
      <c r="S77" s="76">
        <f t="shared" si="59"/>
        <v>281244.305</v>
      </c>
      <c r="T77" s="76">
        <f t="shared" si="59"/>
        <v>281244.305</v>
      </c>
      <c r="U77" s="76">
        <f t="shared" si="59"/>
        <v>0</v>
      </c>
      <c r="V77" s="61">
        <f t="shared" si="39"/>
        <v>100</v>
      </c>
      <c r="W77" s="2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s="21" customFormat="1" ht="25.5">
      <c r="A78" s="13"/>
      <c r="B78" s="14" t="s">
        <v>11</v>
      </c>
      <c r="C78" s="58">
        <v>635.69</v>
      </c>
      <c r="D78" s="58">
        <v>576.31</v>
      </c>
      <c r="E78" s="58">
        <v>576.3099999999995</v>
      </c>
      <c r="F78" s="58">
        <v>551.06</v>
      </c>
      <c r="G78" s="29">
        <v>8</v>
      </c>
      <c r="H78" s="29">
        <v>8</v>
      </c>
      <c r="I78" s="25">
        <f aca="true" t="shared" si="60" ref="I78:N78">E78</f>
        <v>576.3099999999995</v>
      </c>
      <c r="J78" s="25">
        <f t="shared" si="60"/>
        <v>551.06</v>
      </c>
      <c r="K78" s="29">
        <f t="shared" si="60"/>
        <v>8</v>
      </c>
      <c r="L78" s="29">
        <f t="shared" si="60"/>
        <v>8</v>
      </c>
      <c r="M78" s="25">
        <f t="shared" si="60"/>
        <v>576.3099999999995</v>
      </c>
      <c r="N78" s="25">
        <f t="shared" si="60"/>
        <v>551.06</v>
      </c>
      <c r="O78" s="29">
        <v>398094.858</v>
      </c>
      <c r="P78" s="29">
        <v>398094.858</v>
      </c>
      <c r="Q78" s="40">
        <f t="shared" si="24"/>
        <v>100</v>
      </c>
      <c r="R78" s="32" t="s">
        <v>132</v>
      </c>
      <c r="S78" s="26">
        <v>281244.305</v>
      </c>
      <c r="T78" s="45">
        <v>281244.305</v>
      </c>
      <c r="U78" s="73"/>
      <c r="V78" s="26">
        <f t="shared" si="39"/>
        <v>100</v>
      </c>
      <c r="W78" s="35" t="s">
        <v>133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s="44" customFormat="1" ht="27.75" customHeight="1">
      <c r="A79" s="5">
        <v>4</v>
      </c>
      <c r="B79" s="7" t="s">
        <v>30</v>
      </c>
      <c r="C79" s="59" t="e">
        <f>#REF!+#REF!+C80</f>
        <v>#REF!</v>
      </c>
      <c r="D79" s="59" t="e">
        <f>#REF!+#REF!+D80</f>
        <v>#REF!</v>
      </c>
      <c r="E79" s="59">
        <f>E80</f>
        <v>25.71</v>
      </c>
      <c r="F79" s="59">
        <f aca="true" t="shared" si="61" ref="F79:U79">F80</f>
        <v>19.889999999999997</v>
      </c>
      <c r="G79" s="76">
        <f t="shared" si="61"/>
        <v>4</v>
      </c>
      <c r="H79" s="76">
        <f t="shared" si="61"/>
        <v>3</v>
      </c>
      <c r="I79" s="59">
        <f t="shared" si="61"/>
        <v>25.71</v>
      </c>
      <c r="J79" s="59">
        <f t="shared" si="61"/>
        <v>19.889999999999997</v>
      </c>
      <c r="K79" s="76">
        <f t="shared" si="61"/>
        <v>4</v>
      </c>
      <c r="L79" s="76">
        <f t="shared" si="61"/>
        <v>3</v>
      </c>
      <c r="M79" s="59">
        <f t="shared" si="61"/>
        <v>25.71</v>
      </c>
      <c r="N79" s="59">
        <f t="shared" si="61"/>
        <v>19.889999999999997</v>
      </c>
      <c r="O79" s="76">
        <f t="shared" si="61"/>
        <v>19732.846</v>
      </c>
      <c r="P79" s="76">
        <f t="shared" si="61"/>
        <v>19732.846</v>
      </c>
      <c r="Q79" s="76">
        <f t="shared" si="24"/>
        <v>100</v>
      </c>
      <c r="R79" s="10"/>
      <c r="S79" s="76">
        <f t="shared" si="61"/>
        <v>11279.205</v>
      </c>
      <c r="T79" s="76">
        <f t="shared" si="61"/>
        <v>11279.205</v>
      </c>
      <c r="U79" s="76">
        <f t="shared" si="61"/>
        <v>0</v>
      </c>
      <c r="V79" s="61">
        <f t="shared" si="39"/>
        <v>100</v>
      </c>
      <c r="W79" s="2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s="21" customFormat="1" ht="26.25" customHeight="1">
      <c r="A80" s="13"/>
      <c r="B80" s="14" t="s">
        <v>11</v>
      </c>
      <c r="C80" s="58">
        <v>53.32</v>
      </c>
      <c r="D80" s="58">
        <v>19.889999999999997</v>
      </c>
      <c r="E80" s="58">
        <v>25.71</v>
      </c>
      <c r="F80" s="58">
        <f>D80</f>
        <v>19.889999999999997</v>
      </c>
      <c r="G80" s="29">
        <v>4</v>
      </c>
      <c r="H80" s="29">
        <v>3</v>
      </c>
      <c r="I80" s="25">
        <v>25.71</v>
      </c>
      <c r="J80" s="25">
        <f>F80</f>
        <v>19.889999999999997</v>
      </c>
      <c r="K80" s="29">
        <f>G80</f>
        <v>4</v>
      </c>
      <c r="L80" s="29">
        <f>H80</f>
        <v>3</v>
      </c>
      <c r="M80" s="25">
        <f>I80</f>
        <v>25.71</v>
      </c>
      <c r="N80" s="25">
        <f>J80</f>
        <v>19.889999999999997</v>
      </c>
      <c r="O80" s="29">
        <f>19732846/1000</f>
        <v>19732.846</v>
      </c>
      <c r="P80" s="29">
        <v>19732.846</v>
      </c>
      <c r="Q80" s="40">
        <f t="shared" si="24"/>
        <v>100</v>
      </c>
      <c r="R80" s="32" t="s">
        <v>2</v>
      </c>
      <c r="S80" s="26">
        <f>11279205/1000</f>
        <v>11279.205</v>
      </c>
      <c r="T80" s="29">
        <v>11279.205</v>
      </c>
      <c r="U80" s="73">
        <f>S80-T80</f>
        <v>0</v>
      </c>
      <c r="V80" s="26">
        <f t="shared" si="39"/>
        <v>100</v>
      </c>
      <c r="W80" s="35" t="s">
        <v>97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:81" s="44" customFormat="1" ht="28.5" customHeight="1">
      <c r="A81" s="5">
        <v>5</v>
      </c>
      <c r="B81" s="7" t="s">
        <v>31</v>
      </c>
      <c r="C81" s="59" t="e">
        <f>#REF!+#REF!+C82</f>
        <v>#REF!</v>
      </c>
      <c r="D81" s="59" t="e">
        <f>#REF!+#REF!+D82</f>
        <v>#REF!</v>
      </c>
      <c r="E81" s="59">
        <f>E82</f>
        <v>31.55</v>
      </c>
      <c r="F81" s="59">
        <f aca="true" t="shared" si="62" ref="F81:U81">F82</f>
        <v>31.55</v>
      </c>
      <c r="G81" s="76">
        <f t="shared" si="62"/>
        <v>2</v>
      </c>
      <c r="H81" s="76">
        <f t="shared" si="62"/>
        <v>2</v>
      </c>
      <c r="I81" s="59">
        <f t="shared" si="62"/>
        <v>31.55</v>
      </c>
      <c r="J81" s="59">
        <f t="shared" si="62"/>
        <v>31.55</v>
      </c>
      <c r="K81" s="76">
        <f t="shared" si="62"/>
        <v>2</v>
      </c>
      <c r="L81" s="76">
        <f t="shared" si="62"/>
        <v>2</v>
      </c>
      <c r="M81" s="59">
        <f t="shared" si="62"/>
        <v>31.55</v>
      </c>
      <c r="N81" s="59">
        <f t="shared" si="62"/>
        <v>31.55</v>
      </c>
      <c r="O81" s="76">
        <f t="shared" si="62"/>
        <v>21793.628</v>
      </c>
      <c r="P81" s="76">
        <f t="shared" si="62"/>
        <v>21793.628</v>
      </c>
      <c r="Q81" s="76">
        <f t="shared" si="24"/>
        <v>100</v>
      </c>
      <c r="R81" s="10"/>
      <c r="S81" s="76">
        <f t="shared" si="62"/>
        <v>16102.2024</v>
      </c>
      <c r="T81" s="76">
        <f t="shared" si="62"/>
        <v>16102.2024</v>
      </c>
      <c r="U81" s="76">
        <f t="shared" si="62"/>
        <v>0</v>
      </c>
      <c r="V81" s="61">
        <f t="shared" si="39"/>
        <v>100</v>
      </c>
      <c r="W81" s="2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s="21" customFormat="1" ht="25.5">
      <c r="A82" s="13"/>
      <c r="B82" s="14" t="s">
        <v>11</v>
      </c>
      <c r="C82" s="58">
        <v>31.55</v>
      </c>
      <c r="D82" s="58">
        <v>31.55</v>
      </c>
      <c r="E82" s="58">
        <f>C82</f>
        <v>31.55</v>
      </c>
      <c r="F82" s="58">
        <f>D82</f>
        <v>31.55</v>
      </c>
      <c r="G82" s="29">
        <v>2</v>
      </c>
      <c r="H82" s="29">
        <v>2</v>
      </c>
      <c r="I82" s="25">
        <f aca="true" t="shared" si="63" ref="I82:N82">E82</f>
        <v>31.55</v>
      </c>
      <c r="J82" s="25">
        <f t="shared" si="63"/>
        <v>31.55</v>
      </c>
      <c r="K82" s="29">
        <f t="shared" si="63"/>
        <v>2</v>
      </c>
      <c r="L82" s="29">
        <f t="shared" si="63"/>
        <v>2</v>
      </c>
      <c r="M82" s="25">
        <f t="shared" si="63"/>
        <v>31.55</v>
      </c>
      <c r="N82" s="25">
        <f t="shared" si="63"/>
        <v>31.55</v>
      </c>
      <c r="O82" s="29">
        <v>21793.628</v>
      </c>
      <c r="P82" s="29">
        <v>21793.628</v>
      </c>
      <c r="Q82" s="40">
        <f t="shared" si="24"/>
        <v>100</v>
      </c>
      <c r="R82" s="32" t="s">
        <v>140</v>
      </c>
      <c r="S82" s="26">
        <v>16102.2024</v>
      </c>
      <c r="T82" s="26">
        <v>16102.2024</v>
      </c>
      <c r="U82" s="29"/>
      <c r="V82" s="26">
        <f t="shared" si="39"/>
        <v>100</v>
      </c>
      <c r="W82" s="32" t="s">
        <v>141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:81" s="44" customFormat="1" ht="28.5" customHeight="1">
      <c r="A83" s="5">
        <v>6</v>
      </c>
      <c r="B83" s="7" t="s">
        <v>32</v>
      </c>
      <c r="C83" s="59" t="e">
        <f>#REF!+#REF!+C84</f>
        <v>#REF!</v>
      </c>
      <c r="D83" s="59" t="e">
        <f>#REF!+#REF!+D84</f>
        <v>#REF!</v>
      </c>
      <c r="E83" s="59">
        <f>E84</f>
        <v>133.26</v>
      </c>
      <c r="F83" s="59">
        <f aca="true" t="shared" si="64" ref="F83:U83">F84</f>
        <v>130.03</v>
      </c>
      <c r="G83" s="76">
        <f t="shared" si="64"/>
        <v>4</v>
      </c>
      <c r="H83" s="76">
        <f t="shared" si="64"/>
        <v>4</v>
      </c>
      <c r="I83" s="59">
        <f t="shared" si="64"/>
        <v>133.26</v>
      </c>
      <c r="J83" s="59">
        <f t="shared" si="64"/>
        <v>130.03</v>
      </c>
      <c r="K83" s="76">
        <f t="shared" si="64"/>
        <v>4</v>
      </c>
      <c r="L83" s="76">
        <f t="shared" si="64"/>
        <v>4</v>
      </c>
      <c r="M83" s="59">
        <f t="shared" si="64"/>
        <v>133.26</v>
      </c>
      <c r="N83" s="59">
        <f t="shared" si="64"/>
        <v>130.03</v>
      </c>
      <c r="O83" s="76">
        <f t="shared" si="64"/>
        <v>96111.324</v>
      </c>
      <c r="P83" s="76">
        <f t="shared" si="64"/>
        <v>96111.324</v>
      </c>
      <c r="Q83" s="76">
        <f t="shared" si="24"/>
        <v>100</v>
      </c>
      <c r="R83" s="10"/>
      <c r="S83" s="76">
        <f t="shared" si="64"/>
        <v>74028.888</v>
      </c>
      <c r="T83" s="76">
        <f t="shared" si="64"/>
        <v>74028.888</v>
      </c>
      <c r="U83" s="76">
        <f t="shared" si="64"/>
        <v>0</v>
      </c>
      <c r="V83" s="61">
        <f t="shared" si="39"/>
        <v>100</v>
      </c>
      <c r="W83" s="18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</row>
    <row r="84" spans="1:81" s="21" customFormat="1" ht="25.5">
      <c r="A84" s="13"/>
      <c r="B84" s="14" t="s">
        <v>11</v>
      </c>
      <c r="C84" s="58">
        <v>133.26</v>
      </c>
      <c r="D84" s="58">
        <v>130.03</v>
      </c>
      <c r="E84" s="58">
        <f>C84</f>
        <v>133.26</v>
      </c>
      <c r="F84" s="58">
        <f>D84</f>
        <v>130.03</v>
      </c>
      <c r="G84" s="29">
        <v>4</v>
      </c>
      <c r="H84" s="29">
        <v>4</v>
      </c>
      <c r="I84" s="25">
        <f aca="true" t="shared" si="65" ref="I84:N84">E84</f>
        <v>133.26</v>
      </c>
      <c r="J84" s="25">
        <f t="shared" si="65"/>
        <v>130.03</v>
      </c>
      <c r="K84" s="29">
        <f t="shared" si="65"/>
        <v>4</v>
      </c>
      <c r="L84" s="29">
        <f t="shared" si="65"/>
        <v>4</v>
      </c>
      <c r="M84" s="25">
        <f t="shared" si="65"/>
        <v>133.26</v>
      </c>
      <c r="N84" s="25">
        <f t="shared" si="65"/>
        <v>130.03</v>
      </c>
      <c r="O84" s="29">
        <f>96111324/1000</f>
        <v>96111.324</v>
      </c>
      <c r="P84" s="29">
        <v>96111.324</v>
      </c>
      <c r="Q84" s="40">
        <f t="shared" si="24"/>
        <v>100</v>
      </c>
      <c r="R84" s="36" t="s">
        <v>134</v>
      </c>
      <c r="S84" s="26">
        <v>74028.888</v>
      </c>
      <c r="T84" s="29">
        <v>74028.888</v>
      </c>
      <c r="U84" s="73">
        <f>S84-T84</f>
        <v>0</v>
      </c>
      <c r="V84" s="26">
        <f t="shared" si="39"/>
        <v>100</v>
      </c>
      <c r="W84" s="41" t="s">
        <v>135</v>
      </c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</row>
    <row r="85" spans="1:81" s="44" customFormat="1" ht="27.75" customHeight="1">
      <c r="A85" s="5">
        <v>7</v>
      </c>
      <c r="B85" s="7" t="s">
        <v>33</v>
      </c>
      <c r="C85" s="59" t="e">
        <f>#REF!+#REF!+C86</f>
        <v>#REF!</v>
      </c>
      <c r="D85" s="59" t="e">
        <f>#REF!+#REF!+D86</f>
        <v>#REF!</v>
      </c>
      <c r="E85" s="59">
        <f>E86</f>
        <v>209.14999999999998</v>
      </c>
      <c r="F85" s="59">
        <f aca="true" t="shared" si="66" ref="F85:U85">F86</f>
        <v>205.64999999999998</v>
      </c>
      <c r="G85" s="76">
        <f t="shared" si="66"/>
        <v>3</v>
      </c>
      <c r="H85" s="76">
        <f t="shared" si="66"/>
        <v>3</v>
      </c>
      <c r="I85" s="59">
        <f t="shared" si="66"/>
        <v>209.14999999999998</v>
      </c>
      <c r="J85" s="59">
        <f t="shared" si="66"/>
        <v>205.64999999999998</v>
      </c>
      <c r="K85" s="76">
        <f t="shared" si="66"/>
        <v>3</v>
      </c>
      <c r="L85" s="76">
        <f t="shared" si="66"/>
        <v>3</v>
      </c>
      <c r="M85" s="59">
        <f t="shared" si="66"/>
        <v>209.14999999999998</v>
      </c>
      <c r="N85" s="59">
        <f t="shared" si="66"/>
        <v>205.64999999999998</v>
      </c>
      <c r="O85" s="76">
        <f t="shared" si="66"/>
        <v>126254.76209999999</v>
      </c>
      <c r="P85" s="76">
        <f t="shared" si="66"/>
        <v>126254.76209999999</v>
      </c>
      <c r="Q85" s="76">
        <f t="shared" si="24"/>
        <v>100</v>
      </c>
      <c r="R85" s="10"/>
      <c r="S85" s="76">
        <f t="shared" si="66"/>
        <v>88599.6432</v>
      </c>
      <c r="T85" s="76">
        <f t="shared" si="66"/>
        <v>88599.6432</v>
      </c>
      <c r="U85" s="76">
        <f t="shared" si="66"/>
        <v>0</v>
      </c>
      <c r="V85" s="61">
        <f t="shared" si="39"/>
        <v>100</v>
      </c>
      <c r="W85" s="2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</row>
    <row r="86" spans="1:81" s="21" customFormat="1" ht="30" customHeight="1">
      <c r="A86" s="13"/>
      <c r="B86" s="14" t="s">
        <v>11</v>
      </c>
      <c r="C86" s="58">
        <v>209.14999999999998</v>
      </c>
      <c r="D86" s="58">
        <v>205.64999999999998</v>
      </c>
      <c r="E86" s="58">
        <f>C86</f>
        <v>209.14999999999998</v>
      </c>
      <c r="F86" s="58">
        <f>D86</f>
        <v>205.64999999999998</v>
      </c>
      <c r="G86" s="29">
        <v>3</v>
      </c>
      <c r="H86" s="29">
        <v>3</v>
      </c>
      <c r="I86" s="25">
        <f aca="true" t="shared" si="67" ref="I86:N86">E86</f>
        <v>209.14999999999998</v>
      </c>
      <c r="J86" s="25">
        <f t="shared" si="67"/>
        <v>205.64999999999998</v>
      </c>
      <c r="K86" s="29">
        <f t="shared" si="67"/>
        <v>3</v>
      </c>
      <c r="L86" s="29">
        <f t="shared" si="67"/>
        <v>3</v>
      </c>
      <c r="M86" s="25">
        <f t="shared" si="67"/>
        <v>209.14999999999998</v>
      </c>
      <c r="N86" s="25">
        <f t="shared" si="67"/>
        <v>205.64999999999998</v>
      </c>
      <c r="O86" s="29">
        <f>126254762.1/1000</f>
        <v>126254.76209999999</v>
      </c>
      <c r="P86" s="29">
        <v>126254.76209999999</v>
      </c>
      <c r="Q86" s="40">
        <f t="shared" si="24"/>
        <v>100</v>
      </c>
      <c r="R86" s="32" t="s">
        <v>2</v>
      </c>
      <c r="S86" s="26">
        <f>88599643.2/1000</f>
        <v>88599.6432</v>
      </c>
      <c r="T86" s="29">
        <v>88599.6432</v>
      </c>
      <c r="U86" s="29">
        <f>S86-T86</f>
        <v>0</v>
      </c>
      <c r="V86" s="26">
        <f t="shared" si="39"/>
        <v>100</v>
      </c>
      <c r="W86" s="35" t="s">
        <v>97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</row>
    <row r="87" spans="1:81" s="44" customFormat="1" ht="30" customHeight="1">
      <c r="A87" s="5">
        <v>8</v>
      </c>
      <c r="B87" s="7" t="s">
        <v>34</v>
      </c>
      <c r="C87" s="59" t="e">
        <f>#REF!+#REF!+C88</f>
        <v>#REF!</v>
      </c>
      <c r="D87" s="59" t="e">
        <f>#REF!+#REF!+D88</f>
        <v>#REF!</v>
      </c>
      <c r="E87" s="59">
        <f>E88</f>
        <v>250.06999999999996</v>
      </c>
      <c r="F87" s="59">
        <f aca="true" t="shared" si="68" ref="F87:U87">F88</f>
        <v>219.47</v>
      </c>
      <c r="G87" s="76">
        <f t="shared" si="68"/>
        <v>5</v>
      </c>
      <c r="H87" s="76">
        <f t="shared" si="68"/>
        <v>5</v>
      </c>
      <c r="I87" s="59">
        <f t="shared" si="68"/>
        <v>250.06999999999996</v>
      </c>
      <c r="J87" s="59">
        <f t="shared" si="68"/>
        <v>219.47</v>
      </c>
      <c r="K87" s="76">
        <f t="shared" si="68"/>
        <v>5</v>
      </c>
      <c r="L87" s="76">
        <f t="shared" si="68"/>
        <v>5</v>
      </c>
      <c r="M87" s="59">
        <f t="shared" si="68"/>
        <v>250.06999999999996</v>
      </c>
      <c r="N87" s="59">
        <f t="shared" si="68"/>
        <v>219.47</v>
      </c>
      <c r="O87" s="76">
        <f t="shared" si="68"/>
        <v>94166.97570000001</v>
      </c>
      <c r="P87" s="76">
        <f t="shared" si="68"/>
        <v>94166.97570000001</v>
      </c>
      <c r="Q87" s="76">
        <f t="shared" si="24"/>
        <v>100</v>
      </c>
      <c r="R87" s="10"/>
      <c r="S87" s="76">
        <f t="shared" si="68"/>
        <v>69109.5087</v>
      </c>
      <c r="T87" s="76">
        <f t="shared" si="68"/>
        <v>69109.5087</v>
      </c>
      <c r="U87" s="76">
        <f t="shared" si="68"/>
        <v>0</v>
      </c>
      <c r="V87" s="61">
        <f t="shared" si="39"/>
        <v>100</v>
      </c>
      <c r="W87" s="2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</row>
    <row r="88" spans="1:81" s="21" customFormat="1" ht="28.5" customHeight="1">
      <c r="A88" s="13"/>
      <c r="B88" s="14" t="s">
        <v>11</v>
      </c>
      <c r="C88" s="58">
        <v>264.54</v>
      </c>
      <c r="D88" s="58">
        <v>250.07000000000002</v>
      </c>
      <c r="E88" s="58">
        <v>250.06999999999996</v>
      </c>
      <c r="F88" s="58">
        <v>219.47</v>
      </c>
      <c r="G88" s="40">
        <v>5</v>
      </c>
      <c r="H88" s="29">
        <v>5</v>
      </c>
      <c r="I88" s="25">
        <f aca="true" t="shared" si="69" ref="I88:N88">E88</f>
        <v>250.06999999999996</v>
      </c>
      <c r="J88" s="25">
        <f t="shared" si="69"/>
        <v>219.47</v>
      </c>
      <c r="K88" s="29">
        <f t="shared" si="69"/>
        <v>5</v>
      </c>
      <c r="L88" s="29">
        <f t="shared" si="69"/>
        <v>5</v>
      </c>
      <c r="M88" s="25">
        <f t="shared" si="69"/>
        <v>250.06999999999996</v>
      </c>
      <c r="N88" s="25">
        <f t="shared" si="69"/>
        <v>219.47</v>
      </c>
      <c r="O88" s="29">
        <f>94166975.7/1000</f>
        <v>94166.97570000001</v>
      </c>
      <c r="P88" s="29">
        <v>94166.97570000001</v>
      </c>
      <c r="Q88" s="40">
        <f t="shared" si="24"/>
        <v>100</v>
      </c>
      <c r="R88" s="32" t="s">
        <v>2</v>
      </c>
      <c r="S88" s="26">
        <f>69109508.7/1000</f>
        <v>69109.5087</v>
      </c>
      <c r="T88" s="29">
        <v>69109.5087</v>
      </c>
      <c r="U88" s="73">
        <f>S88-T88</f>
        <v>0</v>
      </c>
      <c r="V88" s="26">
        <f t="shared" si="39"/>
        <v>100</v>
      </c>
      <c r="W88" s="35" t="s">
        <v>97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</row>
    <row r="89" spans="1:81" s="44" customFormat="1" ht="28.5" customHeight="1">
      <c r="A89" s="5">
        <v>9</v>
      </c>
      <c r="B89" s="7" t="s">
        <v>35</v>
      </c>
      <c r="C89" s="59" t="e">
        <f>#REF!+#REF!+C90</f>
        <v>#REF!</v>
      </c>
      <c r="D89" s="59" t="e">
        <f>#REF!+#REF!+D90</f>
        <v>#REF!</v>
      </c>
      <c r="E89" s="59">
        <f>E90</f>
        <v>329.0799999999999</v>
      </c>
      <c r="F89" s="59">
        <f aca="true" t="shared" si="70" ref="F89:U89">F90</f>
        <v>136.64</v>
      </c>
      <c r="G89" s="76">
        <f t="shared" si="70"/>
        <v>6</v>
      </c>
      <c r="H89" s="76">
        <f t="shared" si="70"/>
        <v>3</v>
      </c>
      <c r="I89" s="59">
        <f t="shared" si="70"/>
        <v>329.0799999999999</v>
      </c>
      <c r="J89" s="59">
        <f t="shared" si="70"/>
        <v>136.64</v>
      </c>
      <c r="K89" s="76">
        <f t="shared" si="70"/>
        <v>6</v>
      </c>
      <c r="L89" s="76">
        <f t="shared" si="70"/>
        <v>3</v>
      </c>
      <c r="M89" s="59">
        <f t="shared" si="70"/>
        <v>329.0799999999999</v>
      </c>
      <c r="N89" s="59">
        <f t="shared" si="70"/>
        <v>136.64</v>
      </c>
      <c r="O89" s="76">
        <f t="shared" si="70"/>
        <v>137656.786</v>
      </c>
      <c r="P89" s="76">
        <f t="shared" si="70"/>
        <v>137656.786</v>
      </c>
      <c r="Q89" s="76">
        <f t="shared" si="24"/>
        <v>100</v>
      </c>
      <c r="R89" s="10"/>
      <c r="S89" s="76">
        <f t="shared" si="70"/>
        <v>41977.047</v>
      </c>
      <c r="T89" s="76">
        <f t="shared" si="70"/>
        <v>41977.047</v>
      </c>
      <c r="U89" s="76">
        <f t="shared" si="70"/>
        <v>0</v>
      </c>
      <c r="V89" s="61">
        <f t="shared" si="39"/>
        <v>100</v>
      </c>
      <c r="W89" s="2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</row>
    <row r="90" spans="1:81" s="21" customFormat="1" ht="25.5" customHeight="1">
      <c r="A90" s="13"/>
      <c r="B90" s="14" t="s">
        <v>11</v>
      </c>
      <c r="C90" s="58">
        <v>329.0799999999999</v>
      </c>
      <c r="D90" s="58">
        <v>136.64</v>
      </c>
      <c r="E90" s="58">
        <f>C90</f>
        <v>329.0799999999999</v>
      </c>
      <c r="F90" s="58">
        <f>D90</f>
        <v>136.64</v>
      </c>
      <c r="G90" s="40">
        <v>6</v>
      </c>
      <c r="H90" s="29">
        <v>3</v>
      </c>
      <c r="I90" s="25">
        <f aca="true" t="shared" si="71" ref="I90:N90">E90</f>
        <v>329.0799999999999</v>
      </c>
      <c r="J90" s="25">
        <f t="shared" si="71"/>
        <v>136.64</v>
      </c>
      <c r="K90" s="29">
        <f t="shared" si="71"/>
        <v>6</v>
      </c>
      <c r="L90" s="29">
        <f t="shared" si="71"/>
        <v>3</v>
      </c>
      <c r="M90" s="25">
        <f t="shared" si="71"/>
        <v>329.0799999999999</v>
      </c>
      <c r="N90" s="25">
        <f t="shared" si="71"/>
        <v>136.64</v>
      </c>
      <c r="O90" s="29">
        <f>137656786/1000</f>
        <v>137656.786</v>
      </c>
      <c r="P90" s="29">
        <v>137656.786</v>
      </c>
      <c r="Q90" s="40">
        <f t="shared" si="24"/>
        <v>100</v>
      </c>
      <c r="R90" s="32" t="s">
        <v>2</v>
      </c>
      <c r="S90" s="26">
        <f>41977047/1000</f>
        <v>41977.047</v>
      </c>
      <c r="T90" s="29">
        <v>41977.047</v>
      </c>
      <c r="U90" s="73">
        <f>S90-T90</f>
        <v>0</v>
      </c>
      <c r="V90" s="26">
        <f t="shared" si="39"/>
        <v>100</v>
      </c>
      <c r="W90" s="35" t="s">
        <v>97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</row>
    <row r="91" spans="1:81" s="44" customFormat="1" ht="32.25" customHeight="1">
      <c r="A91" s="5">
        <v>10</v>
      </c>
      <c r="B91" s="7" t="s">
        <v>36</v>
      </c>
      <c r="C91" s="59" t="e">
        <f>#REF!+#REF!+C92</f>
        <v>#REF!</v>
      </c>
      <c r="D91" s="59" t="e">
        <f>#REF!+#REF!+D92</f>
        <v>#REF!</v>
      </c>
      <c r="E91" s="59">
        <f>E92</f>
        <v>351.1799999999997</v>
      </c>
      <c r="F91" s="59">
        <f aca="true" t="shared" si="72" ref="F91:U91">F92</f>
        <v>342.10999999999996</v>
      </c>
      <c r="G91" s="76">
        <f t="shared" si="72"/>
        <v>11</v>
      </c>
      <c r="H91" s="76">
        <f t="shared" si="72"/>
        <v>10</v>
      </c>
      <c r="I91" s="59">
        <f t="shared" si="72"/>
        <v>351.1799999999997</v>
      </c>
      <c r="J91" s="59">
        <f t="shared" si="72"/>
        <v>342.10999999999996</v>
      </c>
      <c r="K91" s="76">
        <f t="shared" si="72"/>
        <v>11</v>
      </c>
      <c r="L91" s="76">
        <f t="shared" si="72"/>
        <v>10</v>
      </c>
      <c r="M91" s="59">
        <f t="shared" si="72"/>
        <v>351.1799999999997</v>
      </c>
      <c r="N91" s="59">
        <f t="shared" si="72"/>
        <v>342.10999999999996</v>
      </c>
      <c r="O91" s="76">
        <f t="shared" si="72"/>
        <v>121063.979</v>
      </c>
      <c r="P91" s="76">
        <f t="shared" si="72"/>
        <v>121063.979</v>
      </c>
      <c r="Q91" s="76">
        <f t="shared" si="24"/>
        <v>100</v>
      </c>
      <c r="R91" s="10"/>
      <c r="S91" s="76">
        <f t="shared" si="72"/>
        <v>107869.5063</v>
      </c>
      <c r="T91" s="76">
        <f t="shared" si="72"/>
        <v>107869.5063</v>
      </c>
      <c r="U91" s="76">
        <f t="shared" si="72"/>
        <v>0</v>
      </c>
      <c r="V91" s="61">
        <f t="shared" si="39"/>
        <v>100</v>
      </c>
      <c r="W91" s="2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</row>
    <row r="92" spans="1:81" s="21" customFormat="1" ht="24" customHeight="1">
      <c r="A92" s="13"/>
      <c r="B92" s="14" t="s">
        <v>11</v>
      </c>
      <c r="C92" s="58">
        <v>351.1799999999997</v>
      </c>
      <c r="D92" s="58">
        <v>342.10999999999996</v>
      </c>
      <c r="E92" s="58">
        <f>C92</f>
        <v>351.1799999999997</v>
      </c>
      <c r="F92" s="58">
        <f>D92</f>
        <v>342.10999999999996</v>
      </c>
      <c r="G92" s="40">
        <v>11</v>
      </c>
      <c r="H92" s="29">
        <v>10</v>
      </c>
      <c r="I92" s="25">
        <f aca="true" t="shared" si="73" ref="I92:N92">E92</f>
        <v>351.1799999999997</v>
      </c>
      <c r="J92" s="25">
        <f t="shared" si="73"/>
        <v>342.10999999999996</v>
      </c>
      <c r="K92" s="29">
        <f t="shared" si="73"/>
        <v>11</v>
      </c>
      <c r="L92" s="29">
        <f t="shared" si="73"/>
        <v>10</v>
      </c>
      <c r="M92" s="25">
        <f t="shared" si="73"/>
        <v>351.1799999999997</v>
      </c>
      <c r="N92" s="25">
        <f t="shared" si="73"/>
        <v>342.10999999999996</v>
      </c>
      <c r="O92" s="29">
        <v>121063.979</v>
      </c>
      <c r="P92" s="29">
        <f>121063979/1000</f>
        <v>121063.979</v>
      </c>
      <c r="Q92" s="40">
        <f t="shared" si="24"/>
        <v>100</v>
      </c>
      <c r="R92" s="32" t="s">
        <v>138</v>
      </c>
      <c r="S92" s="26">
        <f>107869506.3/1000</f>
        <v>107869.5063</v>
      </c>
      <c r="T92" s="29">
        <v>107869.5063</v>
      </c>
      <c r="U92" s="73">
        <f>S92-T92</f>
        <v>0</v>
      </c>
      <c r="V92" s="26">
        <f t="shared" si="39"/>
        <v>100</v>
      </c>
      <c r="W92" s="35" t="s">
        <v>139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:81" s="44" customFormat="1" ht="28.5" customHeight="1">
      <c r="A93" s="5">
        <v>11</v>
      </c>
      <c r="B93" s="7" t="s">
        <v>37</v>
      </c>
      <c r="C93" s="59" t="e">
        <f>#REF!+#REF!+C94</f>
        <v>#REF!</v>
      </c>
      <c r="D93" s="59" t="e">
        <f>#REF!+#REF!+D94</f>
        <v>#REF!</v>
      </c>
      <c r="E93" s="59">
        <f>E94</f>
        <v>160.44</v>
      </c>
      <c r="F93" s="59">
        <f aca="true" t="shared" si="74" ref="F93:U93">F94</f>
        <v>45.87</v>
      </c>
      <c r="G93" s="76">
        <f t="shared" si="74"/>
        <v>3</v>
      </c>
      <c r="H93" s="76">
        <f t="shared" si="74"/>
        <v>2</v>
      </c>
      <c r="I93" s="59">
        <f t="shared" si="74"/>
        <v>160.44</v>
      </c>
      <c r="J93" s="59">
        <f t="shared" si="74"/>
        <v>45.87</v>
      </c>
      <c r="K93" s="76">
        <f t="shared" si="74"/>
        <v>3</v>
      </c>
      <c r="L93" s="76">
        <f t="shared" si="74"/>
        <v>2</v>
      </c>
      <c r="M93" s="59">
        <f t="shared" si="74"/>
        <v>160.44</v>
      </c>
      <c r="N93" s="59">
        <f t="shared" si="74"/>
        <v>45.87</v>
      </c>
      <c r="O93" s="76">
        <f t="shared" si="74"/>
        <v>60532.599</v>
      </c>
      <c r="P93" s="76">
        <f t="shared" si="74"/>
        <v>60532.599</v>
      </c>
      <c r="Q93" s="76">
        <f t="shared" si="24"/>
        <v>100</v>
      </c>
      <c r="R93" s="10"/>
      <c r="S93" s="76">
        <f t="shared" si="74"/>
        <v>17592</v>
      </c>
      <c r="T93" s="76">
        <f t="shared" si="74"/>
        <v>17592</v>
      </c>
      <c r="U93" s="76">
        <f t="shared" si="74"/>
        <v>0</v>
      </c>
      <c r="V93" s="26">
        <f t="shared" si="39"/>
        <v>100</v>
      </c>
      <c r="W93" s="2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:81" s="21" customFormat="1" ht="27" customHeight="1">
      <c r="A94" s="13"/>
      <c r="B94" s="14" t="s">
        <v>11</v>
      </c>
      <c r="C94" s="58">
        <v>179.19</v>
      </c>
      <c r="D94" s="58">
        <v>160.44</v>
      </c>
      <c r="E94" s="58">
        <v>160.44</v>
      </c>
      <c r="F94" s="58">
        <v>45.87</v>
      </c>
      <c r="G94" s="29">
        <v>3</v>
      </c>
      <c r="H94" s="29">
        <v>2</v>
      </c>
      <c r="I94" s="25">
        <v>160.44</v>
      </c>
      <c r="J94" s="25">
        <v>45.87</v>
      </c>
      <c r="K94" s="29">
        <v>3</v>
      </c>
      <c r="L94" s="29">
        <v>2</v>
      </c>
      <c r="M94" s="25">
        <v>160.44</v>
      </c>
      <c r="N94" s="25">
        <v>45.87</v>
      </c>
      <c r="O94" s="29">
        <v>60532.599</v>
      </c>
      <c r="P94" s="29">
        <v>60532.599</v>
      </c>
      <c r="Q94" s="40">
        <f aca="true" t="shared" si="75" ref="Q94:Q141">P94/O94*100</f>
        <v>100</v>
      </c>
      <c r="R94" s="32" t="s">
        <v>104</v>
      </c>
      <c r="S94" s="26">
        <v>17592</v>
      </c>
      <c r="T94" s="29">
        <v>17592</v>
      </c>
      <c r="U94" s="73">
        <f>S94-T94</f>
        <v>0</v>
      </c>
      <c r="V94" s="26">
        <f t="shared" si="39"/>
        <v>100</v>
      </c>
      <c r="W94" s="35" t="s">
        <v>105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</row>
    <row r="95" spans="1:81" s="6" customFormat="1" ht="31.5" customHeight="1">
      <c r="A95" s="42" t="s">
        <v>38</v>
      </c>
      <c r="B95" s="43" t="s">
        <v>47</v>
      </c>
      <c r="C95" s="59" t="e">
        <f>#REF!+#REF!+C96</f>
        <v>#REF!</v>
      </c>
      <c r="D95" s="59" t="e">
        <f>#REF!+#REF!+D96</f>
        <v>#REF!</v>
      </c>
      <c r="E95" s="59">
        <f>E96</f>
        <v>2035.8200000000002</v>
      </c>
      <c r="F95" s="59">
        <f aca="true" t="shared" si="76" ref="F95:W95">F96</f>
        <v>1909.58</v>
      </c>
      <c r="G95" s="76">
        <f t="shared" si="76"/>
        <v>24</v>
      </c>
      <c r="H95" s="76">
        <f t="shared" si="76"/>
        <v>22</v>
      </c>
      <c r="I95" s="59">
        <f t="shared" si="76"/>
        <v>2035.8200000000002</v>
      </c>
      <c r="J95" s="59">
        <f t="shared" si="76"/>
        <v>1909.58</v>
      </c>
      <c r="K95" s="76">
        <f t="shared" si="76"/>
        <v>24</v>
      </c>
      <c r="L95" s="76">
        <f t="shared" si="76"/>
        <v>22</v>
      </c>
      <c r="M95" s="59">
        <f t="shared" si="76"/>
        <v>2035.8200000000002</v>
      </c>
      <c r="N95" s="59">
        <f t="shared" si="76"/>
        <v>1909.58</v>
      </c>
      <c r="O95" s="76">
        <f t="shared" si="76"/>
        <v>1243406.4586999998</v>
      </c>
      <c r="P95" s="76">
        <f t="shared" si="76"/>
        <v>1241819.3576999998</v>
      </c>
      <c r="Q95" s="76">
        <f t="shared" si="75"/>
        <v>99.87235863310062</v>
      </c>
      <c r="R95" s="10"/>
      <c r="S95" s="76">
        <f t="shared" si="76"/>
        <v>874454.3432</v>
      </c>
      <c r="T95" s="76">
        <f t="shared" si="76"/>
        <v>855074.0593999999</v>
      </c>
      <c r="U95" s="76">
        <f t="shared" si="76"/>
        <v>19380.283800000092</v>
      </c>
      <c r="V95" s="61">
        <f t="shared" si="39"/>
        <v>97.7837283386255</v>
      </c>
      <c r="W95" s="11">
        <f t="shared" si="76"/>
        <v>0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</row>
    <row r="96" spans="1:81" s="21" customFormat="1" ht="24" customHeight="1">
      <c r="A96" s="13"/>
      <c r="B96" s="14" t="s">
        <v>11</v>
      </c>
      <c r="C96" s="58">
        <f aca="true" t="shared" si="77" ref="C96:P96">C98+C100+C102+C104+C106+C108+C110</f>
        <v>2038.73</v>
      </c>
      <c r="D96" s="58">
        <f t="shared" si="77"/>
        <v>1946.63</v>
      </c>
      <c r="E96" s="58">
        <f t="shared" si="77"/>
        <v>2035.8200000000002</v>
      </c>
      <c r="F96" s="58">
        <f t="shared" si="77"/>
        <v>1909.58</v>
      </c>
      <c r="G96" s="40">
        <f t="shared" si="77"/>
        <v>24</v>
      </c>
      <c r="H96" s="40">
        <f t="shared" si="77"/>
        <v>22</v>
      </c>
      <c r="I96" s="58">
        <f t="shared" si="77"/>
        <v>2035.8200000000002</v>
      </c>
      <c r="J96" s="58">
        <f t="shared" si="77"/>
        <v>1909.58</v>
      </c>
      <c r="K96" s="40">
        <f t="shared" si="77"/>
        <v>24</v>
      </c>
      <c r="L96" s="40">
        <f t="shared" si="77"/>
        <v>22</v>
      </c>
      <c r="M96" s="58">
        <f t="shared" si="77"/>
        <v>2035.8200000000002</v>
      </c>
      <c r="N96" s="58">
        <f t="shared" si="77"/>
        <v>1909.58</v>
      </c>
      <c r="O96" s="40">
        <f t="shared" si="77"/>
        <v>1243406.4586999998</v>
      </c>
      <c r="P96" s="40">
        <f t="shared" si="77"/>
        <v>1241819.3576999998</v>
      </c>
      <c r="Q96" s="40">
        <f t="shared" si="75"/>
        <v>99.87235863310062</v>
      </c>
      <c r="R96" s="55"/>
      <c r="S96" s="40">
        <f>S98+S100+S102+S104+S106+S108+S110</f>
        <v>874454.3432</v>
      </c>
      <c r="T96" s="40">
        <f>T98+T100+T102+T104+T106+T108+T110</f>
        <v>855074.0593999999</v>
      </c>
      <c r="U96" s="73">
        <f>S96-T96</f>
        <v>19380.283800000092</v>
      </c>
      <c r="V96" s="26">
        <f t="shared" si="39"/>
        <v>97.7837283386255</v>
      </c>
      <c r="W96" s="56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</row>
    <row r="97" spans="1:81" s="44" customFormat="1" ht="27" customHeight="1">
      <c r="A97" s="5">
        <v>1</v>
      </c>
      <c r="B97" s="7" t="s">
        <v>49</v>
      </c>
      <c r="C97" s="59" t="e">
        <f>#REF!+#REF!+C98</f>
        <v>#REF!</v>
      </c>
      <c r="D97" s="59" t="e">
        <f>#REF!+#REF!+D98</f>
        <v>#REF!</v>
      </c>
      <c r="E97" s="59">
        <f>E98</f>
        <v>394.18</v>
      </c>
      <c r="F97" s="59">
        <f aca="true" t="shared" si="78" ref="F97:U97">F98</f>
        <v>381.38</v>
      </c>
      <c r="G97" s="76">
        <f t="shared" si="78"/>
        <v>4</v>
      </c>
      <c r="H97" s="76">
        <f t="shared" si="78"/>
        <v>4</v>
      </c>
      <c r="I97" s="59">
        <f t="shared" si="78"/>
        <v>394.18</v>
      </c>
      <c r="J97" s="59">
        <f t="shared" si="78"/>
        <v>381.38</v>
      </c>
      <c r="K97" s="76">
        <f t="shared" si="78"/>
        <v>4</v>
      </c>
      <c r="L97" s="76">
        <f t="shared" si="78"/>
        <v>4</v>
      </c>
      <c r="M97" s="59">
        <f t="shared" si="78"/>
        <v>394.18</v>
      </c>
      <c r="N97" s="59">
        <f t="shared" si="78"/>
        <v>381.38</v>
      </c>
      <c r="O97" s="76">
        <f t="shared" si="78"/>
        <v>240844.91569999998</v>
      </c>
      <c r="P97" s="76">
        <f t="shared" si="78"/>
        <v>240844.91569999998</v>
      </c>
      <c r="Q97" s="76">
        <f t="shared" si="75"/>
        <v>100</v>
      </c>
      <c r="R97" s="10"/>
      <c r="S97" s="76">
        <f t="shared" si="78"/>
        <v>173926.3554</v>
      </c>
      <c r="T97" s="76">
        <f t="shared" si="78"/>
        <v>173926.3554</v>
      </c>
      <c r="U97" s="76">
        <f t="shared" si="78"/>
        <v>0</v>
      </c>
      <c r="V97" s="61">
        <f t="shared" si="39"/>
        <v>100</v>
      </c>
      <c r="W97" s="2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</row>
    <row r="98" spans="1:81" s="21" customFormat="1" ht="25.5">
      <c r="A98" s="13"/>
      <c r="B98" s="14" t="s">
        <v>11</v>
      </c>
      <c r="C98" s="58">
        <v>394.18</v>
      </c>
      <c r="D98" s="58">
        <v>394.18</v>
      </c>
      <c r="E98" s="58">
        <v>394.18</v>
      </c>
      <c r="F98" s="58">
        <v>381.38</v>
      </c>
      <c r="G98" s="29">
        <v>4</v>
      </c>
      <c r="H98" s="29">
        <v>4</v>
      </c>
      <c r="I98" s="25">
        <v>394.18</v>
      </c>
      <c r="J98" s="25">
        <v>381.38</v>
      </c>
      <c r="K98" s="29">
        <v>4</v>
      </c>
      <c r="L98" s="29">
        <v>4</v>
      </c>
      <c r="M98" s="25">
        <v>394.18</v>
      </c>
      <c r="N98" s="25">
        <v>381.38</v>
      </c>
      <c r="O98" s="29">
        <v>240844.91569999998</v>
      </c>
      <c r="P98" s="29">
        <v>240844.91569999998</v>
      </c>
      <c r="Q98" s="40">
        <f t="shared" si="75"/>
        <v>100</v>
      </c>
      <c r="R98" s="32" t="s">
        <v>142</v>
      </c>
      <c r="S98" s="26">
        <v>173926.3554</v>
      </c>
      <c r="T98" s="29">
        <v>173926.3554</v>
      </c>
      <c r="U98" s="29"/>
      <c r="V98" s="26">
        <f t="shared" si="39"/>
        <v>100</v>
      </c>
      <c r="W98" s="35" t="s">
        <v>143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</row>
    <row r="99" spans="1:81" s="44" customFormat="1" ht="25.5" customHeight="1">
      <c r="A99" s="5">
        <v>2</v>
      </c>
      <c r="B99" s="7" t="s">
        <v>48</v>
      </c>
      <c r="C99" s="59" t="e">
        <f>#REF!+#REF!+C100</f>
        <v>#REF!</v>
      </c>
      <c r="D99" s="59" t="e">
        <f>#REF!+#REF!+D100</f>
        <v>#REF!</v>
      </c>
      <c r="E99" s="59">
        <f>E100</f>
        <v>145.14</v>
      </c>
      <c r="F99" s="59">
        <f aca="true" t="shared" si="79" ref="F99:U99">F100</f>
        <v>142.76</v>
      </c>
      <c r="G99" s="76">
        <f t="shared" si="79"/>
        <v>1</v>
      </c>
      <c r="H99" s="76">
        <f t="shared" si="79"/>
        <v>1</v>
      </c>
      <c r="I99" s="59">
        <f t="shared" si="79"/>
        <v>145.14</v>
      </c>
      <c r="J99" s="59">
        <f t="shared" si="79"/>
        <v>142.76</v>
      </c>
      <c r="K99" s="76">
        <f t="shared" si="79"/>
        <v>1</v>
      </c>
      <c r="L99" s="76">
        <f t="shared" si="79"/>
        <v>1</v>
      </c>
      <c r="M99" s="59">
        <f t="shared" si="79"/>
        <v>145.14</v>
      </c>
      <c r="N99" s="59">
        <f t="shared" si="79"/>
        <v>142.76</v>
      </c>
      <c r="O99" s="76">
        <f t="shared" si="79"/>
        <v>88842.67</v>
      </c>
      <c r="P99" s="76">
        <f t="shared" si="79"/>
        <v>88842.67</v>
      </c>
      <c r="Q99" s="76">
        <f t="shared" si="75"/>
        <v>100</v>
      </c>
      <c r="R99" s="10"/>
      <c r="S99" s="76">
        <f t="shared" si="79"/>
        <v>64258.433</v>
      </c>
      <c r="T99" s="76">
        <f t="shared" si="79"/>
        <v>64258.433</v>
      </c>
      <c r="U99" s="76">
        <f t="shared" si="79"/>
        <v>0</v>
      </c>
      <c r="V99" s="61">
        <f t="shared" si="39"/>
        <v>100</v>
      </c>
      <c r="W99" s="2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</row>
    <row r="100" spans="1:81" s="21" customFormat="1" ht="28.5" customHeight="1">
      <c r="A100" s="13"/>
      <c r="B100" s="14" t="s">
        <v>11</v>
      </c>
      <c r="C100" s="58">
        <v>146.14</v>
      </c>
      <c r="D100" s="58">
        <v>146.14</v>
      </c>
      <c r="E100" s="58">
        <v>145.14</v>
      </c>
      <c r="F100" s="58">
        <v>142.76</v>
      </c>
      <c r="G100" s="29">
        <v>1</v>
      </c>
      <c r="H100" s="29">
        <v>1</v>
      </c>
      <c r="I100" s="25">
        <v>145.14</v>
      </c>
      <c r="J100" s="25">
        <v>142.76</v>
      </c>
      <c r="K100" s="29">
        <v>1</v>
      </c>
      <c r="L100" s="29">
        <v>1</v>
      </c>
      <c r="M100" s="25">
        <v>145.14</v>
      </c>
      <c r="N100" s="25">
        <v>142.76</v>
      </c>
      <c r="O100" s="29">
        <v>88842.67</v>
      </c>
      <c r="P100" s="29">
        <v>88842.67</v>
      </c>
      <c r="Q100" s="40">
        <f t="shared" si="75"/>
        <v>100</v>
      </c>
      <c r="R100" s="32" t="s">
        <v>83</v>
      </c>
      <c r="S100" s="26">
        <v>64258.433</v>
      </c>
      <c r="T100" s="29">
        <v>64258.433</v>
      </c>
      <c r="U100" s="29"/>
      <c r="V100" s="26">
        <f t="shared" si="39"/>
        <v>100</v>
      </c>
      <c r="W100" s="35" t="s">
        <v>84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</row>
    <row r="101" spans="1:81" s="44" customFormat="1" ht="33.75" customHeight="1">
      <c r="A101" s="5">
        <v>3</v>
      </c>
      <c r="B101" s="7" t="s">
        <v>52</v>
      </c>
      <c r="C101" s="59" t="e">
        <f>#REF!+#REF!+C102</f>
        <v>#REF!</v>
      </c>
      <c r="D101" s="59" t="e">
        <f>#REF!+#REF!+D102</f>
        <v>#REF!</v>
      </c>
      <c r="E101" s="59">
        <f>E102</f>
        <v>918.14</v>
      </c>
      <c r="F101" s="59">
        <f aca="true" t="shared" si="80" ref="F101:U101">F102</f>
        <v>901.77</v>
      </c>
      <c r="G101" s="76">
        <f t="shared" si="80"/>
        <v>7</v>
      </c>
      <c r="H101" s="76">
        <f t="shared" si="80"/>
        <v>7</v>
      </c>
      <c r="I101" s="59">
        <f t="shared" si="80"/>
        <v>918.14</v>
      </c>
      <c r="J101" s="59">
        <f t="shared" si="80"/>
        <v>901.77</v>
      </c>
      <c r="K101" s="76">
        <f t="shared" si="80"/>
        <v>7</v>
      </c>
      <c r="L101" s="76">
        <f t="shared" si="80"/>
        <v>7</v>
      </c>
      <c r="M101" s="59">
        <f t="shared" si="80"/>
        <v>918.14</v>
      </c>
      <c r="N101" s="59">
        <f t="shared" si="80"/>
        <v>901.77</v>
      </c>
      <c r="O101" s="76">
        <f t="shared" si="80"/>
        <v>569934</v>
      </c>
      <c r="P101" s="76">
        <f t="shared" si="80"/>
        <v>569934</v>
      </c>
      <c r="Q101" s="76">
        <f t="shared" si="75"/>
        <v>100</v>
      </c>
      <c r="R101" s="10"/>
      <c r="S101" s="76">
        <f t="shared" si="80"/>
        <v>414102</v>
      </c>
      <c r="T101" s="76">
        <f t="shared" si="80"/>
        <v>414102</v>
      </c>
      <c r="U101" s="76">
        <f t="shared" si="80"/>
        <v>0</v>
      </c>
      <c r="V101" s="61">
        <f t="shared" si="39"/>
        <v>100</v>
      </c>
      <c r="W101" s="2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</row>
    <row r="102" spans="1:81" s="21" customFormat="1" ht="38.25">
      <c r="A102" s="13"/>
      <c r="B102" s="14" t="s">
        <v>11</v>
      </c>
      <c r="C102" s="58">
        <v>918.14</v>
      </c>
      <c r="D102" s="58">
        <v>901.77</v>
      </c>
      <c r="E102" s="58">
        <v>918.14</v>
      </c>
      <c r="F102" s="58">
        <v>901.77</v>
      </c>
      <c r="G102" s="29">
        <v>7</v>
      </c>
      <c r="H102" s="29">
        <v>7</v>
      </c>
      <c r="I102" s="25">
        <v>918.14</v>
      </c>
      <c r="J102" s="25">
        <v>901.77</v>
      </c>
      <c r="K102" s="29">
        <v>7</v>
      </c>
      <c r="L102" s="29">
        <v>7</v>
      </c>
      <c r="M102" s="25">
        <v>918.14</v>
      </c>
      <c r="N102" s="25">
        <v>901.77</v>
      </c>
      <c r="O102" s="29">
        <v>569934</v>
      </c>
      <c r="P102" s="29">
        <v>569934</v>
      </c>
      <c r="Q102" s="40">
        <f t="shared" si="75"/>
        <v>100</v>
      </c>
      <c r="R102" s="32" t="s">
        <v>120</v>
      </c>
      <c r="S102" s="26">
        <v>414102</v>
      </c>
      <c r="T102" s="29">
        <v>414102</v>
      </c>
      <c r="U102" s="29"/>
      <c r="V102" s="26">
        <f t="shared" si="39"/>
        <v>100</v>
      </c>
      <c r="W102" s="35" t="s">
        <v>121</v>
      </c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</row>
    <row r="103" spans="1:81" s="44" customFormat="1" ht="27.75" customHeight="1">
      <c r="A103" s="5">
        <v>4</v>
      </c>
      <c r="B103" s="7" t="s">
        <v>50</v>
      </c>
      <c r="C103" s="59" t="e">
        <f>#REF!+#REF!+C104</f>
        <v>#REF!</v>
      </c>
      <c r="D103" s="59" t="e">
        <f>#REF!+#REF!+D104</f>
        <v>#REF!</v>
      </c>
      <c r="E103" s="59">
        <f>E104</f>
        <v>410.94</v>
      </c>
      <c r="F103" s="59">
        <f aca="true" t="shared" si="81" ref="F103:U103">F104</f>
        <v>390.95</v>
      </c>
      <c r="G103" s="76">
        <f t="shared" si="81"/>
        <v>4</v>
      </c>
      <c r="H103" s="76">
        <f t="shared" si="81"/>
        <v>4</v>
      </c>
      <c r="I103" s="59">
        <f t="shared" si="81"/>
        <v>410.94</v>
      </c>
      <c r="J103" s="59">
        <f t="shared" si="81"/>
        <v>390.95</v>
      </c>
      <c r="K103" s="76">
        <f t="shared" si="81"/>
        <v>4</v>
      </c>
      <c r="L103" s="76">
        <f t="shared" si="81"/>
        <v>4</v>
      </c>
      <c r="M103" s="59">
        <f t="shared" si="81"/>
        <v>410.94</v>
      </c>
      <c r="N103" s="59">
        <f t="shared" si="81"/>
        <v>390.95</v>
      </c>
      <c r="O103" s="76">
        <f t="shared" si="81"/>
        <v>246930</v>
      </c>
      <c r="P103" s="76">
        <f t="shared" si="81"/>
        <v>246930</v>
      </c>
      <c r="Q103" s="76">
        <f t="shared" si="75"/>
        <v>100</v>
      </c>
      <c r="R103" s="10"/>
      <c r="S103" s="76">
        <f t="shared" si="81"/>
        <v>173011.51080000002</v>
      </c>
      <c r="T103" s="76">
        <f t="shared" si="81"/>
        <v>155453</v>
      </c>
      <c r="U103" s="76">
        <f t="shared" si="81"/>
        <v>17558.51080000002</v>
      </c>
      <c r="V103" s="61">
        <f t="shared" si="39"/>
        <v>89.8512470535573</v>
      </c>
      <c r="W103" s="2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</row>
    <row r="104" spans="1:81" s="21" customFormat="1" ht="38.25">
      <c r="A104" s="13"/>
      <c r="B104" s="14" t="s">
        <v>11</v>
      </c>
      <c r="C104" s="58">
        <v>410.94</v>
      </c>
      <c r="D104" s="58">
        <v>410.94</v>
      </c>
      <c r="E104" s="58">
        <v>410.94</v>
      </c>
      <c r="F104" s="58">
        <v>390.95</v>
      </c>
      <c r="G104" s="29">
        <v>4</v>
      </c>
      <c r="H104" s="29">
        <v>4</v>
      </c>
      <c r="I104" s="25">
        <v>410.94</v>
      </c>
      <c r="J104" s="25">
        <v>390.95</v>
      </c>
      <c r="K104" s="29">
        <v>4</v>
      </c>
      <c r="L104" s="29">
        <v>4</v>
      </c>
      <c r="M104" s="25">
        <v>410.94</v>
      </c>
      <c r="N104" s="25">
        <v>390.95</v>
      </c>
      <c r="O104" s="29">
        <v>246930</v>
      </c>
      <c r="P104" s="29">
        <v>246930</v>
      </c>
      <c r="Q104" s="40">
        <f t="shared" si="75"/>
        <v>100</v>
      </c>
      <c r="R104" s="32" t="s">
        <v>145</v>
      </c>
      <c r="S104" s="26">
        <f>173011510.8/1000</f>
        <v>173011.51080000002</v>
      </c>
      <c r="T104" s="29">
        <v>155453</v>
      </c>
      <c r="U104" s="73">
        <f>S104-T104</f>
        <v>17558.51080000002</v>
      </c>
      <c r="V104" s="26">
        <f t="shared" si="39"/>
        <v>89.8512470535573</v>
      </c>
      <c r="W104" s="35" t="s">
        <v>144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</row>
    <row r="105" spans="1:81" s="44" customFormat="1" ht="37.5" customHeight="1">
      <c r="A105" s="5">
        <v>5</v>
      </c>
      <c r="B105" s="7" t="s">
        <v>51</v>
      </c>
      <c r="C105" s="59" t="e">
        <f>#REF!+#REF!+C106</f>
        <v>#REF!</v>
      </c>
      <c r="D105" s="59" t="e">
        <f>#REF!+#REF!+D106</f>
        <v>#REF!</v>
      </c>
      <c r="E105" s="59">
        <f>E106</f>
        <v>59.64999999999999</v>
      </c>
      <c r="F105" s="59">
        <f aca="true" t="shared" si="82" ref="F105:U105">F106</f>
        <v>58.76999999999999</v>
      </c>
      <c r="G105" s="76">
        <f t="shared" si="82"/>
        <v>5</v>
      </c>
      <c r="H105" s="76">
        <f t="shared" si="82"/>
        <v>5</v>
      </c>
      <c r="I105" s="59">
        <f t="shared" si="82"/>
        <v>59.64999999999999</v>
      </c>
      <c r="J105" s="59">
        <f t="shared" si="82"/>
        <v>58.76999999999999</v>
      </c>
      <c r="K105" s="76">
        <f t="shared" si="82"/>
        <v>5</v>
      </c>
      <c r="L105" s="76">
        <f t="shared" si="82"/>
        <v>5</v>
      </c>
      <c r="M105" s="59">
        <f t="shared" si="82"/>
        <v>59.64999999999999</v>
      </c>
      <c r="N105" s="59">
        <f t="shared" si="82"/>
        <v>58.76999999999999</v>
      </c>
      <c r="O105" s="76">
        <f t="shared" si="82"/>
        <v>33940.301</v>
      </c>
      <c r="P105" s="76">
        <f t="shared" si="82"/>
        <v>32353.2</v>
      </c>
      <c r="Q105" s="76">
        <f t="shared" si="75"/>
        <v>95.32384524226819</v>
      </c>
      <c r="R105" s="10"/>
      <c r="S105" s="76">
        <f t="shared" si="82"/>
        <v>33940</v>
      </c>
      <c r="T105" s="76">
        <f t="shared" si="82"/>
        <v>32118.227</v>
      </c>
      <c r="U105" s="76">
        <f t="shared" si="82"/>
        <v>1821.773000000001</v>
      </c>
      <c r="V105" s="61">
        <f t="shared" si="39"/>
        <v>94.63237183264584</v>
      </c>
      <c r="W105" s="2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</row>
    <row r="106" spans="1:81" s="21" customFormat="1" ht="25.5">
      <c r="A106" s="13"/>
      <c r="B106" s="14" t="s">
        <v>11</v>
      </c>
      <c r="C106" s="58">
        <v>61.56</v>
      </c>
      <c r="D106" s="58">
        <v>59.65</v>
      </c>
      <c r="E106" s="58">
        <v>59.64999999999999</v>
      </c>
      <c r="F106" s="58">
        <v>58.76999999999999</v>
      </c>
      <c r="G106" s="29">
        <v>5</v>
      </c>
      <c r="H106" s="29">
        <v>5</v>
      </c>
      <c r="I106" s="25">
        <f aca="true" t="shared" si="83" ref="I106:N106">E106</f>
        <v>59.64999999999999</v>
      </c>
      <c r="J106" s="25">
        <f t="shared" si="83"/>
        <v>58.76999999999999</v>
      </c>
      <c r="K106" s="29">
        <f t="shared" si="83"/>
        <v>5</v>
      </c>
      <c r="L106" s="29">
        <f t="shared" si="83"/>
        <v>5</v>
      </c>
      <c r="M106" s="25">
        <f t="shared" si="83"/>
        <v>59.64999999999999</v>
      </c>
      <c r="N106" s="25">
        <f t="shared" si="83"/>
        <v>58.76999999999999</v>
      </c>
      <c r="O106" s="29">
        <v>33940.301</v>
      </c>
      <c r="P106" s="29">
        <v>32353.2</v>
      </c>
      <c r="Q106" s="40">
        <f t="shared" si="75"/>
        <v>95.32384524226819</v>
      </c>
      <c r="R106" s="32" t="s">
        <v>118</v>
      </c>
      <c r="S106" s="26">
        <v>33940</v>
      </c>
      <c r="T106" s="29">
        <v>32118.227</v>
      </c>
      <c r="U106" s="73">
        <f>S106-T106</f>
        <v>1821.773000000001</v>
      </c>
      <c r="V106" s="26">
        <f t="shared" si="39"/>
        <v>94.63237183264584</v>
      </c>
      <c r="W106" s="35" t="s">
        <v>119</v>
      </c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</row>
    <row r="107" spans="1:81" s="44" customFormat="1" ht="26.25" customHeight="1">
      <c r="A107" s="5">
        <v>6</v>
      </c>
      <c r="B107" s="7" t="s">
        <v>54</v>
      </c>
      <c r="C107" s="59" t="e">
        <f>#REF!+#REF!+C108</f>
        <v>#REF!</v>
      </c>
      <c r="D107" s="59" t="e">
        <f>#REF!+#REF!+D108</f>
        <v>#REF!</v>
      </c>
      <c r="E107" s="59">
        <f>E108</f>
        <v>33.95</v>
      </c>
      <c r="F107" s="59">
        <f aca="true" t="shared" si="84" ref="F107:U107">F108</f>
        <v>33.95</v>
      </c>
      <c r="G107" s="76">
        <f t="shared" si="84"/>
        <v>1</v>
      </c>
      <c r="H107" s="76">
        <f t="shared" si="84"/>
        <v>1</v>
      </c>
      <c r="I107" s="59">
        <f t="shared" si="84"/>
        <v>33.95</v>
      </c>
      <c r="J107" s="59">
        <f t="shared" si="84"/>
        <v>33.95</v>
      </c>
      <c r="K107" s="76">
        <f t="shared" si="84"/>
        <v>1</v>
      </c>
      <c r="L107" s="76">
        <f t="shared" si="84"/>
        <v>1</v>
      </c>
      <c r="M107" s="59">
        <f t="shared" si="84"/>
        <v>33.95</v>
      </c>
      <c r="N107" s="59">
        <f t="shared" si="84"/>
        <v>33.95</v>
      </c>
      <c r="O107" s="76">
        <f t="shared" si="84"/>
        <v>20555.572</v>
      </c>
      <c r="P107" s="76">
        <f t="shared" si="84"/>
        <v>20555.572</v>
      </c>
      <c r="Q107" s="76">
        <f t="shared" si="75"/>
        <v>100</v>
      </c>
      <c r="R107" s="10"/>
      <c r="S107" s="76">
        <f t="shared" si="84"/>
        <v>15216.044</v>
      </c>
      <c r="T107" s="76">
        <f t="shared" si="84"/>
        <v>15216.044</v>
      </c>
      <c r="U107" s="76">
        <f t="shared" si="84"/>
        <v>0</v>
      </c>
      <c r="V107" s="61">
        <f t="shared" si="39"/>
        <v>100</v>
      </c>
      <c r="W107" s="2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</row>
    <row r="108" spans="1:81" s="21" customFormat="1" ht="38.25">
      <c r="A108" s="13"/>
      <c r="B108" s="14" t="s">
        <v>11</v>
      </c>
      <c r="C108" s="58">
        <v>33.95</v>
      </c>
      <c r="D108" s="58">
        <v>33.95</v>
      </c>
      <c r="E108" s="58">
        <v>33.95</v>
      </c>
      <c r="F108" s="58">
        <v>33.95</v>
      </c>
      <c r="G108" s="29">
        <v>1</v>
      </c>
      <c r="H108" s="29">
        <v>1</v>
      </c>
      <c r="I108" s="25">
        <v>33.95</v>
      </c>
      <c r="J108" s="25">
        <v>33.95</v>
      </c>
      <c r="K108" s="29">
        <v>1</v>
      </c>
      <c r="L108" s="29">
        <v>1</v>
      </c>
      <c r="M108" s="25">
        <v>33.95</v>
      </c>
      <c r="N108" s="25">
        <v>33.95</v>
      </c>
      <c r="O108" s="29">
        <v>20555.572</v>
      </c>
      <c r="P108" s="29">
        <v>20555.572</v>
      </c>
      <c r="Q108" s="40">
        <f t="shared" si="75"/>
        <v>100</v>
      </c>
      <c r="R108" s="32" t="s">
        <v>146</v>
      </c>
      <c r="S108" s="26">
        <v>15216.044</v>
      </c>
      <c r="T108" s="29">
        <v>15216.044</v>
      </c>
      <c r="U108" s="29"/>
      <c r="V108" s="26">
        <f t="shared" si="39"/>
        <v>100</v>
      </c>
      <c r="W108" s="32" t="s">
        <v>106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</row>
    <row r="109" spans="1:81" s="44" customFormat="1" ht="31.5" customHeight="1">
      <c r="A109" s="5">
        <v>7</v>
      </c>
      <c r="B109" s="7" t="s">
        <v>53</v>
      </c>
      <c r="C109" s="59" t="e">
        <f>#REF!+#REF!+C110</f>
        <v>#REF!</v>
      </c>
      <c r="D109" s="59" t="e">
        <f>#REF!+#REF!+D110</f>
        <v>#REF!</v>
      </c>
      <c r="E109" s="59">
        <f>E110</f>
        <v>73.82</v>
      </c>
      <c r="F109" s="59">
        <f aca="true" t="shared" si="85" ref="F109:U109">F110</f>
        <v>0</v>
      </c>
      <c r="G109" s="76">
        <f t="shared" si="85"/>
        <v>2</v>
      </c>
      <c r="H109" s="76">
        <f t="shared" si="85"/>
        <v>0</v>
      </c>
      <c r="I109" s="59">
        <f t="shared" si="85"/>
        <v>73.82</v>
      </c>
      <c r="J109" s="59">
        <f t="shared" si="85"/>
        <v>0</v>
      </c>
      <c r="K109" s="76">
        <f t="shared" si="85"/>
        <v>2</v>
      </c>
      <c r="L109" s="76">
        <f t="shared" si="85"/>
        <v>0</v>
      </c>
      <c r="M109" s="59">
        <f t="shared" si="85"/>
        <v>73.82</v>
      </c>
      <c r="N109" s="59">
        <f t="shared" si="85"/>
        <v>0</v>
      </c>
      <c r="O109" s="76">
        <f t="shared" si="85"/>
        <v>42359</v>
      </c>
      <c r="P109" s="76">
        <f t="shared" si="85"/>
        <v>42359</v>
      </c>
      <c r="Q109" s="76">
        <f t="shared" si="75"/>
        <v>100</v>
      </c>
      <c r="R109" s="10"/>
      <c r="S109" s="76">
        <f t="shared" si="85"/>
        <v>0</v>
      </c>
      <c r="T109" s="76">
        <f t="shared" si="85"/>
        <v>0</v>
      </c>
      <c r="U109" s="76">
        <f t="shared" si="85"/>
        <v>0</v>
      </c>
      <c r="V109" s="26"/>
      <c r="W109" s="18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</row>
    <row r="110" spans="1:81" s="21" customFormat="1" ht="25.5" customHeight="1">
      <c r="A110" s="13"/>
      <c r="B110" s="14" t="s">
        <v>11</v>
      </c>
      <c r="C110" s="58">
        <v>73.82</v>
      </c>
      <c r="D110" s="58"/>
      <c r="E110" s="58">
        <f>C110</f>
        <v>73.82</v>
      </c>
      <c r="F110" s="58"/>
      <c r="G110" s="29">
        <v>2</v>
      </c>
      <c r="H110" s="29"/>
      <c r="I110" s="25">
        <v>73.82</v>
      </c>
      <c r="J110" s="25"/>
      <c r="K110" s="29">
        <v>2</v>
      </c>
      <c r="L110" s="29"/>
      <c r="M110" s="25">
        <v>73.82</v>
      </c>
      <c r="N110" s="25"/>
      <c r="O110" s="29">
        <f>42359000/1000</f>
        <v>42359</v>
      </c>
      <c r="P110" s="29">
        <v>42359</v>
      </c>
      <c r="Q110" s="40">
        <f t="shared" si="75"/>
        <v>100</v>
      </c>
      <c r="R110" s="32" t="s">
        <v>2</v>
      </c>
      <c r="S110" s="26"/>
      <c r="T110" s="29"/>
      <c r="U110" s="29"/>
      <c r="V110" s="26"/>
      <c r="W110" s="35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</row>
    <row r="111" spans="1:81" s="6" customFormat="1" ht="25.5" customHeight="1">
      <c r="A111" s="42" t="s">
        <v>39</v>
      </c>
      <c r="B111" s="43" t="s">
        <v>56</v>
      </c>
      <c r="C111" s="59" t="e">
        <f>#REF!+C112+C113</f>
        <v>#REF!</v>
      </c>
      <c r="D111" s="59" t="e">
        <f>#REF!+D112+D113</f>
        <v>#REF!</v>
      </c>
      <c r="E111" s="59">
        <f>E112+E113</f>
        <v>7296.68</v>
      </c>
      <c r="F111" s="59">
        <f aca="true" t="shared" si="86" ref="F111:U111">F112+F113</f>
        <v>6393</v>
      </c>
      <c r="G111" s="76">
        <f t="shared" si="86"/>
        <v>73</v>
      </c>
      <c r="H111" s="76">
        <f t="shared" si="86"/>
        <v>65</v>
      </c>
      <c r="I111" s="59">
        <f t="shared" si="86"/>
        <v>7296.68</v>
      </c>
      <c r="J111" s="59">
        <f t="shared" si="86"/>
        <v>6393</v>
      </c>
      <c r="K111" s="76">
        <f t="shared" si="86"/>
        <v>73</v>
      </c>
      <c r="L111" s="76">
        <f t="shared" si="86"/>
        <v>65</v>
      </c>
      <c r="M111" s="59">
        <f t="shared" si="86"/>
        <v>7296.68</v>
      </c>
      <c r="N111" s="59">
        <f t="shared" si="86"/>
        <v>6393</v>
      </c>
      <c r="O111" s="76">
        <f t="shared" si="86"/>
        <v>3646007.8759999997</v>
      </c>
      <c r="P111" s="76">
        <f t="shared" si="86"/>
        <v>3646007.8759999997</v>
      </c>
      <c r="Q111" s="76">
        <f t="shared" si="75"/>
        <v>100</v>
      </c>
      <c r="R111" s="10"/>
      <c r="S111" s="76">
        <f t="shared" si="86"/>
        <v>3075967.779</v>
      </c>
      <c r="T111" s="76">
        <f t="shared" si="86"/>
        <v>3075955.708</v>
      </c>
      <c r="U111" s="76">
        <f t="shared" si="86"/>
        <v>0</v>
      </c>
      <c r="V111" s="61">
        <f t="shared" si="39"/>
        <v>99.99960757066175</v>
      </c>
      <c r="W111" s="2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</row>
    <row r="112" spans="1:81" s="6" customFormat="1" ht="25.5" customHeight="1">
      <c r="A112" s="13"/>
      <c r="B112" s="14" t="s">
        <v>7</v>
      </c>
      <c r="C112" s="58">
        <f aca="true" t="shared" si="87" ref="C112:P112">C115+C118+C120</f>
        <v>6796.68</v>
      </c>
      <c r="D112" s="58">
        <f t="shared" si="87"/>
        <v>5894.73</v>
      </c>
      <c r="E112" s="58">
        <f t="shared" si="87"/>
        <v>6796.68</v>
      </c>
      <c r="F112" s="58">
        <f t="shared" si="87"/>
        <v>5894.73</v>
      </c>
      <c r="G112" s="40">
        <f t="shared" si="87"/>
        <v>71</v>
      </c>
      <c r="H112" s="40">
        <f t="shared" si="87"/>
        <v>63</v>
      </c>
      <c r="I112" s="58">
        <f t="shared" si="87"/>
        <v>6796.68</v>
      </c>
      <c r="J112" s="58">
        <f t="shared" si="87"/>
        <v>5894.73</v>
      </c>
      <c r="K112" s="40">
        <f t="shared" si="87"/>
        <v>71</v>
      </c>
      <c r="L112" s="40">
        <f t="shared" si="87"/>
        <v>63</v>
      </c>
      <c r="M112" s="58">
        <f t="shared" si="87"/>
        <v>6796.68</v>
      </c>
      <c r="N112" s="58">
        <f t="shared" si="87"/>
        <v>5894.73</v>
      </c>
      <c r="O112" s="40">
        <f t="shared" si="87"/>
        <v>3309081.8959999997</v>
      </c>
      <c r="P112" s="40">
        <f t="shared" si="87"/>
        <v>3309081.8959999997</v>
      </c>
      <c r="Q112" s="40">
        <f t="shared" si="75"/>
        <v>100</v>
      </c>
      <c r="R112" s="55"/>
      <c r="S112" s="40">
        <f>S115+S118+S120</f>
        <v>2828184.006</v>
      </c>
      <c r="T112" s="40">
        <f>T115+T118+T120</f>
        <v>2828171.935</v>
      </c>
      <c r="U112" s="40"/>
      <c r="V112" s="26">
        <f t="shared" si="39"/>
        <v>99.99957318901548</v>
      </c>
      <c r="W112" s="5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</row>
    <row r="113" spans="1:81" s="21" customFormat="1" ht="22.5" customHeight="1">
      <c r="A113" s="13"/>
      <c r="B113" s="14" t="s">
        <v>11</v>
      </c>
      <c r="C113" s="58" t="e">
        <f>C116+#REF!+#REF!</f>
        <v>#REF!</v>
      </c>
      <c r="D113" s="58" t="e">
        <f>D116+#REF!+#REF!</f>
        <v>#REF!</v>
      </c>
      <c r="E113" s="58">
        <f>E116</f>
        <v>500</v>
      </c>
      <c r="F113" s="58">
        <f aca="true" t="shared" si="88" ref="F113:U113">F116</f>
        <v>498.27</v>
      </c>
      <c r="G113" s="57" t="str">
        <f t="shared" si="88"/>
        <v>02</v>
      </c>
      <c r="H113" s="57" t="str">
        <f t="shared" si="88"/>
        <v>02</v>
      </c>
      <c r="I113" s="58">
        <f t="shared" si="88"/>
        <v>500</v>
      </c>
      <c r="J113" s="58">
        <f t="shared" si="88"/>
        <v>498.27</v>
      </c>
      <c r="K113" s="58" t="str">
        <f t="shared" si="88"/>
        <v>02</v>
      </c>
      <c r="L113" s="58" t="str">
        <f t="shared" si="88"/>
        <v>02</v>
      </c>
      <c r="M113" s="58">
        <f t="shared" si="88"/>
        <v>500</v>
      </c>
      <c r="N113" s="58">
        <f t="shared" si="88"/>
        <v>498.27</v>
      </c>
      <c r="O113" s="40">
        <f t="shared" si="88"/>
        <v>336925.98</v>
      </c>
      <c r="P113" s="40">
        <f t="shared" si="88"/>
        <v>336925.98</v>
      </c>
      <c r="Q113" s="40">
        <f t="shared" si="75"/>
        <v>100</v>
      </c>
      <c r="R113" s="65">
        <f t="shared" si="88"/>
        <v>2019</v>
      </c>
      <c r="S113" s="40">
        <f t="shared" si="88"/>
        <v>247783.773</v>
      </c>
      <c r="T113" s="40">
        <f t="shared" si="88"/>
        <v>247783.773</v>
      </c>
      <c r="U113" s="40">
        <f t="shared" si="88"/>
        <v>0</v>
      </c>
      <c r="V113" s="26">
        <f aca="true" t="shared" si="89" ref="V113:V141">T113/S113*100</f>
        <v>100</v>
      </c>
      <c r="W113" s="5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</row>
    <row r="114" spans="1:81" s="44" customFormat="1" ht="27" customHeight="1">
      <c r="A114" s="5">
        <v>1</v>
      </c>
      <c r="B114" s="7" t="s">
        <v>57</v>
      </c>
      <c r="C114" s="59" t="e">
        <f>#REF!+C115+C116</f>
        <v>#REF!</v>
      </c>
      <c r="D114" s="59" t="e">
        <f>#REF!+D115+D116</f>
        <v>#REF!</v>
      </c>
      <c r="E114" s="59">
        <f>E115+E116</f>
        <v>2147.19</v>
      </c>
      <c r="F114" s="59">
        <f aca="true" t="shared" si="90" ref="F114:U114">F115+F116</f>
        <v>1245.54</v>
      </c>
      <c r="G114" s="76">
        <f t="shared" si="90"/>
        <v>25</v>
      </c>
      <c r="H114" s="76">
        <f t="shared" si="90"/>
        <v>17</v>
      </c>
      <c r="I114" s="59">
        <f t="shared" si="90"/>
        <v>2147.19</v>
      </c>
      <c r="J114" s="59">
        <f t="shared" si="90"/>
        <v>1245.54</v>
      </c>
      <c r="K114" s="76">
        <f t="shared" si="90"/>
        <v>25</v>
      </c>
      <c r="L114" s="76">
        <f t="shared" si="90"/>
        <v>17</v>
      </c>
      <c r="M114" s="59">
        <f t="shared" si="90"/>
        <v>2147.19</v>
      </c>
      <c r="N114" s="59">
        <f t="shared" si="90"/>
        <v>1245.54</v>
      </c>
      <c r="O114" s="76">
        <f t="shared" si="90"/>
        <v>1570787.283</v>
      </c>
      <c r="P114" s="76">
        <f t="shared" si="90"/>
        <v>1570787.283</v>
      </c>
      <c r="Q114" s="76">
        <f t="shared" si="75"/>
        <v>100</v>
      </c>
      <c r="R114" s="10"/>
      <c r="S114" s="76">
        <f t="shared" si="90"/>
        <v>619392.2930000001</v>
      </c>
      <c r="T114" s="76">
        <f t="shared" si="90"/>
        <v>619392.2930000001</v>
      </c>
      <c r="U114" s="76">
        <f t="shared" si="90"/>
        <v>0</v>
      </c>
      <c r="V114" s="61">
        <f t="shared" si="89"/>
        <v>100</v>
      </c>
      <c r="W114" s="2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</row>
    <row r="115" spans="1:81" s="21" customFormat="1" ht="27.75" customHeight="1">
      <c r="A115" s="13"/>
      <c r="B115" s="14" t="s">
        <v>7</v>
      </c>
      <c r="C115" s="58">
        <v>1647.19</v>
      </c>
      <c r="D115" s="58">
        <v>747.27</v>
      </c>
      <c r="E115" s="58">
        <v>1647.19</v>
      </c>
      <c r="F115" s="58">
        <v>747.27</v>
      </c>
      <c r="G115" s="29" t="s">
        <v>89</v>
      </c>
      <c r="H115" s="29" t="s">
        <v>90</v>
      </c>
      <c r="I115" s="25">
        <v>1647.19</v>
      </c>
      <c r="J115" s="25">
        <v>747.27</v>
      </c>
      <c r="K115" s="29" t="s">
        <v>89</v>
      </c>
      <c r="L115" s="29" t="s">
        <v>90</v>
      </c>
      <c r="M115" s="25">
        <v>1647.19</v>
      </c>
      <c r="N115" s="25">
        <v>747.27</v>
      </c>
      <c r="O115" s="29">
        <v>1233861.303</v>
      </c>
      <c r="P115" s="29">
        <v>1233861.303</v>
      </c>
      <c r="Q115" s="40">
        <f t="shared" si="75"/>
        <v>100</v>
      </c>
      <c r="R115" s="32">
        <v>2019</v>
      </c>
      <c r="S115" s="26">
        <v>371608.52</v>
      </c>
      <c r="T115" s="29">
        <v>371608.52</v>
      </c>
      <c r="U115" s="29"/>
      <c r="V115" s="26">
        <f t="shared" si="89"/>
        <v>100</v>
      </c>
      <c r="W115" s="35">
        <v>2020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</row>
    <row r="116" spans="1:81" s="21" customFormat="1" ht="22.5" customHeight="1">
      <c r="A116" s="13"/>
      <c r="B116" s="14" t="s">
        <v>11</v>
      </c>
      <c r="C116" s="58">
        <v>500</v>
      </c>
      <c r="D116" s="58">
        <v>498.27</v>
      </c>
      <c r="E116" s="58">
        <v>500</v>
      </c>
      <c r="F116" s="58">
        <v>498.27</v>
      </c>
      <c r="G116" s="29" t="s">
        <v>91</v>
      </c>
      <c r="H116" s="29" t="s">
        <v>91</v>
      </c>
      <c r="I116" s="25">
        <v>500</v>
      </c>
      <c r="J116" s="25">
        <v>498.27</v>
      </c>
      <c r="K116" s="29" t="s">
        <v>91</v>
      </c>
      <c r="L116" s="29" t="s">
        <v>91</v>
      </c>
      <c r="M116" s="25">
        <v>500</v>
      </c>
      <c r="N116" s="25">
        <v>498.27</v>
      </c>
      <c r="O116" s="29">
        <v>336925.98</v>
      </c>
      <c r="P116" s="29">
        <v>336925.98</v>
      </c>
      <c r="Q116" s="40">
        <f t="shared" si="75"/>
        <v>100</v>
      </c>
      <c r="R116" s="32">
        <v>2019</v>
      </c>
      <c r="S116" s="26">
        <v>247783.773</v>
      </c>
      <c r="T116" s="29">
        <v>247783.773</v>
      </c>
      <c r="U116" s="29"/>
      <c r="V116" s="26">
        <f t="shared" si="89"/>
        <v>100</v>
      </c>
      <c r="W116" s="35">
        <v>2020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</row>
    <row r="117" spans="1:81" s="44" customFormat="1" ht="26.25" customHeight="1">
      <c r="A117" s="5">
        <v>2</v>
      </c>
      <c r="B117" s="7" t="s">
        <v>58</v>
      </c>
      <c r="C117" s="59" t="e">
        <f>#REF!+C118+#REF!</f>
        <v>#REF!</v>
      </c>
      <c r="D117" s="59" t="e">
        <f>#REF!+D118+#REF!</f>
        <v>#REF!</v>
      </c>
      <c r="E117" s="59">
        <f>E118</f>
        <v>1992.16</v>
      </c>
      <c r="F117" s="59">
        <f aca="true" t="shared" si="91" ref="F117:U117">F118</f>
        <v>1990.13</v>
      </c>
      <c r="G117" s="76">
        <f t="shared" si="91"/>
        <v>19</v>
      </c>
      <c r="H117" s="76">
        <f t="shared" si="91"/>
        <v>19</v>
      </c>
      <c r="I117" s="59">
        <f t="shared" si="91"/>
        <v>1992.16</v>
      </c>
      <c r="J117" s="59">
        <f t="shared" si="91"/>
        <v>1990.13</v>
      </c>
      <c r="K117" s="76">
        <f t="shared" si="91"/>
        <v>19</v>
      </c>
      <c r="L117" s="76">
        <f t="shared" si="91"/>
        <v>19</v>
      </c>
      <c r="M117" s="59">
        <f t="shared" si="91"/>
        <v>1992.16</v>
      </c>
      <c r="N117" s="59">
        <f t="shared" si="91"/>
        <v>1990.13</v>
      </c>
      <c r="O117" s="76">
        <f t="shared" si="91"/>
        <v>751630.285</v>
      </c>
      <c r="P117" s="76">
        <f t="shared" si="91"/>
        <v>751630.285</v>
      </c>
      <c r="Q117" s="76">
        <f t="shared" si="75"/>
        <v>100</v>
      </c>
      <c r="R117" s="10"/>
      <c r="S117" s="76">
        <f t="shared" si="91"/>
        <v>796253.486</v>
      </c>
      <c r="T117" s="76">
        <f t="shared" si="91"/>
        <v>796241.415</v>
      </c>
      <c r="U117" s="76">
        <f t="shared" si="91"/>
        <v>0</v>
      </c>
      <c r="V117" s="61">
        <f t="shared" si="89"/>
        <v>99.99848402547528</v>
      </c>
      <c r="W117" s="2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</row>
    <row r="118" spans="1:81" s="21" customFormat="1" ht="12.75">
      <c r="A118" s="13"/>
      <c r="B118" s="14" t="s">
        <v>7</v>
      </c>
      <c r="C118" s="58">
        <v>1992.16</v>
      </c>
      <c r="D118" s="58">
        <v>1990.13</v>
      </c>
      <c r="E118" s="68">
        <f>C118</f>
        <v>1992.16</v>
      </c>
      <c r="F118" s="68">
        <f>D118</f>
        <v>1990.13</v>
      </c>
      <c r="G118" s="23">
        <v>19</v>
      </c>
      <c r="H118" s="23">
        <v>19</v>
      </c>
      <c r="I118" s="46">
        <f aca="true" t="shared" si="92" ref="I118:N118">E118</f>
        <v>1992.16</v>
      </c>
      <c r="J118" s="46">
        <f t="shared" si="92"/>
        <v>1990.13</v>
      </c>
      <c r="K118" s="23">
        <f t="shared" si="92"/>
        <v>19</v>
      </c>
      <c r="L118" s="23">
        <f t="shared" si="92"/>
        <v>19</v>
      </c>
      <c r="M118" s="46">
        <f t="shared" si="92"/>
        <v>1992.16</v>
      </c>
      <c r="N118" s="46">
        <f t="shared" si="92"/>
        <v>1990.13</v>
      </c>
      <c r="O118" s="29">
        <f>751630285/1000</f>
        <v>751630.285</v>
      </c>
      <c r="P118" s="29">
        <v>751630.285</v>
      </c>
      <c r="Q118" s="40">
        <f t="shared" si="75"/>
        <v>100</v>
      </c>
      <c r="R118" s="32" t="s">
        <v>110</v>
      </c>
      <c r="S118" s="47">
        <f>796253486/1000</f>
        <v>796253.486</v>
      </c>
      <c r="T118" s="48">
        <f>796241415/1000</f>
        <v>796241.415</v>
      </c>
      <c r="U118" s="48"/>
      <c r="V118" s="26">
        <f t="shared" si="89"/>
        <v>99.99848402547528</v>
      </c>
      <c r="W118" s="35" t="s">
        <v>87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</row>
    <row r="119" spans="1:81" s="44" customFormat="1" ht="28.5" customHeight="1">
      <c r="A119" s="5">
        <v>3</v>
      </c>
      <c r="B119" s="7" t="s">
        <v>59</v>
      </c>
      <c r="C119" s="59" t="e">
        <f>#REF!+C120+#REF!</f>
        <v>#REF!</v>
      </c>
      <c r="D119" s="59" t="e">
        <f>#REF!+D120+#REF!</f>
        <v>#REF!</v>
      </c>
      <c r="E119" s="59">
        <f>E120</f>
        <v>3157.33</v>
      </c>
      <c r="F119" s="59">
        <f aca="true" t="shared" si="93" ref="F119:U119">F120</f>
        <v>3157.33</v>
      </c>
      <c r="G119" s="77">
        <f t="shared" si="93"/>
        <v>29</v>
      </c>
      <c r="H119" s="77">
        <f t="shared" si="93"/>
        <v>29</v>
      </c>
      <c r="I119" s="59">
        <f t="shared" si="93"/>
        <v>3157.33</v>
      </c>
      <c r="J119" s="59">
        <f t="shared" si="93"/>
        <v>3157.33</v>
      </c>
      <c r="K119" s="77">
        <f t="shared" si="93"/>
        <v>29</v>
      </c>
      <c r="L119" s="77">
        <f t="shared" si="93"/>
        <v>29</v>
      </c>
      <c r="M119" s="59">
        <f t="shared" si="93"/>
        <v>3157.33</v>
      </c>
      <c r="N119" s="59">
        <f t="shared" si="93"/>
        <v>3157.33</v>
      </c>
      <c r="O119" s="76">
        <f t="shared" si="93"/>
        <v>1323590.308</v>
      </c>
      <c r="P119" s="76">
        <f t="shared" si="93"/>
        <v>1323590.308</v>
      </c>
      <c r="Q119" s="76">
        <f t="shared" si="75"/>
        <v>100</v>
      </c>
      <c r="R119" s="10"/>
      <c r="S119" s="76">
        <f t="shared" si="93"/>
        <v>1660322</v>
      </c>
      <c r="T119" s="76">
        <f t="shared" si="93"/>
        <v>1660322</v>
      </c>
      <c r="U119" s="76">
        <f t="shared" si="93"/>
        <v>0</v>
      </c>
      <c r="V119" s="61">
        <f t="shared" si="89"/>
        <v>100</v>
      </c>
      <c r="W119" s="2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</row>
    <row r="120" spans="1:81" s="21" customFormat="1" ht="12.75">
      <c r="A120" s="13"/>
      <c r="B120" s="14" t="s">
        <v>7</v>
      </c>
      <c r="C120" s="58">
        <v>3157.33</v>
      </c>
      <c r="D120" s="58">
        <v>3157.33</v>
      </c>
      <c r="E120" s="68">
        <f>C120</f>
        <v>3157.33</v>
      </c>
      <c r="F120" s="68">
        <f>D120</f>
        <v>3157.33</v>
      </c>
      <c r="G120" s="23">
        <v>29</v>
      </c>
      <c r="H120" s="23">
        <v>29</v>
      </c>
      <c r="I120" s="46">
        <f aca="true" t="shared" si="94" ref="I120:N120">E120</f>
        <v>3157.33</v>
      </c>
      <c r="J120" s="46">
        <f t="shared" si="94"/>
        <v>3157.33</v>
      </c>
      <c r="K120" s="23">
        <f t="shared" si="94"/>
        <v>29</v>
      </c>
      <c r="L120" s="23">
        <f t="shared" si="94"/>
        <v>29</v>
      </c>
      <c r="M120" s="46">
        <f t="shared" si="94"/>
        <v>3157.33</v>
      </c>
      <c r="N120" s="46">
        <f t="shared" si="94"/>
        <v>3157.33</v>
      </c>
      <c r="O120" s="29">
        <v>1323590.308</v>
      </c>
      <c r="P120" s="29">
        <f>1323590308/1000</f>
        <v>1323590.308</v>
      </c>
      <c r="Q120" s="40">
        <f t="shared" si="75"/>
        <v>100</v>
      </c>
      <c r="R120" s="32" t="s">
        <v>92</v>
      </c>
      <c r="S120" s="47">
        <v>1660322</v>
      </c>
      <c r="T120" s="48">
        <v>1660322</v>
      </c>
      <c r="U120" s="48"/>
      <c r="V120" s="26">
        <f t="shared" si="89"/>
        <v>100</v>
      </c>
      <c r="W120" s="35" t="s">
        <v>88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</row>
    <row r="121" spans="1:81" s="6" customFormat="1" ht="27" customHeight="1">
      <c r="A121" s="42" t="s">
        <v>43</v>
      </c>
      <c r="B121" s="43" t="s">
        <v>40</v>
      </c>
      <c r="C121" s="59" t="e">
        <f>C122:C123</f>
        <v>#VALUE!</v>
      </c>
      <c r="D121" s="59" t="e">
        <f>#REF!+D122+D123</f>
        <v>#REF!</v>
      </c>
      <c r="E121" s="59">
        <f>E122+E123</f>
        <v>1415.46</v>
      </c>
      <c r="F121" s="59">
        <f aca="true" t="shared" si="95" ref="F121:U121">F122+F123</f>
        <v>1391.74</v>
      </c>
      <c r="G121" s="76">
        <f t="shared" si="95"/>
        <v>7</v>
      </c>
      <c r="H121" s="76">
        <f t="shared" si="95"/>
        <v>7</v>
      </c>
      <c r="I121" s="59">
        <f t="shared" si="95"/>
        <v>1415.46</v>
      </c>
      <c r="J121" s="59">
        <f t="shared" si="95"/>
        <v>1391.74</v>
      </c>
      <c r="K121" s="76">
        <f t="shared" si="95"/>
        <v>7</v>
      </c>
      <c r="L121" s="76">
        <f t="shared" si="95"/>
        <v>7</v>
      </c>
      <c r="M121" s="59">
        <f t="shared" si="95"/>
        <v>127460.28</v>
      </c>
      <c r="N121" s="59">
        <f t="shared" si="95"/>
        <v>1391.74</v>
      </c>
      <c r="O121" s="76">
        <f t="shared" si="95"/>
        <v>1003774.165</v>
      </c>
      <c r="P121" s="76">
        <f t="shared" si="95"/>
        <v>1006672.383</v>
      </c>
      <c r="Q121" s="76">
        <f t="shared" si="75"/>
        <v>100.28873207749874</v>
      </c>
      <c r="R121" s="10"/>
      <c r="S121" s="76">
        <f t="shared" si="95"/>
        <v>831110.135</v>
      </c>
      <c r="T121" s="76">
        <f t="shared" si="95"/>
        <v>833181.4890000001</v>
      </c>
      <c r="U121" s="76">
        <f t="shared" si="95"/>
        <v>0</v>
      </c>
      <c r="V121" s="61">
        <f t="shared" si="89"/>
        <v>100.2492273782704</v>
      </c>
      <c r="W121" s="11">
        <f>W122+W123</f>
        <v>0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</row>
    <row r="122" spans="1:81" s="6" customFormat="1" ht="25.5" customHeight="1">
      <c r="A122" s="13"/>
      <c r="B122" s="14" t="s">
        <v>7</v>
      </c>
      <c r="C122" s="58">
        <f>C127</f>
        <v>142.28</v>
      </c>
      <c r="D122" s="58">
        <f>D127</f>
        <v>138.94</v>
      </c>
      <c r="E122" s="58">
        <f>E127</f>
        <v>142.28</v>
      </c>
      <c r="F122" s="58">
        <f aca="true" t="shared" si="96" ref="F122:U122">F127</f>
        <v>138.94</v>
      </c>
      <c r="G122" s="40">
        <f t="shared" si="96"/>
        <v>1</v>
      </c>
      <c r="H122" s="40">
        <f t="shared" si="96"/>
        <v>1</v>
      </c>
      <c r="I122" s="58">
        <f t="shared" si="96"/>
        <v>142.28</v>
      </c>
      <c r="J122" s="58">
        <f t="shared" si="96"/>
        <v>138.94</v>
      </c>
      <c r="K122" s="40">
        <f t="shared" si="96"/>
        <v>1</v>
      </c>
      <c r="L122" s="40">
        <f t="shared" si="96"/>
        <v>1</v>
      </c>
      <c r="M122" s="58">
        <f t="shared" si="96"/>
        <v>142.28</v>
      </c>
      <c r="N122" s="58">
        <f t="shared" si="96"/>
        <v>138.94</v>
      </c>
      <c r="O122" s="40">
        <f t="shared" si="96"/>
        <v>86995.402</v>
      </c>
      <c r="P122" s="40">
        <f t="shared" si="96"/>
        <v>89893.62</v>
      </c>
      <c r="Q122" s="40">
        <f t="shared" si="75"/>
        <v>103.33146112710645</v>
      </c>
      <c r="R122" s="65" t="str">
        <f t="shared" si="96"/>
        <v>Ngày 15/7/2020</v>
      </c>
      <c r="S122" s="40">
        <f t="shared" si="96"/>
        <v>62068.365</v>
      </c>
      <c r="T122" s="40">
        <f t="shared" si="96"/>
        <v>64139.719</v>
      </c>
      <c r="U122" s="40">
        <f t="shared" si="96"/>
        <v>0</v>
      </c>
      <c r="V122" s="26">
        <f t="shared" si="89"/>
        <v>103.3372137319873</v>
      </c>
      <c r="W122" s="5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</row>
    <row r="123" spans="1:81" s="21" customFormat="1" ht="27.75" customHeight="1">
      <c r="A123" s="13"/>
      <c r="B123" s="14" t="s">
        <v>11</v>
      </c>
      <c r="C123" s="58" t="str">
        <f>C125</f>
        <v>1.273.18</v>
      </c>
      <c r="D123" s="58">
        <f>D125</f>
        <v>1252.8</v>
      </c>
      <c r="E123" s="58">
        <f>E125</f>
        <v>1273.18</v>
      </c>
      <c r="F123" s="58">
        <f aca="true" t="shared" si="97" ref="F123:U123">F125</f>
        <v>1252.8</v>
      </c>
      <c r="G123" s="40">
        <f t="shared" si="97"/>
        <v>6</v>
      </c>
      <c r="H123" s="40">
        <f t="shared" si="97"/>
        <v>6</v>
      </c>
      <c r="I123" s="40" t="str">
        <f>I125</f>
        <v>1273,18</v>
      </c>
      <c r="J123" s="58">
        <f t="shared" si="97"/>
        <v>1252.8</v>
      </c>
      <c r="K123" s="40">
        <f t="shared" si="97"/>
        <v>6</v>
      </c>
      <c r="L123" s="40">
        <f t="shared" si="97"/>
        <v>6</v>
      </c>
      <c r="M123" s="58">
        <v>127318</v>
      </c>
      <c r="N123" s="58">
        <f t="shared" si="97"/>
        <v>1252.8</v>
      </c>
      <c r="O123" s="40">
        <f t="shared" si="97"/>
        <v>916778.763</v>
      </c>
      <c r="P123" s="40">
        <f t="shared" si="97"/>
        <v>916778.763</v>
      </c>
      <c r="Q123" s="40">
        <f t="shared" si="75"/>
        <v>100</v>
      </c>
      <c r="R123" s="65" t="str">
        <f t="shared" si="97"/>
        <v>6/2020</v>
      </c>
      <c r="S123" s="40">
        <f t="shared" si="97"/>
        <v>769041.77</v>
      </c>
      <c r="T123" s="40">
        <f t="shared" si="97"/>
        <v>769041.77</v>
      </c>
      <c r="U123" s="40">
        <f t="shared" si="97"/>
        <v>0</v>
      </c>
      <c r="V123" s="26">
        <f t="shared" si="89"/>
        <v>100</v>
      </c>
      <c r="W123" s="56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</row>
    <row r="124" spans="1:81" s="44" customFormat="1" ht="23.25" customHeight="1">
      <c r="A124" s="5">
        <v>1</v>
      </c>
      <c r="B124" s="7" t="s">
        <v>42</v>
      </c>
      <c r="C124" s="76" t="str">
        <f>C125</f>
        <v>1.273.18</v>
      </c>
      <c r="D124" s="59">
        <f>D125</f>
        <v>1252.8</v>
      </c>
      <c r="E124" s="59">
        <f>E125</f>
        <v>1273.18</v>
      </c>
      <c r="F124" s="59">
        <f aca="true" t="shared" si="98" ref="F124:U124">F125</f>
        <v>1252.8</v>
      </c>
      <c r="G124" s="76">
        <f t="shared" si="98"/>
        <v>6</v>
      </c>
      <c r="H124" s="76">
        <f t="shared" si="98"/>
        <v>6</v>
      </c>
      <c r="I124" s="59" t="str">
        <f>I125</f>
        <v>1273,18</v>
      </c>
      <c r="J124" s="59">
        <f t="shared" si="98"/>
        <v>1252.8</v>
      </c>
      <c r="K124" s="76">
        <f t="shared" si="98"/>
        <v>6</v>
      </c>
      <c r="L124" s="76">
        <f t="shared" si="98"/>
        <v>6</v>
      </c>
      <c r="M124" s="59" t="str">
        <f t="shared" si="98"/>
        <v>1273,18</v>
      </c>
      <c r="N124" s="59">
        <f t="shared" si="98"/>
        <v>1252.8</v>
      </c>
      <c r="O124" s="76">
        <f t="shared" si="98"/>
        <v>916778.763</v>
      </c>
      <c r="P124" s="76">
        <f t="shared" si="98"/>
        <v>916778.763</v>
      </c>
      <c r="Q124" s="76">
        <f t="shared" si="75"/>
        <v>100</v>
      </c>
      <c r="R124" s="10"/>
      <c r="S124" s="76">
        <f t="shared" si="98"/>
        <v>769041.77</v>
      </c>
      <c r="T124" s="76">
        <f t="shared" si="98"/>
        <v>769041.77</v>
      </c>
      <c r="U124" s="76">
        <f t="shared" si="98"/>
        <v>0</v>
      </c>
      <c r="V124" s="61">
        <f t="shared" si="89"/>
        <v>100</v>
      </c>
      <c r="W124" s="2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</row>
    <row r="125" spans="1:81" s="21" customFormat="1" ht="33" customHeight="1">
      <c r="A125" s="13"/>
      <c r="B125" s="14" t="s">
        <v>11</v>
      </c>
      <c r="C125" s="40" t="s">
        <v>154</v>
      </c>
      <c r="D125" s="58">
        <v>1252.8</v>
      </c>
      <c r="E125" s="58">
        <v>1273.18</v>
      </c>
      <c r="F125" s="58">
        <v>1252.8</v>
      </c>
      <c r="G125" s="29">
        <v>6</v>
      </c>
      <c r="H125" s="29">
        <v>6</v>
      </c>
      <c r="I125" s="25" t="s">
        <v>107</v>
      </c>
      <c r="J125" s="25">
        <v>1252.8</v>
      </c>
      <c r="K125" s="29">
        <f>G125</f>
        <v>6</v>
      </c>
      <c r="L125" s="29">
        <f>H125</f>
        <v>6</v>
      </c>
      <c r="M125" s="25" t="s">
        <v>107</v>
      </c>
      <c r="N125" s="25">
        <v>1252.8</v>
      </c>
      <c r="O125" s="29">
        <f>916778763/1000</f>
        <v>916778.763</v>
      </c>
      <c r="P125" s="29">
        <v>916778.763</v>
      </c>
      <c r="Q125" s="40">
        <f t="shared" si="75"/>
        <v>100</v>
      </c>
      <c r="R125" s="32" t="s">
        <v>108</v>
      </c>
      <c r="S125" s="26">
        <v>769041.77</v>
      </c>
      <c r="T125" s="29">
        <v>769041.77</v>
      </c>
      <c r="U125" s="29"/>
      <c r="V125" s="26">
        <f t="shared" si="89"/>
        <v>100</v>
      </c>
      <c r="W125" s="35" t="s">
        <v>109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</row>
    <row r="126" spans="1:81" s="44" customFormat="1" ht="28.5" customHeight="1">
      <c r="A126" s="5">
        <v>2</v>
      </c>
      <c r="B126" s="7" t="s">
        <v>41</v>
      </c>
      <c r="C126" s="59">
        <f>C127</f>
        <v>142.28</v>
      </c>
      <c r="D126" s="59">
        <f>D127</f>
        <v>138.94</v>
      </c>
      <c r="E126" s="59">
        <f>E127</f>
        <v>142.28</v>
      </c>
      <c r="F126" s="59">
        <f aca="true" t="shared" si="99" ref="F126:U126">F127</f>
        <v>138.94</v>
      </c>
      <c r="G126" s="76">
        <f t="shared" si="99"/>
        <v>1</v>
      </c>
      <c r="H126" s="76">
        <f t="shared" si="99"/>
        <v>1</v>
      </c>
      <c r="I126" s="59">
        <f t="shared" si="99"/>
        <v>142.28</v>
      </c>
      <c r="J126" s="59">
        <f t="shared" si="99"/>
        <v>138.94</v>
      </c>
      <c r="K126" s="76">
        <f t="shared" si="99"/>
        <v>1</v>
      </c>
      <c r="L126" s="76">
        <f t="shared" si="99"/>
        <v>1</v>
      </c>
      <c r="M126" s="59">
        <f t="shared" si="99"/>
        <v>142.28</v>
      </c>
      <c r="N126" s="59">
        <f t="shared" si="99"/>
        <v>138.94</v>
      </c>
      <c r="O126" s="76">
        <f t="shared" si="99"/>
        <v>86995.402</v>
      </c>
      <c r="P126" s="76">
        <f t="shared" si="99"/>
        <v>89893.62</v>
      </c>
      <c r="Q126" s="76">
        <f t="shared" si="75"/>
        <v>103.33146112710645</v>
      </c>
      <c r="R126" s="10"/>
      <c r="S126" s="76">
        <f t="shared" si="99"/>
        <v>62068.365</v>
      </c>
      <c r="T126" s="76">
        <f t="shared" si="99"/>
        <v>64139.719</v>
      </c>
      <c r="U126" s="76">
        <f t="shared" si="99"/>
        <v>0</v>
      </c>
      <c r="V126" s="61">
        <f t="shared" si="89"/>
        <v>103.3372137319873</v>
      </c>
      <c r="W126" s="2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</row>
    <row r="127" spans="1:81" s="21" customFormat="1" ht="29.25" customHeight="1">
      <c r="A127" s="13"/>
      <c r="B127" s="14" t="s">
        <v>7</v>
      </c>
      <c r="C127" s="58">
        <v>142.28</v>
      </c>
      <c r="D127" s="58">
        <v>138.94</v>
      </c>
      <c r="E127" s="68">
        <f>C127</f>
        <v>142.28</v>
      </c>
      <c r="F127" s="68">
        <f>D127</f>
        <v>138.94</v>
      </c>
      <c r="G127" s="23">
        <v>1</v>
      </c>
      <c r="H127" s="23">
        <v>1</v>
      </c>
      <c r="I127" s="46">
        <f aca="true" t="shared" si="100" ref="I127:N127">E127</f>
        <v>142.28</v>
      </c>
      <c r="J127" s="46">
        <f t="shared" si="100"/>
        <v>138.94</v>
      </c>
      <c r="K127" s="23">
        <f t="shared" si="100"/>
        <v>1</v>
      </c>
      <c r="L127" s="23">
        <f t="shared" si="100"/>
        <v>1</v>
      </c>
      <c r="M127" s="46">
        <f t="shared" si="100"/>
        <v>142.28</v>
      </c>
      <c r="N127" s="46">
        <f t="shared" si="100"/>
        <v>138.94</v>
      </c>
      <c r="O127" s="48">
        <f>86995402/1000</f>
        <v>86995.402</v>
      </c>
      <c r="P127" s="48">
        <f>89893620/1000</f>
        <v>89893.62</v>
      </c>
      <c r="Q127" s="40">
        <f t="shared" si="75"/>
        <v>103.33146112710645</v>
      </c>
      <c r="R127" s="32" t="s">
        <v>86</v>
      </c>
      <c r="S127" s="26">
        <f>62068365/1000</f>
        <v>62068.365</v>
      </c>
      <c r="T127" s="29">
        <f>64139719/1000</f>
        <v>64139.719</v>
      </c>
      <c r="U127" s="29"/>
      <c r="V127" s="26">
        <f t="shared" si="89"/>
        <v>103.3372137319873</v>
      </c>
      <c r="W127" s="35" t="s">
        <v>85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</row>
    <row r="128" spans="1:81" s="6" customFormat="1" ht="24" customHeight="1">
      <c r="A128" s="42" t="s">
        <v>46</v>
      </c>
      <c r="B128" s="43" t="s">
        <v>44</v>
      </c>
      <c r="C128" s="59">
        <f>C129</f>
        <v>453.9</v>
      </c>
      <c r="D128" s="59">
        <f>D129</f>
        <v>453.9</v>
      </c>
      <c r="E128" s="59">
        <f>E130</f>
        <v>453.9</v>
      </c>
      <c r="F128" s="59">
        <f aca="true" t="shared" si="101" ref="F128:U128">F130</f>
        <v>453.9</v>
      </c>
      <c r="G128" s="76">
        <f t="shared" si="101"/>
        <v>3</v>
      </c>
      <c r="H128" s="76">
        <f t="shared" si="101"/>
        <v>3</v>
      </c>
      <c r="I128" s="59">
        <f t="shared" si="101"/>
        <v>453.9</v>
      </c>
      <c r="J128" s="59">
        <f t="shared" si="101"/>
        <v>453.9</v>
      </c>
      <c r="K128" s="76">
        <f t="shared" si="101"/>
        <v>3</v>
      </c>
      <c r="L128" s="76">
        <f t="shared" si="101"/>
        <v>3</v>
      </c>
      <c r="M128" s="59">
        <f t="shared" si="101"/>
        <v>453.9</v>
      </c>
      <c r="N128" s="59">
        <f t="shared" si="101"/>
        <v>453.9</v>
      </c>
      <c r="O128" s="76">
        <f t="shared" si="101"/>
        <v>200340.542</v>
      </c>
      <c r="P128" s="76">
        <f t="shared" si="101"/>
        <v>200340.542</v>
      </c>
      <c r="Q128" s="76">
        <f t="shared" si="75"/>
        <v>100</v>
      </c>
      <c r="R128" s="10"/>
      <c r="S128" s="76">
        <f t="shared" si="101"/>
        <v>117993.98</v>
      </c>
      <c r="T128" s="76">
        <f t="shared" si="101"/>
        <v>117993.98</v>
      </c>
      <c r="U128" s="76">
        <f t="shared" si="101"/>
        <v>0</v>
      </c>
      <c r="V128" s="61">
        <f t="shared" si="89"/>
        <v>100</v>
      </c>
      <c r="W128" s="2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29" spans="1:81" s="21" customFormat="1" ht="23.25" customHeight="1">
      <c r="A129" s="13"/>
      <c r="B129" s="14" t="s">
        <v>11</v>
      </c>
      <c r="C129" s="58">
        <f>C131</f>
        <v>453.9</v>
      </c>
      <c r="D129" s="58">
        <f aca="true" t="shared" si="102" ref="D129:T129">D131</f>
        <v>453.9</v>
      </c>
      <c r="E129" s="58">
        <f t="shared" si="102"/>
        <v>453.9</v>
      </c>
      <c r="F129" s="58">
        <f t="shared" si="102"/>
        <v>453.9</v>
      </c>
      <c r="G129" s="40">
        <f t="shared" si="102"/>
        <v>3</v>
      </c>
      <c r="H129" s="40">
        <f t="shared" si="102"/>
        <v>3</v>
      </c>
      <c r="I129" s="58">
        <f t="shared" si="102"/>
        <v>453.9</v>
      </c>
      <c r="J129" s="58">
        <f t="shared" si="102"/>
        <v>453.9</v>
      </c>
      <c r="K129" s="40">
        <f t="shared" si="102"/>
        <v>3</v>
      </c>
      <c r="L129" s="40">
        <f t="shared" si="102"/>
        <v>3</v>
      </c>
      <c r="M129" s="58">
        <f t="shared" si="102"/>
        <v>453.9</v>
      </c>
      <c r="N129" s="58">
        <f t="shared" si="102"/>
        <v>453.9</v>
      </c>
      <c r="O129" s="40">
        <f t="shared" si="102"/>
        <v>200340.542</v>
      </c>
      <c r="P129" s="40">
        <f t="shared" si="102"/>
        <v>200340.542</v>
      </c>
      <c r="Q129" s="40">
        <f t="shared" si="75"/>
        <v>100</v>
      </c>
      <c r="R129" s="55"/>
      <c r="S129" s="40">
        <f t="shared" si="102"/>
        <v>117993.98</v>
      </c>
      <c r="T129" s="40">
        <f t="shared" si="102"/>
        <v>117993.98</v>
      </c>
      <c r="U129" s="40"/>
      <c r="V129" s="26">
        <f t="shared" si="89"/>
        <v>100</v>
      </c>
      <c r="W129" s="56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</row>
    <row r="130" spans="1:81" s="44" customFormat="1" ht="23.25" customHeight="1">
      <c r="A130" s="5">
        <v>1</v>
      </c>
      <c r="B130" s="7" t="s">
        <v>45</v>
      </c>
      <c r="C130" s="59">
        <f>C131</f>
        <v>453.9</v>
      </c>
      <c r="D130" s="59">
        <f>D131</f>
        <v>453.9</v>
      </c>
      <c r="E130" s="59">
        <f>E131</f>
        <v>453.9</v>
      </c>
      <c r="F130" s="59">
        <f aca="true" t="shared" si="103" ref="F130:U130">F131</f>
        <v>453.9</v>
      </c>
      <c r="G130" s="76">
        <f t="shared" si="103"/>
        <v>3</v>
      </c>
      <c r="H130" s="76">
        <f t="shared" si="103"/>
        <v>3</v>
      </c>
      <c r="I130" s="59">
        <f t="shared" si="103"/>
        <v>453.9</v>
      </c>
      <c r="J130" s="59">
        <f t="shared" si="103"/>
        <v>453.9</v>
      </c>
      <c r="K130" s="76">
        <f t="shared" si="103"/>
        <v>3</v>
      </c>
      <c r="L130" s="76">
        <f t="shared" si="103"/>
        <v>3</v>
      </c>
      <c r="M130" s="59">
        <f t="shared" si="103"/>
        <v>453.9</v>
      </c>
      <c r="N130" s="59">
        <f t="shared" si="103"/>
        <v>453.9</v>
      </c>
      <c r="O130" s="76">
        <f t="shared" si="103"/>
        <v>200340.542</v>
      </c>
      <c r="P130" s="76">
        <f t="shared" si="103"/>
        <v>200340.542</v>
      </c>
      <c r="Q130" s="76">
        <f t="shared" si="75"/>
        <v>100</v>
      </c>
      <c r="R130" s="10"/>
      <c r="S130" s="76">
        <f t="shared" si="103"/>
        <v>117993.98</v>
      </c>
      <c r="T130" s="76">
        <f t="shared" si="103"/>
        <v>117993.98</v>
      </c>
      <c r="U130" s="76">
        <f t="shared" si="103"/>
        <v>0</v>
      </c>
      <c r="V130" s="61">
        <f t="shared" si="89"/>
        <v>100</v>
      </c>
      <c r="W130" s="2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s="21" customFormat="1" ht="67.5" customHeight="1">
      <c r="A131" s="13"/>
      <c r="B131" s="14" t="s">
        <v>11</v>
      </c>
      <c r="C131" s="58">
        <v>453.9</v>
      </c>
      <c r="D131" s="58">
        <v>453.9</v>
      </c>
      <c r="E131" s="58">
        <f>C131</f>
        <v>453.9</v>
      </c>
      <c r="F131" s="58">
        <f>D131</f>
        <v>453.9</v>
      </c>
      <c r="G131" s="29">
        <v>3</v>
      </c>
      <c r="H131" s="29">
        <v>3</v>
      </c>
      <c r="I131" s="25">
        <f aca="true" t="shared" si="104" ref="I131:N131">E131</f>
        <v>453.9</v>
      </c>
      <c r="J131" s="25">
        <f t="shared" si="104"/>
        <v>453.9</v>
      </c>
      <c r="K131" s="29">
        <f t="shared" si="104"/>
        <v>3</v>
      </c>
      <c r="L131" s="29">
        <f t="shared" si="104"/>
        <v>3</v>
      </c>
      <c r="M131" s="25">
        <f t="shared" si="104"/>
        <v>453.9</v>
      </c>
      <c r="N131" s="25">
        <f t="shared" si="104"/>
        <v>453.9</v>
      </c>
      <c r="O131" s="29">
        <f>200340542/1000</f>
        <v>200340.542</v>
      </c>
      <c r="P131" s="29">
        <f>O131</f>
        <v>200340.542</v>
      </c>
      <c r="Q131" s="40">
        <f t="shared" si="75"/>
        <v>100</v>
      </c>
      <c r="R131" s="32" t="s">
        <v>130</v>
      </c>
      <c r="S131" s="26">
        <v>117993.98</v>
      </c>
      <c r="T131" s="29">
        <f>117993980/1000</f>
        <v>117993.98</v>
      </c>
      <c r="U131" s="29"/>
      <c r="V131" s="26">
        <f t="shared" si="89"/>
        <v>100</v>
      </c>
      <c r="W131" s="35" t="s">
        <v>131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s="6" customFormat="1" ht="31.5" customHeight="1">
      <c r="A132" s="42" t="s">
        <v>55</v>
      </c>
      <c r="B132" s="43" t="s">
        <v>60</v>
      </c>
      <c r="C132" s="59">
        <f aca="true" t="shared" si="105" ref="C132:P132">SUM(C133:C133)</f>
        <v>1840.59</v>
      </c>
      <c r="D132" s="59">
        <f t="shared" si="105"/>
        <v>1498.83</v>
      </c>
      <c r="E132" s="59">
        <f t="shared" si="105"/>
        <v>1514.4799999999998</v>
      </c>
      <c r="F132" s="59">
        <f t="shared" si="105"/>
        <v>1454.28</v>
      </c>
      <c r="G132" s="76">
        <f t="shared" si="105"/>
        <v>12</v>
      </c>
      <c r="H132" s="76">
        <f t="shared" si="105"/>
        <v>14</v>
      </c>
      <c r="I132" s="59">
        <f t="shared" si="105"/>
        <v>1514.4799999999998</v>
      </c>
      <c r="J132" s="59">
        <f t="shared" si="105"/>
        <v>1454.28</v>
      </c>
      <c r="K132" s="76">
        <f t="shared" si="105"/>
        <v>12</v>
      </c>
      <c r="L132" s="76">
        <f t="shared" si="105"/>
        <v>14</v>
      </c>
      <c r="M132" s="59">
        <f t="shared" si="105"/>
        <v>1514.4799999999998</v>
      </c>
      <c r="N132" s="59">
        <f t="shared" si="105"/>
        <v>1454.28</v>
      </c>
      <c r="O132" s="76">
        <f t="shared" si="105"/>
        <v>1149974.713</v>
      </c>
      <c r="P132" s="76">
        <f t="shared" si="105"/>
        <v>1149974.713</v>
      </c>
      <c r="Q132" s="76">
        <f t="shared" si="75"/>
        <v>100</v>
      </c>
      <c r="R132" s="11"/>
      <c r="S132" s="76">
        <f>SUM(S133:S133)</f>
        <v>957604.9391811138</v>
      </c>
      <c r="T132" s="76">
        <f>SUM(T133:T133)</f>
        <v>957604.9391811138</v>
      </c>
      <c r="U132" s="76"/>
      <c r="V132" s="61">
        <f t="shared" si="89"/>
        <v>100</v>
      </c>
      <c r="W132" s="2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s="21" customFormat="1" ht="27" customHeight="1">
      <c r="A133" s="13"/>
      <c r="B133" s="14" t="s">
        <v>11</v>
      </c>
      <c r="C133" s="58">
        <f>C135+C137+C139+C141</f>
        <v>1840.59</v>
      </c>
      <c r="D133" s="58">
        <f>D135+D137+D139+D141</f>
        <v>1498.83</v>
      </c>
      <c r="E133" s="58">
        <f>E135+E137+E139+E141</f>
        <v>1514.4799999999998</v>
      </c>
      <c r="F133" s="58">
        <f aca="true" t="shared" si="106" ref="F133:U133">F135+F137+F139+F141</f>
        <v>1454.28</v>
      </c>
      <c r="G133" s="40">
        <f t="shared" si="106"/>
        <v>12</v>
      </c>
      <c r="H133" s="40">
        <f t="shared" si="106"/>
        <v>14</v>
      </c>
      <c r="I133" s="58">
        <f t="shared" si="106"/>
        <v>1514.4799999999998</v>
      </c>
      <c r="J133" s="58">
        <f t="shared" si="106"/>
        <v>1454.28</v>
      </c>
      <c r="K133" s="40">
        <f t="shared" si="106"/>
        <v>12</v>
      </c>
      <c r="L133" s="40">
        <f t="shared" si="106"/>
        <v>14</v>
      </c>
      <c r="M133" s="58">
        <f t="shared" si="106"/>
        <v>1514.4799999999998</v>
      </c>
      <c r="N133" s="58">
        <f t="shared" si="106"/>
        <v>1454.28</v>
      </c>
      <c r="O133" s="40">
        <f t="shared" si="106"/>
        <v>1149974.713</v>
      </c>
      <c r="P133" s="40">
        <f t="shared" si="106"/>
        <v>1149974.713</v>
      </c>
      <c r="Q133" s="40">
        <f t="shared" si="75"/>
        <v>100</v>
      </c>
      <c r="R133" s="65"/>
      <c r="S133" s="40">
        <f t="shared" si="106"/>
        <v>957604.9391811138</v>
      </c>
      <c r="T133" s="40">
        <f t="shared" si="106"/>
        <v>957604.9391811138</v>
      </c>
      <c r="U133" s="40">
        <f t="shared" si="106"/>
        <v>0</v>
      </c>
      <c r="V133" s="26">
        <f t="shared" si="89"/>
        <v>100</v>
      </c>
      <c r="W133" s="56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</row>
    <row r="134" spans="1:81" s="44" customFormat="1" ht="25.5" customHeight="1">
      <c r="A134" s="5">
        <v>1</v>
      </c>
      <c r="B134" s="7" t="s">
        <v>61</v>
      </c>
      <c r="C134" s="78">
        <f>C135</f>
        <v>1113.24</v>
      </c>
      <c r="D134" s="59">
        <f>D135</f>
        <v>787.1299999999999</v>
      </c>
      <c r="E134" s="59">
        <f>E135</f>
        <v>787.1299999999999</v>
      </c>
      <c r="F134" s="59">
        <f aca="true" t="shared" si="107" ref="F134:U134">F135</f>
        <v>742.58</v>
      </c>
      <c r="G134" s="76">
        <f t="shared" si="107"/>
        <v>3</v>
      </c>
      <c r="H134" s="76">
        <f t="shared" si="107"/>
        <v>3</v>
      </c>
      <c r="I134" s="59">
        <f t="shared" si="107"/>
        <v>787.1299999999999</v>
      </c>
      <c r="J134" s="59">
        <f t="shared" si="107"/>
        <v>742.58</v>
      </c>
      <c r="K134" s="76">
        <f t="shared" si="107"/>
        <v>3</v>
      </c>
      <c r="L134" s="76">
        <f t="shared" si="107"/>
        <v>3</v>
      </c>
      <c r="M134" s="59">
        <f t="shared" si="107"/>
        <v>787.1299999999999</v>
      </c>
      <c r="N134" s="59">
        <f t="shared" si="107"/>
        <v>742.58</v>
      </c>
      <c r="O134" s="76">
        <f t="shared" si="107"/>
        <v>591800.777</v>
      </c>
      <c r="P134" s="76">
        <f t="shared" si="107"/>
        <v>591800.777</v>
      </c>
      <c r="Q134" s="76">
        <f t="shared" si="75"/>
        <v>100</v>
      </c>
      <c r="R134" s="10"/>
      <c r="S134" s="76">
        <f t="shared" si="107"/>
        <v>480996.979</v>
      </c>
      <c r="T134" s="76">
        <f t="shared" si="107"/>
        <v>480996.979</v>
      </c>
      <c r="U134" s="76">
        <f t="shared" si="107"/>
        <v>0</v>
      </c>
      <c r="V134" s="61">
        <f t="shared" si="89"/>
        <v>100</v>
      </c>
      <c r="W134" s="2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s="21" customFormat="1" ht="27" customHeight="1">
      <c r="A135" s="13"/>
      <c r="B135" s="14" t="s">
        <v>11</v>
      </c>
      <c r="C135" s="57">
        <v>1113.24</v>
      </c>
      <c r="D135" s="60">
        <v>787.1299999999999</v>
      </c>
      <c r="E135" s="60">
        <v>787.1299999999999</v>
      </c>
      <c r="F135" s="60">
        <v>742.58</v>
      </c>
      <c r="G135" s="23">
        <v>3</v>
      </c>
      <c r="H135" s="23">
        <v>3</v>
      </c>
      <c r="I135" s="24">
        <v>787.1299999999999</v>
      </c>
      <c r="J135" s="24">
        <v>742.58</v>
      </c>
      <c r="K135" s="23">
        <v>3</v>
      </c>
      <c r="L135" s="23">
        <v>3</v>
      </c>
      <c r="M135" s="24">
        <v>787.1299999999999</v>
      </c>
      <c r="N135" s="24">
        <v>742.58</v>
      </c>
      <c r="O135" s="29">
        <v>591800.777</v>
      </c>
      <c r="P135" s="29">
        <v>591800.777</v>
      </c>
      <c r="Q135" s="40">
        <f t="shared" si="75"/>
        <v>100</v>
      </c>
      <c r="R135" s="32" t="s">
        <v>66</v>
      </c>
      <c r="S135" s="26">
        <v>480996.979</v>
      </c>
      <c r="T135" s="29">
        <v>480996.979</v>
      </c>
      <c r="U135" s="29"/>
      <c r="V135" s="26">
        <f t="shared" si="89"/>
        <v>100</v>
      </c>
      <c r="W135" s="35" t="s">
        <v>65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s="44" customFormat="1" ht="30.75" customHeight="1">
      <c r="A136" s="5">
        <v>2</v>
      </c>
      <c r="B136" s="7" t="s">
        <v>62</v>
      </c>
      <c r="C136" s="59">
        <f>C137</f>
        <v>240.55</v>
      </c>
      <c r="D136" s="59">
        <f>D137</f>
        <v>195.05999999999995</v>
      </c>
      <c r="E136" s="59">
        <f>E137</f>
        <v>240.55</v>
      </c>
      <c r="F136" s="59">
        <f aca="true" t="shared" si="108" ref="F136:U136">F137</f>
        <v>195.05999999999995</v>
      </c>
      <c r="G136" s="76">
        <f t="shared" si="108"/>
        <v>4</v>
      </c>
      <c r="H136" s="76">
        <f t="shared" si="108"/>
        <v>4</v>
      </c>
      <c r="I136" s="59">
        <f t="shared" si="108"/>
        <v>240.55</v>
      </c>
      <c r="J136" s="59">
        <f t="shared" si="108"/>
        <v>195.05999999999995</v>
      </c>
      <c r="K136" s="76">
        <f t="shared" si="108"/>
        <v>4</v>
      </c>
      <c r="L136" s="76">
        <f t="shared" si="108"/>
        <v>4</v>
      </c>
      <c r="M136" s="59">
        <f t="shared" si="108"/>
        <v>240.55</v>
      </c>
      <c r="N136" s="59">
        <f t="shared" si="108"/>
        <v>195.05999999999995</v>
      </c>
      <c r="O136" s="76">
        <f t="shared" si="108"/>
        <v>184597</v>
      </c>
      <c r="P136" s="76">
        <f t="shared" si="108"/>
        <v>184597</v>
      </c>
      <c r="Q136" s="76">
        <f t="shared" si="75"/>
        <v>100</v>
      </c>
      <c r="R136" s="10"/>
      <c r="S136" s="76">
        <f t="shared" si="108"/>
        <v>133110</v>
      </c>
      <c r="T136" s="76">
        <f t="shared" si="108"/>
        <v>133110</v>
      </c>
      <c r="U136" s="76">
        <f t="shared" si="108"/>
        <v>0</v>
      </c>
      <c r="V136" s="61">
        <f t="shared" si="89"/>
        <v>100</v>
      </c>
      <c r="W136" s="2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s="21" customFormat="1" ht="30" customHeight="1">
      <c r="A137" s="13"/>
      <c r="B137" s="14" t="s">
        <v>11</v>
      </c>
      <c r="C137" s="57">
        <v>240.55</v>
      </c>
      <c r="D137" s="58">
        <v>195.05999999999995</v>
      </c>
      <c r="E137" s="58">
        <v>240.55</v>
      </c>
      <c r="F137" s="58">
        <v>195.05999999999995</v>
      </c>
      <c r="G137" s="23">
        <v>4</v>
      </c>
      <c r="H137" s="23">
        <v>4</v>
      </c>
      <c r="I137" s="46">
        <f aca="true" t="shared" si="109" ref="I137:N137">E137</f>
        <v>240.55</v>
      </c>
      <c r="J137" s="46">
        <f t="shared" si="109"/>
        <v>195.05999999999995</v>
      </c>
      <c r="K137" s="23">
        <f t="shared" si="109"/>
        <v>4</v>
      </c>
      <c r="L137" s="23">
        <f t="shared" si="109"/>
        <v>4</v>
      </c>
      <c r="M137" s="24">
        <f t="shared" si="109"/>
        <v>240.55</v>
      </c>
      <c r="N137" s="24">
        <f t="shared" si="109"/>
        <v>195.05999999999995</v>
      </c>
      <c r="O137" s="29">
        <v>184597</v>
      </c>
      <c r="P137" s="29">
        <v>184597</v>
      </c>
      <c r="Q137" s="40">
        <f t="shared" si="75"/>
        <v>100</v>
      </c>
      <c r="R137" s="32">
        <v>2020</v>
      </c>
      <c r="S137" s="26">
        <v>133110</v>
      </c>
      <c r="T137" s="29">
        <v>133110</v>
      </c>
      <c r="U137" s="29"/>
      <c r="V137" s="26">
        <f t="shared" si="89"/>
        <v>100</v>
      </c>
      <c r="W137" s="35" t="s">
        <v>70</v>
      </c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s="44" customFormat="1" ht="30" customHeight="1">
      <c r="A138" s="5">
        <v>3</v>
      </c>
      <c r="B138" s="7" t="s">
        <v>63</v>
      </c>
      <c r="C138" s="59">
        <f>C139</f>
        <v>216.64</v>
      </c>
      <c r="D138" s="59">
        <f>D139</f>
        <v>216.64</v>
      </c>
      <c r="E138" s="59">
        <f>E139</f>
        <v>216.64</v>
      </c>
      <c r="F138" s="59">
        <f aca="true" t="shared" si="110" ref="F138:U138">F139</f>
        <v>216.64</v>
      </c>
      <c r="G138" s="76">
        <f t="shared" si="110"/>
        <v>2</v>
      </c>
      <c r="H138" s="76">
        <f t="shared" si="110"/>
        <v>2</v>
      </c>
      <c r="I138" s="59">
        <f t="shared" si="110"/>
        <v>216.64</v>
      </c>
      <c r="J138" s="59">
        <f t="shared" si="110"/>
        <v>216.64</v>
      </c>
      <c r="K138" s="76">
        <f t="shared" si="110"/>
        <v>2</v>
      </c>
      <c r="L138" s="76">
        <f t="shared" si="110"/>
        <v>2</v>
      </c>
      <c r="M138" s="59">
        <f t="shared" si="110"/>
        <v>216.64</v>
      </c>
      <c r="N138" s="59">
        <f t="shared" si="110"/>
        <v>216.64</v>
      </c>
      <c r="O138" s="76">
        <f t="shared" si="110"/>
        <v>166252.936</v>
      </c>
      <c r="P138" s="76">
        <f t="shared" si="110"/>
        <v>166252.936</v>
      </c>
      <c r="Q138" s="76">
        <f t="shared" si="75"/>
        <v>100</v>
      </c>
      <c r="R138" s="10"/>
      <c r="S138" s="76">
        <f t="shared" si="110"/>
        <v>147837.63</v>
      </c>
      <c r="T138" s="76">
        <f t="shared" si="110"/>
        <v>147837.63</v>
      </c>
      <c r="U138" s="76">
        <f t="shared" si="110"/>
        <v>0</v>
      </c>
      <c r="V138" s="61">
        <f t="shared" si="89"/>
        <v>100</v>
      </c>
      <c r="W138" s="2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21" customFormat="1" ht="23.25" customHeight="1">
      <c r="A139" s="13"/>
      <c r="B139" s="14" t="s">
        <v>11</v>
      </c>
      <c r="C139" s="60">
        <v>216.64</v>
      </c>
      <c r="D139" s="60">
        <v>216.64</v>
      </c>
      <c r="E139" s="60">
        <v>216.64</v>
      </c>
      <c r="F139" s="60">
        <v>216.64</v>
      </c>
      <c r="G139" s="23">
        <v>2</v>
      </c>
      <c r="H139" s="23">
        <v>2</v>
      </c>
      <c r="I139" s="24">
        <v>216.64</v>
      </c>
      <c r="J139" s="24">
        <v>216.64</v>
      </c>
      <c r="K139" s="23">
        <v>2</v>
      </c>
      <c r="L139" s="23">
        <v>2</v>
      </c>
      <c r="M139" s="24">
        <v>216.64</v>
      </c>
      <c r="N139" s="24">
        <v>216.64</v>
      </c>
      <c r="O139" s="29">
        <v>166252.936</v>
      </c>
      <c r="P139" s="29">
        <v>166252.936</v>
      </c>
      <c r="Q139" s="40">
        <f t="shared" si="75"/>
        <v>100</v>
      </c>
      <c r="R139" s="32" t="s">
        <v>71</v>
      </c>
      <c r="S139" s="26">
        <v>147837.63</v>
      </c>
      <c r="T139" s="29">
        <v>147837.63</v>
      </c>
      <c r="U139" s="29"/>
      <c r="V139" s="26">
        <f t="shared" si="89"/>
        <v>100</v>
      </c>
      <c r="W139" s="35" t="s">
        <v>72</v>
      </c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44" customFormat="1" ht="27" customHeight="1">
      <c r="A140" s="5">
        <v>4</v>
      </c>
      <c r="B140" s="7" t="s">
        <v>64</v>
      </c>
      <c r="C140" s="59">
        <f>C141</f>
        <v>270.16</v>
      </c>
      <c r="D140" s="59">
        <f>D141</f>
        <v>300</v>
      </c>
      <c r="E140" s="59">
        <f>E141</f>
        <v>270.16</v>
      </c>
      <c r="F140" s="59">
        <f aca="true" t="shared" si="111" ref="F140:U140">F141</f>
        <v>300</v>
      </c>
      <c r="G140" s="76">
        <f t="shared" si="111"/>
        <v>3</v>
      </c>
      <c r="H140" s="76">
        <f t="shared" si="111"/>
        <v>5</v>
      </c>
      <c r="I140" s="59">
        <f t="shared" si="111"/>
        <v>270.16</v>
      </c>
      <c r="J140" s="59">
        <f t="shared" si="111"/>
        <v>300</v>
      </c>
      <c r="K140" s="76">
        <f t="shared" si="111"/>
        <v>3</v>
      </c>
      <c r="L140" s="76">
        <f t="shared" si="111"/>
        <v>5</v>
      </c>
      <c r="M140" s="59">
        <f t="shared" si="111"/>
        <v>270.16</v>
      </c>
      <c r="N140" s="59">
        <f t="shared" si="111"/>
        <v>300</v>
      </c>
      <c r="O140" s="76">
        <f t="shared" si="111"/>
        <v>207324</v>
      </c>
      <c r="P140" s="76">
        <f t="shared" si="111"/>
        <v>207324</v>
      </c>
      <c r="Q140" s="76">
        <f t="shared" si="75"/>
        <v>100</v>
      </c>
      <c r="R140" s="10"/>
      <c r="S140" s="76">
        <f t="shared" si="111"/>
        <v>195660.3301811138</v>
      </c>
      <c r="T140" s="76">
        <f t="shared" si="111"/>
        <v>195660.3301811138</v>
      </c>
      <c r="U140" s="76">
        <f t="shared" si="111"/>
        <v>0</v>
      </c>
      <c r="V140" s="61">
        <f t="shared" si="89"/>
        <v>100</v>
      </c>
      <c r="W140" s="18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21" customFormat="1" ht="25.5">
      <c r="A141" s="13"/>
      <c r="B141" s="14" t="s">
        <v>11</v>
      </c>
      <c r="C141" s="58">
        <v>270.16</v>
      </c>
      <c r="D141" s="58">
        <v>300</v>
      </c>
      <c r="E141" s="58">
        <f>C141</f>
        <v>270.16</v>
      </c>
      <c r="F141" s="58">
        <f>D141</f>
        <v>300</v>
      </c>
      <c r="G141" s="29">
        <v>3</v>
      </c>
      <c r="H141" s="29">
        <v>5</v>
      </c>
      <c r="I141" s="25">
        <f>E141</f>
        <v>270.16</v>
      </c>
      <c r="J141" s="25">
        <f>F141</f>
        <v>300</v>
      </c>
      <c r="K141" s="29">
        <v>3</v>
      </c>
      <c r="L141" s="29">
        <v>5</v>
      </c>
      <c r="M141" s="25">
        <f>I141</f>
        <v>270.16</v>
      </c>
      <c r="N141" s="25">
        <f>J141</f>
        <v>300</v>
      </c>
      <c r="O141" s="25">
        <v>207324</v>
      </c>
      <c r="P141" s="29">
        <v>207324</v>
      </c>
      <c r="Q141" s="40">
        <f t="shared" si="75"/>
        <v>100</v>
      </c>
      <c r="R141" s="38" t="s">
        <v>68</v>
      </c>
      <c r="S141" s="26">
        <v>195660.3301811138</v>
      </c>
      <c r="T141" s="29">
        <v>195660.3301811138</v>
      </c>
      <c r="U141" s="29"/>
      <c r="V141" s="26">
        <f t="shared" si="89"/>
        <v>100</v>
      </c>
      <c r="W141" s="37" t="s">
        <v>69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23" ht="15" customHeight="1">
      <c r="A142" s="4"/>
      <c r="B142" s="4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4"/>
      <c r="S142" s="70"/>
      <c r="T142" s="70"/>
      <c r="U142" s="70"/>
      <c r="V142" s="70"/>
      <c r="W142" s="4"/>
    </row>
    <row r="143" spans="1:23" ht="15" customHeight="1">
      <c r="A143" s="4"/>
      <c r="B143" s="4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4"/>
      <c r="S143" s="70"/>
      <c r="T143" s="70"/>
      <c r="U143" s="70"/>
      <c r="V143" s="70"/>
      <c r="W143" s="4"/>
    </row>
    <row r="144" spans="1:23" ht="15" customHeight="1">
      <c r="A144" s="4"/>
      <c r="B144" s="4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4"/>
      <c r="S144" s="70"/>
      <c r="T144" s="70"/>
      <c r="U144" s="70"/>
      <c r="V144" s="70"/>
      <c r="W144" s="4"/>
    </row>
    <row r="145" spans="1:23" ht="15" customHeight="1">
      <c r="A145" s="4"/>
      <c r="B145" s="4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4"/>
      <c r="S145" s="70"/>
      <c r="T145" s="70"/>
      <c r="U145" s="70"/>
      <c r="V145" s="70"/>
      <c r="W145" s="4"/>
    </row>
    <row r="146" spans="1:23" ht="15" customHeight="1">
      <c r="A146" s="4"/>
      <c r="B146" s="4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4"/>
      <c r="S146" s="70"/>
      <c r="T146" s="70"/>
      <c r="U146" s="70"/>
      <c r="V146" s="70"/>
      <c r="W146" s="4"/>
    </row>
    <row r="147" spans="1:23" ht="15" customHeight="1">
      <c r="A147" s="4"/>
      <c r="B147" s="4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4"/>
      <c r="S147" s="70"/>
      <c r="T147" s="70"/>
      <c r="U147" s="70"/>
      <c r="V147" s="70"/>
      <c r="W147" s="4"/>
    </row>
    <row r="148" spans="1:23" ht="11.25">
      <c r="A148" s="4"/>
      <c r="B148" s="4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4"/>
      <c r="S148" s="70"/>
      <c r="T148" s="70"/>
      <c r="U148" s="70"/>
      <c r="V148" s="70"/>
      <c r="W148" s="4"/>
    </row>
    <row r="149" spans="1:23" ht="11.25">
      <c r="A149" s="4"/>
      <c r="B149" s="4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4"/>
      <c r="S149" s="70"/>
      <c r="T149" s="70"/>
      <c r="U149" s="70"/>
      <c r="V149" s="70"/>
      <c r="W149" s="4"/>
    </row>
    <row r="150" ht="11.25">
      <c r="O150" s="70"/>
    </row>
    <row r="151" ht="11.25">
      <c r="O151" s="70"/>
    </row>
    <row r="152" ht="11.25">
      <c r="O152" s="70"/>
    </row>
  </sheetData>
  <sheetProtection/>
  <mergeCells count="30">
    <mergeCell ref="R48:R50"/>
    <mergeCell ref="W48:W50"/>
    <mergeCell ref="R54:R56"/>
    <mergeCell ref="W54:W56"/>
    <mergeCell ref="R58:R59"/>
    <mergeCell ref="W58:W59"/>
    <mergeCell ref="E5:F5"/>
    <mergeCell ref="S6:W6"/>
    <mergeCell ref="K6:L6"/>
    <mergeCell ref="G6:H6"/>
    <mergeCell ref="R38:R39"/>
    <mergeCell ref="W38:W39"/>
    <mergeCell ref="F6:F7"/>
    <mergeCell ref="O6:R6"/>
    <mergeCell ref="C6:C7"/>
    <mergeCell ref="E6:E7"/>
    <mergeCell ref="I6:J6"/>
    <mergeCell ref="D6:D7"/>
    <mergeCell ref="R30:R32"/>
    <mergeCell ref="W30:W32"/>
    <mergeCell ref="A1:W1"/>
    <mergeCell ref="A2:W2"/>
    <mergeCell ref="B5:B7"/>
    <mergeCell ref="M6:N6"/>
    <mergeCell ref="K5:N5"/>
    <mergeCell ref="C5:D5"/>
    <mergeCell ref="A3:W3"/>
    <mergeCell ref="A5:A7"/>
    <mergeCell ref="G5:J5"/>
    <mergeCell ref="O5:W5"/>
  </mergeCells>
  <printOptions/>
  <pageMargins left="0.196850393700787" right="0.15748031496063" top="0.34" bottom="0.29" header="0.2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2021-11-13T02:33:53Z</cp:lastPrinted>
  <dcterms:created xsi:type="dcterms:W3CDTF">2013-08-12T03:03:42Z</dcterms:created>
  <dcterms:modified xsi:type="dcterms:W3CDTF">2021-12-03T01:48:22Z</dcterms:modified>
  <cp:category/>
  <cp:version/>
  <cp:contentType/>
  <cp:contentStatus/>
</cp:coreProperties>
</file>