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393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<sst xmlns="http://schemas.openxmlformats.org/spreadsheetml/2006/main" count="226" uniqueCount="135">
  <si>
    <t>đồng</t>
  </si>
  <si>
    <t>đ</t>
  </si>
  <si>
    <t xml:space="preserve">      03 người   x    4 kỳ/tháng x 100.000đồng/người  x 12 tháng </t>
  </si>
  <si>
    <t xml:space="preserve">HỘI ĐỒNG NHÂN DÂN </t>
  </si>
  <si>
    <t>TỈNH KON TUM</t>
  </si>
  <si>
    <t xml:space="preserve"> CỘNG HÒA XÃ HỘI CHỦ NGHĨA VIỆT NAM</t>
  </si>
  <si>
    <t>- Chi thuốc chữa bệnh :</t>
  </si>
  <si>
    <t>- Chi phí hỗ trợ truyền hình trực tiếp kỳ họp</t>
  </si>
  <si>
    <t>- Chi khoán cho đại biểu và tổ đại biểu HĐND tỉnh tại các huyện, tp</t>
  </si>
  <si>
    <t>- Chi hỗ trợ cho xã nơi tổ chức tiếp xúc tri :</t>
  </si>
  <si>
    <t>- Chi bồi dưỡng đại biểu tiếp xúc cử tri trước và sau kỳ họp:</t>
  </si>
  <si>
    <t xml:space="preserve">                  500.000đ/lần  x 4 lần  x 102 xã </t>
  </si>
  <si>
    <t>- Chi viết báo cáo tiếp xúc cử tri:</t>
  </si>
  <si>
    <t xml:space="preserve">- Chi khảo sát cơ sở  9 huyện, thành phố : </t>
  </si>
  <si>
    <t>+ Chi bỗi dưỡng các thành viên tham gia đoàn khảo sát:</t>
  </si>
  <si>
    <t>Thành viên chính thức:</t>
  </si>
  <si>
    <t>Cán bộ, công chức, nhân viên phục vụ đoàn:</t>
  </si>
  <si>
    <t>+ Chi xây dựng quyết định, kế hoạch khảo sát:</t>
  </si>
  <si>
    <t>+ Chi xây dựng báo cáo tổng hợp kết quả khảo  sát:</t>
  </si>
  <si>
    <t>+ Chi bỗi dưỡng các thành viên tham gia đoàn giám sát :</t>
  </si>
  <si>
    <t>+ Chi xây dựng quyết định, kế hoạch giám sát:</t>
  </si>
  <si>
    <t>+ Chi xây dựng báo cáo tổng hợp kết quả giám sát:</t>
  </si>
  <si>
    <t xml:space="preserve"> - Chi cho công tác thẩm tra: ước thực hiện cả năm</t>
  </si>
  <si>
    <t>+ Chi xăng dầu phục vụ đoàn đi thăm cơ sở :</t>
  </si>
  <si>
    <t xml:space="preserve">+ Chi phí khác :  8 lần x 2.000.000đ </t>
  </si>
  <si>
    <t>- Chi đón tiếp các tỉnh bạn đến làm việc :</t>
  </si>
  <si>
    <t>+ Chi phi khác : 20 đoàn x 2.000.000đ</t>
  </si>
  <si>
    <t>- Chi thăm hỏi, động viên một số thôn làng, gia đình chính sách,</t>
  </si>
  <si>
    <t>- Chi phí khác</t>
  </si>
  <si>
    <t xml:space="preserve"> Tổng cộng:  </t>
  </si>
  <si>
    <t>- Chi phí nhuận bút, biên tập và chi phí khác :</t>
  </si>
  <si>
    <t>- Mua báo người đại biểu nhân dân cho đại biểu HĐND tỉnh :</t>
  </si>
  <si>
    <t>- Chi khoán phí khai thác internet:</t>
  </si>
  <si>
    <t>+ Dự các kỳ họp HĐND tỉnh:</t>
  </si>
  <si>
    <t>- Các loại tạp chí và tài liệu khác cho đại biểu HĐND tỉnh :</t>
  </si>
  <si>
    <t xml:space="preserve">- Chi tiếp và làm việc với Hội đồng dân tộc, các Uỷ ban của Quốc hội: </t>
  </si>
  <si>
    <t>300.000đ/ báo cáo  x 2 lần x 2 kỳ x 9 tổ</t>
  </si>
  <si>
    <t xml:space="preserve">500.000đ/ báo cáo  x 2 lần x 2 kỳ </t>
  </si>
  <si>
    <t>- Chi phí tiếp và làm việc thường trực HĐND các huyện:</t>
  </si>
  <si>
    <t>- Chi giải khát giữa giờ:</t>
  </si>
  <si>
    <t xml:space="preserve">Trưởng đoàn : 01 người  x 300.000đồng x 5 ngày x  7 đợt </t>
  </si>
  <si>
    <t xml:space="preserve">10 người x  5 ngày x 200.000đ x  7 đợt  </t>
  </si>
  <si>
    <t xml:space="preserve">10 người x 5 ngày x 160.000đ x 7 đợt </t>
  </si>
  <si>
    <t xml:space="preserve">2.000.000đồng/báo cáo   x   7 đợt </t>
  </si>
  <si>
    <t xml:space="preserve">1.200.000đồng/báo cáo   x   7 đợt </t>
  </si>
  <si>
    <t xml:space="preserve">+ Phụ cấp công tác phí : 10 người  x 10 ngày x 200.000đ x 13 đợt </t>
  </si>
  <si>
    <t xml:space="preserve">+ Chi phòng ngủ : 10 người  x 9 ngày x 300.000đ x 13đợt </t>
  </si>
  <si>
    <t xml:space="preserve">Trưởng đoàn: 01 người  x 300.000đồng x 10 ngày x 13đợt </t>
  </si>
  <si>
    <t xml:space="preserve">05 người x 10 ngày x 160.000đ x 13đợt </t>
  </si>
  <si>
    <t xml:space="preserve">2.000.000đông/báo cáo   x   13đợt </t>
  </si>
  <si>
    <t xml:space="preserve">2.500.000đông/báo cáo   x   13đợt </t>
  </si>
  <si>
    <t xml:space="preserve">+ Chi phí quà tặng:    5 đoàn  x  2.000.000đ x  5 tỉnh </t>
  </si>
  <si>
    <t xml:space="preserve">+ Phụ cấp công tác:  5 đoàn  x 10 người  x  5 ngày  x 200.000đ </t>
  </si>
  <si>
    <t xml:space="preserve">+ Chi phòng ngủ : 5 đoàn x 10 người  x  4 ngày  x 450.000đ </t>
  </si>
  <si>
    <t xml:space="preserve">+ Chi phi khác :   5 đoàn x  2.000.000đ  </t>
  </si>
  <si>
    <t>+ Chi cá nhân tham gia họp thẩm tra:</t>
  </si>
  <si>
    <t>- Chi hoạt động Ban chỉ đạo chuyên mục diễn đàn cử tri</t>
  </si>
  <si>
    <t xml:space="preserve">09 người x 10 ngày x 200.000đ x 13đợt  </t>
  </si>
  <si>
    <t>- Chi phí phục vụ trước, trong, sau kỳ họp:</t>
  </si>
  <si>
    <t>20 người   x  2 lần  x  2 kỳ  x 500.000đ</t>
  </si>
  <si>
    <t>- Chi hỗ trợ đối với đại biểu HĐND tỉnh:</t>
  </si>
  <si>
    <r>
      <t xml:space="preserve">Chi tiền công: </t>
    </r>
    <r>
      <rPr>
        <i/>
        <sz val="14"/>
        <rFont val="Times New Roman"/>
        <family val="1"/>
      </rPr>
      <t>(theo Nghị quyết số 1206/2016/NQ-UBTVQH13 ngày 13/5/2016)</t>
    </r>
  </si>
  <si>
    <t>+ Chi tiếp xúc cử tri:</t>
  </si>
  <si>
    <r>
      <t>+</t>
    </r>
    <r>
      <rPr>
        <b/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Chi hỗ trợ nghiên cứu tài liệu kỳ họp: 48 đb x 2.000.000đ/đb/năm</t>
    </r>
  </si>
  <si>
    <t>+ Chi hỗ trợ khám sức khỏe định kỳ: 48 đb x 2.000.000đ/đb/năm</t>
  </si>
  <si>
    <t xml:space="preserve">   đại biểu HĐND tỉnh,...</t>
  </si>
  <si>
    <t xml:space="preserve">      01 người   x    4 kỳ/tháng x 100.000đồng/người  x 12 tháng </t>
  </si>
  <si>
    <t>+ Chi phòng ngủ : 20 đoàn  x 10 người x 1 ngày x  350.000đ</t>
  </si>
  <si>
    <t>+ Chi phòng ngủ : 10 người  x  8 uỷ ban  x  2 ngày  x 350.000đ</t>
  </si>
  <si>
    <t xml:space="preserve">* Chi rà soát văn bản: ước thực hiện </t>
  </si>
  <si>
    <t xml:space="preserve">           48 đại biểu   x   250.000đ/tháng x 12 tháng</t>
  </si>
  <si>
    <t xml:space="preserve">           48 đại biểu   x   1.000.000đ/năm</t>
  </si>
  <si>
    <t>1- Chi cho kỳ họp HĐND:</t>
  </si>
  <si>
    <t>- Khoán kinh phí cho đại biểu HĐND tỉnh để in ấn tài liệu:</t>
  </si>
  <si>
    <t>- Chi phi hỗ trợ Ban CSSKCB phục vụ kỳ họp</t>
  </si>
  <si>
    <t xml:space="preserve">         48 đại biểu x 4.000.000đồng/năm</t>
  </si>
  <si>
    <t>- Chi bồi dưỡng công chức, nhân viên:</t>
  </si>
  <si>
    <t xml:space="preserve">+ Phụ cấp công tác phí : 10 người  x 5 ngày x 200.000đ x  7 đợt </t>
  </si>
  <si>
    <t xml:space="preserve">+ Chi phòng ngủ : 10 người  x 4 ngày x 300.000đ x  7 đợt </t>
  </si>
  <si>
    <t xml:space="preserve">10 người   x  60.000đồng/tập x   7 đợt </t>
  </si>
  <si>
    <t>+ Chi phí in ấn tài liệu phục vụ cho giám sát:</t>
  </si>
  <si>
    <t>+ Chi phí in ấn tài liệu phục vụ cho khảo sát:</t>
  </si>
  <si>
    <t xml:space="preserve">15 người   x  100.000đồng/tập x  13đợt </t>
  </si>
  <si>
    <t xml:space="preserve">           55 tờ báo x 6.000đ x 92 số/quý x 4 quý </t>
  </si>
  <si>
    <t>+ Chi xăng xe : 50 lít/huyện x 22.000đ  x  7 đợt  x 2 xe  x 4 huyện</t>
  </si>
  <si>
    <t>+ Chi xăng xe : 50 lít/huyện x 22.000đ  x  5 đợt  x 4 xe x 4 huyện</t>
  </si>
  <si>
    <t>+ Chi xăng xe :  500 lít  x 22.000đ  x  5 đoàn x 2 xe</t>
  </si>
  <si>
    <t xml:space="preserve">          20 lần  x  60 lít  x 22.000đ  x 01 xe</t>
  </si>
  <si>
    <t xml:space="preserve">           8 lần  x  60 lít  x 22.000đ  x 01 xe</t>
  </si>
  <si>
    <t xml:space="preserve">- Chi phụ cấp hoạt động phí cho các đại biểu : </t>
  </si>
  <si>
    <t>2 - Chi phí  tiếp xúc cử tri, thảo luận tổ đại biểu:</t>
  </si>
  <si>
    <t xml:space="preserve">3 - Chi hoạt động Thường trực và các Ban HĐND: </t>
  </si>
  <si>
    <t>5 - Hoạt động trang thông tin đại biểu dân cử tỉnh Kon Tum :</t>
  </si>
  <si>
    <t>6- Mua tạp chí và tài  liệu :</t>
  </si>
  <si>
    <t xml:space="preserve">8- Chi lễ tân và khánh tiết : </t>
  </si>
  <si>
    <t>10 - Chi tiếp công dân, xử lý đơn thư định kỳ :</t>
  </si>
  <si>
    <t>11- Chi thăm hỏi, động viên một số thôn, làng, chi khác :</t>
  </si>
  <si>
    <t>12 - Dự phòng:</t>
  </si>
  <si>
    <t>7- Chi chế độ đối với đại biểu HĐND tỉnh:</t>
  </si>
  <si>
    <t>Kinh phí hoạt động Hội đồng nhân dân tỉnh năm 2020</t>
  </si>
  <si>
    <t>(02 kỳ họp thường lệ và dự kiến 04 kỳ họp bất thường)</t>
  </si>
  <si>
    <t xml:space="preserve">+ Kỳ họp bất thường: 48 đb  x  200.000đồng/đại biểu/kỳ  x 04 kỳ </t>
  </si>
  <si>
    <t xml:space="preserve">+ Chi văn phòng phẩm : 50 người  x  20.000đ  x 6 kỳ </t>
  </si>
  <si>
    <t>+ Chi phụ cấp làm thêm giờ: 50.000.000đ/kỳ họp  x 2 kỳ</t>
  </si>
  <si>
    <t xml:space="preserve">          200 người  x  40.000đ  x  3 ngày x 6kỳ </t>
  </si>
  <si>
    <t xml:space="preserve">- Chi trang trí hội trường : 5.000.000đ  x 6kỳ </t>
  </si>
  <si>
    <t xml:space="preserve">              48 đại biểu  x 0,5 x 1.600.000đ x 12 tháng </t>
  </si>
  <si>
    <t xml:space="preserve">     03 người   x  0,1 x 1.600.000đ/ngày  x  4 đợt  x 05 ngày </t>
  </si>
  <si>
    <t xml:space="preserve">     03 đại biểu   x  0,1 x 1.600.000đ/ngày  x 6 kỳ x 3 ngày </t>
  </si>
  <si>
    <t xml:space="preserve">+ Chi  ăn : 20 đoàn  x  10 người  x 2 ngày  x 500.000đ </t>
  </si>
  <si>
    <t xml:space="preserve">            6 số   x   15.000.000đ</t>
  </si>
  <si>
    <t>4- Chi dự 02 kỳ họp ở Quốc hội :</t>
  </si>
  <si>
    <t>Chủ trì:  4 người x 20 cuộc x 150.000đ/cuộc x  2 kỳ họp</t>
  </si>
  <si>
    <t>Đại biểu:  4Ban x 10 đại biểu x 20 cuộc x 100.000đ/cuộc x 2 kỳ họp</t>
  </si>
  <si>
    <t>+ Trình kỳ họp:  200 báo cáo x 500.000đ/báo cáo</t>
  </si>
  <si>
    <t>+ Chi  ăn : 8 đoàn   x  5 người  x  2 ngày  x 300.000đ x 2 lần</t>
  </si>
  <si>
    <t>+ Chi phòng ngủ : 8 đoàn  x  5 người  x 1 ngày  x 350.000đ x 2 lần</t>
  </si>
  <si>
    <t xml:space="preserve">- Chi in ấn phát hành Nghị quyết: </t>
  </si>
  <si>
    <t>Bằng chữ:( Năm tỷ hai trăm sáu mươi triệu đồng)</t>
  </si>
  <si>
    <t>DỰ TOÁN</t>
  </si>
  <si>
    <t>+  4.000.000đồng/kỳ    x   2kỳ</t>
  </si>
  <si>
    <t>+ 500.000đồng/kỳ     x   2kỳ</t>
  </si>
  <si>
    <t>- Chi công tác phí : 02 người  x  200.000đ/người  x 05 ngày x 2kỳ</t>
  </si>
  <si>
    <t>- Chi thuê phòng ngủ : 02 người  x  450.000đ  x  4 ngày x 2 kỳ</t>
  </si>
  <si>
    <t>- Chi mua vé máy bay, chi phí khác : 04 vé x 5.000.000đ/vé x  2 kỳ</t>
  </si>
  <si>
    <t>+ Chi ăn : 10 người  x  8 uỷ ban  x  3 ngày  x  500.000đ/ngày</t>
  </si>
  <si>
    <t>+ Chi xây dựng văn bản góp ý kiến:  350 văn bản x  200.000đ</t>
  </si>
  <si>
    <t>- Chi xăng xe :  45 lít  x 22.000đ  x 4 lần</t>
  </si>
  <si>
    <t>- Chi cho đại biểu không hưởng lương từ ngân sách:</t>
  </si>
  <si>
    <t>9 - Chi rà soát văn bản qui phạm pháp luật:</t>
  </si>
  <si>
    <t xml:space="preserve"> 200 người x 37.500đ x 2kỳ</t>
  </si>
  <si>
    <t xml:space="preserve">- Chi phí hoạt động giám sát 9 huyện, thành phố </t>
  </si>
  <si>
    <t xml:space="preserve">- Chi Thường trực, các Ban tham dự hội thảo, hội nghị và trao đổi kinh nghiệm ngoài tỉnh: </t>
  </si>
  <si>
    <t>Độc lập - Tự do - Hạnh phúc</t>
  </si>
  <si>
    <t>(Kèm theo Tờ trình số 04  /TTr-HĐND ngày 29 tháng 11 năm 2019 của Thường trực Hội đồng nhân dân tỉnh)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</si>
</sst>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3.5"/>
      <color indexed="12"/>
      <name val="Times New Roman"/>
      <family val="1"/>
    </font>
    <font>
      <b/>
      <i/>
      <sz val="13"/>
      <color indexed="12"/>
      <name val="Times New Roman"/>
      <family val="1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185" fontId="4" fillId="0" borderId="0" xfId="42" applyNumberFormat="1" applyFont="1" applyAlignment="1">
      <alignment horizontal="right"/>
    </xf>
    <xf numFmtId="0" fontId="5" fillId="0" borderId="0" xfId="0" applyFont="1" applyAlignment="1">
      <alignment/>
    </xf>
    <xf numFmtId="185" fontId="5" fillId="0" borderId="0" xfId="42" applyNumberFormat="1" applyFont="1" applyAlignment="1">
      <alignment horizontal="right"/>
    </xf>
    <xf numFmtId="0" fontId="4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85" fontId="4" fillId="0" borderId="0" xfId="42" applyNumberFormat="1" applyFont="1" applyFill="1" applyAlignment="1">
      <alignment horizontal="right"/>
    </xf>
    <xf numFmtId="185" fontId="7" fillId="0" borderId="0" xfId="42" applyNumberFormat="1" applyFont="1" applyAlignment="1">
      <alignment horizontal="right"/>
    </xf>
    <xf numFmtId="0" fontId="9" fillId="0" borderId="0" xfId="0" applyFont="1" applyAlignment="1">
      <alignment/>
    </xf>
    <xf numFmtId="185" fontId="9" fillId="0" borderId="0" xfId="42" applyNumberFormat="1" applyFont="1" applyAlignment="1">
      <alignment horizontal="right"/>
    </xf>
    <xf numFmtId="185" fontId="6" fillId="0" borderId="0" xfId="42" applyNumberFormat="1" applyFont="1" applyAlignment="1">
      <alignment horizontal="left"/>
    </xf>
    <xf numFmtId="0" fontId="9" fillId="0" borderId="0" xfId="0" applyFont="1" applyAlignment="1">
      <alignment/>
    </xf>
    <xf numFmtId="185" fontId="9" fillId="0" borderId="0" xfId="42" applyNumberFormat="1" applyFont="1" applyAlignment="1">
      <alignment horizontal="right"/>
    </xf>
    <xf numFmtId="3" fontId="6" fillId="0" borderId="0" xfId="0" applyNumberFormat="1" applyFont="1" applyAlignment="1">
      <alignment/>
    </xf>
    <xf numFmtId="185" fontId="9" fillId="0" borderId="0" xfId="42" applyNumberFormat="1" applyFont="1" applyAlignment="1">
      <alignment/>
    </xf>
    <xf numFmtId="0" fontId="11" fillId="0" borderId="0" xfId="0" applyFont="1" applyAlignment="1" quotePrefix="1">
      <alignment/>
    </xf>
    <xf numFmtId="0" fontId="12" fillId="0" borderId="0" xfId="0" applyFont="1" applyAlignment="1">
      <alignment/>
    </xf>
    <xf numFmtId="185" fontId="11" fillId="0" borderId="0" xfId="42" applyNumberFormat="1" applyFont="1" applyAlignment="1">
      <alignment horizontal="right"/>
    </xf>
    <xf numFmtId="0" fontId="13" fillId="0" borderId="0" xfId="0" applyFont="1" applyAlignment="1" quotePrefix="1">
      <alignment/>
    </xf>
    <xf numFmtId="0" fontId="9" fillId="0" borderId="0" xfId="0" applyFont="1" applyFill="1" applyAlignment="1">
      <alignment/>
    </xf>
    <xf numFmtId="185" fontId="10" fillId="0" borderId="0" xfId="42" applyNumberFormat="1" applyFont="1" applyFill="1" applyAlignment="1">
      <alignment/>
    </xf>
    <xf numFmtId="0" fontId="11" fillId="0" borderId="0" xfId="0" applyFont="1" applyFill="1" applyAlignment="1" quotePrefix="1">
      <alignment/>
    </xf>
    <xf numFmtId="0" fontId="12" fillId="0" borderId="0" xfId="0" applyFont="1" applyFill="1" applyAlignment="1">
      <alignment/>
    </xf>
    <xf numFmtId="185" fontId="11" fillId="0" borderId="0" xfId="42" applyNumberFormat="1" applyFont="1" applyFill="1" applyAlignment="1">
      <alignment horizontal="right"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inden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85" fontId="4" fillId="0" borderId="0" xfId="0" applyNumberFormat="1" applyFont="1" applyFill="1" applyAlignment="1">
      <alignment/>
    </xf>
    <xf numFmtId="185" fontId="4" fillId="0" borderId="0" xfId="0" applyNumberFormat="1" applyFont="1" applyAlignment="1">
      <alignment/>
    </xf>
    <xf numFmtId="185" fontId="12" fillId="0" borderId="0" xfId="0" applyNumberFormat="1" applyFont="1" applyFill="1" applyAlignment="1">
      <alignment/>
    </xf>
    <xf numFmtId="185" fontId="14" fillId="0" borderId="0" xfId="42" applyNumberFormat="1" applyFont="1" applyFill="1" applyAlignment="1">
      <alignment horizontal="right"/>
    </xf>
    <xf numFmtId="0" fontId="15" fillId="0" borderId="0" xfId="0" applyFont="1" applyAlignment="1" quotePrefix="1">
      <alignment/>
    </xf>
    <xf numFmtId="171" fontId="12" fillId="0" borderId="0" xfId="0" applyNumberFormat="1" applyFont="1" applyFill="1" applyAlignment="1">
      <alignment/>
    </xf>
    <xf numFmtId="0" fontId="16" fillId="0" borderId="0" xfId="0" applyFont="1" applyFill="1" applyAlignment="1" quotePrefix="1">
      <alignment/>
    </xf>
    <xf numFmtId="0" fontId="16" fillId="0" borderId="0" xfId="0" applyFont="1" applyFill="1" applyAlignment="1">
      <alignment horizontal="left"/>
    </xf>
    <xf numFmtId="185" fontId="16" fillId="0" borderId="0" xfId="42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185" fontId="9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0</xdr:rowOff>
    </xdr:from>
    <xdr:to>
      <xdr:col>2</xdr:col>
      <xdr:colOff>457200</xdr:colOff>
      <xdr:row>2</xdr:row>
      <xdr:rowOff>0</xdr:rowOff>
    </xdr:to>
    <xdr:sp>
      <xdr:nvSpPr>
        <xdr:cNvPr id="1" name="Line 9"/>
        <xdr:cNvSpPr>
          <a:spLocks/>
        </xdr:cNvSpPr>
      </xdr:nvSpPr>
      <xdr:spPr>
        <a:xfrm>
          <a:off x="695325" y="4762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7</xdr:row>
      <xdr:rowOff>9525</xdr:rowOff>
    </xdr:from>
    <xdr:to>
      <xdr:col>6</xdr:col>
      <xdr:colOff>161925</xdr:colOff>
      <xdr:row>7</xdr:row>
      <xdr:rowOff>9525</xdr:rowOff>
    </xdr:to>
    <xdr:sp>
      <xdr:nvSpPr>
        <xdr:cNvPr id="2" name="Line 10"/>
        <xdr:cNvSpPr>
          <a:spLocks/>
        </xdr:cNvSpPr>
      </xdr:nvSpPr>
      <xdr:spPr>
        <a:xfrm>
          <a:off x="2819400" y="17240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</xdr:row>
      <xdr:rowOff>9525</xdr:rowOff>
    </xdr:from>
    <xdr:to>
      <xdr:col>7</xdr:col>
      <xdr:colOff>200025</xdr:colOff>
      <xdr:row>2</xdr:row>
      <xdr:rowOff>9525</xdr:rowOff>
    </xdr:to>
    <xdr:sp>
      <xdr:nvSpPr>
        <xdr:cNvPr id="3" name="Line 36"/>
        <xdr:cNvSpPr>
          <a:spLocks/>
        </xdr:cNvSpPr>
      </xdr:nvSpPr>
      <xdr:spPr>
        <a:xfrm>
          <a:off x="3695700" y="4857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1"/>
  <sheetViews>
    <sheetView tabSelected="1" zoomScalePageLayoutView="0" workbookViewId="0" topLeftCell="A101">
      <selection activeCell="A7" sqref="A7:H7"/>
    </sheetView>
  </sheetViews>
  <sheetFormatPr defaultColWidth="9.140625" defaultRowHeight="12.75"/>
  <cols>
    <col min="1" max="5" width="9.140625" style="1" customWidth="1"/>
    <col min="6" max="6" width="6.00390625" style="1" customWidth="1"/>
    <col min="7" max="7" width="23.8515625" style="1" customWidth="1"/>
    <col min="8" max="8" width="18.140625" style="2" customWidth="1"/>
    <col min="9" max="9" width="3.140625" style="1" customWidth="1"/>
    <col min="10" max="10" width="18.57421875" style="1" customWidth="1"/>
    <col min="11" max="11" width="17.8515625" style="1" customWidth="1"/>
    <col min="12" max="12" width="10.28125" style="1" bestFit="1" customWidth="1"/>
    <col min="13" max="16384" width="9.140625" style="1" customWidth="1"/>
  </cols>
  <sheetData>
    <row r="1" spans="1:9" ht="18.75">
      <c r="A1" s="52" t="s">
        <v>3</v>
      </c>
      <c r="B1" s="52"/>
      <c r="C1" s="52"/>
      <c r="D1" s="52"/>
      <c r="E1" s="52" t="s">
        <v>5</v>
      </c>
      <c r="F1" s="52"/>
      <c r="G1" s="52"/>
      <c r="H1" s="52"/>
      <c r="I1" s="52"/>
    </row>
    <row r="2" spans="1:9" ht="18.75">
      <c r="A2" s="52" t="s">
        <v>4</v>
      </c>
      <c r="B2" s="52"/>
      <c r="C2" s="52"/>
      <c r="D2" s="52"/>
      <c r="E2" s="52" t="s">
        <v>133</v>
      </c>
      <c r="F2" s="53"/>
      <c r="G2" s="53"/>
      <c r="H2" s="53"/>
      <c r="I2" s="53"/>
    </row>
    <row r="3" spans="1:9" ht="9.75" customHeight="1">
      <c r="A3" s="6"/>
      <c r="E3" s="6"/>
      <c r="H3" s="1"/>
      <c r="I3" s="2"/>
    </row>
    <row r="4" spans="1:9" ht="9.75" customHeight="1">
      <c r="A4" s="6"/>
      <c r="E4" s="6"/>
      <c r="H4" s="1"/>
      <c r="I4" s="2"/>
    </row>
    <row r="5" spans="1:9" ht="22.5">
      <c r="A5" s="45" t="s">
        <v>119</v>
      </c>
      <c r="B5" s="45"/>
      <c r="C5" s="45"/>
      <c r="D5" s="45"/>
      <c r="E5" s="45"/>
      <c r="F5" s="45"/>
      <c r="G5" s="45"/>
      <c r="H5" s="45"/>
      <c r="I5" s="45"/>
    </row>
    <row r="6" spans="1:8" ht="18.75">
      <c r="A6" s="46" t="s">
        <v>99</v>
      </c>
      <c r="B6" s="46"/>
      <c r="C6" s="46"/>
      <c r="D6" s="46"/>
      <c r="E6" s="46"/>
      <c r="F6" s="46"/>
      <c r="G6" s="46"/>
      <c r="H6" s="46"/>
    </row>
    <row r="7" spans="1:255" ht="36.75" customHeight="1">
      <c r="A7" s="47" t="s">
        <v>134</v>
      </c>
      <c r="B7" s="47"/>
      <c r="C7" s="47"/>
      <c r="D7" s="47"/>
      <c r="E7" s="47"/>
      <c r="F7" s="47"/>
      <c r="G7" s="47"/>
      <c r="H7" s="4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ht="18.75">
      <c r="A8" s="6"/>
    </row>
    <row r="9" spans="1:9" s="11" customFormat="1" ht="18.75">
      <c r="A9" s="11" t="s">
        <v>72</v>
      </c>
      <c r="H9" s="17">
        <f>SUM(H12:H24)</f>
        <v>349000000</v>
      </c>
      <c r="I9" s="11" t="s">
        <v>1</v>
      </c>
    </row>
    <row r="10" ht="18.75">
      <c r="A10" s="8" t="s">
        <v>100</v>
      </c>
    </row>
    <row r="11" ht="18.75">
      <c r="A11" s="5" t="s">
        <v>73</v>
      </c>
    </row>
    <row r="12" spans="1:9" ht="18.75">
      <c r="A12" s="5" t="s">
        <v>101</v>
      </c>
      <c r="H12" s="2">
        <f>48*200000*4</f>
        <v>38400000</v>
      </c>
      <c r="I12" s="1" t="s">
        <v>1</v>
      </c>
    </row>
    <row r="13" ht="18.75">
      <c r="A13" s="5" t="s">
        <v>58</v>
      </c>
    </row>
    <row r="14" spans="1:9" ht="18.75">
      <c r="A14" s="5" t="s">
        <v>102</v>
      </c>
      <c r="H14" s="2">
        <f>50*20000*3</f>
        <v>3000000</v>
      </c>
      <c r="I14" s="1" t="s">
        <v>1</v>
      </c>
    </row>
    <row r="15" spans="1:9" ht="18.75">
      <c r="A15" s="5" t="s">
        <v>103</v>
      </c>
      <c r="H15" s="2">
        <f>50000000*2</f>
        <v>100000000</v>
      </c>
      <c r="I15" s="1" t="s">
        <v>1</v>
      </c>
    </row>
    <row r="16" spans="1:9" ht="18.75">
      <c r="A16" s="5" t="s">
        <v>6</v>
      </c>
      <c r="D16" s="1" t="s">
        <v>130</v>
      </c>
      <c r="H16" s="2">
        <f>200*25000*3</f>
        <v>15000000</v>
      </c>
      <c r="I16" s="1" t="s">
        <v>1</v>
      </c>
    </row>
    <row r="17" ht="18.75">
      <c r="A17" s="5" t="s">
        <v>39</v>
      </c>
    </row>
    <row r="18" spans="1:9" ht="18.75">
      <c r="A18" s="1" t="s">
        <v>104</v>
      </c>
      <c r="H18" s="2">
        <f>200*40000*3*6</f>
        <v>144000000</v>
      </c>
      <c r="I18" s="1" t="s">
        <v>1</v>
      </c>
    </row>
    <row r="19" ht="18.75">
      <c r="A19" s="5" t="s">
        <v>7</v>
      </c>
    </row>
    <row r="20" spans="1:9" ht="18.75">
      <c r="A20" s="5" t="s">
        <v>120</v>
      </c>
      <c r="H20" s="2">
        <f>4000000*2</f>
        <v>8000000</v>
      </c>
      <c r="I20" s="1" t="s">
        <v>1</v>
      </c>
    </row>
    <row r="21" ht="18.75">
      <c r="A21" s="5" t="s">
        <v>74</v>
      </c>
    </row>
    <row r="22" spans="1:9" ht="18.75">
      <c r="A22" s="5" t="s">
        <v>121</v>
      </c>
      <c r="H22" s="2">
        <f>500000*2</f>
        <v>1000000</v>
      </c>
      <c r="I22" s="1" t="s">
        <v>1</v>
      </c>
    </row>
    <row r="23" spans="1:9" ht="18.75">
      <c r="A23" s="5" t="s">
        <v>105</v>
      </c>
      <c r="H23" s="2">
        <f>5000000*6</f>
        <v>30000000</v>
      </c>
      <c r="I23" s="1" t="s">
        <v>1</v>
      </c>
    </row>
    <row r="24" spans="1:9" ht="18.75">
      <c r="A24" s="5" t="s">
        <v>117</v>
      </c>
      <c r="H24" s="2">
        <v>9600000</v>
      </c>
      <c r="I24" s="1" t="s">
        <v>1</v>
      </c>
    </row>
    <row r="25" spans="1:9" s="11" customFormat="1" ht="18.75">
      <c r="A25" s="11" t="s">
        <v>90</v>
      </c>
      <c r="H25" s="17">
        <f>SUM(H26:H35)</f>
        <v>748800000</v>
      </c>
      <c r="I25" s="11" t="s">
        <v>1</v>
      </c>
    </row>
    <row r="26" spans="1:9" ht="18.75">
      <c r="A26" s="5" t="s">
        <v>8</v>
      </c>
      <c r="H26" s="2">
        <v>300000000</v>
      </c>
      <c r="I26" s="1" t="s">
        <v>1</v>
      </c>
    </row>
    <row r="27" ht="18.75">
      <c r="A27" s="5" t="s">
        <v>10</v>
      </c>
    </row>
    <row r="28" spans="1:9" ht="18.75">
      <c r="A28" s="1" t="s">
        <v>75</v>
      </c>
      <c r="H28" s="2">
        <f>48*4000000</f>
        <v>192000000</v>
      </c>
      <c r="I28" s="1" t="s">
        <v>1</v>
      </c>
    </row>
    <row r="29" spans="1:8" ht="18.75">
      <c r="A29" s="5" t="s">
        <v>9</v>
      </c>
      <c r="H29" s="9"/>
    </row>
    <row r="30" spans="1:9" ht="18.75">
      <c r="A30" s="1" t="s">
        <v>11</v>
      </c>
      <c r="H30" s="2">
        <v>204000000</v>
      </c>
      <c r="I30" s="1" t="s">
        <v>1</v>
      </c>
    </row>
    <row r="31" ht="18.75">
      <c r="A31" s="5" t="s">
        <v>76</v>
      </c>
    </row>
    <row r="32" spans="2:9" ht="18.75">
      <c r="B32" s="1" t="s">
        <v>59</v>
      </c>
      <c r="H32" s="2">
        <f>20*2*2*500000</f>
        <v>40000000</v>
      </c>
      <c r="I32" s="1" t="s">
        <v>1</v>
      </c>
    </row>
    <row r="33" ht="18.75">
      <c r="A33" s="5" t="s">
        <v>12</v>
      </c>
    </row>
    <row r="34" spans="2:9" ht="18.75">
      <c r="B34" s="1" t="s">
        <v>36</v>
      </c>
      <c r="H34" s="2">
        <f>300000*2*2*9</f>
        <v>10800000</v>
      </c>
      <c r="I34" s="1" t="s">
        <v>1</v>
      </c>
    </row>
    <row r="35" spans="2:9" ht="18.75">
      <c r="B35" s="1" t="s">
        <v>37</v>
      </c>
      <c r="H35" s="2">
        <f>500000*2*2</f>
        <v>2000000</v>
      </c>
      <c r="I35" s="1" t="s">
        <v>1</v>
      </c>
    </row>
    <row r="36" ht="7.5" customHeight="1"/>
    <row r="37" spans="1:9" s="22" customFormat="1" ht="18.75">
      <c r="A37" s="22" t="s">
        <v>91</v>
      </c>
      <c r="H37" s="23">
        <f>H38+H54+H70+H76</f>
        <v>2242100000</v>
      </c>
      <c r="I37" s="22" t="s">
        <v>1</v>
      </c>
    </row>
    <row r="38" spans="1:10" s="25" customFormat="1" ht="19.5">
      <c r="A38" s="24" t="s">
        <v>13</v>
      </c>
      <c r="H38" s="26">
        <f>SUM(H39:H53)</f>
        <v>424100000</v>
      </c>
      <c r="I38" s="25" t="s">
        <v>1</v>
      </c>
      <c r="J38" s="34"/>
    </row>
    <row r="39" spans="1:9" s="28" customFormat="1" ht="18.75">
      <c r="A39" s="27" t="s">
        <v>77</v>
      </c>
      <c r="H39" s="9">
        <f>10*5*200000*7</f>
        <v>70000000</v>
      </c>
      <c r="I39" s="28" t="s">
        <v>1</v>
      </c>
    </row>
    <row r="40" spans="1:9" s="28" customFormat="1" ht="18.75">
      <c r="A40" s="27" t="s">
        <v>78</v>
      </c>
      <c r="H40" s="9">
        <f>10*4*300000*7</f>
        <v>84000000</v>
      </c>
      <c r="I40" s="28" t="s">
        <v>1</v>
      </c>
    </row>
    <row r="41" spans="1:11" s="28" customFormat="1" ht="18.75">
      <c r="A41" s="27" t="s">
        <v>84</v>
      </c>
      <c r="H41" s="9">
        <f>50*22000*7*2*4</f>
        <v>61600000</v>
      </c>
      <c r="I41" s="28" t="s">
        <v>1</v>
      </c>
      <c r="K41" s="32"/>
    </row>
    <row r="42" spans="1:8" s="28" customFormat="1" ht="18.75">
      <c r="A42" s="27" t="s">
        <v>14</v>
      </c>
      <c r="H42" s="9"/>
    </row>
    <row r="43" spans="1:9" s="28" customFormat="1" ht="18.75">
      <c r="A43" s="28" t="s">
        <v>40</v>
      </c>
      <c r="H43" s="9">
        <f>1*300000*5*9</f>
        <v>13500000</v>
      </c>
      <c r="I43" s="28" t="s">
        <v>1</v>
      </c>
    </row>
    <row r="44" spans="1:8" s="28" customFormat="1" ht="18.75">
      <c r="A44" s="28" t="s">
        <v>15</v>
      </c>
      <c r="H44" s="9"/>
    </row>
    <row r="45" spans="2:9" s="28" customFormat="1" ht="17.25" customHeight="1">
      <c r="B45" s="28" t="s">
        <v>41</v>
      </c>
      <c r="H45" s="9">
        <f>10*5*200000*9</f>
        <v>90000000</v>
      </c>
      <c r="I45" s="28" t="s">
        <v>1</v>
      </c>
    </row>
    <row r="46" spans="1:8" s="28" customFormat="1" ht="18.75">
      <c r="A46" s="28" t="s">
        <v>16</v>
      </c>
      <c r="H46" s="9"/>
    </row>
    <row r="47" spans="1:9" s="28" customFormat="1" ht="18.75">
      <c r="A47" s="29"/>
      <c r="B47" s="28" t="s">
        <v>42</v>
      </c>
      <c r="H47" s="9">
        <f>10*5*160000*9</f>
        <v>72000000</v>
      </c>
      <c r="I47" s="28" t="s">
        <v>1</v>
      </c>
    </row>
    <row r="48" spans="1:8" s="28" customFormat="1" ht="18.75">
      <c r="A48" s="27" t="s">
        <v>17</v>
      </c>
      <c r="H48" s="9"/>
    </row>
    <row r="49" spans="1:9" s="28" customFormat="1" ht="18.75">
      <c r="A49" s="27"/>
      <c r="B49" s="28" t="s">
        <v>43</v>
      </c>
      <c r="H49" s="9">
        <f>2000000*9</f>
        <v>18000000</v>
      </c>
      <c r="I49" s="28" t="s">
        <v>1</v>
      </c>
    </row>
    <row r="50" spans="1:8" s="28" customFormat="1" ht="18.75">
      <c r="A50" s="27" t="s">
        <v>18</v>
      </c>
      <c r="H50" s="9"/>
    </row>
    <row r="51" spans="2:9" s="28" customFormat="1" ht="18.75">
      <c r="B51" s="28" t="s">
        <v>44</v>
      </c>
      <c r="H51" s="9">
        <f>1200000*9</f>
        <v>10800000</v>
      </c>
      <c r="I51" s="28" t="s">
        <v>1</v>
      </c>
    </row>
    <row r="52" spans="1:8" s="28" customFormat="1" ht="18.75">
      <c r="A52" s="27" t="s">
        <v>81</v>
      </c>
      <c r="H52" s="9"/>
    </row>
    <row r="53" spans="1:9" s="28" customFormat="1" ht="18.75">
      <c r="A53" s="27"/>
      <c r="B53" s="28" t="s">
        <v>79</v>
      </c>
      <c r="H53" s="9">
        <f>10*60000*7</f>
        <v>4200000</v>
      </c>
      <c r="I53" s="28" t="s">
        <v>1</v>
      </c>
    </row>
    <row r="54" spans="1:11" s="25" customFormat="1" ht="19.5">
      <c r="A54" s="24" t="s">
        <v>131</v>
      </c>
      <c r="H54" s="35">
        <f>SUM(H55:H69)</f>
        <v>1154000000</v>
      </c>
      <c r="I54" s="25" t="s">
        <v>1</v>
      </c>
      <c r="K54" s="37">
        <f>H53/70</f>
        <v>60000</v>
      </c>
    </row>
    <row r="55" spans="1:9" s="28" customFormat="1" ht="18.75">
      <c r="A55" s="27" t="s">
        <v>45</v>
      </c>
      <c r="H55" s="9">
        <f>10*10*200000*13</f>
        <v>260000000</v>
      </c>
      <c r="I55" s="28" t="s">
        <v>1</v>
      </c>
    </row>
    <row r="56" spans="1:9" s="28" customFormat="1" ht="18.75">
      <c r="A56" s="27" t="s">
        <v>46</v>
      </c>
      <c r="H56" s="9">
        <f>10*9*300000*13</f>
        <v>351000000</v>
      </c>
      <c r="I56" s="28" t="s">
        <v>1</v>
      </c>
    </row>
    <row r="57" spans="1:9" s="28" customFormat="1" ht="18.75">
      <c r="A57" s="27" t="s">
        <v>85</v>
      </c>
      <c r="H57" s="9">
        <f>50*22000*5*4*4</f>
        <v>88000000</v>
      </c>
      <c r="I57" s="28" t="s">
        <v>1</v>
      </c>
    </row>
    <row r="58" spans="1:8" s="28" customFormat="1" ht="18.75">
      <c r="A58" s="27" t="s">
        <v>19</v>
      </c>
      <c r="H58" s="9"/>
    </row>
    <row r="59" spans="1:9" s="28" customFormat="1" ht="18.75">
      <c r="A59" s="28" t="s">
        <v>47</v>
      </c>
      <c r="H59" s="9">
        <f>300000*10*13</f>
        <v>39000000</v>
      </c>
      <c r="I59" s="28" t="s">
        <v>1</v>
      </c>
    </row>
    <row r="60" spans="1:8" s="28" customFormat="1" ht="18.75">
      <c r="A60" s="28" t="s">
        <v>15</v>
      </c>
      <c r="H60" s="9"/>
    </row>
    <row r="61" spans="2:9" s="28" customFormat="1" ht="18.75">
      <c r="B61" s="28" t="s">
        <v>57</v>
      </c>
      <c r="H61" s="9">
        <f>9*10*200000*13</f>
        <v>234000000</v>
      </c>
      <c r="I61" s="28" t="s">
        <v>1</v>
      </c>
    </row>
    <row r="62" spans="1:8" s="28" customFormat="1" ht="18.75">
      <c r="A62" s="28" t="s">
        <v>16</v>
      </c>
      <c r="H62" s="9"/>
    </row>
    <row r="63" spans="1:9" s="28" customFormat="1" ht="18.75">
      <c r="A63" s="29"/>
      <c r="B63" s="28" t="s">
        <v>48</v>
      </c>
      <c r="H63" s="9">
        <f>5*10*160000*13</f>
        <v>104000000</v>
      </c>
      <c r="I63" s="28" t="s">
        <v>1</v>
      </c>
    </row>
    <row r="64" spans="1:8" s="28" customFormat="1" ht="18.75">
      <c r="A64" s="27" t="s">
        <v>20</v>
      </c>
      <c r="H64" s="9"/>
    </row>
    <row r="65" spans="1:9" s="28" customFormat="1" ht="18.75">
      <c r="A65" s="27"/>
      <c r="B65" s="28" t="s">
        <v>49</v>
      </c>
      <c r="H65" s="9">
        <f>2000000*13</f>
        <v>26000000</v>
      </c>
      <c r="I65" s="28" t="s">
        <v>1</v>
      </c>
    </row>
    <row r="66" spans="1:8" s="28" customFormat="1" ht="18.75">
      <c r="A66" s="27" t="s">
        <v>21</v>
      </c>
      <c r="H66" s="9"/>
    </row>
    <row r="67" spans="2:9" s="28" customFormat="1" ht="16.5" customHeight="1">
      <c r="B67" s="28" t="s">
        <v>50</v>
      </c>
      <c r="H67" s="9">
        <f>2500000*13</f>
        <v>32500000</v>
      </c>
      <c r="I67" s="28" t="s">
        <v>1</v>
      </c>
    </row>
    <row r="68" spans="1:8" s="28" customFormat="1" ht="18.75">
      <c r="A68" s="27" t="s">
        <v>80</v>
      </c>
      <c r="H68" s="9"/>
    </row>
    <row r="69" spans="2:9" s="28" customFormat="1" ht="18.75">
      <c r="B69" s="28" t="s">
        <v>82</v>
      </c>
      <c r="H69" s="9">
        <f>15*100000*13</f>
        <v>19500000</v>
      </c>
      <c r="I69" s="28" t="s">
        <v>1</v>
      </c>
    </row>
    <row r="70" spans="1:9" s="25" customFormat="1" ht="19.5">
      <c r="A70" s="24" t="s">
        <v>22</v>
      </c>
      <c r="H70" s="26">
        <f>SUM(H71:H75)</f>
        <v>354000000</v>
      </c>
      <c r="I70" s="30" t="s">
        <v>1</v>
      </c>
    </row>
    <row r="71" spans="1:9" s="28" customFormat="1" ht="18.75">
      <c r="A71" s="27" t="s">
        <v>114</v>
      </c>
      <c r="B71" s="31"/>
      <c r="C71" s="31"/>
      <c r="D71" s="31"/>
      <c r="E71" s="31"/>
      <c r="F71" s="31"/>
      <c r="G71" s="31"/>
      <c r="H71" s="9">
        <f>200*500000</f>
        <v>100000000</v>
      </c>
      <c r="I71" s="28" t="s">
        <v>1</v>
      </c>
    </row>
    <row r="72" spans="1:9" s="41" customFormat="1" ht="18.75">
      <c r="A72" s="38" t="s">
        <v>126</v>
      </c>
      <c r="B72" s="39"/>
      <c r="C72" s="39"/>
      <c r="D72" s="39"/>
      <c r="E72" s="39"/>
      <c r="F72" s="39"/>
      <c r="G72" s="39"/>
      <c r="H72" s="40">
        <f>350*200000</f>
        <v>70000000</v>
      </c>
      <c r="I72" s="41" t="s">
        <v>1</v>
      </c>
    </row>
    <row r="73" spans="1:8" s="41" customFormat="1" ht="18.75">
      <c r="A73" s="38" t="s">
        <v>55</v>
      </c>
      <c r="B73" s="39"/>
      <c r="C73" s="39"/>
      <c r="D73" s="39"/>
      <c r="E73" s="39"/>
      <c r="F73" s="39"/>
      <c r="G73" s="39"/>
      <c r="H73" s="40"/>
    </row>
    <row r="74" spans="1:9" s="41" customFormat="1" ht="18.75">
      <c r="A74" s="39" t="s">
        <v>112</v>
      </c>
      <c r="C74" s="39"/>
      <c r="D74" s="39"/>
      <c r="E74" s="39"/>
      <c r="F74" s="39"/>
      <c r="G74" s="39"/>
      <c r="H74" s="40">
        <f>4*20*150000*2</f>
        <v>24000000</v>
      </c>
      <c r="I74" s="41" t="s">
        <v>1</v>
      </c>
    </row>
    <row r="75" spans="1:9" s="41" customFormat="1" ht="18.75">
      <c r="A75" s="39" t="s">
        <v>113</v>
      </c>
      <c r="C75" s="39"/>
      <c r="D75" s="39"/>
      <c r="E75" s="39"/>
      <c r="F75" s="39"/>
      <c r="G75" s="39"/>
      <c r="H75" s="40">
        <f>4*10*20*100000*2</f>
        <v>160000000</v>
      </c>
      <c r="I75" s="41" t="s">
        <v>1</v>
      </c>
    </row>
    <row r="76" spans="1:9" s="25" customFormat="1" ht="48.75" customHeight="1">
      <c r="A76" s="48" t="s">
        <v>132</v>
      </c>
      <c r="B76" s="49"/>
      <c r="C76" s="49"/>
      <c r="D76" s="49"/>
      <c r="E76" s="49"/>
      <c r="F76" s="49"/>
      <c r="G76" s="49"/>
      <c r="H76" s="26">
        <f>SUM(H77:H81)</f>
        <v>310000000</v>
      </c>
      <c r="I76" s="30" t="s">
        <v>1</v>
      </c>
    </row>
    <row r="77" spans="1:9" s="28" customFormat="1" ht="18.75">
      <c r="A77" s="27" t="s">
        <v>52</v>
      </c>
      <c r="H77" s="9">
        <f>5*10*5*200000</f>
        <v>50000000</v>
      </c>
      <c r="I77" s="28" t="s">
        <v>1</v>
      </c>
    </row>
    <row r="78" spans="1:9" s="28" customFormat="1" ht="18.75">
      <c r="A78" s="27" t="s">
        <v>53</v>
      </c>
      <c r="H78" s="9">
        <f>5*10*4*450000</f>
        <v>90000000</v>
      </c>
      <c r="I78" s="28" t="s">
        <v>1</v>
      </c>
    </row>
    <row r="79" spans="1:9" s="28" customFormat="1" ht="18.75">
      <c r="A79" s="27" t="s">
        <v>86</v>
      </c>
      <c r="H79" s="9">
        <f>500*22000*2*5</f>
        <v>110000000</v>
      </c>
      <c r="I79" s="28" t="s">
        <v>1</v>
      </c>
    </row>
    <row r="80" spans="1:9" s="28" customFormat="1" ht="18.75">
      <c r="A80" s="27" t="s">
        <v>51</v>
      </c>
      <c r="H80" s="9">
        <f>5*5*2000000</f>
        <v>50000000</v>
      </c>
      <c r="I80" s="28" t="s">
        <v>1</v>
      </c>
    </row>
    <row r="81" spans="1:9" s="28" customFormat="1" ht="18.75">
      <c r="A81" s="27" t="s">
        <v>54</v>
      </c>
      <c r="H81" s="9">
        <v>10000000</v>
      </c>
      <c r="I81" s="28" t="s">
        <v>1</v>
      </c>
    </row>
    <row r="82" ht="7.5" customHeight="1"/>
    <row r="83" spans="1:10" s="11" customFormat="1" ht="18.75">
      <c r="A83" s="11" t="s">
        <v>111</v>
      </c>
      <c r="H83" s="12">
        <f>SUM(H84:H87)</f>
        <v>55000000</v>
      </c>
      <c r="I83" s="11" t="s">
        <v>1</v>
      </c>
      <c r="J83" s="42"/>
    </row>
    <row r="84" spans="1:9" ht="18.75">
      <c r="A84" s="5" t="s">
        <v>122</v>
      </c>
      <c r="H84" s="2">
        <f>2*200000*5*2</f>
        <v>4000000</v>
      </c>
      <c r="I84" s="1" t="s">
        <v>1</v>
      </c>
    </row>
    <row r="85" spans="1:9" ht="18.75">
      <c r="A85" s="5" t="s">
        <v>123</v>
      </c>
      <c r="H85" s="2">
        <f>2*450000*4*2</f>
        <v>7200000</v>
      </c>
      <c r="I85" s="1" t="s">
        <v>1</v>
      </c>
    </row>
    <row r="86" spans="1:9" ht="18.75">
      <c r="A86" s="5" t="s">
        <v>124</v>
      </c>
      <c r="H86" s="2">
        <f>4*5000000*2</f>
        <v>40000000</v>
      </c>
      <c r="I86" s="1" t="s">
        <v>1</v>
      </c>
    </row>
    <row r="87" spans="1:10" ht="18.75">
      <c r="A87" s="27" t="s">
        <v>127</v>
      </c>
      <c r="H87" s="2">
        <v>3800000</v>
      </c>
      <c r="I87" s="1" t="s">
        <v>1</v>
      </c>
      <c r="J87" s="43"/>
    </row>
    <row r="88" spans="1:9" s="14" customFormat="1" ht="18.75">
      <c r="A88" s="14" t="s">
        <v>92</v>
      </c>
      <c r="H88" s="15">
        <f>H90+H91</f>
        <v>90000000</v>
      </c>
      <c r="I88" s="14" t="s">
        <v>1</v>
      </c>
    </row>
    <row r="89" ht="18.75">
      <c r="A89" s="5" t="s">
        <v>30</v>
      </c>
    </row>
    <row r="90" spans="1:12" ht="18.75">
      <c r="A90" s="1" t="s">
        <v>110</v>
      </c>
      <c r="H90" s="2">
        <f>6*15000000</f>
        <v>90000000</v>
      </c>
      <c r="I90" s="1" t="s">
        <v>1</v>
      </c>
      <c r="L90" s="1">
        <f>150*20%</f>
        <v>30</v>
      </c>
    </row>
    <row r="91" ht="18.75" hidden="1">
      <c r="A91" s="5" t="s">
        <v>56</v>
      </c>
    </row>
    <row r="92" ht="7.5" customHeight="1"/>
    <row r="93" spans="1:9" s="14" customFormat="1" ht="18.75">
      <c r="A93" s="14" t="s">
        <v>93</v>
      </c>
      <c r="H93" s="15">
        <f>SUM(H94:H99)</f>
        <v>314000000</v>
      </c>
      <c r="I93" s="14" t="s">
        <v>1</v>
      </c>
    </row>
    <row r="94" ht="18.75">
      <c r="A94" s="5" t="s">
        <v>31</v>
      </c>
    </row>
    <row r="95" spans="1:10" ht="18.75">
      <c r="A95" s="1" t="s">
        <v>83</v>
      </c>
      <c r="H95" s="2">
        <v>122000000</v>
      </c>
      <c r="I95" s="1" t="s">
        <v>1</v>
      </c>
      <c r="J95" s="33"/>
    </row>
    <row r="96" ht="18.75">
      <c r="A96" s="5" t="s">
        <v>34</v>
      </c>
    </row>
    <row r="97" spans="1:9" ht="18.75">
      <c r="A97" s="1" t="s">
        <v>71</v>
      </c>
      <c r="H97" s="2">
        <f>48*1000000</f>
        <v>48000000</v>
      </c>
      <c r="I97" s="1" t="s">
        <v>1</v>
      </c>
    </row>
    <row r="98" ht="18.75">
      <c r="A98" s="5" t="s">
        <v>32</v>
      </c>
    </row>
    <row r="99" spans="1:9" ht="18.75">
      <c r="A99" s="1" t="s">
        <v>70</v>
      </c>
      <c r="H99" s="2">
        <f>48*250000*12</f>
        <v>144000000</v>
      </c>
      <c r="I99" s="1" t="s">
        <v>1</v>
      </c>
    </row>
    <row r="100" ht="7.5" customHeight="1"/>
    <row r="101" spans="1:9" s="14" customFormat="1" ht="18.75">
      <c r="A101" s="14" t="s">
        <v>98</v>
      </c>
      <c r="H101" s="15">
        <f>SUM(H104:H114)</f>
        <v>410400000</v>
      </c>
      <c r="I101" s="14" t="s">
        <v>1</v>
      </c>
    </row>
    <row r="102" spans="1:8" s="11" customFormat="1" ht="19.5">
      <c r="A102" s="36" t="s">
        <v>89</v>
      </c>
      <c r="H102" s="17"/>
    </row>
    <row r="103" s="11" customFormat="1" ht="6" customHeight="1">
      <c r="H103" s="17"/>
    </row>
    <row r="104" spans="1:9" ht="16.5" customHeight="1">
      <c r="A104" s="1" t="s">
        <v>106</v>
      </c>
      <c r="H104" s="2">
        <f>48*0.5*1390000*6</f>
        <v>200160000</v>
      </c>
      <c r="I104" s="1" t="s">
        <v>1</v>
      </c>
    </row>
    <row r="105" spans="1:8" s="14" customFormat="1" ht="19.5">
      <c r="A105" s="36" t="s">
        <v>128</v>
      </c>
      <c r="H105" s="15"/>
    </row>
    <row r="106" ht="18.75">
      <c r="A106" s="1" t="s">
        <v>61</v>
      </c>
    </row>
    <row r="107" ht="18.75">
      <c r="A107" s="5" t="s">
        <v>33</v>
      </c>
    </row>
    <row r="108" spans="1:9" ht="18.75">
      <c r="A108" s="1" t="s">
        <v>108</v>
      </c>
      <c r="H108" s="2">
        <f>3*0.1*1600000*6*3</f>
        <v>8640000.000000002</v>
      </c>
      <c r="I108" s="1" t="s">
        <v>1</v>
      </c>
    </row>
    <row r="109" ht="18.75">
      <c r="A109" s="5" t="s">
        <v>62</v>
      </c>
    </row>
    <row r="110" spans="1:9" ht="18.75">
      <c r="A110" s="1" t="s">
        <v>107</v>
      </c>
      <c r="H110" s="2">
        <f>3*0.1*1600000*4*5</f>
        <v>9600000.000000002</v>
      </c>
      <c r="I110" s="1" t="s">
        <v>1</v>
      </c>
    </row>
    <row r="111" ht="7.5" customHeight="1"/>
    <row r="112" ht="19.5">
      <c r="A112" s="36" t="s">
        <v>60</v>
      </c>
    </row>
    <row r="113" spans="1:9" ht="19.5">
      <c r="A113" s="5" t="s">
        <v>63</v>
      </c>
      <c r="H113" s="2">
        <f>48*2000000</f>
        <v>96000000</v>
      </c>
      <c r="I113" s="1" t="s">
        <v>1</v>
      </c>
    </row>
    <row r="114" spans="1:9" ht="18.75">
      <c r="A114" s="5" t="s">
        <v>64</v>
      </c>
      <c r="H114" s="2">
        <v>96000000</v>
      </c>
      <c r="I114" s="1" t="s">
        <v>1</v>
      </c>
    </row>
    <row r="115" ht="7.5" customHeight="1"/>
    <row r="117" spans="1:9" s="14" customFormat="1" ht="18.75">
      <c r="A117" s="14" t="s">
        <v>94</v>
      </c>
      <c r="H117" s="15">
        <f>H118+H125+H132</f>
        <v>613000000</v>
      </c>
      <c r="I117" s="14" t="s">
        <v>1</v>
      </c>
    </row>
    <row r="118" spans="1:9" s="19" customFormat="1" ht="19.5">
      <c r="A118" s="21" t="s">
        <v>35</v>
      </c>
      <c r="H118" s="20">
        <f>SUM(H119:H123)</f>
        <v>202000000</v>
      </c>
      <c r="I118" s="6" t="s">
        <v>1</v>
      </c>
    </row>
    <row r="119" spans="1:9" ht="18.75">
      <c r="A119" s="5" t="s">
        <v>125</v>
      </c>
      <c r="H119" s="2">
        <f>10*8*3*500000</f>
        <v>120000000</v>
      </c>
      <c r="I119" s="1" t="s">
        <v>1</v>
      </c>
    </row>
    <row r="120" spans="1:9" s="3" customFormat="1" ht="19.5">
      <c r="A120" s="5" t="s">
        <v>68</v>
      </c>
      <c r="H120" s="2">
        <f>10*8*2*350000</f>
        <v>56000000</v>
      </c>
      <c r="I120" s="1" t="s">
        <v>1</v>
      </c>
    </row>
    <row r="121" spans="1:8" ht="18.75">
      <c r="A121" s="5" t="s">
        <v>23</v>
      </c>
      <c r="H121" s="10"/>
    </row>
    <row r="122" spans="1:9" ht="18.75">
      <c r="A122" s="1" t="s">
        <v>88</v>
      </c>
      <c r="H122" s="2">
        <v>10000000</v>
      </c>
      <c r="I122" s="1" t="s">
        <v>1</v>
      </c>
    </row>
    <row r="123" spans="1:9" ht="18.75">
      <c r="A123" s="5" t="s">
        <v>24</v>
      </c>
      <c r="H123" s="2">
        <v>16000000</v>
      </c>
      <c r="I123" s="1" t="s">
        <v>1</v>
      </c>
    </row>
    <row r="124" ht="7.5" customHeight="1"/>
    <row r="125" spans="1:9" s="19" customFormat="1" ht="19.5">
      <c r="A125" s="18" t="s">
        <v>25</v>
      </c>
      <c r="H125" s="20">
        <f>SUM(H126:H130)</f>
        <v>335000000</v>
      </c>
      <c r="I125" s="6" t="s">
        <v>1</v>
      </c>
    </row>
    <row r="126" spans="1:9" ht="18.75">
      <c r="A126" s="5" t="s">
        <v>109</v>
      </c>
      <c r="H126" s="2">
        <f>20*10*2*500000</f>
        <v>200000000</v>
      </c>
      <c r="I126" s="1" t="s">
        <v>1</v>
      </c>
    </row>
    <row r="127" spans="1:9" ht="18.75">
      <c r="A127" s="5" t="s">
        <v>67</v>
      </c>
      <c r="H127" s="2">
        <f>20*10*1*350000</f>
        <v>70000000</v>
      </c>
      <c r="I127" s="1" t="s">
        <v>1</v>
      </c>
    </row>
    <row r="128" spans="1:8" ht="18.75">
      <c r="A128" s="5" t="s">
        <v>23</v>
      </c>
      <c r="H128" s="10"/>
    </row>
    <row r="129" spans="1:9" ht="18.75">
      <c r="A129" s="1" t="s">
        <v>87</v>
      </c>
      <c r="H129" s="2">
        <v>25000000</v>
      </c>
      <c r="I129" s="1" t="s">
        <v>1</v>
      </c>
    </row>
    <row r="130" spans="1:9" ht="18.75">
      <c r="A130" s="5" t="s">
        <v>26</v>
      </c>
      <c r="H130" s="2">
        <v>40000000</v>
      </c>
      <c r="I130" s="1" t="s">
        <v>1</v>
      </c>
    </row>
    <row r="131" ht="7.5" customHeight="1"/>
    <row r="132" spans="1:9" s="19" customFormat="1" ht="19.5">
      <c r="A132" s="18" t="s">
        <v>38</v>
      </c>
      <c r="H132" s="20">
        <f>SUM(H133:H134)</f>
        <v>76000000</v>
      </c>
      <c r="I132" s="6" t="s">
        <v>1</v>
      </c>
    </row>
    <row r="133" spans="1:9" ht="18.75">
      <c r="A133" s="5" t="s">
        <v>115</v>
      </c>
      <c r="H133" s="2">
        <f>8*5*2*300000*2</f>
        <v>48000000</v>
      </c>
      <c r="I133" s="1" t="s">
        <v>1</v>
      </c>
    </row>
    <row r="134" spans="1:9" ht="18.75">
      <c r="A134" s="5" t="s">
        <v>116</v>
      </c>
      <c r="H134" s="2">
        <f>8*5*1*350000*2</f>
        <v>28000000</v>
      </c>
      <c r="I134" s="1" t="s">
        <v>1</v>
      </c>
    </row>
    <row r="135" ht="7.5" customHeight="1">
      <c r="H135" s="10"/>
    </row>
    <row r="136" spans="1:9" s="14" customFormat="1" ht="18.75">
      <c r="A136" s="14" t="s">
        <v>129</v>
      </c>
      <c r="H136" s="15">
        <f>H137</f>
        <v>98500000</v>
      </c>
      <c r="I136" s="14" t="s">
        <v>1</v>
      </c>
    </row>
    <row r="137" spans="1:9" ht="18.75">
      <c r="A137" s="5" t="s">
        <v>69</v>
      </c>
      <c r="H137" s="2">
        <v>98500000</v>
      </c>
      <c r="I137" s="1" t="s">
        <v>1</v>
      </c>
    </row>
    <row r="138" ht="7.5" customHeight="1"/>
    <row r="139" spans="1:9" s="14" customFormat="1" ht="18.75">
      <c r="A139" s="14" t="s">
        <v>95</v>
      </c>
      <c r="H139" s="15">
        <f>SUM(H140:H141)</f>
        <v>19200000</v>
      </c>
      <c r="I139" s="14" t="s">
        <v>1</v>
      </c>
    </row>
    <row r="140" spans="1:9" ht="18.75">
      <c r="A140" s="1" t="s">
        <v>2</v>
      </c>
      <c r="H140" s="2">
        <v>14400000</v>
      </c>
      <c r="I140" s="1" t="s">
        <v>1</v>
      </c>
    </row>
    <row r="141" spans="1:9" ht="18.75">
      <c r="A141" s="1" t="s">
        <v>66</v>
      </c>
      <c r="H141" s="2">
        <f>1*4*100000*12</f>
        <v>4800000</v>
      </c>
      <c r="I141" s="1" t="s">
        <v>1</v>
      </c>
    </row>
    <row r="142" spans="1:8" ht="7.5" customHeight="1">
      <c r="A142" s="5"/>
      <c r="H142" s="10"/>
    </row>
    <row r="143" spans="1:9" s="14" customFormat="1" ht="18.75">
      <c r="A143" s="14" t="s">
        <v>96</v>
      </c>
      <c r="H143" s="15">
        <f>SUM(H145:H146)</f>
        <v>250000000</v>
      </c>
      <c r="I143" s="14" t="s">
        <v>1</v>
      </c>
    </row>
    <row r="144" ht="18.75">
      <c r="A144" s="5" t="s">
        <v>27</v>
      </c>
    </row>
    <row r="145" spans="1:9" ht="18.75">
      <c r="A145" s="1" t="s">
        <v>65</v>
      </c>
      <c r="H145" s="2">
        <v>150000000</v>
      </c>
      <c r="I145" s="1" t="s">
        <v>1</v>
      </c>
    </row>
    <row r="146" spans="1:9" ht="18.75">
      <c r="A146" s="5" t="s">
        <v>28</v>
      </c>
      <c r="H146" s="2">
        <v>100000000</v>
      </c>
      <c r="I146" s="1" t="s">
        <v>1</v>
      </c>
    </row>
    <row r="147" ht="7.5" customHeight="1"/>
    <row r="148" spans="1:9" s="14" customFormat="1" ht="18.75">
      <c r="A148" s="14" t="s">
        <v>97</v>
      </c>
      <c r="H148" s="15">
        <v>70000000</v>
      </c>
      <c r="I148" s="14" t="s">
        <v>1</v>
      </c>
    </row>
    <row r="149" s="3" customFormat="1" ht="19.5">
      <c r="H149" s="4"/>
    </row>
    <row r="150" spans="2:10" s="6" customFormat="1" ht="18.75">
      <c r="B150" s="51" t="s">
        <v>29</v>
      </c>
      <c r="C150" s="51"/>
      <c r="D150" s="51"/>
      <c r="E150" s="50">
        <f>H148+H143+H139+H136+H117+H101+H93+H88+H83+H37+H25+H102+H9</f>
        <v>5260000000</v>
      </c>
      <c r="F150" s="50"/>
      <c r="G150" s="50"/>
      <c r="H150" s="13" t="s">
        <v>0</v>
      </c>
      <c r="J150" s="16">
        <f>E150-5260000000</f>
        <v>0</v>
      </c>
    </row>
    <row r="151" spans="1:8" ht="24" customHeight="1">
      <c r="A151" s="44" t="s">
        <v>118</v>
      </c>
      <c r="B151" s="44"/>
      <c r="C151" s="44"/>
      <c r="D151" s="44"/>
      <c r="E151" s="44"/>
      <c r="F151" s="44"/>
      <c r="G151" s="44"/>
      <c r="H151" s="44"/>
    </row>
  </sheetData>
  <sheetProtection/>
  <mergeCells count="11">
    <mergeCell ref="E1:I1"/>
    <mergeCell ref="E2:I2"/>
    <mergeCell ref="A2:D2"/>
    <mergeCell ref="A1:D1"/>
    <mergeCell ref="A151:H151"/>
    <mergeCell ref="A5:I5"/>
    <mergeCell ref="A6:H6"/>
    <mergeCell ref="A7:H7"/>
    <mergeCell ref="A76:G76"/>
    <mergeCell ref="E150:G150"/>
    <mergeCell ref="B150:D150"/>
  </mergeCells>
  <printOptions/>
  <pageMargins left="0.58" right="0.2" top="0.72" bottom="0.67" header="0.31496062992125984" footer="0.31496062992125984"/>
  <pageSetup horizontalDpi="600" verticalDpi="600" orientation="portrait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2019-11-29T08:45:06Z</cp:lastPrinted>
  <dcterms:created xsi:type="dcterms:W3CDTF">2003-10-28T16:13:51Z</dcterms:created>
  <dcterms:modified xsi:type="dcterms:W3CDTF">2019-11-29T08:47:48Z</dcterms:modified>
  <cp:category/>
  <cp:version/>
  <cp:contentType/>
  <cp:contentStatus/>
</cp:coreProperties>
</file>